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</sheets>
  <definedNames>
    <definedName name="_xlnm._FilterDatabase" localSheetId="0" hidden="1">'FORMATO NOMINA'!$A$5:$AG$62</definedName>
  </definedNames>
  <calcPr calcId="124519"/>
</workbook>
</file>

<file path=xl/calcChain.xml><?xml version="1.0" encoding="utf-8"?>
<calcChain xmlns="http://schemas.openxmlformats.org/spreadsheetml/2006/main">
  <c r="G64" i="4"/>
  <c r="H64"/>
  <c r="I64"/>
  <c r="J64"/>
  <c r="K64"/>
  <c r="L64"/>
  <c r="M64"/>
  <c r="N64"/>
  <c r="O64"/>
  <c r="P64"/>
  <c r="Q64"/>
  <c r="R64"/>
  <c r="S64"/>
  <c r="T64"/>
  <c r="U64"/>
  <c r="E64"/>
  <c r="F64"/>
  <c r="F69" l="1"/>
  <c r="F91"/>
  <c r="F94"/>
  <c r="F97"/>
  <c r="F72"/>
  <c r="F87"/>
  <c r="F85"/>
  <c r="F110"/>
  <c r="F103"/>
  <c r="F104"/>
  <c r="F79"/>
  <c r="F74"/>
  <c r="F98"/>
  <c r="F76"/>
  <c r="F108"/>
  <c r="F93"/>
  <c r="F71"/>
  <c r="F107"/>
  <c r="F95"/>
  <c r="F88"/>
  <c r="F92"/>
  <c r="F68"/>
  <c r="F109"/>
  <c r="F86"/>
  <c r="F96"/>
  <c r="F90"/>
  <c r="F99"/>
  <c r="F102"/>
  <c r="F80"/>
  <c r="F89"/>
  <c r="F77"/>
  <c r="F83"/>
  <c r="F84"/>
  <c r="F67"/>
  <c r="J109" l="1"/>
  <c r="V109" s="1"/>
  <c r="J25"/>
  <c r="V25" s="1"/>
  <c r="J7"/>
  <c r="V7" s="1"/>
  <c r="G112"/>
  <c r="J19"/>
  <c r="V19" s="1"/>
  <c r="J81" l="1"/>
  <c r="V81" s="1"/>
  <c r="J82"/>
  <c r="J10" l="1"/>
  <c r="J24"/>
  <c r="V24" s="1"/>
  <c r="J47"/>
  <c r="J26" l="1"/>
  <c r="V26" s="1"/>
  <c r="J12"/>
  <c r="J42"/>
  <c r="J122"/>
  <c r="V122" s="1"/>
  <c r="J15" l="1"/>
  <c r="V15" s="1"/>
  <c r="J16"/>
  <c r="J18"/>
  <c r="J20"/>
  <c r="J21"/>
  <c r="J36"/>
  <c r="V36" s="1"/>
  <c r="J43" l="1"/>
  <c r="V43" s="1"/>
  <c r="J69" l="1"/>
  <c r="E112" l="1"/>
  <c r="J9" l="1"/>
  <c r="J11"/>
  <c r="J13"/>
  <c r="J14"/>
  <c r="V20"/>
  <c r="V21"/>
  <c r="J22"/>
  <c r="V22" s="1"/>
  <c r="J23"/>
  <c r="J27"/>
  <c r="J28"/>
  <c r="J29"/>
  <c r="V29" s="1"/>
  <c r="J30"/>
  <c r="V30" s="1"/>
  <c r="J31"/>
  <c r="J32"/>
  <c r="J33"/>
  <c r="J34"/>
  <c r="J35"/>
  <c r="V35" s="1"/>
  <c r="J37"/>
  <c r="V37" s="1"/>
  <c r="J38"/>
  <c r="J39"/>
  <c r="J40"/>
  <c r="J41"/>
  <c r="V41" s="1"/>
  <c r="J44"/>
  <c r="V44" s="1"/>
  <c r="J45"/>
  <c r="J46"/>
  <c r="J48"/>
  <c r="J49"/>
  <c r="J50"/>
  <c r="J51"/>
  <c r="J52"/>
  <c r="J53"/>
  <c r="J54"/>
  <c r="J55"/>
  <c r="J56"/>
  <c r="J57"/>
  <c r="J58"/>
  <c r="V58" s="1"/>
  <c r="J59"/>
  <c r="V59" s="1"/>
  <c r="J60"/>
  <c r="J61"/>
  <c r="J62"/>
  <c r="J8"/>
  <c r="J105" l="1"/>
  <c r="V105" s="1"/>
  <c r="J95" l="1"/>
  <c r="V95" s="1"/>
  <c r="J96"/>
  <c r="V96" s="1"/>
  <c r="J97"/>
  <c r="V97" s="1"/>
  <c r="J98"/>
  <c r="J88"/>
  <c r="V88" s="1"/>
  <c r="J89"/>
  <c r="V89" s="1"/>
  <c r="J90"/>
  <c r="V90" s="1"/>
  <c r="V82"/>
  <c r="V45" l="1"/>
  <c r="V46"/>
  <c r="V48"/>
  <c r="V49"/>
  <c r="V50"/>
  <c r="V14"/>
  <c r="V16"/>
  <c r="V18"/>
  <c r="V23"/>
  <c r="V27"/>
  <c r="V28"/>
  <c r="V31"/>
  <c r="J91"/>
  <c r="V91" s="1"/>
  <c r="J92"/>
  <c r="V92" s="1"/>
  <c r="J93"/>
  <c r="V93" s="1"/>
  <c r="J94"/>
  <c r="V94" s="1"/>
  <c r="J99"/>
  <c r="V99" s="1"/>
  <c r="J100"/>
  <c r="V100" s="1"/>
  <c r="J101"/>
  <c r="V101" s="1"/>
  <c r="J102"/>
  <c r="V102" s="1"/>
  <c r="J71"/>
  <c r="V71" s="1"/>
  <c r="J72"/>
  <c r="V72" s="1"/>
  <c r="J73"/>
  <c r="V73" s="1"/>
  <c r="J74"/>
  <c r="V74" s="1"/>
  <c r="J75"/>
  <c r="V75" s="1"/>
  <c r="V13" l="1"/>
  <c r="J80"/>
  <c r="V80" s="1"/>
  <c r="J87" l="1"/>
  <c r="V87" s="1"/>
  <c r="J85"/>
  <c r="V85" s="1"/>
  <c r="J86" l="1"/>
  <c r="V86" s="1"/>
  <c r="J83"/>
  <c r="V83" s="1"/>
  <c r="J84"/>
  <c r="V84" s="1"/>
  <c r="AA89" l="1"/>
  <c r="Y29"/>
  <c r="W29" l="1"/>
  <c r="V40" l="1"/>
  <c r="V56" l="1"/>
  <c r="J77" l="1"/>
  <c r="V77" s="1"/>
  <c r="J121" l="1"/>
  <c r="V121" s="1"/>
  <c r="J118"/>
  <c r="V118" s="1"/>
  <c r="J119"/>
  <c r="V119" s="1"/>
  <c r="J120"/>
  <c r="V120" s="1"/>
  <c r="J68"/>
  <c r="V68" s="1"/>
  <c r="V69"/>
  <c r="J70"/>
  <c r="V70" s="1"/>
  <c r="J76"/>
  <c r="V76" s="1"/>
  <c r="J78"/>
  <c r="V78" s="1"/>
  <c r="J79"/>
  <c r="V79" s="1"/>
  <c r="V39"/>
  <c r="J103"/>
  <c r="V103" s="1"/>
  <c r="J104"/>
  <c r="V104" s="1"/>
  <c r="J106"/>
  <c r="V106" s="1"/>
  <c r="J107"/>
  <c r="V107" s="1"/>
  <c r="J108"/>
  <c r="V108" s="1"/>
  <c r="J110"/>
  <c r="V110" s="1"/>
  <c r="J111"/>
  <c r="V32"/>
  <c r="V98" l="1"/>
  <c r="K112" l="1"/>
  <c r="L112"/>
  <c r="M112"/>
  <c r="N112"/>
  <c r="O112"/>
  <c r="P112"/>
  <c r="Q112"/>
  <c r="R112"/>
  <c r="S112"/>
  <c r="T112"/>
  <c r="U112"/>
  <c r="H112"/>
  <c r="I112"/>
  <c r="F112"/>
  <c r="J112" l="1"/>
  <c r="W94" l="1"/>
  <c r="X39"/>
  <c r="Y39"/>
  <c r="AB39" s="1"/>
  <c r="W39"/>
  <c r="X94" l="1"/>
  <c r="W106"/>
  <c r="X106" l="1"/>
  <c r="W89" l="1"/>
  <c r="X89" l="1"/>
  <c r="W62" l="1"/>
  <c r="V62" l="1"/>
  <c r="X62" s="1"/>
  <c r="W41"/>
  <c r="X41" l="1"/>
  <c r="W31" l="1"/>
  <c r="X31" l="1"/>
  <c r="W74" l="1"/>
  <c r="X74" s="1"/>
  <c r="W23" l="1"/>
  <c r="X23" l="1"/>
  <c r="W50"/>
  <c r="X50" l="1"/>
  <c r="W100"/>
  <c r="X100" l="1"/>
  <c r="V53" l="1"/>
  <c r="W53" l="1"/>
  <c r="X53" s="1"/>
  <c r="Y53"/>
  <c r="W78" l="1"/>
  <c r="X78" s="1"/>
  <c r="W61" l="1"/>
  <c r="V61" l="1"/>
  <c r="X61" s="1"/>
  <c r="Y37" l="1"/>
  <c r="AA37"/>
  <c r="V57"/>
  <c r="AA57"/>
  <c r="AB37" l="1"/>
  <c r="W37"/>
  <c r="Y57"/>
  <c r="AB57" s="1"/>
  <c r="W57"/>
  <c r="X57" s="1"/>
  <c r="X37" l="1"/>
  <c r="AA48" l="1"/>
  <c r="Y48" l="1"/>
  <c r="AB48" s="1"/>
  <c r="W48"/>
  <c r="X48" s="1"/>
  <c r="AA27" l="1"/>
  <c r="AA28"/>
  <c r="AA79"/>
  <c r="AA32"/>
  <c r="AA33"/>
  <c r="Y33" l="1"/>
  <c r="AB33" s="1"/>
  <c r="V33"/>
  <c r="W33"/>
  <c r="X33" l="1"/>
  <c r="W79" l="1"/>
  <c r="Y79"/>
  <c r="AB79" s="1"/>
  <c r="X79" l="1"/>
  <c r="AA60" l="1"/>
  <c r="AA46"/>
  <c r="Y28" l="1"/>
  <c r="AB28" s="1"/>
  <c r="W28"/>
  <c r="V60"/>
  <c r="Y60"/>
  <c r="AB60" s="1"/>
  <c r="W46"/>
  <c r="Y46"/>
  <c r="AB46" s="1"/>
  <c r="W60"/>
  <c r="AA49"/>
  <c r="Y49"/>
  <c r="X28" l="1"/>
  <c r="AE28" s="1"/>
  <c r="X60"/>
  <c r="X46"/>
  <c r="AB49"/>
  <c r="W49"/>
  <c r="X49" l="1"/>
  <c r="AE60" l="1"/>
  <c r="AE46" l="1"/>
  <c r="AA54"/>
  <c r="W88" l="1"/>
  <c r="Y88"/>
  <c r="AA88"/>
  <c r="AB88" l="1"/>
  <c r="X88"/>
  <c r="AE88" s="1"/>
  <c r="AA20" l="1"/>
  <c r="W20" l="1"/>
  <c r="Y20"/>
  <c r="AB20" s="1"/>
  <c r="X20" l="1"/>
  <c r="AE20" l="1"/>
  <c r="AA55" l="1"/>
  <c r="Y55" l="1"/>
  <c r="W55" l="1"/>
  <c r="V55"/>
  <c r="AB55"/>
  <c r="X55" l="1"/>
  <c r="AE55" s="1"/>
  <c r="W98" l="1"/>
  <c r="Y98"/>
  <c r="AA110"/>
  <c r="AA108"/>
  <c r="AA103"/>
  <c r="AA52"/>
  <c r="AA51"/>
  <c r="AA97"/>
  <c r="AA94"/>
  <c r="AA91"/>
  <c r="AA38"/>
  <c r="AA87"/>
  <c r="AA34"/>
  <c r="AA18"/>
  <c r="AA72"/>
  <c r="AA16"/>
  <c r="AA11"/>
  <c r="AA9"/>
  <c r="AA8"/>
  <c r="AA98" l="1"/>
  <c r="AB98" l="1"/>
  <c r="X98"/>
  <c r="AE98" s="1"/>
  <c r="W97" l="1"/>
  <c r="Y97"/>
  <c r="AB97" s="1"/>
  <c r="Z64"/>
  <c r="J67"/>
  <c r="AD64"/>
  <c r="AC64"/>
  <c r="Y54"/>
  <c r="X97" l="1"/>
  <c r="AE97" s="1"/>
  <c r="W32"/>
  <c r="Y32"/>
  <c r="AB32" s="1"/>
  <c r="W34"/>
  <c r="Y34"/>
  <c r="W38"/>
  <c r="Y38"/>
  <c r="W9"/>
  <c r="Y9"/>
  <c r="AB9" s="1"/>
  <c r="W16"/>
  <c r="Y16"/>
  <c r="AB16" s="1"/>
  <c r="W69"/>
  <c r="Y69"/>
  <c r="Y94"/>
  <c r="AB94" s="1"/>
  <c r="W72"/>
  <c r="Y72"/>
  <c r="AB72" s="1"/>
  <c r="W71"/>
  <c r="Y71"/>
  <c r="W92"/>
  <c r="Y92"/>
  <c r="W68"/>
  <c r="Y68"/>
  <c r="W83"/>
  <c r="Y83"/>
  <c r="W75"/>
  <c r="Y75"/>
  <c r="W91"/>
  <c r="Y91"/>
  <c r="AB91" s="1"/>
  <c r="W87"/>
  <c r="Y87"/>
  <c r="AB87" s="1"/>
  <c r="W52"/>
  <c r="Y52"/>
  <c r="W107"/>
  <c r="Y107"/>
  <c r="W103"/>
  <c r="Y103"/>
  <c r="AB103" s="1"/>
  <c r="W110"/>
  <c r="Y110"/>
  <c r="AB110" s="1"/>
  <c r="W51"/>
  <c r="Y51"/>
  <c r="AB51" s="1"/>
  <c r="W102"/>
  <c r="Y102"/>
  <c r="W101"/>
  <c r="Y101"/>
  <c r="W108"/>
  <c r="Y108"/>
  <c r="AB108" s="1"/>
  <c r="W93"/>
  <c r="Y93"/>
  <c r="W86"/>
  <c r="Y86"/>
  <c r="W84"/>
  <c r="Y84"/>
  <c r="W76"/>
  <c r="Y76"/>
  <c r="W54"/>
  <c r="AA84"/>
  <c r="AB54"/>
  <c r="AA75"/>
  <c r="AA71"/>
  <c r="V9"/>
  <c r="AA86"/>
  <c r="AA83"/>
  <c r="AA69"/>
  <c r="AA76"/>
  <c r="AA68"/>
  <c r="AE49"/>
  <c r="AA92"/>
  <c r="AA93"/>
  <c r="AA107"/>
  <c r="V51"/>
  <c r="AA101"/>
  <c r="AA102"/>
  <c r="V54"/>
  <c r="Y27" l="1"/>
  <c r="AB27" s="1"/>
  <c r="W27"/>
  <c r="X32"/>
  <c r="X110"/>
  <c r="AE110" s="1"/>
  <c r="X87"/>
  <c r="AE87" s="1"/>
  <c r="W18"/>
  <c r="Y18"/>
  <c r="AB18" s="1"/>
  <c r="Y11"/>
  <c r="AB11" s="1"/>
  <c r="W8"/>
  <c r="Y8"/>
  <c r="AB8" s="1"/>
  <c r="X108"/>
  <c r="AE108" s="1"/>
  <c r="V67"/>
  <c r="V11"/>
  <c r="W11"/>
  <c r="AE79"/>
  <c r="X91"/>
  <c r="AE91" s="1"/>
  <c r="X16"/>
  <c r="AE16" s="1"/>
  <c r="AE94"/>
  <c r="X72"/>
  <c r="AE72" s="1"/>
  <c r="X103"/>
  <c r="AE103" s="1"/>
  <c r="X51"/>
  <c r="AE51" s="1"/>
  <c r="X9"/>
  <c r="AE9" s="1"/>
  <c r="X54"/>
  <c r="AE54" s="1"/>
  <c r="AB76"/>
  <c r="AB107"/>
  <c r="AB102"/>
  <c r="AB84"/>
  <c r="AB83"/>
  <c r="AB86"/>
  <c r="AB71"/>
  <c r="AB68"/>
  <c r="AB92"/>
  <c r="AB75"/>
  <c r="AB69"/>
  <c r="AB93"/>
  <c r="AB101"/>
  <c r="AA64"/>
  <c r="X84"/>
  <c r="AE84" s="1"/>
  <c r="X86"/>
  <c r="AE86" s="1"/>
  <c r="X102"/>
  <c r="AE102" s="1"/>
  <c r="X75"/>
  <c r="AE75" s="1"/>
  <c r="V34"/>
  <c r="AB34"/>
  <c r="AB52"/>
  <c r="V38"/>
  <c r="AB38"/>
  <c r="X71"/>
  <c r="AE71" s="1"/>
  <c r="X92"/>
  <c r="AE92" s="1"/>
  <c r="X93"/>
  <c r="AE93" s="1"/>
  <c r="X83"/>
  <c r="AE83" s="1"/>
  <c r="X76"/>
  <c r="AE76" s="1"/>
  <c r="X69"/>
  <c r="AE69" s="1"/>
  <c r="X107"/>
  <c r="AE107" s="1"/>
  <c r="V8"/>
  <c r="V52"/>
  <c r="X68"/>
  <c r="AE68" s="1"/>
  <c r="X101"/>
  <c r="AE101" s="1"/>
  <c r="W67" l="1"/>
  <c r="W112" s="1"/>
  <c r="V112"/>
  <c r="X27"/>
  <c r="AE27" s="1"/>
  <c r="X18"/>
  <c r="AE18" s="1"/>
  <c r="X67"/>
  <c r="X112" s="1"/>
  <c r="Y67"/>
  <c r="AB67" s="1"/>
  <c r="AB113" s="1"/>
  <c r="X11"/>
  <c r="AE11" s="1"/>
  <c r="AE32"/>
  <c r="X34"/>
  <c r="AE34" s="1"/>
  <c r="X52"/>
  <c r="AE52" s="1"/>
  <c r="X38"/>
  <c r="AE38" s="1"/>
  <c r="X8"/>
  <c r="AE8" s="1"/>
  <c r="Y64" l="1"/>
  <c r="W64"/>
  <c r="V64" l="1"/>
  <c r="AB64"/>
  <c r="X64" l="1"/>
  <c r="AE64"/>
  <c r="AB65"/>
  <c r="AB66" s="1"/>
</calcChain>
</file>

<file path=xl/comments1.xml><?xml version="1.0" encoding="utf-8"?>
<comments xmlns="http://schemas.openxmlformats.org/spreadsheetml/2006/main">
  <authors>
    <author>usuario</author>
  </authors>
  <commentList>
    <comment ref="H50" authorId="0">
      <text>
        <r>
          <rPr>
            <b/>
            <sz val="8"/>
            <color indexed="81"/>
            <rFont val="Tahoma"/>
            <charset val="1"/>
          </rPr>
          <t>usuario:</t>
        </r>
        <r>
          <rPr>
            <sz val="8"/>
            <color indexed="81"/>
            <rFont val="Tahoma"/>
            <charset val="1"/>
          </rPr>
          <t xml:space="preserve">
PRIMA VACACIONAL PRIMER AÑO</t>
        </r>
      </text>
    </comment>
    <comment ref="N69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  <comment ref="N75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500 A LA SEMANA PERO ESTA DE INCAPACIDAD</t>
        </r>
      </text>
    </comment>
  </commentList>
</comments>
</file>

<file path=xl/sharedStrings.xml><?xml version="1.0" encoding="utf-8"?>
<sst xmlns="http://schemas.openxmlformats.org/spreadsheetml/2006/main" count="421" uniqueCount="196">
  <si>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</si>
  <si>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</si>
  <si>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</si>
  <si>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</si>
  <si>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</si>
  <si>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</si>
  <si>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</si>
  <si>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</si>
  <si>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</si>
  <si>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</si>
  <si>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</si>
  <si>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</si>
  <si>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</si>
  <si>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</si>
  <si>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</si>
  <si>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</si>
  <si>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</si>
  <si>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</si>
  <si>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</si>
  <si>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</si>
  <si>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</si>
  <si>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</si>
  <si>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</si>
  <si>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</si>
  <si>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</si>
  <si>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</si>
  <si>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</si>
  <si>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</si>
  <si>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</si>
  <si>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</si>
  <si>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</si>
  <si>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</si>
  <si>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</si>
  <si>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</si>
  <si>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</si>
  <si>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</si>
  <si>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</si>
  <si>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</si>
  <si>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</si>
  <si>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</si>
  <si>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</si>
  <si>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</si>
  <si>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</si>
  <si>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</si>
  <si>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</si>
  <si>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</si>
  <si>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</si>
  <si>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</si>
  <si>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</si>
  <si>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</si>
  <si>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</si>
  <si>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</si>
  <si>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</si>
  <si>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</si>
  <si>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</si>
  <si>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</si>
  <si>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</si>
  <si>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</si>
  <si>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</si>
  <si>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</si>
  <si>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</si>
  <si>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</si>
  <si>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</si>
  <si>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</si>
  <si>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</si>
  <si>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</si>
  <si>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</si>
  <si>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RIVERA AGUILAR GABRIEL</t>
  </si>
  <si>
    <t>FECHA DE INICIO</t>
  </si>
  <si>
    <t>ADMON VENTAS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</si>
  <si>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</si>
  <si>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</si>
  <si>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</si>
  <si>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</si>
  <si>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</si>
  <si>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</si>
  <si>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ESPECIALES</t>
  </si>
  <si>
    <t>MORALES SANCHEZ ANGEL</t>
  </si>
  <si>
    <t>SERENO CUELLAR JUVENAL</t>
  </si>
  <si>
    <t>DISPERSION</t>
  </si>
  <si>
    <t>CORTEZ OVANDO FAUSTINO ALI</t>
  </si>
  <si>
    <t>RESENDIZ ECHEVERRIA MARIO ALBERTO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</si>
  <si>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</si>
  <si>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</si>
  <si>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</si>
  <si>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</si>
  <si>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</si>
  <si>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</si>
  <si>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</si>
  <si>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</si>
  <si>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</si>
  <si>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</si>
  <si>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</si>
  <si>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REYES ARMADILLO JORGE ANDRES</t>
  </si>
  <si>
    <t>FALTAS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</si>
  <si>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</si>
  <si>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</si>
  <si>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</si>
  <si>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</si>
  <si>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</si>
  <si>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</si>
  <si>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</si>
  <si>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</si>
  <si>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</si>
  <si>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</si>
  <si>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</si>
  <si>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HERNANDEZ AGUILAR ROBERTO CARLOS</t>
  </si>
  <si>
    <t>WEB MASTER</t>
  </si>
  <si>
    <t>GUZMAN NAVARRO EDUARDO</t>
  </si>
  <si>
    <t>SALDAÑA SANCHEZ JULIO CESAR</t>
  </si>
  <si>
    <t>SALAS MARTINEZ OSCAR JESUS</t>
  </si>
  <si>
    <t>RODRIGUEZ PINACHO CESAR OCTAVIO</t>
  </si>
  <si>
    <t>GALLEGOS ROMERO CRISTIAN</t>
  </si>
  <si>
    <t>COACH BDC</t>
  </si>
  <si>
    <t>GAYTAN MARTINEZ RAUL</t>
  </si>
  <si>
    <t>DOMINGUEZ GUDIÑO OMAR</t>
  </si>
  <si>
    <t>HERNANDEZ SANCHEZ RODRIGO</t>
  </si>
  <si>
    <t>NAVARRO ARENAS ANDREA ARELI</t>
  </si>
  <si>
    <t>VARGAS GOMEZ RAUL ARMANDO</t>
  </si>
  <si>
    <t>Ingenieria Fiscal Laboral S.C.</t>
  </si>
  <si>
    <t>TECNICO</t>
  </si>
  <si>
    <t>VALDEZ BERNAL JUAN PABLO</t>
  </si>
  <si>
    <t>FERRER GONZALEZ MARIA ELENA</t>
  </si>
  <si>
    <t>AUX. ADMON.</t>
  </si>
  <si>
    <t>TOTAL DE LA NOMINA</t>
  </si>
  <si>
    <t>VALDEZ HERNANDEZ ELDA NELLY</t>
  </si>
  <si>
    <t>BAUTISTA RAMIREZ MARIO ALEXIS</t>
  </si>
  <si>
    <t>JUAREZ URIBE MICHEL</t>
  </si>
  <si>
    <t>DE JESUS PADILLA ALFREDO</t>
  </si>
  <si>
    <t>SAUCEDO MAGAÑA VICTOR HUGO</t>
  </si>
  <si>
    <t>BANCOMER</t>
  </si>
  <si>
    <t>HERNANDEZ MATA AURELIANO</t>
  </si>
  <si>
    <t>HURTADO PAJARO JOSE EDUARDO</t>
  </si>
  <si>
    <t>GUTIERREZ LARA GEOVANNI</t>
  </si>
  <si>
    <t>SOLANO PEREZ JOSE ANTONIO</t>
  </si>
  <si>
    <t>HERNANDEZ SOLIS GUMECINDO</t>
  </si>
  <si>
    <t>XX</t>
  </si>
  <si>
    <t>PUEBLA MARTINEZ JOSE ANDRES</t>
  </si>
  <si>
    <t>JUAREZ MARTINEZ LUIS MIGUEL</t>
  </si>
  <si>
    <t>BERDEJA LEON FRANCISCO GERARDO</t>
  </si>
  <si>
    <t>PADILLA RUIZ JOSE ANTONIO</t>
  </si>
  <si>
    <t>FLORES VENTURA PAULINA SOLEDAD</t>
  </si>
  <si>
    <t>COACH DE VENTAS SEM</t>
  </si>
  <si>
    <t>BOCANEGRA PEGUERO MARIA GUADALUPE</t>
  </si>
  <si>
    <t>LOPEZ MARTINEZ OSCAR</t>
  </si>
  <si>
    <t>MECANICO NOCTURNO</t>
  </si>
  <si>
    <t>RAMIREZ MONTES MISSAEL GUILLERMO</t>
  </si>
  <si>
    <t>TORRES GAYTAN EVELYN</t>
  </si>
  <si>
    <t>HERNANDEZ RAMOS LUIS FELIPE</t>
  </si>
  <si>
    <t>DURAN GUERRA VICTOR MANUEL</t>
  </si>
  <si>
    <t>LANDAVERDE GARCIA JUAN</t>
  </si>
  <si>
    <t>MORENO VALERA NORMA</t>
  </si>
  <si>
    <t>TELLEZ GAYTAN DANIEL</t>
  </si>
  <si>
    <t>ONTIVEROS PLIEGO LUIS GERARDO</t>
  </si>
  <si>
    <t>SUEDO BASE</t>
  </si>
  <si>
    <t>EFECTIVO</t>
  </si>
  <si>
    <t>NAVA RUBIO JAVIER (-$461.01)</t>
  </si>
  <si>
    <t>RODRIGUEZ RODRIGUEZ RODOLFO ANUAR</t>
  </si>
  <si>
    <t>TORRES IBARRA LUIS GERARDO</t>
  </si>
  <si>
    <t>AGUILAR PEREZ MARCOS ARTEMIO</t>
  </si>
  <si>
    <t>MARTINEZ GARCIA JOSE JUAN</t>
  </si>
  <si>
    <t>NIETO GONZALEZ ANGEL RICARDO</t>
  </si>
  <si>
    <t>OLVERA BAUTISTA J DOLORES GILBERTO</t>
  </si>
  <si>
    <t>OLIVAS MANCILLA JESUS SADIEL</t>
  </si>
  <si>
    <t>LOYOLA SANDOVAL JOSE ANDRES</t>
  </si>
  <si>
    <t>CARDENAS CASAS MARIA DEL ROCIO</t>
  </si>
  <si>
    <t>BECERRA JIMENEZ ALEJANDRO BONIFACIO</t>
  </si>
  <si>
    <t>JARDINERO</t>
  </si>
  <si>
    <t>DESCUENTO POR PRESTAMO</t>
  </si>
  <si>
    <t>OCHOA PALACIOS RAUL ALEJANDRO</t>
  </si>
  <si>
    <t>ARTEAGA SILVA ALFREDO</t>
  </si>
  <si>
    <t>GARZON SALAZAR DIEGO</t>
  </si>
  <si>
    <t>X</t>
  </si>
  <si>
    <t>PEREZ LOPEZ JIMMY FLORENTINO</t>
  </si>
  <si>
    <t>CUATZON APARICIO GELASIO</t>
  </si>
  <si>
    <t>LAVADOR HYP</t>
  </si>
  <si>
    <t>AYUDANTE MECANICO HYP</t>
  </si>
  <si>
    <t>ASESOR DE VENTA SEM</t>
  </si>
  <si>
    <t>INCAPACIDAD 21 DIAS</t>
  </si>
  <si>
    <t>0462465140</t>
  </si>
  <si>
    <t>GARCIA TORRES JUAN MANUEL</t>
  </si>
  <si>
    <t>1543342964</t>
  </si>
  <si>
    <t>ARIAS GONZALEZ LUIS IGNACIO</t>
  </si>
  <si>
    <t>INCAPACIDAD 21 DIAS (06/10 - 26/10)</t>
  </si>
  <si>
    <t>DE LEON RUIZ MARIA FERNANDA</t>
  </si>
  <si>
    <t>COMPENSACION</t>
  </si>
  <si>
    <t>18 DIAS DE PERMISO</t>
  </si>
  <si>
    <t>PERMISO SIN GOCE DE SUELDO</t>
  </si>
  <si>
    <t>ROCHA MORENO HUGO AMADO</t>
  </si>
  <si>
    <t>Periodo Semana 43</t>
  </si>
  <si>
    <t>18/10/17 AL 24/10/17</t>
  </si>
  <si>
    <t>PASO DE QUINCENAL A SEMANAL</t>
  </si>
  <si>
    <t>ACOSTA MORENO EDGAR ARMANDO</t>
  </si>
  <si>
    <t>GARCIA TOVAR SAMANTHA MONSERRAT</t>
  </si>
  <si>
    <t>VIDAL REYES EDGAR OMAR</t>
  </si>
  <si>
    <t>PINTOR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</si>
</sst>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20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10">
    <xf numFmtId="0" fontId="0" fillId="0" borderId="0" xfId="0"/>
    <xf numFmtId="43" fontId="1" fillId="0" borderId="0" xfId="2"/>
    <xf numFmtId="0" fontId="4" fillId="0" borderId="0" xfId="3" applyFont="1" applyFill="1" applyAlignment="1" applyProtection="1">
      <alignment horizontal="left"/>
    </xf>
    <xf numFmtId="0" fontId="4" fillId="0" borderId="0" xfId="3" applyFont="1" applyFill="1" applyAlignment="1" applyProtection="1">
      <alignment horizontal="center"/>
    </xf>
    <xf numFmtId="43" fontId="5" fillId="0" borderId="0" xfId="2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Protection="1"/>
    <xf numFmtId="0" fontId="7" fillId="0" borderId="0" xfId="3" applyFont="1" applyFill="1" applyAlignment="1" applyProtection="1">
      <alignment horizontal="left"/>
    </xf>
    <xf numFmtId="0" fontId="7" fillId="0" borderId="0" xfId="3" applyFont="1" applyFill="1" applyAlignment="1" applyProtection="1">
      <alignment horizontal="center"/>
    </xf>
    <xf numFmtId="15" fontId="4" fillId="0" borderId="0" xfId="3" applyNumberFormat="1" applyFont="1" applyFill="1" applyAlignment="1" applyProtection="1">
      <alignment horizontal="left"/>
    </xf>
    <xf numFmtId="15" fontId="4" fillId="0" borderId="0" xfId="3" applyNumberFormat="1" applyFont="1" applyFill="1" applyAlignment="1" applyProtection="1">
      <alignment horizontal="center"/>
    </xf>
    <xf numFmtId="0" fontId="6" fillId="0" borderId="0" xfId="0" applyFont="1"/>
    <xf numFmtId="43" fontId="5" fillId="0" borderId="0" xfId="2" applyFont="1"/>
    <xf numFmtId="43" fontId="6" fillId="0" borderId="0" xfId="2" applyFont="1"/>
    <xf numFmtId="43" fontId="5" fillId="0" borderId="0" xfId="2" applyFont="1" applyFill="1"/>
    <xf numFmtId="0" fontId="6" fillId="0" borderId="0" xfId="0" applyFont="1" applyFill="1"/>
    <xf numFmtId="0" fontId="5" fillId="0" borderId="1" xfId="0" applyFont="1" applyBorder="1"/>
    <xf numFmtId="0" fontId="5" fillId="0" borderId="0" xfId="0" applyFont="1" applyFill="1"/>
    <xf numFmtId="0" fontId="5" fillId="0" borderId="0" xfId="0" applyFont="1"/>
    <xf numFmtId="0" fontId="8" fillId="0" borderId="0" xfId="0" applyFont="1"/>
    <xf numFmtId="43" fontId="1" fillId="0" borderId="0" xfId="2" applyProtection="1"/>
    <xf numFmtId="43" fontId="1" fillId="0" borderId="0" xfId="2" applyFill="1"/>
    <xf numFmtId="43" fontId="6" fillId="5" borderId="1" xfId="2" applyFont="1" applyFill="1" applyBorder="1" applyAlignment="1">
      <alignment horizontal="center" wrapText="1"/>
    </xf>
    <xf numFmtId="0" fontId="6" fillId="0" borderId="6" xfId="0" applyFont="1" applyFill="1" applyBorder="1"/>
    <xf numFmtId="0" fontId="5" fillId="0" borderId="8" xfId="0" applyFont="1" applyFill="1" applyBorder="1"/>
    <xf numFmtId="43" fontId="5" fillId="0" borderId="8" xfId="2" applyFont="1" applyFill="1" applyBorder="1"/>
    <xf numFmtId="43" fontId="6" fillId="0" borderId="8" xfId="2" applyFont="1" applyFill="1" applyBorder="1"/>
    <xf numFmtId="0" fontId="5" fillId="0" borderId="7" xfId="0" applyFont="1" applyBorder="1"/>
    <xf numFmtId="0" fontId="5" fillId="2" borderId="7" xfId="0" applyFont="1" applyFill="1" applyBorder="1"/>
    <xf numFmtId="43" fontId="5" fillId="0" borderId="7" xfId="2" applyFont="1" applyBorder="1"/>
    <xf numFmtId="43" fontId="5" fillId="2" borderId="7" xfId="2" applyFont="1" applyFill="1" applyBorder="1"/>
    <xf numFmtId="43" fontId="5" fillId="0" borderId="7" xfId="2" applyFont="1" applyFill="1" applyBorder="1" applyAlignment="1">
      <alignment horizontal="center"/>
    </xf>
    <xf numFmtId="0" fontId="5" fillId="0" borderId="7" xfId="0" applyFont="1" applyFill="1" applyBorder="1"/>
    <xf numFmtId="43" fontId="5" fillId="0" borderId="7" xfId="2" applyFont="1" applyFill="1" applyBorder="1"/>
    <xf numFmtId="0" fontId="6" fillId="0" borderId="7" xfId="0" applyFont="1" applyFill="1" applyBorder="1"/>
    <xf numFmtId="43" fontId="5" fillId="0" borderId="8" xfId="2" applyFont="1" applyFill="1" applyBorder="1" applyAlignment="1">
      <alignment horizontal="center"/>
    </xf>
    <xf numFmtId="0" fontId="6" fillId="0" borderId="7" xfId="0" applyFont="1" applyBorder="1"/>
    <xf numFmtId="43" fontId="6" fillId="0" borderId="7" xfId="2" applyFont="1" applyBorder="1"/>
    <xf numFmtId="43" fontId="1" fillId="0" borderId="7" xfId="2" applyBorder="1"/>
    <xf numFmtId="43" fontId="1" fillId="3" borderId="7" xfId="2" applyFill="1" applyBorder="1"/>
    <xf numFmtId="43" fontId="10" fillId="0" borderId="0" xfId="2" applyFont="1" applyProtection="1"/>
    <xf numFmtId="43" fontId="10" fillId="0" borderId="0" xfId="2" applyFont="1"/>
    <xf numFmtId="43" fontId="10" fillId="0" borderId="0" xfId="2" applyFont="1" applyFill="1"/>
    <xf numFmtId="43" fontId="10" fillId="0" borderId="7" xfId="2" applyFont="1" applyBorder="1"/>
    <xf numFmtId="43" fontId="10" fillId="3" borderId="7" xfId="2" applyFont="1" applyFill="1" applyBorder="1"/>
    <xf numFmtId="43" fontId="6" fillId="0" borderId="7" xfId="2" applyFont="1" applyFill="1" applyBorder="1"/>
    <xf numFmtId="43" fontId="11" fillId="0" borderId="7" xfId="2" applyFont="1" applyFill="1" applyBorder="1"/>
    <xf numFmtId="2" fontId="5" fillId="0" borderId="7" xfId="0" applyNumberFormat="1" applyFont="1" applyFill="1" applyBorder="1"/>
    <xf numFmtId="164" fontId="11" fillId="0" borderId="7" xfId="0" applyNumberFormat="1" applyFont="1" applyFill="1" applyBorder="1"/>
    <xf numFmtId="14" fontId="5" fillId="0" borderId="7" xfId="0" applyNumberFormat="1" applyFont="1" applyFill="1" applyBorder="1" applyAlignment="1"/>
    <xf numFmtId="0" fontId="11" fillId="0" borderId="7" xfId="0" applyFont="1" applyFill="1" applyBorder="1" applyAlignment="1">
      <alignment wrapText="1"/>
    </xf>
    <xf numFmtId="4" fontId="11" fillId="0" borderId="7" xfId="0" applyNumberFormat="1" applyFont="1" applyFill="1" applyBorder="1" applyAlignment="1">
      <alignment wrapText="1"/>
    </xf>
    <xf numFmtId="0" fontId="12" fillId="0" borderId="7" xfId="0" applyFont="1" applyFill="1" applyBorder="1"/>
    <xf numFmtId="43" fontId="6" fillId="7" borderId="7" xfId="2" applyFont="1" applyFill="1" applyBorder="1"/>
    <xf numFmtId="43" fontId="5" fillId="7" borderId="7" xfId="2" applyFont="1" applyFill="1" applyBorder="1" applyAlignment="1">
      <alignment horizontal="center"/>
    </xf>
    <xf numFmtId="0" fontId="11" fillId="0" borderId="7" xfId="0" applyFont="1" applyFill="1" applyBorder="1"/>
    <xf numFmtId="4" fontId="11" fillId="0" borderId="7" xfId="0" applyNumberFormat="1" applyFont="1" applyFill="1" applyBorder="1"/>
    <xf numFmtId="4" fontId="5" fillId="0" borderId="7" xfId="0" applyNumberFormat="1" applyFont="1" applyFill="1" applyBorder="1"/>
    <xf numFmtId="43" fontId="5" fillId="0" borderId="7" xfId="0" applyNumberFormat="1" applyFont="1" applyFill="1" applyBorder="1"/>
    <xf numFmtId="14" fontId="5" fillId="0" borderId="7" xfId="0" applyNumberFormat="1" applyFont="1" applyBorder="1"/>
    <xf numFmtId="0" fontId="6" fillId="0" borderId="7" xfId="2" applyNumberFormat="1" applyFont="1" applyFill="1" applyBorder="1" applyAlignment="1">
      <alignment horizontal="center"/>
    </xf>
    <xf numFmtId="43" fontId="6" fillId="0" borderId="7" xfId="2" applyFont="1" applyFill="1" applyBorder="1" applyAlignment="1">
      <alignment horizontal="center"/>
    </xf>
    <xf numFmtId="43" fontId="13" fillId="0" borderId="7" xfId="2" applyFont="1" applyFill="1" applyBorder="1" applyAlignment="1">
      <alignment horizontal="center"/>
    </xf>
    <xf numFmtId="43" fontId="14" fillId="0" borderId="7" xfId="2" applyFont="1" applyFill="1" applyBorder="1"/>
    <xf numFmtId="0" fontId="5" fillId="7" borderId="7" xfId="0" applyFont="1" applyFill="1" applyBorder="1"/>
    <xf numFmtId="0" fontId="6" fillId="7" borderId="7" xfId="0" applyFont="1" applyFill="1" applyBorder="1" applyAlignment="1">
      <alignment wrapText="1"/>
    </xf>
    <xf numFmtId="9" fontId="13" fillId="0" borderId="7" xfId="2" applyNumberFormat="1" applyFont="1" applyFill="1" applyBorder="1" applyAlignment="1">
      <alignment horizontal="center"/>
    </xf>
    <xf numFmtId="43" fontId="6" fillId="5" borderId="2" xfId="2" applyFont="1" applyFill="1" applyBorder="1" applyAlignment="1">
      <alignment horizontal="center" wrapText="1"/>
    </xf>
    <xf numFmtId="43" fontId="9" fillId="5" borderId="2" xfId="2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8" borderId="7" xfId="0" applyFont="1" applyFill="1" applyBorder="1"/>
    <xf numFmtId="0" fontId="5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right"/>
    </xf>
    <xf numFmtId="0" fontId="5" fillId="9" borderId="7" xfId="0" applyFont="1" applyFill="1" applyBorder="1"/>
    <xf numFmtId="164" fontId="11" fillId="9" borderId="7" xfId="0" applyNumberFormat="1" applyFont="1" applyFill="1" applyBorder="1"/>
    <xf numFmtId="43" fontId="5" fillId="9" borderId="7" xfId="2" applyFont="1" applyFill="1" applyBorder="1"/>
    <xf numFmtId="43" fontId="6" fillId="9" borderId="7" xfId="2" applyFont="1" applyFill="1" applyBorder="1"/>
    <xf numFmtId="0" fontId="6" fillId="9" borderId="7" xfId="2" applyNumberFormat="1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43" fontId="5" fillId="9" borderId="7" xfId="2" applyFont="1" applyFill="1" applyBorder="1" applyAlignment="1">
      <alignment horizontal="center"/>
    </xf>
    <xf numFmtId="0" fontId="11" fillId="9" borderId="7" xfId="0" applyFont="1" applyFill="1" applyBorder="1" applyAlignment="1">
      <alignment wrapText="1"/>
    </xf>
    <xf numFmtId="4" fontId="11" fillId="9" borderId="7" xfId="0" applyNumberFormat="1" applyFont="1" applyFill="1" applyBorder="1" applyAlignment="1">
      <alignment wrapText="1"/>
    </xf>
    <xf numFmtId="43" fontId="11" fillId="9" borderId="7" xfId="2" applyFont="1" applyFill="1" applyBorder="1"/>
    <xf numFmtId="0" fontId="6" fillId="9" borderId="7" xfId="0" applyFont="1" applyFill="1" applyBorder="1"/>
    <xf numFmtId="0" fontId="5" fillId="9" borderId="0" xfId="0" applyFont="1" applyFill="1"/>
    <xf numFmtId="0" fontId="5" fillId="10" borderId="7" xfId="0" applyFont="1" applyFill="1" applyBorder="1"/>
    <xf numFmtId="164" fontId="11" fillId="10" borderId="7" xfId="0" applyNumberFormat="1" applyFont="1" applyFill="1" applyBorder="1"/>
    <xf numFmtId="43" fontId="5" fillId="10" borderId="7" xfId="2" applyFont="1" applyFill="1" applyBorder="1"/>
    <xf numFmtId="0" fontId="6" fillId="10" borderId="7" xfId="0" applyFont="1" applyFill="1" applyBorder="1"/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43" fontId="6" fillId="5" borderId="1" xfId="2" applyFont="1" applyFill="1" applyBorder="1" applyAlignment="1">
      <alignment horizontal="center" wrapText="1"/>
    </xf>
    <xf numFmtId="43" fontId="6" fillId="5" borderId="2" xfId="2" applyFont="1" applyFill="1" applyBorder="1" applyAlignment="1">
      <alignment horizontal="center" wrapText="1"/>
    </xf>
    <xf numFmtId="43" fontId="9" fillId="5" borderId="3" xfId="2" applyFont="1" applyFill="1" applyBorder="1" applyAlignment="1">
      <alignment horizontal="center" wrapText="1"/>
    </xf>
    <xf numFmtId="43" fontId="9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43" fontId="6" fillId="5" borderId="1" xfId="2" applyFont="1" applyFill="1" applyBorder="1" applyAlignment="1">
      <alignment horizontal="center" vertical="center" wrapText="1"/>
    </xf>
    <xf numFmtId="43" fontId="6" fillId="5" borderId="2" xfId="2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43" fontId="6" fillId="5" borderId="9" xfId="2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/>
    </xf>
    <xf numFmtId="43" fontId="6" fillId="5" borderId="8" xfId="2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/>
    </xf>
    <xf numFmtId="3" fontId="6" fillId="5" borderId="9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 wrapText="1"/>
    </xf>
    <xf numFmtId="3" fontId="6" fillId="5" borderId="9" xfId="0" applyNumberFormat="1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E137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baseColWidth="10" defaultColWidth="11.5703125" defaultRowHeight="15"/>
  <cols>
    <col min="1" max="1" width="17.140625" style="19" customWidth="1"/>
    <col min="2" max="2" width="40" style="19" customWidth="1"/>
    <col min="3" max="3" width="22.42578125" style="19" bestFit="1" customWidth="1"/>
    <col min="4" max="5" width="13.28515625" style="19" customWidth="1"/>
    <col min="6" max="6" width="13.85546875" style="13" customWidth="1"/>
    <col min="7" max="7" width="15.85546875" style="13" bestFit="1" customWidth="1"/>
    <col min="8" max="9" width="13.5703125" style="13" customWidth="1"/>
    <col min="10" max="10" width="17" style="14" customWidth="1"/>
    <col min="11" max="13" width="13.5703125" style="13" customWidth="1"/>
    <col min="14" max="14" width="13.5703125" style="15" customWidth="1"/>
    <col min="15" max="15" width="19.28515625" style="15" customWidth="1"/>
    <col min="16" max="16" width="16.85546875" style="15" customWidth="1"/>
    <col min="17" max="17" width="16.140625" style="15" customWidth="1"/>
    <col min="18" max="21" width="13.5703125" style="13" customWidth="1"/>
    <col min="22" max="22" width="16.7109375" style="14" customWidth="1"/>
    <col min="23" max="23" width="16.7109375" style="13" hidden="1" customWidth="1"/>
    <col min="24" max="24" width="15.42578125" style="14" hidden="1" customWidth="1"/>
    <col min="25" max="27" width="13.5703125" style="13" hidden="1" customWidth="1"/>
    <col min="28" max="28" width="15.42578125" style="14" hidden="1" customWidth="1"/>
    <col min="29" max="29" width="15.28515625" style="42" hidden="1" customWidth="1"/>
    <col min="30" max="30" width="12.7109375" style="42" hidden="1" customWidth="1"/>
    <col min="31" max="31" width="11.5703125" style="1" hidden="1" customWidth="1"/>
    <col min="32" max="32" width="19.28515625" style="19" bestFit="1" customWidth="1"/>
    <col min="33" max="33" width="35" style="19" bestFit="1" customWidth="1"/>
    <col min="34" max="34" width="11.85546875" style="18" bestFit="1" customWidth="1"/>
    <col min="35" max="47" width="11.5703125" style="18"/>
    <col min="48" max="16384" width="11.5703125" style="19"/>
  </cols>
  <sheetData>
    <row r="1" spans="1:47" s="7" customFormat="1">
      <c r="A1" s="2" t="s">
        <v>119</v>
      </c>
      <c r="B1" s="2"/>
      <c r="C1" s="3"/>
      <c r="D1" s="3"/>
      <c r="E1" s="3"/>
      <c r="F1" s="4"/>
      <c r="G1" s="4"/>
      <c r="H1" s="4"/>
      <c r="I1" s="4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4"/>
      <c r="X1" s="5"/>
      <c r="Y1" s="4"/>
      <c r="Z1" s="4"/>
      <c r="AA1" s="4"/>
      <c r="AB1" s="5"/>
      <c r="AC1" s="41"/>
      <c r="AD1" s="41"/>
      <c r="AE1" s="21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</row>
    <row r="2" spans="1:47" s="7" customFormat="1">
      <c r="A2" s="8" t="s">
        <v>33</v>
      </c>
      <c r="B2" s="8"/>
      <c r="C2" s="9"/>
      <c r="D2" s="9"/>
      <c r="E2" s="9"/>
      <c r="F2" s="4"/>
      <c r="G2" s="4"/>
      <c r="H2" s="4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4"/>
      <c r="X2" s="5"/>
      <c r="Y2" s="4"/>
      <c r="Z2" s="4"/>
      <c r="AA2" s="4"/>
      <c r="AB2" s="5"/>
      <c r="AC2" s="41"/>
      <c r="AD2" s="41"/>
      <c r="AE2" s="21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7" customFormat="1">
      <c r="A3" s="10" t="s">
        <v>189</v>
      </c>
      <c r="B3" s="10"/>
      <c r="C3" s="11"/>
      <c r="D3" s="11"/>
      <c r="E3" s="11"/>
      <c r="F3" s="4"/>
      <c r="G3" s="4"/>
      <c r="H3" s="4"/>
      <c r="I3" s="4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4"/>
      <c r="X3" s="5"/>
      <c r="Y3" s="4"/>
      <c r="Z3" s="4"/>
      <c r="AA3" s="4"/>
      <c r="AB3" s="5"/>
      <c r="AC3" s="41"/>
      <c r="AD3" s="41"/>
      <c r="AE3" s="21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47" s="12" customFormat="1">
      <c r="A4" s="12" t="s">
        <v>190</v>
      </c>
      <c r="F4" s="13"/>
      <c r="G4" s="13"/>
      <c r="H4" s="13"/>
      <c r="I4" s="13"/>
      <c r="J4" s="14"/>
      <c r="K4" s="13"/>
      <c r="L4" s="13"/>
      <c r="M4" s="13"/>
      <c r="N4" s="15"/>
      <c r="O4" s="15"/>
      <c r="P4" s="15"/>
      <c r="Q4" s="15"/>
      <c r="R4" s="13"/>
      <c r="S4" s="13"/>
      <c r="T4" s="13"/>
      <c r="U4" s="13"/>
      <c r="V4" s="14"/>
      <c r="W4" s="13"/>
      <c r="X4" s="14"/>
      <c r="Y4" s="13"/>
      <c r="Z4" s="13"/>
      <c r="AA4" s="13"/>
      <c r="AB4" s="14"/>
      <c r="AC4" s="42"/>
      <c r="AD4" s="42"/>
      <c r="AE4" s="1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2" customFormat="1" ht="28.5" customHeight="1">
      <c r="A5" s="105" t="s">
        <v>13</v>
      </c>
      <c r="B5" s="105" t="s">
        <v>14</v>
      </c>
      <c r="C5" s="105" t="s">
        <v>0</v>
      </c>
      <c r="D5" s="107" t="s">
        <v>68</v>
      </c>
      <c r="E5" s="107" t="s">
        <v>154</v>
      </c>
      <c r="F5" s="99" t="s">
        <v>32</v>
      </c>
      <c r="G5" s="99" t="s">
        <v>185</v>
      </c>
      <c r="H5" s="98" t="s">
        <v>9</v>
      </c>
      <c r="I5" s="98" t="s">
        <v>10</v>
      </c>
      <c r="J5" s="98" t="s">
        <v>11</v>
      </c>
      <c r="K5" s="98" t="s">
        <v>12</v>
      </c>
      <c r="L5" s="99" t="s">
        <v>94</v>
      </c>
      <c r="M5" s="99" t="s">
        <v>75</v>
      </c>
      <c r="N5" s="100" t="s">
        <v>47</v>
      </c>
      <c r="O5" s="100" t="s">
        <v>61</v>
      </c>
      <c r="P5" s="100" t="s">
        <v>60</v>
      </c>
      <c r="Q5" s="100" t="s">
        <v>48</v>
      </c>
      <c r="R5" s="98" t="s">
        <v>6</v>
      </c>
      <c r="S5" s="98" t="s">
        <v>16</v>
      </c>
      <c r="T5" s="98" t="s">
        <v>15</v>
      </c>
      <c r="U5" s="98" t="s">
        <v>8</v>
      </c>
      <c r="V5" s="98" t="s">
        <v>23</v>
      </c>
      <c r="W5" s="93" t="s">
        <v>3</v>
      </c>
      <c r="X5" s="93" t="s">
        <v>7</v>
      </c>
      <c r="Y5" s="93" t="s">
        <v>2</v>
      </c>
      <c r="Z5" s="93" t="s">
        <v>4</v>
      </c>
      <c r="AA5" s="23"/>
      <c r="AB5" s="93" t="s">
        <v>5</v>
      </c>
      <c r="AC5" s="95" t="s">
        <v>79</v>
      </c>
      <c r="AD5" s="96"/>
      <c r="AE5" s="97" t="s">
        <v>49</v>
      </c>
      <c r="AF5" s="91" t="s">
        <v>70</v>
      </c>
      <c r="AG5" s="91" t="s">
        <v>71</v>
      </c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</row>
    <row r="6" spans="1:47" s="71" customFormat="1" ht="39" customHeight="1">
      <c r="A6" s="106"/>
      <c r="B6" s="106"/>
      <c r="C6" s="106"/>
      <c r="D6" s="108"/>
      <c r="E6" s="108"/>
      <c r="F6" s="104"/>
      <c r="G6" s="102"/>
      <c r="H6" s="99"/>
      <c r="I6" s="99"/>
      <c r="J6" s="99"/>
      <c r="K6" s="99"/>
      <c r="L6" s="102"/>
      <c r="M6" s="102"/>
      <c r="N6" s="101"/>
      <c r="O6" s="101"/>
      <c r="P6" s="101"/>
      <c r="Q6" s="101"/>
      <c r="R6" s="99"/>
      <c r="S6" s="99"/>
      <c r="T6" s="99"/>
      <c r="U6" s="99"/>
      <c r="V6" s="99"/>
      <c r="W6" s="94"/>
      <c r="X6" s="94"/>
      <c r="Y6" s="94"/>
      <c r="Z6" s="94"/>
      <c r="AA6" s="68"/>
      <c r="AB6" s="94"/>
      <c r="AC6" s="69" t="s">
        <v>24</v>
      </c>
      <c r="AD6" s="69" t="s">
        <v>25</v>
      </c>
      <c r="AE6" s="97"/>
      <c r="AF6" s="91"/>
      <c r="AG6" s="91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47" s="18" customFormat="1">
      <c r="A7" s="87" t="s">
        <v>28</v>
      </c>
      <c r="B7" s="87" t="s">
        <v>192</v>
      </c>
      <c r="C7" s="87" t="s">
        <v>30</v>
      </c>
      <c r="D7" s="88">
        <v>42685</v>
      </c>
      <c r="E7" s="89">
        <v>1026.69</v>
      </c>
      <c r="F7" s="89"/>
      <c r="G7" s="89">
        <v>432.32</v>
      </c>
      <c r="H7" s="89"/>
      <c r="I7" s="89"/>
      <c r="J7" s="46">
        <f t="shared" ref="J7:J16" si="0">SUM(F7:I7)</f>
        <v>432.32</v>
      </c>
      <c r="K7" s="34"/>
      <c r="L7" s="61"/>
      <c r="M7" s="34"/>
      <c r="N7" s="34"/>
      <c r="O7" s="62"/>
      <c r="P7" s="62"/>
      <c r="Q7" s="34"/>
      <c r="R7" s="32"/>
      <c r="S7" s="32"/>
      <c r="T7" s="33"/>
      <c r="U7" s="33"/>
      <c r="V7" s="46">
        <f t="shared" ref="V7:V32" si="1">+J7-SUM(K7:U7)</f>
        <v>432.32</v>
      </c>
      <c r="W7" s="32"/>
      <c r="X7" s="46"/>
      <c r="Y7" s="32"/>
      <c r="Z7" s="32"/>
      <c r="AA7" s="32"/>
      <c r="AB7" s="46"/>
      <c r="AC7" s="51"/>
      <c r="AD7" s="52"/>
      <c r="AE7" s="47"/>
      <c r="AF7" s="90">
        <v>56710784500</v>
      </c>
      <c r="AG7" s="87" t="s">
        <v>191</v>
      </c>
    </row>
    <row r="8" spans="1:47" s="18" customFormat="1">
      <c r="A8" s="72" t="s">
        <v>38</v>
      </c>
      <c r="B8" s="33" t="s">
        <v>66</v>
      </c>
      <c r="C8" s="33" t="s">
        <v>29</v>
      </c>
      <c r="D8" s="49">
        <v>42062</v>
      </c>
      <c r="E8" s="34">
        <v>1166.27</v>
      </c>
      <c r="F8" s="34">
        <v>3308.97</v>
      </c>
      <c r="G8" s="34"/>
      <c r="H8" s="34"/>
      <c r="I8" s="34"/>
      <c r="J8" s="46">
        <f t="shared" si="0"/>
        <v>3308.97</v>
      </c>
      <c r="K8" s="34"/>
      <c r="L8" s="61"/>
      <c r="M8" s="34"/>
      <c r="N8" s="34"/>
      <c r="O8" s="62"/>
      <c r="P8" s="62"/>
      <c r="Q8" s="34"/>
      <c r="R8" s="32"/>
      <c r="S8" s="32"/>
      <c r="T8" s="33"/>
      <c r="U8" s="33"/>
      <c r="V8" s="46">
        <f t="shared" si="1"/>
        <v>3308.97</v>
      </c>
      <c r="W8" s="32">
        <f t="shared" ref="W8:W27" si="2">IF(J8&gt;2250,J8*0.1,0)</f>
        <v>330.89699999999999</v>
      </c>
      <c r="X8" s="46">
        <f t="shared" ref="X8:X27" si="3">+V8-W8</f>
        <v>2978.0729999999999</v>
      </c>
      <c r="Y8" s="32">
        <f t="shared" ref="Y8:Y27" si="4">IF(J8&lt;2250,J8*0.1,0)</f>
        <v>0</v>
      </c>
      <c r="Z8" s="32">
        <v>10.23</v>
      </c>
      <c r="AA8" s="32">
        <f t="shared" ref="AA8:AA27" si="5">+O8</f>
        <v>0</v>
      </c>
      <c r="AB8" s="46">
        <f t="shared" ref="AB8:AB27" si="6">+J8+Y8+Z8+AA8</f>
        <v>3319.2</v>
      </c>
      <c r="AC8" s="51"/>
      <c r="AD8" s="52"/>
      <c r="AE8" s="47">
        <f t="shared" ref="AE8:AE11" si="7">+AC8+AD8-X8</f>
        <v>-2978.0729999999999</v>
      </c>
      <c r="AF8" s="35">
        <v>56708844887</v>
      </c>
      <c r="AG8" s="33"/>
    </row>
    <row r="9" spans="1:47" s="18" customFormat="1">
      <c r="A9" s="72" t="s">
        <v>28</v>
      </c>
      <c r="B9" s="33" t="s">
        <v>36</v>
      </c>
      <c r="C9" s="33" t="s">
        <v>31</v>
      </c>
      <c r="D9" s="49">
        <v>39508</v>
      </c>
      <c r="E9" s="34">
        <v>4666.6899999999996</v>
      </c>
      <c r="F9" s="34">
        <v>3737.97</v>
      </c>
      <c r="G9" s="34"/>
      <c r="H9" s="34"/>
      <c r="I9" s="34"/>
      <c r="J9" s="46">
        <f t="shared" si="0"/>
        <v>3737.97</v>
      </c>
      <c r="K9" s="34"/>
      <c r="L9" s="61"/>
      <c r="M9" s="34"/>
      <c r="N9" s="34"/>
      <c r="O9" s="62"/>
      <c r="P9" s="62"/>
      <c r="Q9" s="34"/>
      <c r="R9" s="32"/>
      <c r="S9" s="32"/>
      <c r="T9" s="33"/>
      <c r="U9" s="73">
        <v>193.42</v>
      </c>
      <c r="V9" s="46">
        <f t="shared" si="1"/>
        <v>3544.5499999999997</v>
      </c>
      <c r="W9" s="32">
        <f t="shared" si="2"/>
        <v>373.79700000000003</v>
      </c>
      <c r="X9" s="46">
        <f t="shared" si="3"/>
        <v>3170.7529999999997</v>
      </c>
      <c r="Y9" s="32">
        <f t="shared" si="4"/>
        <v>0</v>
      </c>
      <c r="Z9" s="32">
        <v>10.23</v>
      </c>
      <c r="AA9" s="32">
        <f t="shared" si="5"/>
        <v>0</v>
      </c>
      <c r="AB9" s="46">
        <f t="shared" si="6"/>
        <v>3748.2</v>
      </c>
      <c r="AC9" s="51"/>
      <c r="AD9" s="52"/>
      <c r="AE9" s="47">
        <f t="shared" si="7"/>
        <v>-3170.7529999999997</v>
      </c>
      <c r="AF9" s="35">
        <v>56708881292</v>
      </c>
      <c r="AG9" s="35"/>
    </row>
    <row r="10" spans="1:47" s="18" customFormat="1">
      <c r="A10" s="72" t="s">
        <v>27</v>
      </c>
      <c r="B10" s="33" t="s">
        <v>182</v>
      </c>
      <c r="C10" s="33" t="s">
        <v>45</v>
      </c>
      <c r="D10" s="49">
        <v>43017</v>
      </c>
      <c r="E10" s="34">
        <v>1026.69</v>
      </c>
      <c r="F10" s="34"/>
      <c r="G10" s="34"/>
      <c r="H10" s="34"/>
      <c r="I10" s="34"/>
      <c r="J10" s="46">
        <f t="shared" si="0"/>
        <v>0</v>
      </c>
      <c r="K10" s="34"/>
      <c r="L10" s="61"/>
      <c r="M10" s="34"/>
      <c r="N10" s="34"/>
      <c r="O10" s="62"/>
      <c r="P10" s="62"/>
      <c r="Q10" s="34"/>
      <c r="R10" s="32"/>
      <c r="S10" s="32"/>
      <c r="T10" s="33"/>
      <c r="U10" s="73"/>
      <c r="V10" s="46"/>
      <c r="W10" s="32"/>
      <c r="X10" s="46"/>
      <c r="Y10" s="32"/>
      <c r="Z10" s="32"/>
      <c r="AA10" s="32"/>
      <c r="AB10" s="46"/>
      <c r="AC10" s="51"/>
      <c r="AD10" s="52"/>
      <c r="AE10" s="47"/>
      <c r="AF10" s="74" t="s">
        <v>181</v>
      </c>
      <c r="AG10" s="35"/>
    </row>
    <row r="11" spans="1:47" s="18" customFormat="1">
      <c r="A11" s="72" t="s">
        <v>28</v>
      </c>
      <c r="B11" s="33" t="s">
        <v>62</v>
      </c>
      <c r="C11" s="33" t="s">
        <v>30</v>
      </c>
      <c r="D11" s="49">
        <v>42383</v>
      </c>
      <c r="E11" s="34">
        <v>1026.69</v>
      </c>
      <c r="F11" s="34">
        <v>9252.56</v>
      </c>
      <c r="G11" s="34"/>
      <c r="H11" s="34"/>
      <c r="I11" s="34"/>
      <c r="J11" s="46">
        <f t="shared" si="0"/>
        <v>9252.56</v>
      </c>
      <c r="K11" s="34"/>
      <c r="L11" s="61"/>
      <c r="M11" s="34"/>
      <c r="N11" s="34"/>
      <c r="O11" s="62"/>
      <c r="P11" s="62"/>
      <c r="Q11" s="34"/>
      <c r="R11" s="32"/>
      <c r="S11" s="32"/>
      <c r="T11" s="33"/>
      <c r="U11" s="33">
        <v>358.34</v>
      </c>
      <c r="V11" s="46">
        <f t="shared" si="1"/>
        <v>8894.2199999999993</v>
      </c>
      <c r="W11" s="32">
        <f t="shared" si="2"/>
        <v>925.25599999999997</v>
      </c>
      <c r="X11" s="46">
        <f t="shared" si="3"/>
        <v>7968.963999999999</v>
      </c>
      <c r="Y11" s="32">
        <f t="shared" si="4"/>
        <v>0</v>
      </c>
      <c r="Z11" s="32">
        <v>10.23</v>
      </c>
      <c r="AA11" s="32">
        <f t="shared" si="5"/>
        <v>0</v>
      </c>
      <c r="AB11" s="46">
        <f t="shared" si="6"/>
        <v>9262.7899999999991</v>
      </c>
      <c r="AC11" s="51"/>
      <c r="AD11" s="52"/>
      <c r="AE11" s="47">
        <f t="shared" si="7"/>
        <v>-7968.963999999999</v>
      </c>
      <c r="AF11" s="35">
        <v>56708881304</v>
      </c>
      <c r="AG11" s="33"/>
    </row>
    <row r="12" spans="1:47" s="18" customFormat="1">
      <c r="A12" s="72" t="s">
        <v>27</v>
      </c>
      <c r="B12" s="33" t="s">
        <v>170</v>
      </c>
      <c r="C12" s="33" t="s">
        <v>30</v>
      </c>
      <c r="D12" s="49">
        <v>42991</v>
      </c>
      <c r="E12" s="34">
        <v>1026.69</v>
      </c>
      <c r="F12" s="34"/>
      <c r="G12" s="34"/>
      <c r="H12" s="34"/>
      <c r="I12" s="34"/>
      <c r="J12" s="46">
        <f t="shared" si="0"/>
        <v>0</v>
      </c>
      <c r="K12" s="34"/>
      <c r="L12" s="61"/>
      <c r="M12" s="34"/>
      <c r="N12" s="34"/>
      <c r="O12" s="62"/>
      <c r="P12" s="62"/>
      <c r="Q12" s="34"/>
      <c r="R12" s="32"/>
      <c r="S12" s="32"/>
      <c r="T12" s="33"/>
      <c r="U12" s="33">
        <v>467.79</v>
      </c>
      <c r="V12" s="46"/>
      <c r="W12" s="32"/>
      <c r="X12" s="46"/>
      <c r="Y12" s="32"/>
      <c r="Z12" s="32"/>
      <c r="AA12" s="32"/>
      <c r="AB12" s="46"/>
      <c r="AC12" s="51"/>
      <c r="AD12" s="52"/>
      <c r="AE12" s="47"/>
      <c r="AF12" s="35">
        <v>56708881318</v>
      </c>
      <c r="AG12" s="33"/>
    </row>
    <row r="13" spans="1:47" s="18" customFormat="1" ht="15.75">
      <c r="A13" s="72" t="s">
        <v>28</v>
      </c>
      <c r="B13" s="33" t="s">
        <v>139</v>
      </c>
      <c r="C13" s="33" t="s">
        <v>30</v>
      </c>
      <c r="D13" s="49">
        <v>42878</v>
      </c>
      <c r="E13" s="34">
        <v>1026.69</v>
      </c>
      <c r="F13" s="34">
        <v>1998.74</v>
      </c>
      <c r="G13" s="34"/>
      <c r="H13" s="34"/>
      <c r="I13" s="34"/>
      <c r="J13" s="46">
        <f t="shared" si="0"/>
        <v>1998.74</v>
      </c>
      <c r="K13" s="34"/>
      <c r="L13" s="61">
        <v>1</v>
      </c>
      <c r="M13" s="34"/>
      <c r="N13" s="34"/>
      <c r="O13" s="62"/>
      <c r="P13" s="62"/>
      <c r="Q13" s="34"/>
      <c r="R13" s="32"/>
      <c r="S13" s="67">
        <v>0.3</v>
      </c>
      <c r="T13" s="33"/>
      <c r="U13" s="33">
        <v>1250</v>
      </c>
      <c r="V13" s="46">
        <f t="shared" si="1"/>
        <v>747.44</v>
      </c>
      <c r="W13" s="32"/>
      <c r="X13" s="46"/>
      <c r="Y13" s="32"/>
      <c r="Z13" s="32"/>
      <c r="AA13" s="32"/>
      <c r="AB13" s="46"/>
      <c r="AC13" s="51"/>
      <c r="AD13" s="52"/>
      <c r="AE13" s="47"/>
      <c r="AF13" s="35">
        <v>53917427816</v>
      </c>
      <c r="AG13" s="33"/>
    </row>
    <row r="14" spans="1:47" s="18" customFormat="1" ht="15.75">
      <c r="A14" s="72" t="s">
        <v>27</v>
      </c>
      <c r="B14" s="33" t="s">
        <v>143</v>
      </c>
      <c r="C14" s="33" t="s">
        <v>177</v>
      </c>
      <c r="D14" s="49">
        <v>42908</v>
      </c>
      <c r="E14" s="34">
        <v>1499.96</v>
      </c>
      <c r="F14" s="34">
        <v>932.41</v>
      </c>
      <c r="G14" s="34"/>
      <c r="H14" s="34"/>
      <c r="I14" s="34"/>
      <c r="J14" s="46">
        <f t="shared" si="0"/>
        <v>932.41</v>
      </c>
      <c r="K14" s="34"/>
      <c r="L14" s="61"/>
      <c r="M14" s="34"/>
      <c r="N14" s="34"/>
      <c r="O14" s="62"/>
      <c r="P14" s="62"/>
      <c r="Q14" s="34"/>
      <c r="R14" s="32"/>
      <c r="S14" s="67"/>
      <c r="T14" s="33"/>
      <c r="U14" s="33"/>
      <c r="V14" s="46">
        <f t="shared" si="1"/>
        <v>932.41</v>
      </c>
      <c r="W14" s="32"/>
      <c r="X14" s="46"/>
      <c r="Y14" s="32"/>
      <c r="Z14" s="32"/>
      <c r="AA14" s="32"/>
      <c r="AB14" s="46"/>
      <c r="AC14" s="51"/>
      <c r="AD14" s="52"/>
      <c r="AE14" s="47"/>
      <c r="AF14" s="35">
        <v>60592545278</v>
      </c>
      <c r="AG14" s="35"/>
    </row>
    <row r="15" spans="1:47" s="18" customFormat="1" ht="15.75">
      <c r="A15" s="72" t="s">
        <v>38</v>
      </c>
      <c r="B15" s="33" t="s">
        <v>165</v>
      </c>
      <c r="C15" s="33" t="s">
        <v>43</v>
      </c>
      <c r="D15" s="49">
        <v>42977</v>
      </c>
      <c r="E15" s="34">
        <v>933.31</v>
      </c>
      <c r="F15" s="34">
        <v>1650</v>
      </c>
      <c r="G15" s="34"/>
      <c r="H15" s="34"/>
      <c r="I15" s="34"/>
      <c r="J15" s="46">
        <f t="shared" si="0"/>
        <v>1650</v>
      </c>
      <c r="K15" s="34"/>
      <c r="L15" s="61"/>
      <c r="M15" s="34"/>
      <c r="N15" s="34"/>
      <c r="O15" s="62"/>
      <c r="P15" s="62"/>
      <c r="Q15" s="34"/>
      <c r="R15" s="32"/>
      <c r="S15" s="67"/>
      <c r="T15" s="33"/>
      <c r="U15" s="33"/>
      <c r="V15" s="46">
        <f t="shared" si="1"/>
        <v>1650</v>
      </c>
      <c r="W15" s="32"/>
      <c r="X15" s="46"/>
      <c r="Y15" s="32"/>
      <c r="Z15" s="32"/>
      <c r="AA15" s="32"/>
      <c r="AB15" s="46"/>
      <c r="AC15" s="51"/>
      <c r="AD15" s="52"/>
      <c r="AE15" s="47"/>
      <c r="AF15" s="35">
        <v>60594701908</v>
      </c>
      <c r="AG15" s="33"/>
    </row>
    <row r="16" spans="1:47" s="18" customFormat="1" ht="15.75">
      <c r="A16" s="72" t="s">
        <v>28</v>
      </c>
      <c r="B16" s="33" t="s">
        <v>73</v>
      </c>
      <c r="C16" s="33" t="s">
        <v>31</v>
      </c>
      <c r="D16" s="49">
        <v>39699</v>
      </c>
      <c r="E16" s="34">
        <v>4666.6899999999996</v>
      </c>
      <c r="F16" s="34">
        <v>12311.46</v>
      </c>
      <c r="G16" s="34"/>
      <c r="H16" s="34"/>
      <c r="I16" s="34"/>
      <c r="J16" s="46">
        <f t="shared" si="0"/>
        <v>12311.46</v>
      </c>
      <c r="K16" s="34"/>
      <c r="L16" s="61"/>
      <c r="M16" s="34"/>
      <c r="N16" s="34">
        <v>1000</v>
      </c>
      <c r="O16" s="62"/>
      <c r="P16" s="62"/>
      <c r="Q16" s="34"/>
      <c r="R16" s="32">
        <v>3323.5</v>
      </c>
      <c r="S16" s="67"/>
      <c r="T16" s="33"/>
      <c r="U16" s="33"/>
      <c r="V16" s="46">
        <f t="shared" si="1"/>
        <v>7987.9599999999991</v>
      </c>
      <c r="W16" s="32">
        <f t="shared" si="2"/>
        <v>1231.146</v>
      </c>
      <c r="X16" s="46">
        <f t="shared" si="3"/>
        <v>6756.8139999999994</v>
      </c>
      <c r="Y16" s="32">
        <f t="shared" si="4"/>
        <v>0</v>
      </c>
      <c r="Z16" s="32">
        <v>10.23</v>
      </c>
      <c r="AA16" s="32">
        <f t="shared" si="5"/>
        <v>0</v>
      </c>
      <c r="AB16" s="46">
        <f t="shared" si="6"/>
        <v>12321.689999999999</v>
      </c>
      <c r="AC16" s="51"/>
      <c r="AD16" s="52"/>
      <c r="AE16" s="47">
        <f t="shared" ref="AE16" si="8">+AC16+AD16-X16</f>
        <v>-6756.8139999999994</v>
      </c>
      <c r="AF16" s="35">
        <v>56708881349</v>
      </c>
      <c r="AG16" s="33"/>
    </row>
    <row r="17" spans="1:34" s="18" customFormat="1" ht="15.75">
      <c r="A17" s="72" t="s">
        <v>27</v>
      </c>
      <c r="B17" s="33" t="s">
        <v>174</v>
      </c>
      <c r="C17" s="33" t="s">
        <v>30</v>
      </c>
      <c r="D17" s="49">
        <v>43005</v>
      </c>
      <c r="E17" s="34">
        <v>1026.69</v>
      </c>
      <c r="F17" s="34">
        <v>888.49</v>
      </c>
      <c r="G17" s="34"/>
      <c r="H17" s="34"/>
      <c r="I17" s="34"/>
      <c r="J17" s="46"/>
      <c r="K17" s="34"/>
      <c r="L17" s="61"/>
      <c r="M17" s="34"/>
      <c r="N17" s="34"/>
      <c r="O17" s="62"/>
      <c r="P17" s="62"/>
      <c r="Q17" s="34"/>
      <c r="R17" s="32"/>
      <c r="S17" s="67"/>
      <c r="T17" s="33"/>
      <c r="U17" s="33">
        <v>302.99</v>
      </c>
      <c r="V17" s="46"/>
      <c r="W17" s="32"/>
      <c r="X17" s="46"/>
      <c r="Y17" s="32"/>
      <c r="Z17" s="32"/>
      <c r="AA17" s="32"/>
      <c r="AB17" s="46"/>
      <c r="AC17" s="51"/>
      <c r="AD17" s="52"/>
      <c r="AE17" s="47"/>
      <c r="AF17" s="35">
        <v>60595911850</v>
      </c>
      <c r="AG17" s="33"/>
    </row>
    <row r="18" spans="1:34" s="18" customFormat="1" ht="15.75">
      <c r="A18" s="72" t="s">
        <v>69</v>
      </c>
      <c r="B18" s="33" t="s">
        <v>56</v>
      </c>
      <c r="C18" s="33" t="s">
        <v>44</v>
      </c>
      <c r="D18" s="49">
        <v>42205</v>
      </c>
      <c r="E18" s="34">
        <v>1869</v>
      </c>
      <c r="F18" s="34"/>
      <c r="G18" s="34"/>
      <c r="H18" s="34"/>
      <c r="I18" s="34"/>
      <c r="J18" s="46">
        <f t="shared" ref="J18:J62" si="9">SUM(F18:I18)</f>
        <v>0</v>
      </c>
      <c r="K18" s="34"/>
      <c r="L18" s="61"/>
      <c r="M18" s="34"/>
      <c r="N18" s="34">
        <v>300</v>
      </c>
      <c r="O18" s="62"/>
      <c r="P18" s="62"/>
      <c r="Q18" s="34"/>
      <c r="R18" s="32"/>
      <c r="S18" s="67">
        <v>0.3</v>
      </c>
      <c r="T18" s="33"/>
      <c r="U18" s="33"/>
      <c r="V18" s="46">
        <f t="shared" si="1"/>
        <v>-300.3</v>
      </c>
      <c r="W18" s="32">
        <f t="shared" si="2"/>
        <v>0</v>
      </c>
      <c r="X18" s="46">
        <f t="shared" si="3"/>
        <v>-300.3</v>
      </c>
      <c r="Y18" s="32">
        <f t="shared" si="4"/>
        <v>0</v>
      </c>
      <c r="Z18" s="32">
        <v>10.23</v>
      </c>
      <c r="AA18" s="32">
        <f t="shared" si="5"/>
        <v>0</v>
      </c>
      <c r="AB18" s="46">
        <f t="shared" si="6"/>
        <v>10.23</v>
      </c>
      <c r="AC18" s="51"/>
      <c r="AD18" s="52"/>
      <c r="AE18" s="47">
        <f t="shared" ref="AE18" si="10">+AC18+AD18-X18</f>
        <v>300.3</v>
      </c>
      <c r="AF18" s="35">
        <v>56708844950</v>
      </c>
      <c r="AG18" s="33"/>
    </row>
    <row r="19" spans="1:34" s="86" customFormat="1">
      <c r="A19" s="75" t="s">
        <v>27</v>
      </c>
      <c r="B19" s="75" t="s">
        <v>184</v>
      </c>
      <c r="C19" s="75" t="s">
        <v>45</v>
      </c>
      <c r="D19" s="76">
        <v>43024</v>
      </c>
      <c r="E19" s="77">
        <v>1026.69</v>
      </c>
      <c r="F19" s="77"/>
      <c r="G19" s="77"/>
      <c r="H19" s="77"/>
      <c r="I19" s="77"/>
      <c r="J19" s="78">
        <f t="shared" si="9"/>
        <v>0</v>
      </c>
      <c r="K19" s="77"/>
      <c r="L19" s="79"/>
      <c r="M19" s="77"/>
      <c r="N19" s="77"/>
      <c r="O19" s="80"/>
      <c r="P19" s="80"/>
      <c r="Q19" s="77"/>
      <c r="R19" s="81"/>
      <c r="S19" s="81"/>
      <c r="T19" s="75"/>
      <c r="U19" s="75"/>
      <c r="V19" s="78">
        <f t="shared" si="1"/>
        <v>0</v>
      </c>
      <c r="W19" s="81"/>
      <c r="X19" s="78"/>
      <c r="Y19" s="81"/>
      <c r="Z19" s="81"/>
      <c r="AA19" s="81"/>
      <c r="AB19" s="78"/>
      <c r="AC19" s="82"/>
      <c r="AD19" s="83"/>
      <c r="AE19" s="84"/>
      <c r="AF19" s="85">
        <v>60596260854</v>
      </c>
      <c r="AG19" s="85"/>
    </row>
    <row r="20" spans="1:34" s="18" customFormat="1" ht="15.75">
      <c r="A20" s="72" t="s">
        <v>69</v>
      </c>
      <c r="B20" s="33" t="s">
        <v>86</v>
      </c>
      <c r="C20" s="33" t="s">
        <v>44</v>
      </c>
      <c r="D20" s="49">
        <v>42476</v>
      </c>
      <c r="E20" s="34">
        <v>1869</v>
      </c>
      <c r="F20" s="34"/>
      <c r="G20" s="34"/>
      <c r="H20" s="34"/>
      <c r="I20" s="34"/>
      <c r="J20" s="46">
        <f t="shared" si="9"/>
        <v>0</v>
      </c>
      <c r="K20" s="34"/>
      <c r="L20" s="61"/>
      <c r="M20" s="34"/>
      <c r="N20" s="34"/>
      <c r="O20" s="62"/>
      <c r="P20" s="62"/>
      <c r="Q20" s="34"/>
      <c r="R20" s="32"/>
      <c r="S20" s="67"/>
      <c r="T20" s="33"/>
      <c r="U20" s="33"/>
      <c r="V20" s="46">
        <f t="shared" si="1"/>
        <v>0</v>
      </c>
      <c r="W20" s="32">
        <f t="shared" ref="W20" si="11">IF(J20&gt;2250,J20*0.1,0)</f>
        <v>0</v>
      </c>
      <c r="X20" s="46">
        <f t="shared" ref="X20" si="12">+V20-W20</f>
        <v>0</v>
      </c>
      <c r="Y20" s="32">
        <f t="shared" si="4"/>
        <v>0</v>
      </c>
      <c r="Z20" s="32">
        <v>10.23</v>
      </c>
      <c r="AA20" s="32">
        <f t="shared" si="5"/>
        <v>0</v>
      </c>
      <c r="AB20" s="46">
        <f t="shared" si="6"/>
        <v>10.23</v>
      </c>
      <c r="AC20" s="51"/>
      <c r="AD20" s="52"/>
      <c r="AE20" s="47" t="e">
        <f>+AC20+AD20-#REF!</f>
        <v>#REF!</v>
      </c>
      <c r="AF20" s="35">
        <v>56708844964</v>
      </c>
      <c r="AG20" s="35"/>
    </row>
    <row r="21" spans="1:34" s="18" customFormat="1" ht="15.75">
      <c r="A21" s="72" t="s">
        <v>28</v>
      </c>
      <c r="B21" s="33" t="s">
        <v>149</v>
      </c>
      <c r="C21" s="33" t="s">
        <v>30</v>
      </c>
      <c r="D21" s="49">
        <v>42916</v>
      </c>
      <c r="E21" s="34">
        <v>1026.69</v>
      </c>
      <c r="F21" s="34"/>
      <c r="G21" s="34"/>
      <c r="H21" s="34"/>
      <c r="I21" s="34"/>
      <c r="J21" s="46">
        <f t="shared" si="9"/>
        <v>0</v>
      </c>
      <c r="K21" s="34"/>
      <c r="L21" s="61"/>
      <c r="M21" s="34"/>
      <c r="N21" s="34"/>
      <c r="O21" s="62"/>
      <c r="P21" s="62"/>
      <c r="Q21" s="34"/>
      <c r="R21" s="32"/>
      <c r="S21" s="67"/>
      <c r="T21" s="33"/>
      <c r="U21" s="33">
        <v>470.86</v>
      </c>
      <c r="V21" s="46">
        <f t="shared" si="1"/>
        <v>-470.86</v>
      </c>
      <c r="W21" s="32"/>
      <c r="X21" s="46"/>
      <c r="Y21" s="32"/>
      <c r="Z21" s="32"/>
      <c r="AA21" s="32"/>
      <c r="AB21" s="46"/>
      <c r="AC21" s="51"/>
      <c r="AD21" s="52"/>
      <c r="AE21" s="47"/>
      <c r="AF21" s="35">
        <v>60592609882</v>
      </c>
      <c r="AG21" s="33"/>
    </row>
    <row r="22" spans="1:34" s="18" customFormat="1" ht="15.75">
      <c r="A22" s="72" t="s">
        <v>28</v>
      </c>
      <c r="B22" s="33" t="s">
        <v>141</v>
      </c>
      <c r="C22" s="33" t="s">
        <v>30</v>
      </c>
      <c r="D22" s="49">
        <v>42899</v>
      </c>
      <c r="E22" s="34">
        <v>1026.69</v>
      </c>
      <c r="F22" s="34">
        <v>6293.37</v>
      </c>
      <c r="G22" s="34"/>
      <c r="H22" s="34"/>
      <c r="I22" s="34"/>
      <c r="J22" s="46">
        <f t="shared" si="9"/>
        <v>6293.37</v>
      </c>
      <c r="K22" s="34"/>
      <c r="L22" s="61"/>
      <c r="M22" s="34"/>
      <c r="N22" s="34"/>
      <c r="O22" s="62"/>
      <c r="P22" s="62"/>
      <c r="Q22" s="34"/>
      <c r="R22" s="32"/>
      <c r="S22" s="67"/>
      <c r="T22" s="33"/>
      <c r="U22" s="33"/>
      <c r="V22" s="46">
        <f t="shared" si="1"/>
        <v>6293.37</v>
      </c>
      <c r="W22" s="32"/>
      <c r="X22" s="46"/>
      <c r="Y22" s="32"/>
      <c r="Z22" s="32"/>
      <c r="AA22" s="32"/>
      <c r="AB22" s="46"/>
      <c r="AC22" s="51"/>
      <c r="AD22" s="52"/>
      <c r="AE22" s="47"/>
      <c r="AF22" s="35">
        <v>60592030048</v>
      </c>
      <c r="AG22" s="33"/>
    </row>
    <row r="23" spans="1:34" s="18" customFormat="1" ht="15.75">
      <c r="A23" s="72" t="s">
        <v>28</v>
      </c>
      <c r="B23" s="33" t="s">
        <v>112</v>
      </c>
      <c r="C23" s="33" t="s">
        <v>113</v>
      </c>
      <c r="D23" s="49">
        <v>41359</v>
      </c>
      <c r="E23" s="34">
        <v>4666.6899999999996</v>
      </c>
      <c r="F23" s="34">
        <v>10795.44</v>
      </c>
      <c r="G23" s="34"/>
      <c r="H23" s="34"/>
      <c r="I23" s="34"/>
      <c r="J23" s="46">
        <f t="shared" si="9"/>
        <v>10795.44</v>
      </c>
      <c r="K23" s="34"/>
      <c r="L23" s="61"/>
      <c r="M23" s="34"/>
      <c r="N23" s="34"/>
      <c r="O23" s="62"/>
      <c r="P23" s="62"/>
      <c r="Q23" s="34"/>
      <c r="R23" s="32"/>
      <c r="S23" s="67"/>
      <c r="T23" s="33"/>
      <c r="U23" s="33"/>
      <c r="V23" s="46">
        <f t="shared" si="1"/>
        <v>10795.44</v>
      </c>
      <c r="W23" s="32">
        <f t="shared" ref="W23" si="13">IF(J23&gt;2250,J23*0.1,0)</f>
        <v>1079.5440000000001</v>
      </c>
      <c r="X23" s="46">
        <f t="shared" ref="X23" si="14">+V23-W23</f>
        <v>9715.8960000000006</v>
      </c>
      <c r="Y23" s="32"/>
      <c r="Z23" s="32"/>
      <c r="AA23" s="32"/>
      <c r="AB23" s="46"/>
      <c r="AC23" s="51"/>
      <c r="AD23" s="52"/>
      <c r="AE23" s="47"/>
      <c r="AF23" s="35">
        <v>56708881383</v>
      </c>
      <c r="AG23" s="33"/>
    </row>
    <row r="24" spans="1:34" s="18" customFormat="1">
      <c r="A24" s="72" t="s">
        <v>28</v>
      </c>
      <c r="B24" s="33" t="s">
        <v>180</v>
      </c>
      <c r="C24" s="33" t="s">
        <v>30</v>
      </c>
      <c r="D24" s="49">
        <v>43012</v>
      </c>
      <c r="E24" s="34">
        <v>1026.69</v>
      </c>
      <c r="F24" s="34"/>
      <c r="G24" s="34"/>
      <c r="H24" s="34"/>
      <c r="I24" s="34"/>
      <c r="J24" s="46">
        <f t="shared" si="9"/>
        <v>0</v>
      </c>
      <c r="K24" s="34"/>
      <c r="L24" s="61"/>
      <c r="M24" s="34"/>
      <c r="N24" s="34"/>
      <c r="O24" s="62"/>
      <c r="P24" s="62"/>
      <c r="Q24" s="34"/>
      <c r="R24" s="32"/>
      <c r="S24" s="32"/>
      <c r="T24" s="33"/>
      <c r="U24" s="73"/>
      <c r="V24" s="46">
        <f t="shared" si="1"/>
        <v>0</v>
      </c>
      <c r="W24" s="32"/>
      <c r="X24" s="46"/>
      <c r="Y24" s="32"/>
      <c r="Z24" s="32"/>
      <c r="AA24" s="32"/>
      <c r="AB24" s="46"/>
      <c r="AC24" s="51"/>
      <c r="AD24" s="52"/>
      <c r="AE24" s="47"/>
      <c r="AF24" s="74" t="s">
        <v>179</v>
      </c>
      <c r="AG24" s="35"/>
      <c r="AH24" s="18" t="s">
        <v>130</v>
      </c>
    </row>
    <row r="25" spans="1:34" s="18" customFormat="1">
      <c r="A25" s="87"/>
      <c r="B25" s="87" t="s">
        <v>193</v>
      </c>
      <c r="C25" s="87" t="s">
        <v>30</v>
      </c>
      <c r="D25" s="88">
        <v>43025</v>
      </c>
      <c r="E25" s="89">
        <v>1026.69</v>
      </c>
      <c r="F25" s="89"/>
      <c r="G25" s="89">
        <v>146.66999999999999</v>
      </c>
      <c r="H25" s="89"/>
      <c r="I25" s="89"/>
      <c r="J25" s="46">
        <f t="shared" si="9"/>
        <v>146.66999999999999</v>
      </c>
      <c r="K25" s="34"/>
      <c r="L25" s="61"/>
      <c r="M25" s="34"/>
      <c r="N25" s="34"/>
      <c r="O25" s="62"/>
      <c r="P25" s="62"/>
      <c r="Q25" s="34"/>
      <c r="R25" s="32"/>
      <c r="S25" s="32"/>
      <c r="T25" s="33"/>
      <c r="U25" s="33"/>
      <c r="V25" s="46">
        <f t="shared" si="1"/>
        <v>146.66999999999999</v>
      </c>
      <c r="W25" s="32"/>
      <c r="X25" s="46"/>
      <c r="Y25" s="32"/>
      <c r="Z25" s="32"/>
      <c r="AA25" s="32"/>
      <c r="AB25" s="46"/>
      <c r="AC25" s="51"/>
      <c r="AD25" s="52"/>
      <c r="AE25" s="47"/>
      <c r="AF25" s="90">
        <v>60566567515</v>
      </c>
      <c r="AG25" s="87"/>
    </row>
    <row r="26" spans="1:34" s="18" customFormat="1">
      <c r="A26" s="72" t="s">
        <v>28</v>
      </c>
      <c r="B26" s="33" t="s">
        <v>171</v>
      </c>
      <c r="C26" s="33" t="s">
        <v>30</v>
      </c>
      <c r="D26" s="49">
        <v>42990</v>
      </c>
      <c r="E26" s="34">
        <v>1026.69</v>
      </c>
      <c r="F26" s="34"/>
      <c r="G26" s="34"/>
      <c r="H26" s="34"/>
      <c r="I26" s="34"/>
      <c r="J26" s="46">
        <f t="shared" si="9"/>
        <v>0</v>
      </c>
      <c r="K26" s="34"/>
      <c r="L26" s="61"/>
      <c r="M26" s="34"/>
      <c r="N26" s="34"/>
      <c r="O26" s="62"/>
      <c r="P26" s="62"/>
      <c r="Q26" s="34"/>
      <c r="R26" s="32"/>
      <c r="S26" s="32"/>
      <c r="T26" s="33"/>
      <c r="U26" s="33"/>
      <c r="V26" s="46">
        <f t="shared" si="1"/>
        <v>0</v>
      </c>
      <c r="W26" s="32"/>
      <c r="X26" s="46"/>
      <c r="Y26" s="32"/>
      <c r="Z26" s="32"/>
      <c r="AA26" s="32"/>
      <c r="AB26" s="46"/>
      <c r="AC26" s="51"/>
      <c r="AD26" s="52"/>
      <c r="AE26" s="47"/>
      <c r="AF26" s="35">
        <v>60595209110</v>
      </c>
      <c r="AG26" s="33"/>
    </row>
    <row r="27" spans="1:34" s="18" customFormat="1" ht="15.75">
      <c r="A27" s="72" t="s">
        <v>28</v>
      </c>
      <c r="B27" s="33" t="s">
        <v>85</v>
      </c>
      <c r="C27" s="33" t="s">
        <v>30</v>
      </c>
      <c r="D27" s="49">
        <v>42413</v>
      </c>
      <c r="E27" s="34">
        <v>1026.69</v>
      </c>
      <c r="F27" s="34">
        <v>4663.08</v>
      </c>
      <c r="G27" s="34"/>
      <c r="H27" s="34"/>
      <c r="I27" s="34"/>
      <c r="J27" s="46">
        <f t="shared" si="9"/>
        <v>4663.08</v>
      </c>
      <c r="K27" s="34"/>
      <c r="L27" s="61">
        <v>1</v>
      </c>
      <c r="M27" s="34"/>
      <c r="N27" s="34"/>
      <c r="O27" s="62"/>
      <c r="P27" s="62"/>
      <c r="Q27" s="34"/>
      <c r="R27" s="32"/>
      <c r="S27" s="67"/>
      <c r="T27" s="33"/>
      <c r="U27" s="33"/>
      <c r="V27" s="46">
        <f t="shared" si="1"/>
        <v>4662.08</v>
      </c>
      <c r="W27" s="32">
        <f t="shared" si="2"/>
        <v>466.30799999999999</v>
      </c>
      <c r="X27" s="46">
        <f t="shared" si="3"/>
        <v>4195.7719999999999</v>
      </c>
      <c r="Y27" s="32">
        <f t="shared" si="4"/>
        <v>0</v>
      </c>
      <c r="Z27" s="32">
        <v>13.23</v>
      </c>
      <c r="AA27" s="32">
        <f t="shared" si="5"/>
        <v>0</v>
      </c>
      <c r="AB27" s="46">
        <f t="shared" si="6"/>
        <v>4676.3099999999995</v>
      </c>
      <c r="AC27" s="51"/>
      <c r="AD27" s="52"/>
      <c r="AE27" s="47">
        <f>+AC27+AD27-X27</f>
        <v>-4195.7719999999999</v>
      </c>
      <c r="AF27" s="35">
        <v>60590329504</v>
      </c>
      <c r="AG27" s="33"/>
    </row>
    <row r="28" spans="1:34" s="18" customFormat="1" ht="15.75">
      <c r="A28" s="72" t="s">
        <v>28</v>
      </c>
      <c r="B28" s="33" t="s">
        <v>91</v>
      </c>
      <c r="C28" s="33" t="s">
        <v>102</v>
      </c>
      <c r="D28" s="49">
        <v>42480</v>
      </c>
      <c r="E28" s="34">
        <v>2800</v>
      </c>
      <c r="F28" s="34"/>
      <c r="G28" s="34"/>
      <c r="H28" s="34"/>
      <c r="I28" s="34"/>
      <c r="J28" s="46">
        <f t="shared" si="9"/>
        <v>0</v>
      </c>
      <c r="K28" s="34"/>
      <c r="L28" s="61"/>
      <c r="M28" s="34"/>
      <c r="N28" s="34"/>
      <c r="O28" s="62"/>
      <c r="P28" s="62"/>
      <c r="Q28" s="34"/>
      <c r="R28" s="32"/>
      <c r="S28" s="67"/>
      <c r="T28" s="33"/>
      <c r="U28" s="33"/>
      <c r="V28" s="46">
        <f t="shared" si="1"/>
        <v>0</v>
      </c>
      <c r="W28" s="32">
        <f t="shared" ref="W28:W46" si="15">IF(J28&gt;2250,J28*0.1,0)</f>
        <v>0</v>
      </c>
      <c r="X28" s="46">
        <f t="shared" ref="X28:X46" si="16">+V28-W28</f>
        <v>0</v>
      </c>
      <c r="Y28" s="32">
        <f t="shared" ref="Y28:Y46" si="17">IF(J28&lt;2250,J28*0.1,0)</f>
        <v>0</v>
      </c>
      <c r="Z28" s="32">
        <v>17.23</v>
      </c>
      <c r="AA28" s="32">
        <f t="shared" ref="AA28:AA46" si="18">+O28</f>
        <v>0</v>
      </c>
      <c r="AB28" s="46">
        <f t="shared" ref="AB28:AB46" si="19">+J28+Y28+Z28+AA28</f>
        <v>17.23</v>
      </c>
      <c r="AC28" s="51"/>
      <c r="AD28" s="52"/>
      <c r="AE28" s="47">
        <f>+AC28+AD28-X28</f>
        <v>0</v>
      </c>
      <c r="AF28" s="35">
        <v>56708845010</v>
      </c>
      <c r="AG28" s="33"/>
    </row>
    <row r="29" spans="1:34" s="18" customFormat="1" ht="15.75">
      <c r="A29" s="72" t="s">
        <v>40</v>
      </c>
      <c r="B29" s="33" t="s">
        <v>131</v>
      </c>
      <c r="C29" s="33" t="s">
        <v>44</v>
      </c>
      <c r="D29" s="49">
        <v>42826</v>
      </c>
      <c r="E29" s="34">
        <v>1633.31</v>
      </c>
      <c r="F29" s="34"/>
      <c r="G29" s="34"/>
      <c r="H29" s="34"/>
      <c r="I29" s="34"/>
      <c r="J29" s="46">
        <f t="shared" si="9"/>
        <v>0</v>
      </c>
      <c r="K29" s="34"/>
      <c r="L29" s="61"/>
      <c r="M29" s="34"/>
      <c r="N29" s="34"/>
      <c r="O29" s="62"/>
      <c r="P29" s="62"/>
      <c r="Q29" s="34"/>
      <c r="R29" s="32"/>
      <c r="S29" s="67"/>
      <c r="T29" s="33"/>
      <c r="U29" s="33"/>
      <c r="V29" s="46">
        <f t="shared" si="1"/>
        <v>0</v>
      </c>
      <c r="W29" s="32">
        <f t="shared" si="15"/>
        <v>0</v>
      </c>
      <c r="X29" s="46"/>
      <c r="Y29" s="32">
        <f t="shared" si="17"/>
        <v>0</v>
      </c>
      <c r="Z29" s="32"/>
      <c r="AA29" s="32"/>
      <c r="AB29" s="46"/>
      <c r="AC29" s="51"/>
      <c r="AD29" s="52"/>
      <c r="AE29" s="47"/>
      <c r="AF29" s="35">
        <v>60590035118</v>
      </c>
      <c r="AG29" s="35"/>
    </row>
    <row r="30" spans="1:34" s="18" customFormat="1" ht="15.75">
      <c r="A30" s="72" t="s">
        <v>27</v>
      </c>
      <c r="B30" s="33" t="s">
        <v>148</v>
      </c>
      <c r="C30" s="33" t="s">
        <v>45</v>
      </c>
      <c r="D30" s="49">
        <v>42916</v>
      </c>
      <c r="E30" s="34">
        <v>1026.69</v>
      </c>
      <c r="F30" s="34">
        <v>2500</v>
      </c>
      <c r="G30" s="34"/>
      <c r="H30" s="34"/>
      <c r="I30" s="34"/>
      <c r="J30" s="46">
        <f t="shared" si="9"/>
        <v>2500</v>
      </c>
      <c r="K30" s="34"/>
      <c r="L30" s="61"/>
      <c r="M30" s="34"/>
      <c r="N30" s="34"/>
      <c r="O30" s="62"/>
      <c r="P30" s="62"/>
      <c r="Q30" s="34"/>
      <c r="R30" s="32"/>
      <c r="S30" s="67"/>
      <c r="T30" s="33"/>
      <c r="U30" s="33">
        <v>649.46</v>
      </c>
      <c r="V30" s="46">
        <f t="shared" si="1"/>
        <v>1850.54</v>
      </c>
      <c r="W30" s="32"/>
      <c r="X30" s="46"/>
      <c r="Y30" s="32"/>
      <c r="Z30" s="32"/>
      <c r="AA30" s="32"/>
      <c r="AB30" s="46"/>
      <c r="AC30" s="51"/>
      <c r="AD30" s="52"/>
      <c r="AE30" s="47"/>
      <c r="AF30" s="35">
        <v>60584074827</v>
      </c>
      <c r="AG30" s="33"/>
    </row>
    <row r="31" spans="1:34" s="18" customFormat="1" ht="15.75">
      <c r="A31" s="72" t="s">
        <v>28</v>
      </c>
      <c r="B31" s="33" t="s">
        <v>116</v>
      </c>
      <c r="C31" s="33" t="s">
        <v>30</v>
      </c>
      <c r="D31" s="49">
        <v>42415</v>
      </c>
      <c r="E31" s="34">
        <v>1026.69</v>
      </c>
      <c r="F31" s="34"/>
      <c r="G31" s="34"/>
      <c r="H31" s="34"/>
      <c r="I31" s="34"/>
      <c r="J31" s="46">
        <f t="shared" si="9"/>
        <v>0</v>
      </c>
      <c r="K31" s="34"/>
      <c r="L31" s="61" t="s">
        <v>186</v>
      </c>
      <c r="M31" s="34"/>
      <c r="N31" s="34"/>
      <c r="O31" s="62"/>
      <c r="P31" s="62"/>
      <c r="Q31" s="34"/>
      <c r="R31" s="32"/>
      <c r="S31" s="67"/>
      <c r="T31" s="33"/>
      <c r="U31" s="33"/>
      <c r="V31" s="46">
        <f t="shared" si="1"/>
        <v>0</v>
      </c>
      <c r="W31" s="32">
        <f t="shared" ref="W31" si="20">IF(J31&gt;2250,J31*0.1,0)</f>
        <v>0</v>
      </c>
      <c r="X31" s="46">
        <f t="shared" ref="X31" si="21">+V31-W31</f>
        <v>0</v>
      </c>
      <c r="Y31" s="32"/>
      <c r="Z31" s="32"/>
      <c r="AA31" s="32"/>
      <c r="AB31" s="46"/>
      <c r="AC31" s="51"/>
      <c r="AD31" s="52"/>
      <c r="AE31" s="47"/>
      <c r="AF31" s="35">
        <v>56708881656</v>
      </c>
      <c r="AG31" s="33" t="s">
        <v>187</v>
      </c>
    </row>
    <row r="32" spans="1:34" s="18" customFormat="1" ht="15.75">
      <c r="A32" s="72" t="s">
        <v>28</v>
      </c>
      <c r="B32" s="33" t="s">
        <v>135</v>
      </c>
      <c r="C32" s="33" t="s">
        <v>30</v>
      </c>
      <c r="D32" s="49">
        <v>41463</v>
      </c>
      <c r="E32" s="34">
        <v>1026.69</v>
      </c>
      <c r="F32" s="34"/>
      <c r="G32" s="34"/>
      <c r="H32" s="34"/>
      <c r="I32" s="34"/>
      <c r="J32" s="46">
        <f t="shared" si="9"/>
        <v>0</v>
      </c>
      <c r="K32" s="34"/>
      <c r="L32" s="61"/>
      <c r="M32" s="34"/>
      <c r="N32" s="34"/>
      <c r="O32" s="62"/>
      <c r="P32" s="62"/>
      <c r="Q32" s="34"/>
      <c r="R32" s="32"/>
      <c r="S32" s="67"/>
      <c r="T32" s="33"/>
      <c r="U32" s="33"/>
      <c r="V32" s="46">
        <f t="shared" si="1"/>
        <v>0</v>
      </c>
      <c r="W32" s="32">
        <f t="shared" si="15"/>
        <v>0</v>
      </c>
      <c r="X32" s="46">
        <f t="shared" si="16"/>
        <v>0</v>
      </c>
      <c r="Y32" s="32">
        <f t="shared" si="17"/>
        <v>0</v>
      </c>
      <c r="Z32" s="32">
        <v>20.23</v>
      </c>
      <c r="AA32" s="32">
        <f t="shared" si="18"/>
        <v>0</v>
      </c>
      <c r="AB32" s="46">
        <f t="shared" si="19"/>
        <v>20.23</v>
      </c>
      <c r="AC32" s="51"/>
      <c r="AD32" s="52"/>
      <c r="AE32" s="47">
        <f>+AC32+AD32-X32</f>
        <v>0</v>
      </c>
      <c r="AF32" s="35">
        <v>56708881457</v>
      </c>
      <c r="AG32" s="33"/>
    </row>
    <row r="33" spans="1:34" s="18" customFormat="1" ht="15.75">
      <c r="A33" s="72" t="s">
        <v>26</v>
      </c>
      <c r="B33" s="33" t="s">
        <v>132</v>
      </c>
      <c r="C33" s="33" t="s">
        <v>92</v>
      </c>
      <c r="D33" s="49">
        <v>40618</v>
      </c>
      <c r="E33" s="34">
        <v>1633.31</v>
      </c>
      <c r="F33" s="34">
        <v>3994.74</v>
      </c>
      <c r="G33" s="34"/>
      <c r="H33" s="34"/>
      <c r="I33" s="34"/>
      <c r="J33" s="46">
        <f t="shared" si="9"/>
        <v>3994.74</v>
      </c>
      <c r="K33" s="34"/>
      <c r="L33" s="61"/>
      <c r="M33" s="34"/>
      <c r="N33" s="34"/>
      <c r="O33" s="62"/>
      <c r="P33" s="62"/>
      <c r="Q33" s="34"/>
      <c r="R33" s="32"/>
      <c r="S33" s="67"/>
      <c r="T33" s="33"/>
      <c r="U33" s="33"/>
      <c r="V33" s="46">
        <f t="shared" ref="V33:V38" si="22">+J33-SUM(K33:U33)</f>
        <v>3994.74</v>
      </c>
      <c r="W33" s="32">
        <f t="shared" si="15"/>
        <v>399.47399999999999</v>
      </c>
      <c r="X33" s="46">
        <f t="shared" si="16"/>
        <v>3595.2659999999996</v>
      </c>
      <c r="Y33" s="32">
        <f t="shared" si="17"/>
        <v>0</v>
      </c>
      <c r="Z33" s="32">
        <v>21.23</v>
      </c>
      <c r="AA33" s="32">
        <f t="shared" si="18"/>
        <v>0</v>
      </c>
      <c r="AB33" s="46">
        <f t="shared" si="19"/>
        <v>4015.97</v>
      </c>
      <c r="AC33" s="51"/>
      <c r="AD33" s="52"/>
      <c r="AE33" s="47"/>
      <c r="AF33" s="35">
        <v>56708845038</v>
      </c>
      <c r="AG33" s="33"/>
    </row>
    <row r="34" spans="1:34" s="18" customFormat="1" ht="15.75">
      <c r="A34" s="72" t="s">
        <v>28</v>
      </c>
      <c r="B34" s="33" t="s">
        <v>84</v>
      </c>
      <c r="C34" s="33" t="s">
        <v>30</v>
      </c>
      <c r="D34" s="49">
        <v>42296</v>
      </c>
      <c r="E34" s="34">
        <v>1026.69</v>
      </c>
      <c r="F34" s="34">
        <v>2710.36</v>
      </c>
      <c r="G34" s="34"/>
      <c r="H34" s="34"/>
      <c r="I34" s="34"/>
      <c r="J34" s="46">
        <f t="shared" si="9"/>
        <v>2710.36</v>
      </c>
      <c r="K34" s="34"/>
      <c r="L34" s="61"/>
      <c r="M34" s="34"/>
      <c r="N34" s="34"/>
      <c r="O34" s="62"/>
      <c r="P34" s="62"/>
      <c r="Q34" s="34"/>
      <c r="R34" s="32">
        <v>1300</v>
      </c>
      <c r="S34" s="67"/>
      <c r="T34" s="33"/>
      <c r="U34" s="33">
        <v>802.69</v>
      </c>
      <c r="V34" s="46">
        <f t="shared" si="22"/>
        <v>607.67000000000007</v>
      </c>
      <c r="W34" s="32">
        <f t="shared" si="15"/>
        <v>271.036</v>
      </c>
      <c r="X34" s="46">
        <f t="shared" si="16"/>
        <v>336.63400000000007</v>
      </c>
      <c r="Y34" s="32">
        <f t="shared" si="17"/>
        <v>0</v>
      </c>
      <c r="Z34" s="32">
        <v>10.23</v>
      </c>
      <c r="AA34" s="32">
        <f t="shared" si="18"/>
        <v>0</v>
      </c>
      <c r="AB34" s="46">
        <f t="shared" si="19"/>
        <v>2720.59</v>
      </c>
      <c r="AC34" s="51"/>
      <c r="AD34" s="52"/>
      <c r="AE34" s="47">
        <f>+AC34+AD34-X34</f>
        <v>-336.63400000000007</v>
      </c>
      <c r="AF34" s="35">
        <v>56708881460</v>
      </c>
      <c r="AG34" s="33"/>
    </row>
    <row r="35" spans="1:34" s="18" customFormat="1" ht="15.75">
      <c r="A35" s="72" t="s">
        <v>27</v>
      </c>
      <c r="B35" s="33" t="s">
        <v>150</v>
      </c>
      <c r="C35" s="33" t="s">
        <v>45</v>
      </c>
      <c r="D35" s="49">
        <v>42916</v>
      </c>
      <c r="E35" s="34">
        <v>1026.69</v>
      </c>
      <c r="F35" s="34">
        <v>3349.6</v>
      </c>
      <c r="G35" s="34"/>
      <c r="H35" s="34"/>
      <c r="I35" s="34"/>
      <c r="J35" s="46">
        <f t="shared" si="9"/>
        <v>3349.6</v>
      </c>
      <c r="K35" s="34"/>
      <c r="L35" s="61"/>
      <c r="M35" s="34"/>
      <c r="N35" s="34"/>
      <c r="O35" s="62"/>
      <c r="P35" s="62"/>
      <c r="Q35" s="34"/>
      <c r="R35" s="32"/>
      <c r="S35" s="67"/>
      <c r="T35" s="33"/>
      <c r="U35" s="33"/>
      <c r="V35" s="46">
        <f t="shared" si="22"/>
        <v>3349.6</v>
      </c>
      <c r="W35" s="32"/>
      <c r="X35" s="46"/>
      <c r="Y35" s="32"/>
      <c r="Z35" s="32"/>
      <c r="AA35" s="32"/>
      <c r="AB35" s="46"/>
      <c r="AC35" s="51"/>
      <c r="AD35" s="52"/>
      <c r="AE35" s="47"/>
      <c r="AF35" s="35">
        <v>60592636121</v>
      </c>
      <c r="AG35" s="33"/>
    </row>
    <row r="36" spans="1:34" s="18" customFormat="1" ht="15.75">
      <c r="A36" s="72" t="s">
        <v>38</v>
      </c>
      <c r="B36" s="33" t="s">
        <v>164</v>
      </c>
      <c r="C36" s="33" t="s">
        <v>29</v>
      </c>
      <c r="D36" s="49">
        <v>42978</v>
      </c>
      <c r="E36" s="34">
        <v>1166.6199999999999</v>
      </c>
      <c r="F36" s="34">
        <v>1469.83</v>
      </c>
      <c r="G36" s="34"/>
      <c r="H36" s="34"/>
      <c r="I36" s="34"/>
      <c r="J36" s="46">
        <f t="shared" si="9"/>
        <v>1469.83</v>
      </c>
      <c r="K36" s="34"/>
      <c r="L36" s="61"/>
      <c r="M36" s="34"/>
      <c r="N36" s="34"/>
      <c r="O36" s="62"/>
      <c r="P36" s="62"/>
      <c r="Q36" s="34"/>
      <c r="R36" s="32"/>
      <c r="S36" s="67"/>
      <c r="T36" s="33"/>
      <c r="U36" s="33"/>
      <c r="V36" s="46">
        <f t="shared" si="22"/>
        <v>1469.83</v>
      </c>
      <c r="W36" s="32"/>
      <c r="X36" s="46"/>
      <c r="Y36" s="32"/>
      <c r="Z36" s="32"/>
      <c r="AA36" s="32"/>
      <c r="AB36" s="46"/>
      <c r="AC36" s="51"/>
      <c r="AD36" s="52"/>
      <c r="AE36" s="47"/>
      <c r="AF36" s="35">
        <v>60594750506</v>
      </c>
      <c r="AG36" s="33"/>
    </row>
    <row r="37" spans="1:34" s="18" customFormat="1">
      <c r="A37" s="72" t="s">
        <v>27</v>
      </c>
      <c r="B37" s="33" t="s">
        <v>97</v>
      </c>
      <c r="C37" s="33" t="s">
        <v>45</v>
      </c>
      <c r="D37" s="49">
        <v>42576</v>
      </c>
      <c r="E37" s="34">
        <v>1026.69</v>
      </c>
      <c r="F37" s="34"/>
      <c r="G37" s="34"/>
      <c r="H37" s="34"/>
      <c r="I37" s="34"/>
      <c r="J37" s="46">
        <f t="shared" si="9"/>
        <v>0</v>
      </c>
      <c r="K37" s="34"/>
      <c r="L37" s="61"/>
      <c r="M37" s="34"/>
      <c r="N37" s="34"/>
      <c r="O37" s="62"/>
      <c r="P37" s="62"/>
      <c r="Q37" s="34"/>
      <c r="R37" s="32"/>
      <c r="S37" s="32"/>
      <c r="T37" s="33"/>
      <c r="U37" s="33"/>
      <c r="V37" s="46">
        <f t="shared" si="22"/>
        <v>0</v>
      </c>
      <c r="W37" s="33">
        <f t="shared" si="15"/>
        <v>0</v>
      </c>
      <c r="X37" s="33">
        <f t="shared" si="16"/>
        <v>0</v>
      </c>
      <c r="Y37" s="32">
        <f t="shared" si="17"/>
        <v>0</v>
      </c>
      <c r="Z37" s="32">
        <v>11.23</v>
      </c>
      <c r="AA37" s="32">
        <f t="shared" si="18"/>
        <v>0</v>
      </c>
      <c r="AB37" s="46">
        <f t="shared" si="19"/>
        <v>11.23</v>
      </c>
      <c r="AC37" s="51"/>
      <c r="AD37" s="51"/>
      <c r="AE37" s="47"/>
      <c r="AF37" s="35">
        <v>56708845072</v>
      </c>
      <c r="AG37" s="35"/>
    </row>
    <row r="38" spans="1:34" s="18" customFormat="1">
      <c r="A38" s="72" t="s">
        <v>28</v>
      </c>
      <c r="B38" s="33" t="s">
        <v>87</v>
      </c>
      <c r="C38" s="33" t="s">
        <v>30</v>
      </c>
      <c r="D38" s="49">
        <v>37834</v>
      </c>
      <c r="E38" s="34">
        <v>1026.69</v>
      </c>
      <c r="F38" s="34">
        <v>3136.93</v>
      </c>
      <c r="G38" s="34"/>
      <c r="H38" s="34"/>
      <c r="I38" s="34"/>
      <c r="J38" s="46">
        <f t="shared" si="9"/>
        <v>3136.93</v>
      </c>
      <c r="K38" s="34"/>
      <c r="L38" s="61"/>
      <c r="M38" s="34"/>
      <c r="N38" s="34"/>
      <c r="O38" s="62"/>
      <c r="P38" s="62"/>
      <c r="Q38" s="34"/>
      <c r="R38" s="32"/>
      <c r="S38" s="32"/>
      <c r="T38" s="33"/>
      <c r="U38" s="33"/>
      <c r="V38" s="46">
        <f t="shared" si="22"/>
        <v>3136.93</v>
      </c>
      <c r="W38" s="32">
        <f t="shared" si="15"/>
        <v>313.69299999999998</v>
      </c>
      <c r="X38" s="46">
        <f t="shared" si="16"/>
        <v>2823.2370000000001</v>
      </c>
      <c r="Y38" s="32">
        <f t="shared" si="17"/>
        <v>0</v>
      </c>
      <c r="Z38" s="32">
        <v>10.23</v>
      </c>
      <c r="AA38" s="32">
        <f t="shared" si="18"/>
        <v>0</v>
      </c>
      <c r="AB38" s="46">
        <f t="shared" si="19"/>
        <v>3147.16</v>
      </c>
      <c r="AC38" s="51"/>
      <c r="AD38" s="52"/>
      <c r="AE38" s="47">
        <f t="shared" ref="AE38" si="23">+AC38+AD38-X38</f>
        <v>-2823.2370000000001</v>
      </c>
      <c r="AF38" s="35">
        <v>56708881503</v>
      </c>
      <c r="AG38" s="35"/>
    </row>
    <row r="39" spans="1:34" s="18" customFormat="1">
      <c r="A39" s="72" t="s">
        <v>28</v>
      </c>
      <c r="B39" s="33" t="s">
        <v>77</v>
      </c>
      <c r="C39" s="33" t="s">
        <v>44</v>
      </c>
      <c r="D39" s="49">
        <v>40813</v>
      </c>
      <c r="E39" s="34">
        <v>1869</v>
      </c>
      <c r="F39" s="64"/>
      <c r="G39" s="64"/>
      <c r="H39" s="34"/>
      <c r="I39" s="34"/>
      <c r="J39" s="46">
        <f t="shared" si="9"/>
        <v>0</v>
      </c>
      <c r="K39" s="34"/>
      <c r="L39" s="61"/>
      <c r="M39" s="34"/>
      <c r="N39" s="34"/>
      <c r="O39" s="62"/>
      <c r="P39" s="62"/>
      <c r="Q39" s="34"/>
      <c r="R39" s="32"/>
      <c r="S39" s="32"/>
      <c r="T39" s="48"/>
      <c r="U39" s="48"/>
      <c r="V39" s="46">
        <f t="shared" ref="V39:V50" si="24">+J39-SUM(K39:U39)</f>
        <v>0</v>
      </c>
      <c r="W39" s="32">
        <f t="shared" ref="W39" si="25">+V39*0.05</f>
        <v>0</v>
      </c>
      <c r="X39" s="46">
        <f t="shared" ref="X39" si="26">+V39-R39-U39</f>
        <v>0</v>
      </c>
      <c r="Y39" s="32">
        <f t="shared" ref="Y39" si="27">IF(V39&lt;3000,V39*0.1,0)</f>
        <v>0</v>
      </c>
      <c r="Z39" s="32"/>
      <c r="AA39" s="32"/>
      <c r="AB39" s="46">
        <f t="shared" ref="AB39" si="28">+V39+Y39+Z39</f>
        <v>0</v>
      </c>
      <c r="AC39" s="51"/>
      <c r="AD39" s="52"/>
      <c r="AE39" s="47"/>
      <c r="AF39" s="35">
        <v>60589552237</v>
      </c>
      <c r="AG39" s="35"/>
    </row>
    <row r="40" spans="1:34" s="18" customFormat="1">
      <c r="A40" s="72" t="s">
        <v>27</v>
      </c>
      <c r="B40" s="33" t="s">
        <v>151</v>
      </c>
      <c r="C40" s="33" t="s">
        <v>30</v>
      </c>
      <c r="D40" s="49">
        <v>42852</v>
      </c>
      <c r="E40" s="34">
        <v>1026.69</v>
      </c>
      <c r="F40" s="34">
        <v>14669.37</v>
      </c>
      <c r="G40" s="34"/>
      <c r="H40" s="34"/>
      <c r="I40" s="34"/>
      <c r="J40" s="46">
        <f t="shared" si="9"/>
        <v>14669.37</v>
      </c>
      <c r="K40" s="34"/>
      <c r="L40" s="61"/>
      <c r="M40" s="34"/>
      <c r="N40" s="34"/>
      <c r="O40" s="62"/>
      <c r="P40" s="62"/>
      <c r="Q40" s="34"/>
      <c r="R40" s="32"/>
      <c r="S40" s="32"/>
      <c r="T40" s="48"/>
      <c r="U40" s="48"/>
      <c r="V40" s="46">
        <f t="shared" si="24"/>
        <v>14669.37</v>
      </c>
      <c r="W40" s="32"/>
      <c r="X40" s="46"/>
      <c r="Y40" s="32"/>
      <c r="Z40" s="32"/>
      <c r="AA40" s="32"/>
      <c r="AB40" s="46"/>
      <c r="AC40" s="51"/>
      <c r="AD40" s="52"/>
      <c r="AE40" s="47"/>
      <c r="AF40" s="35">
        <v>60590678030</v>
      </c>
      <c r="AG40" s="35"/>
    </row>
    <row r="41" spans="1:34" s="18" customFormat="1">
      <c r="A41" s="72" t="s">
        <v>27</v>
      </c>
      <c r="B41" s="33" t="s">
        <v>117</v>
      </c>
      <c r="C41" s="33" t="s">
        <v>142</v>
      </c>
      <c r="D41" s="49">
        <v>42644</v>
      </c>
      <c r="E41" s="34">
        <v>1633.38</v>
      </c>
      <c r="F41" s="34">
        <v>5024.88</v>
      </c>
      <c r="G41" s="34"/>
      <c r="H41" s="34"/>
      <c r="I41" s="34"/>
      <c r="J41" s="46">
        <f t="shared" si="9"/>
        <v>5024.88</v>
      </c>
      <c r="K41" s="34"/>
      <c r="L41" s="61"/>
      <c r="M41" s="34"/>
      <c r="N41" s="34"/>
      <c r="O41" s="62"/>
      <c r="P41" s="62"/>
      <c r="Q41" s="34"/>
      <c r="R41" s="32"/>
      <c r="S41" s="32"/>
      <c r="T41" s="48"/>
      <c r="U41" s="48"/>
      <c r="V41" s="46">
        <f t="shared" si="24"/>
        <v>5024.88</v>
      </c>
      <c r="W41" s="32">
        <f t="shared" ref="W41" si="29">IF(J41&gt;2250,J41*0.1,0)</f>
        <v>502.48800000000006</v>
      </c>
      <c r="X41" s="46">
        <f t="shared" ref="X41" si="30">+V41-W41</f>
        <v>4522.3919999999998</v>
      </c>
      <c r="Y41" s="32"/>
      <c r="Z41" s="32"/>
      <c r="AA41" s="32"/>
      <c r="AB41" s="46"/>
      <c r="AC41" s="51"/>
      <c r="AD41" s="52"/>
      <c r="AE41" s="47"/>
      <c r="AF41" s="35">
        <v>56708845530</v>
      </c>
      <c r="AG41" s="35"/>
    </row>
    <row r="42" spans="1:34" s="18" customFormat="1">
      <c r="A42" s="72" t="s">
        <v>26</v>
      </c>
      <c r="B42" s="33" t="s">
        <v>169</v>
      </c>
      <c r="C42" s="33" t="s">
        <v>29</v>
      </c>
      <c r="D42" s="49">
        <v>42991</v>
      </c>
      <c r="E42" s="34">
        <v>1166.6199999999999</v>
      </c>
      <c r="F42" s="34">
        <v>1480.27</v>
      </c>
      <c r="G42" s="34"/>
      <c r="H42" s="34"/>
      <c r="I42" s="34"/>
      <c r="J42" s="46">
        <f t="shared" si="9"/>
        <v>1480.27</v>
      </c>
      <c r="K42" s="34"/>
      <c r="L42" s="61"/>
      <c r="M42" s="34"/>
      <c r="N42" s="34"/>
      <c r="O42" s="62"/>
      <c r="P42" s="62"/>
      <c r="Q42" s="34"/>
      <c r="R42" s="32"/>
      <c r="S42" s="32"/>
      <c r="T42" s="33"/>
      <c r="U42" s="33"/>
      <c r="V42" s="46"/>
      <c r="W42" s="32"/>
      <c r="X42" s="46"/>
      <c r="Y42" s="32"/>
      <c r="Z42" s="32"/>
      <c r="AA42" s="32"/>
      <c r="AB42" s="46"/>
      <c r="AC42" s="51"/>
      <c r="AD42" s="52"/>
      <c r="AE42" s="47"/>
      <c r="AF42" s="35">
        <v>1168500843</v>
      </c>
      <c r="AG42" s="33"/>
      <c r="AH42" s="18" t="s">
        <v>130</v>
      </c>
    </row>
    <row r="43" spans="1:34" s="18" customFormat="1">
      <c r="A43" s="72" t="s">
        <v>28</v>
      </c>
      <c r="B43" s="33" t="s">
        <v>163</v>
      </c>
      <c r="C43" s="33" t="s">
        <v>30</v>
      </c>
      <c r="D43" s="49">
        <v>42961</v>
      </c>
      <c r="E43" s="34">
        <v>1022.56</v>
      </c>
      <c r="F43" s="34">
        <v>1040.26</v>
      </c>
      <c r="G43" s="34"/>
      <c r="H43" s="34"/>
      <c r="I43" s="34"/>
      <c r="J43" s="46">
        <f t="shared" si="9"/>
        <v>1040.26</v>
      </c>
      <c r="K43" s="34"/>
      <c r="L43" s="61">
        <v>1</v>
      </c>
      <c r="M43" s="34"/>
      <c r="N43" s="34"/>
      <c r="O43" s="62"/>
      <c r="P43" s="62"/>
      <c r="Q43" s="34"/>
      <c r="R43" s="32"/>
      <c r="S43" s="32"/>
      <c r="T43" s="48"/>
      <c r="U43" s="48"/>
      <c r="V43" s="46">
        <f t="shared" si="24"/>
        <v>1039.26</v>
      </c>
      <c r="W43" s="32"/>
      <c r="X43" s="46"/>
      <c r="Y43" s="32"/>
      <c r="Z43" s="32"/>
      <c r="AA43" s="32"/>
      <c r="AB43" s="46"/>
      <c r="AC43" s="51"/>
      <c r="AD43" s="52"/>
      <c r="AE43" s="47"/>
      <c r="AF43" s="35">
        <v>60589665774</v>
      </c>
      <c r="AG43" s="35"/>
    </row>
    <row r="44" spans="1:34" s="18" customFormat="1">
      <c r="A44" s="72" t="s">
        <v>28</v>
      </c>
      <c r="B44" s="33" t="s">
        <v>153</v>
      </c>
      <c r="C44" s="33" t="s">
        <v>30</v>
      </c>
      <c r="D44" s="49">
        <v>42921</v>
      </c>
      <c r="E44" s="34">
        <v>1022.56</v>
      </c>
      <c r="F44" s="34">
        <v>8425.09</v>
      </c>
      <c r="G44" s="34"/>
      <c r="H44" s="34"/>
      <c r="I44" s="34"/>
      <c r="J44" s="46">
        <f t="shared" si="9"/>
        <v>8425.09</v>
      </c>
      <c r="K44" s="34"/>
      <c r="L44" s="61"/>
      <c r="M44" s="34"/>
      <c r="N44" s="34"/>
      <c r="O44" s="62"/>
      <c r="P44" s="62"/>
      <c r="Q44" s="34"/>
      <c r="R44" s="32">
        <v>260</v>
      </c>
      <c r="S44" s="32"/>
      <c r="T44" s="33"/>
      <c r="U44" s="33"/>
      <c r="V44" s="46">
        <f t="shared" si="24"/>
        <v>8165.09</v>
      </c>
      <c r="W44" s="32"/>
      <c r="X44" s="46"/>
      <c r="Y44" s="32"/>
      <c r="Z44" s="32"/>
      <c r="AA44" s="32"/>
      <c r="AB44" s="46"/>
      <c r="AC44" s="51"/>
      <c r="AD44" s="52"/>
      <c r="AE44" s="47"/>
      <c r="AF44" s="35">
        <v>56708881702</v>
      </c>
      <c r="AG44" s="33"/>
    </row>
    <row r="45" spans="1:34" s="18" customFormat="1">
      <c r="A45" s="72" t="s">
        <v>40</v>
      </c>
      <c r="B45" s="33" t="s">
        <v>140</v>
      </c>
      <c r="C45" s="33" t="s">
        <v>44</v>
      </c>
      <c r="D45" s="49">
        <v>42891</v>
      </c>
      <c r="E45" s="34">
        <v>1633.31</v>
      </c>
      <c r="F45" s="34"/>
      <c r="G45" s="34"/>
      <c r="H45" s="34"/>
      <c r="I45" s="34"/>
      <c r="J45" s="46">
        <f t="shared" si="9"/>
        <v>0</v>
      </c>
      <c r="K45" s="34"/>
      <c r="L45" s="61"/>
      <c r="M45" s="34"/>
      <c r="N45" s="34"/>
      <c r="O45" s="62"/>
      <c r="P45" s="62"/>
      <c r="Q45" s="34"/>
      <c r="R45" s="32"/>
      <c r="S45" s="32"/>
      <c r="T45" s="33"/>
      <c r="U45" s="33"/>
      <c r="V45" s="46">
        <f t="shared" si="24"/>
        <v>0</v>
      </c>
      <c r="W45" s="32"/>
      <c r="X45" s="46"/>
      <c r="Y45" s="32"/>
      <c r="Z45" s="32"/>
      <c r="AA45" s="32"/>
      <c r="AB45" s="46"/>
      <c r="AC45" s="51"/>
      <c r="AD45" s="52"/>
      <c r="AE45" s="47"/>
      <c r="AF45" s="35">
        <v>60590340221</v>
      </c>
      <c r="AG45" s="35"/>
    </row>
    <row r="46" spans="1:34" s="18" customFormat="1">
      <c r="A46" s="72" t="s">
        <v>38</v>
      </c>
      <c r="B46" s="33" t="s">
        <v>90</v>
      </c>
      <c r="C46" s="33" t="s">
        <v>29</v>
      </c>
      <c r="D46" s="49">
        <v>42506</v>
      </c>
      <c r="E46" s="34">
        <v>1166.27</v>
      </c>
      <c r="F46" s="34">
        <v>2036.18</v>
      </c>
      <c r="G46" s="34"/>
      <c r="H46" s="34"/>
      <c r="I46" s="34"/>
      <c r="J46" s="46">
        <f t="shared" si="9"/>
        <v>2036.18</v>
      </c>
      <c r="K46" s="34"/>
      <c r="L46" s="61"/>
      <c r="M46" s="34"/>
      <c r="N46" s="34"/>
      <c r="O46" s="62"/>
      <c r="P46" s="62"/>
      <c r="Q46" s="34"/>
      <c r="R46" s="32"/>
      <c r="S46" s="32"/>
      <c r="T46" s="33"/>
      <c r="U46" s="33"/>
      <c r="V46" s="46">
        <f t="shared" si="24"/>
        <v>2036.18</v>
      </c>
      <c r="W46" s="32">
        <f t="shared" si="15"/>
        <v>0</v>
      </c>
      <c r="X46" s="46">
        <f t="shared" si="16"/>
        <v>2036.18</v>
      </c>
      <c r="Y46" s="32">
        <f t="shared" si="17"/>
        <v>203.61800000000002</v>
      </c>
      <c r="Z46" s="32">
        <v>10.23</v>
      </c>
      <c r="AA46" s="32">
        <f t="shared" si="18"/>
        <v>0</v>
      </c>
      <c r="AB46" s="46">
        <f t="shared" si="19"/>
        <v>2250.0280000000002</v>
      </c>
      <c r="AC46" s="51"/>
      <c r="AD46" s="51"/>
      <c r="AE46" s="47">
        <f t="shared" ref="AE46" si="31">+AC46+AD46-X46</f>
        <v>-2036.18</v>
      </c>
      <c r="AF46" s="35">
        <v>56708881551</v>
      </c>
      <c r="AG46" s="35"/>
    </row>
    <row r="47" spans="1:34" s="18" customFormat="1" ht="15.75">
      <c r="A47" s="72" t="s">
        <v>38</v>
      </c>
      <c r="B47" s="33" t="s">
        <v>173</v>
      </c>
      <c r="C47" s="33" t="s">
        <v>29</v>
      </c>
      <c r="D47" s="49">
        <v>43006</v>
      </c>
      <c r="E47" s="34">
        <v>1166.6199999999999</v>
      </c>
      <c r="F47" s="34">
        <v>2801.04</v>
      </c>
      <c r="G47" s="34"/>
      <c r="H47" s="34"/>
      <c r="I47" s="34"/>
      <c r="J47" s="46">
        <f t="shared" si="9"/>
        <v>2801.04</v>
      </c>
      <c r="K47" s="34"/>
      <c r="L47" s="61"/>
      <c r="M47" s="34"/>
      <c r="N47" s="34"/>
      <c r="O47" s="62"/>
      <c r="P47" s="62"/>
      <c r="Q47" s="34"/>
      <c r="R47" s="32"/>
      <c r="S47" s="67"/>
      <c r="T47" s="33"/>
      <c r="U47" s="33"/>
      <c r="V47" s="46"/>
      <c r="W47" s="32"/>
      <c r="X47" s="46"/>
      <c r="Y47" s="32"/>
      <c r="Z47" s="32"/>
      <c r="AA47" s="32"/>
      <c r="AB47" s="46"/>
      <c r="AC47" s="51"/>
      <c r="AD47" s="52"/>
      <c r="AE47" s="47"/>
      <c r="AF47" s="35">
        <v>60595911850</v>
      </c>
      <c r="AG47" s="33"/>
    </row>
    <row r="48" spans="1:34" s="18" customFormat="1">
      <c r="A48" s="72" t="s">
        <v>28</v>
      </c>
      <c r="B48" s="33" t="s">
        <v>93</v>
      </c>
      <c r="C48" s="33" t="s">
        <v>30</v>
      </c>
      <c r="D48" s="49">
        <v>42522</v>
      </c>
      <c r="E48" s="34">
        <v>1026.69</v>
      </c>
      <c r="F48" s="34">
        <v>3834.31</v>
      </c>
      <c r="G48" s="34"/>
      <c r="H48" s="34"/>
      <c r="I48" s="34"/>
      <c r="J48" s="46">
        <f t="shared" si="9"/>
        <v>3834.31</v>
      </c>
      <c r="K48" s="34"/>
      <c r="L48" s="61"/>
      <c r="M48" s="34"/>
      <c r="N48" s="34"/>
      <c r="O48" s="62"/>
      <c r="P48" s="62"/>
      <c r="Q48" s="34"/>
      <c r="R48" s="32">
        <v>2793.7</v>
      </c>
      <c r="S48" s="32"/>
      <c r="T48" s="33"/>
      <c r="U48" s="73">
        <v>374.92</v>
      </c>
      <c r="V48" s="46">
        <f t="shared" si="24"/>
        <v>665.69</v>
      </c>
      <c r="W48" s="32">
        <f t="shared" ref="W48:W52" si="32">IF(J48&gt;2250,J48*0.1,0)</f>
        <v>383.43100000000004</v>
      </c>
      <c r="X48" s="46">
        <f t="shared" ref="X48:X61" si="33">+V48-W48</f>
        <v>282.25900000000001</v>
      </c>
      <c r="Y48" s="32">
        <f t="shared" ref="Y48:Y60" si="34">IF(J48&lt;2250,J48*0.1,0)</f>
        <v>0</v>
      </c>
      <c r="Z48" s="32">
        <v>10.23</v>
      </c>
      <c r="AA48" s="32">
        <f t="shared" ref="AA48:AA60" si="35">+O48</f>
        <v>0</v>
      </c>
      <c r="AB48" s="46">
        <f t="shared" ref="AB48:AB60" si="36">+J48+Y48+Z48+AA48</f>
        <v>3844.54</v>
      </c>
      <c r="AC48" s="51"/>
      <c r="AD48" s="51"/>
      <c r="AE48" s="47"/>
      <c r="AF48" s="35">
        <v>56708845237</v>
      </c>
      <c r="AG48" s="35"/>
    </row>
    <row r="49" spans="1:187" s="18" customFormat="1">
      <c r="A49" s="72" t="s">
        <v>38</v>
      </c>
      <c r="B49" s="33" t="s">
        <v>67</v>
      </c>
      <c r="C49" s="33" t="s">
        <v>44</v>
      </c>
      <c r="D49" s="49">
        <v>42321</v>
      </c>
      <c r="E49" s="34">
        <v>1869</v>
      </c>
      <c r="F49" s="64"/>
      <c r="G49" s="64"/>
      <c r="H49" s="34"/>
      <c r="I49" s="34"/>
      <c r="J49" s="46">
        <f t="shared" si="9"/>
        <v>0</v>
      </c>
      <c r="K49" s="34"/>
      <c r="L49" s="61"/>
      <c r="M49" s="34"/>
      <c r="N49" s="34"/>
      <c r="O49" s="62"/>
      <c r="P49" s="62"/>
      <c r="Q49" s="34"/>
      <c r="R49" s="32"/>
      <c r="S49" s="32"/>
      <c r="T49" s="33"/>
      <c r="U49" s="33"/>
      <c r="V49" s="46">
        <f t="shared" si="24"/>
        <v>0</v>
      </c>
      <c r="W49" s="32">
        <f t="shared" si="32"/>
        <v>0</v>
      </c>
      <c r="X49" s="46">
        <f t="shared" si="33"/>
        <v>0</v>
      </c>
      <c r="Y49" s="32">
        <f t="shared" si="34"/>
        <v>0</v>
      </c>
      <c r="Z49" s="32">
        <v>10.23</v>
      </c>
      <c r="AA49" s="32">
        <f t="shared" si="35"/>
        <v>0</v>
      </c>
      <c r="AB49" s="46">
        <f t="shared" si="36"/>
        <v>10.23</v>
      </c>
      <c r="AC49" s="51"/>
      <c r="AD49" s="52"/>
      <c r="AE49" s="47">
        <f t="shared" ref="AE49:AE52" si="37">+AC49+AD49-X49</f>
        <v>0</v>
      </c>
      <c r="AF49" s="35">
        <v>56708845240</v>
      </c>
      <c r="AG49" s="33"/>
    </row>
    <row r="50" spans="1:187" s="18" customFormat="1">
      <c r="A50" s="72" t="s">
        <v>38</v>
      </c>
      <c r="B50" s="33" t="s">
        <v>111</v>
      </c>
      <c r="C50" s="33" t="s">
        <v>92</v>
      </c>
      <c r="D50" s="49">
        <v>42646</v>
      </c>
      <c r="E50" s="34">
        <v>1166.27</v>
      </c>
      <c r="F50" s="34">
        <v>3132.4</v>
      </c>
      <c r="G50" s="34"/>
      <c r="H50" s="34">
        <v>888.58</v>
      </c>
      <c r="I50" s="34"/>
      <c r="J50" s="46">
        <f t="shared" si="9"/>
        <v>4020.98</v>
      </c>
      <c r="K50" s="34"/>
      <c r="L50" s="61"/>
      <c r="M50" s="34"/>
      <c r="N50" s="34"/>
      <c r="O50" s="62"/>
      <c r="P50" s="62"/>
      <c r="Q50" s="34"/>
      <c r="R50" s="32"/>
      <c r="S50" s="32"/>
      <c r="T50" s="33"/>
      <c r="U50" s="33"/>
      <c r="V50" s="46">
        <f t="shared" si="24"/>
        <v>4020.98</v>
      </c>
      <c r="W50" s="32">
        <f t="shared" ref="W50" si="38">IF(J50&gt;2250,J50*0.1,0)</f>
        <v>402.09800000000001</v>
      </c>
      <c r="X50" s="46">
        <f t="shared" ref="X50" si="39">+V50-W50</f>
        <v>3618.8820000000001</v>
      </c>
      <c r="Y50" s="32"/>
      <c r="Z50" s="32"/>
      <c r="AA50" s="32"/>
      <c r="AB50" s="46"/>
      <c r="AC50" s="51"/>
      <c r="AD50" s="52"/>
      <c r="AE50" s="47"/>
      <c r="AF50" s="35">
        <v>56708881582</v>
      </c>
      <c r="AG50" s="35"/>
    </row>
    <row r="51" spans="1:187" s="18" customFormat="1">
      <c r="A51" s="72" t="s">
        <v>38</v>
      </c>
      <c r="B51" s="33" t="s">
        <v>157</v>
      </c>
      <c r="C51" s="33" t="s">
        <v>29</v>
      </c>
      <c r="D51" s="49">
        <v>42065</v>
      </c>
      <c r="E51" s="34">
        <v>1166.27</v>
      </c>
      <c r="F51" s="34">
        <v>1556.42</v>
      </c>
      <c r="G51" s="34"/>
      <c r="H51" s="34"/>
      <c r="I51" s="34"/>
      <c r="J51" s="46">
        <f t="shared" si="9"/>
        <v>1556.42</v>
      </c>
      <c r="K51" s="34"/>
      <c r="L51" s="61"/>
      <c r="M51" s="34"/>
      <c r="N51" s="34"/>
      <c r="O51" s="62"/>
      <c r="P51" s="62"/>
      <c r="Q51" s="34"/>
      <c r="R51" s="32"/>
      <c r="S51" s="32"/>
      <c r="T51" s="33"/>
      <c r="U51" s="33"/>
      <c r="V51" s="46">
        <f t="shared" ref="V51:V61" si="40">+J51-SUM(K51:U51)</f>
        <v>1556.42</v>
      </c>
      <c r="W51" s="32">
        <f t="shared" si="32"/>
        <v>0</v>
      </c>
      <c r="X51" s="46">
        <f t="shared" si="33"/>
        <v>1556.42</v>
      </c>
      <c r="Y51" s="32">
        <f t="shared" si="34"/>
        <v>155.64200000000002</v>
      </c>
      <c r="Z51" s="32">
        <v>10.23</v>
      </c>
      <c r="AA51" s="32">
        <f t="shared" si="35"/>
        <v>0</v>
      </c>
      <c r="AB51" s="46">
        <f t="shared" si="36"/>
        <v>1722.2920000000001</v>
      </c>
      <c r="AC51" s="51"/>
      <c r="AD51" s="52"/>
      <c r="AE51" s="47">
        <f t="shared" si="37"/>
        <v>-1556.42</v>
      </c>
      <c r="AF51" s="35">
        <v>56708845254</v>
      </c>
      <c r="AG51" s="35"/>
    </row>
    <row r="52" spans="1:187" s="18" customFormat="1">
      <c r="A52" s="72" t="s">
        <v>28</v>
      </c>
      <c r="B52" s="33" t="s">
        <v>37</v>
      </c>
      <c r="C52" s="33" t="s">
        <v>30</v>
      </c>
      <c r="D52" s="49">
        <v>41218</v>
      </c>
      <c r="E52" s="34">
        <v>1026.69</v>
      </c>
      <c r="F52" s="34"/>
      <c r="G52" s="34"/>
      <c r="H52" s="34"/>
      <c r="I52" s="34"/>
      <c r="J52" s="46">
        <f t="shared" si="9"/>
        <v>0</v>
      </c>
      <c r="K52" s="34"/>
      <c r="L52" s="61">
        <v>1</v>
      </c>
      <c r="M52" s="34"/>
      <c r="N52" s="34"/>
      <c r="O52" s="62"/>
      <c r="P52" s="62"/>
      <c r="Q52" s="34"/>
      <c r="R52" s="32">
        <v>200</v>
      </c>
      <c r="S52" s="32"/>
      <c r="T52" s="33"/>
      <c r="U52" s="73">
        <v>469.13</v>
      </c>
      <c r="V52" s="46">
        <f t="shared" si="40"/>
        <v>-670.13</v>
      </c>
      <c r="W52" s="32">
        <f t="shared" si="32"/>
        <v>0</v>
      </c>
      <c r="X52" s="46">
        <f t="shared" si="33"/>
        <v>-670.13</v>
      </c>
      <c r="Y52" s="32">
        <f t="shared" si="34"/>
        <v>0</v>
      </c>
      <c r="Z52" s="32">
        <v>10.23</v>
      </c>
      <c r="AA52" s="32">
        <f t="shared" si="35"/>
        <v>0</v>
      </c>
      <c r="AB52" s="46">
        <f t="shared" si="36"/>
        <v>10.23</v>
      </c>
      <c r="AC52" s="51"/>
      <c r="AD52" s="52"/>
      <c r="AE52" s="47">
        <f t="shared" si="37"/>
        <v>670.13</v>
      </c>
      <c r="AF52" s="35">
        <v>56708881596</v>
      </c>
      <c r="AG52" s="33"/>
    </row>
    <row r="53" spans="1:187" s="18" customFormat="1">
      <c r="A53" s="72" t="s">
        <v>26</v>
      </c>
      <c r="B53" s="33" t="s">
        <v>109</v>
      </c>
      <c r="C53" s="33" t="s">
        <v>107</v>
      </c>
      <c r="D53" s="49">
        <v>42241</v>
      </c>
      <c r="E53" s="34">
        <v>1250.02</v>
      </c>
      <c r="F53" s="34"/>
      <c r="G53" s="34"/>
      <c r="H53" s="34"/>
      <c r="I53" s="34"/>
      <c r="J53" s="46">
        <f t="shared" si="9"/>
        <v>0</v>
      </c>
      <c r="K53" s="34"/>
      <c r="L53" s="61"/>
      <c r="M53" s="34"/>
      <c r="N53" s="34"/>
      <c r="O53" s="62"/>
      <c r="P53" s="62"/>
      <c r="Q53" s="34"/>
      <c r="R53" s="32"/>
      <c r="S53" s="32"/>
      <c r="T53" s="33"/>
      <c r="U53" s="33"/>
      <c r="V53" s="46">
        <f t="shared" ref="V53" si="41">+J53-SUM(K53:U53)</f>
        <v>0</v>
      </c>
      <c r="W53" s="32">
        <f t="shared" ref="W53" si="42">IF(J53&gt;2250,J53*0.1,0)</f>
        <v>0</v>
      </c>
      <c r="X53" s="46">
        <f t="shared" ref="X53" si="43">+V53-W53</f>
        <v>0</v>
      </c>
      <c r="Y53" s="32">
        <f t="shared" si="34"/>
        <v>0</v>
      </c>
      <c r="Z53" s="32"/>
      <c r="AA53" s="32"/>
      <c r="AB53" s="46"/>
      <c r="AC53" s="51"/>
      <c r="AD53" s="52"/>
      <c r="AE53" s="47"/>
      <c r="AF53" s="35">
        <v>56708845268</v>
      </c>
      <c r="AG53" s="35"/>
    </row>
    <row r="54" spans="1:187" s="18" customFormat="1">
      <c r="A54" s="72" t="s">
        <v>40</v>
      </c>
      <c r="B54" s="33" t="s">
        <v>78</v>
      </c>
      <c r="C54" s="33" t="s">
        <v>44</v>
      </c>
      <c r="D54" s="49">
        <v>42333</v>
      </c>
      <c r="E54" s="34">
        <v>1869</v>
      </c>
      <c r="F54" s="64"/>
      <c r="G54" s="64"/>
      <c r="H54" s="34"/>
      <c r="I54" s="34"/>
      <c r="J54" s="46">
        <f t="shared" si="9"/>
        <v>0</v>
      </c>
      <c r="K54" s="34"/>
      <c r="L54" s="61"/>
      <c r="M54" s="34"/>
      <c r="N54" s="34"/>
      <c r="O54" s="62"/>
      <c r="P54" s="62"/>
      <c r="Q54" s="34"/>
      <c r="R54" s="32"/>
      <c r="S54" s="32"/>
      <c r="T54" s="33"/>
      <c r="U54" s="33">
        <v>355.52</v>
      </c>
      <c r="V54" s="46">
        <f t="shared" si="40"/>
        <v>-355.52</v>
      </c>
      <c r="W54" s="32">
        <f t="shared" ref="W54:W61" si="44">IF(J54&gt;2250,J54*0.1,0)</f>
        <v>0</v>
      </c>
      <c r="X54" s="46">
        <f t="shared" si="33"/>
        <v>-355.52</v>
      </c>
      <c r="Y54" s="32">
        <f t="shared" si="34"/>
        <v>0</v>
      </c>
      <c r="Z54" s="32">
        <v>10.23</v>
      </c>
      <c r="AA54" s="32">
        <f t="shared" si="35"/>
        <v>0</v>
      </c>
      <c r="AB54" s="46">
        <f t="shared" si="36"/>
        <v>10.23</v>
      </c>
      <c r="AC54" s="51"/>
      <c r="AD54" s="52"/>
      <c r="AE54" s="47">
        <f>+AC54+AD54-X54</f>
        <v>355.52</v>
      </c>
      <c r="AF54" s="35">
        <v>60589939521</v>
      </c>
      <c r="AG54" s="35"/>
    </row>
    <row r="55" spans="1:187" s="18" customFormat="1">
      <c r="A55" s="72" t="s">
        <v>28</v>
      </c>
      <c r="B55" s="33" t="s">
        <v>98</v>
      </c>
      <c r="C55" s="33" t="s">
        <v>30</v>
      </c>
      <c r="D55" s="49">
        <v>42459</v>
      </c>
      <c r="E55" s="34">
        <v>1026.69</v>
      </c>
      <c r="F55" s="34">
        <v>7763.06</v>
      </c>
      <c r="G55" s="34"/>
      <c r="H55" s="34"/>
      <c r="I55" s="34"/>
      <c r="J55" s="46">
        <f t="shared" si="9"/>
        <v>7763.06</v>
      </c>
      <c r="K55" s="34"/>
      <c r="L55" s="61"/>
      <c r="M55" s="34"/>
      <c r="N55" s="34"/>
      <c r="O55" s="62"/>
      <c r="P55" s="62"/>
      <c r="Q55" s="34"/>
      <c r="R55" s="32">
        <v>1456.06</v>
      </c>
      <c r="S55" s="32"/>
      <c r="T55" s="33"/>
      <c r="U55" s="33"/>
      <c r="V55" s="46">
        <f t="shared" si="40"/>
        <v>6307</v>
      </c>
      <c r="W55" s="32">
        <f t="shared" si="44"/>
        <v>776.30600000000004</v>
      </c>
      <c r="X55" s="46">
        <f t="shared" si="33"/>
        <v>5530.6939999999995</v>
      </c>
      <c r="Y55" s="32">
        <f t="shared" si="34"/>
        <v>0</v>
      </c>
      <c r="Z55" s="32">
        <v>10.23</v>
      </c>
      <c r="AA55" s="32">
        <f t="shared" si="35"/>
        <v>0</v>
      </c>
      <c r="AB55" s="46">
        <f t="shared" si="36"/>
        <v>7773.29</v>
      </c>
      <c r="AC55" s="56"/>
      <c r="AD55" s="52"/>
      <c r="AE55" s="47">
        <f>+AC55+AD55-X55</f>
        <v>-5530.6939999999995</v>
      </c>
      <c r="AF55" s="35">
        <v>60589627948</v>
      </c>
      <c r="AG55" s="35"/>
    </row>
    <row r="56" spans="1:187" s="18" customFormat="1">
      <c r="A56" s="72" t="s">
        <v>26</v>
      </c>
      <c r="B56" s="33" t="s">
        <v>134</v>
      </c>
      <c r="C56" s="33" t="s">
        <v>29</v>
      </c>
      <c r="D56" s="49">
        <v>42849</v>
      </c>
      <c r="E56" s="34">
        <v>1166.27</v>
      </c>
      <c r="F56" s="34">
        <v>1069.1099999999999</v>
      </c>
      <c r="G56" s="34"/>
      <c r="H56" s="34"/>
      <c r="I56" s="34"/>
      <c r="J56" s="46">
        <f t="shared" si="9"/>
        <v>1069.1099999999999</v>
      </c>
      <c r="K56" s="34"/>
      <c r="L56" s="61"/>
      <c r="M56" s="34"/>
      <c r="N56" s="34"/>
      <c r="O56" s="62"/>
      <c r="P56" s="62"/>
      <c r="Q56" s="34"/>
      <c r="R56" s="32"/>
      <c r="S56" s="32"/>
      <c r="T56" s="33"/>
      <c r="U56" s="33"/>
      <c r="V56" s="46">
        <f t="shared" si="40"/>
        <v>1069.1099999999999</v>
      </c>
      <c r="W56" s="32"/>
      <c r="X56" s="46"/>
      <c r="Y56" s="32"/>
      <c r="Z56" s="32"/>
      <c r="AA56" s="32"/>
      <c r="AB56" s="46"/>
      <c r="AC56" s="56"/>
      <c r="AD56" s="52"/>
      <c r="AE56" s="47"/>
      <c r="AF56" s="35">
        <v>60590412629</v>
      </c>
      <c r="AG56" s="35"/>
    </row>
    <row r="57" spans="1:187" s="18" customFormat="1">
      <c r="A57" s="72" t="s">
        <v>26</v>
      </c>
      <c r="B57" s="33" t="s">
        <v>95</v>
      </c>
      <c r="C57" s="33" t="s">
        <v>43</v>
      </c>
      <c r="D57" s="49">
        <v>42566</v>
      </c>
      <c r="E57" s="34">
        <v>933.31</v>
      </c>
      <c r="F57" s="34">
        <v>1770</v>
      </c>
      <c r="G57" s="34"/>
      <c r="H57" s="34"/>
      <c r="I57" s="34"/>
      <c r="J57" s="46">
        <f t="shared" si="9"/>
        <v>1770</v>
      </c>
      <c r="K57" s="34"/>
      <c r="L57" s="61"/>
      <c r="M57" s="34"/>
      <c r="N57" s="34"/>
      <c r="O57" s="62"/>
      <c r="P57" s="62"/>
      <c r="Q57" s="34"/>
      <c r="R57" s="32"/>
      <c r="S57" s="32"/>
      <c r="T57" s="33"/>
      <c r="U57" s="33"/>
      <c r="V57" s="46">
        <f t="shared" si="40"/>
        <v>1770</v>
      </c>
      <c r="W57" s="32">
        <f t="shared" si="44"/>
        <v>0</v>
      </c>
      <c r="X57" s="46">
        <f t="shared" si="33"/>
        <v>1770</v>
      </c>
      <c r="Y57" s="32">
        <f t="shared" si="34"/>
        <v>177</v>
      </c>
      <c r="Z57" s="32">
        <v>21.23</v>
      </c>
      <c r="AA57" s="32">
        <f t="shared" si="35"/>
        <v>0</v>
      </c>
      <c r="AB57" s="46">
        <f t="shared" si="36"/>
        <v>1968.23</v>
      </c>
      <c r="AC57" s="56"/>
      <c r="AD57" s="52"/>
      <c r="AE57" s="47"/>
      <c r="AF57" s="35">
        <v>56708845709</v>
      </c>
      <c r="AG57" s="35"/>
    </row>
    <row r="58" spans="1:187" s="18" customFormat="1">
      <c r="A58" s="72" t="s">
        <v>27</v>
      </c>
      <c r="B58" s="33" t="s">
        <v>147</v>
      </c>
      <c r="C58" s="33" t="s">
        <v>107</v>
      </c>
      <c r="D58" s="49">
        <v>42916</v>
      </c>
      <c r="E58" s="34">
        <v>1400</v>
      </c>
      <c r="F58" s="34"/>
      <c r="G58" s="34"/>
      <c r="H58" s="34"/>
      <c r="I58" s="34"/>
      <c r="J58" s="46">
        <f t="shared" si="9"/>
        <v>0</v>
      </c>
      <c r="K58" s="34"/>
      <c r="L58" s="61"/>
      <c r="M58" s="34"/>
      <c r="N58" s="34"/>
      <c r="O58" s="62"/>
      <c r="P58" s="62"/>
      <c r="Q58" s="34"/>
      <c r="R58" s="32"/>
      <c r="S58" s="32"/>
      <c r="T58" s="33"/>
      <c r="U58" s="33"/>
      <c r="V58" s="46">
        <f t="shared" si="40"/>
        <v>0</v>
      </c>
      <c r="W58" s="32"/>
      <c r="X58" s="46"/>
      <c r="Y58" s="32"/>
      <c r="Z58" s="32"/>
      <c r="AA58" s="32"/>
      <c r="AB58" s="46"/>
      <c r="AC58" s="56"/>
      <c r="AD58" s="57"/>
      <c r="AE58" s="47"/>
      <c r="AF58" s="35">
        <v>60592631462</v>
      </c>
      <c r="AG58" s="35"/>
    </row>
    <row r="59" spans="1:187" s="18" customFormat="1">
      <c r="A59" s="72" t="s">
        <v>28</v>
      </c>
      <c r="B59" s="33" t="s">
        <v>158</v>
      </c>
      <c r="C59" s="33" t="s">
        <v>30</v>
      </c>
      <c r="D59" s="49">
        <v>42842</v>
      </c>
      <c r="E59" s="34">
        <v>1026.69</v>
      </c>
      <c r="F59" s="34">
        <v>1170.71</v>
      </c>
      <c r="G59" s="34"/>
      <c r="H59" s="34"/>
      <c r="I59" s="34"/>
      <c r="J59" s="46">
        <f t="shared" si="9"/>
        <v>1170.71</v>
      </c>
      <c r="K59" s="34"/>
      <c r="L59" s="61"/>
      <c r="M59" s="34"/>
      <c r="N59" s="34"/>
      <c r="O59" s="62"/>
      <c r="P59" s="62"/>
      <c r="Q59" s="34"/>
      <c r="R59" s="32"/>
      <c r="S59" s="32"/>
      <c r="T59" s="33"/>
      <c r="U59" s="33"/>
      <c r="V59" s="46">
        <f t="shared" si="40"/>
        <v>1170.71</v>
      </c>
      <c r="W59" s="32"/>
      <c r="X59" s="46"/>
      <c r="Y59" s="32"/>
      <c r="Z59" s="32"/>
      <c r="AA59" s="32"/>
      <c r="AB59" s="46"/>
      <c r="AC59" s="56"/>
      <c r="AD59" s="57"/>
      <c r="AE59" s="47"/>
      <c r="AF59" s="35">
        <v>60590199370</v>
      </c>
      <c r="AG59" s="35"/>
    </row>
    <row r="60" spans="1:187" s="18" customFormat="1">
      <c r="A60" s="72" t="s">
        <v>27</v>
      </c>
      <c r="B60" s="33" t="s">
        <v>89</v>
      </c>
      <c r="C60" s="33" t="s">
        <v>142</v>
      </c>
      <c r="D60" s="49">
        <v>42506</v>
      </c>
      <c r="E60" s="34">
        <v>1633.38</v>
      </c>
      <c r="F60" s="34">
        <v>1931.32</v>
      </c>
      <c r="G60" s="34"/>
      <c r="H60" s="34"/>
      <c r="I60" s="34"/>
      <c r="J60" s="46">
        <f t="shared" si="9"/>
        <v>1931.32</v>
      </c>
      <c r="K60" s="34"/>
      <c r="L60" s="61"/>
      <c r="M60" s="34"/>
      <c r="N60" s="34"/>
      <c r="O60" s="62"/>
      <c r="P60" s="62"/>
      <c r="Q60" s="34"/>
      <c r="R60" s="32" t="s">
        <v>172</v>
      </c>
      <c r="S60" s="32"/>
      <c r="T60" s="33"/>
      <c r="U60" s="59">
        <v>208.65</v>
      </c>
      <c r="V60" s="46">
        <f t="shared" si="40"/>
        <v>1722.6699999999998</v>
      </c>
      <c r="W60" s="32">
        <f t="shared" si="44"/>
        <v>0</v>
      </c>
      <c r="X60" s="46">
        <f t="shared" si="33"/>
        <v>1722.6699999999998</v>
      </c>
      <c r="Y60" s="32">
        <f t="shared" si="34"/>
        <v>193.13200000000001</v>
      </c>
      <c r="Z60" s="32">
        <v>10.23</v>
      </c>
      <c r="AA60" s="32">
        <f t="shared" si="35"/>
        <v>0</v>
      </c>
      <c r="AB60" s="46">
        <f t="shared" si="36"/>
        <v>2134.6819999999998</v>
      </c>
      <c r="AC60" s="56"/>
      <c r="AD60" s="56"/>
      <c r="AE60" s="47">
        <f t="shared" ref="AE60" si="45">+AC60+AD60-X60</f>
        <v>-1722.6699999999998</v>
      </c>
      <c r="AF60" s="35">
        <v>1179675078</v>
      </c>
      <c r="AG60" s="35"/>
      <c r="AH60" s="18" t="s">
        <v>130</v>
      </c>
    </row>
    <row r="61" spans="1:187" s="18" customFormat="1">
      <c r="A61" s="72" t="s">
        <v>26</v>
      </c>
      <c r="B61" s="33" t="s">
        <v>125</v>
      </c>
      <c r="C61" s="33" t="s">
        <v>43</v>
      </c>
      <c r="D61" s="49">
        <v>42597</v>
      </c>
      <c r="E61" s="34">
        <v>933.31</v>
      </c>
      <c r="F61" s="34">
        <v>960</v>
      </c>
      <c r="G61" s="34"/>
      <c r="H61" s="34"/>
      <c r="I61" s="34"/>
      <c r="J61" s="46">
        <f t="shared" si="9"/>
        <v>960</v>
      </c>
      <c r="K61" s="34"/>
      <c r="L61" s="61"/>
      <c r="M61" s="34"/>
      <c r="N61" s="34"/>
      <c r="O61" s="62"/>
      <c r="P61" s="62"/>
      <c r="Q61" s="34"/>
      <c r="R61" s="32"/>
      <c r="S61" s="32"/>
      <c r="T61" s="33"/>
      <c r="U61" s="59"/>
      <c r="V61" s="46">
        <f t="shared" si="40"/>
        <v>960</v>
      </c>
      <c r="W61" s="32">
        <f t="shared" si="44"/>
        <v>0</v>
      </c>
      <c r="X61" s="46">
        <f t="shared" si="33"/>
        <v>960</v>
      </c>
      <c r="Y61" s="32"/>
      <c r="Z61" s="32"/>
      <c r="AA61" s="32"/>
      <c r="AB61" s="46"/>
      <c r="AC61" s="56"/>
      <c r="AD61" s="56"/>
      <c r="AE61" s="47"/>
      <c r="AF61" s="35">
        <v>60594462438</v>
      </c>
      <c r="AG61" s="35"/>
    </row>
    <row r="62" spans="1:187" s="18" customFormat="1">
      <c r="A62" s="72" t="s">
        <v>38</v>
      </c>
      <c r="B62" s="33" t="s">
        <v>118</v>
      </c>
      <c r="C62" s="33" t="s">
        <v>29</v>
      </c>
      <c r="D62" s="49">
        <v>42696</v>
      </c>
      <c r="E62" s="34">
        <v>1166.27</v>
      </c>
      <c r="F62" s="34">
        <v>3454.6</v>
      </c>
      <c r="G62" s="34"/>
      <c r="H62" s="34"/>
      <c r="I62" s="34"/>
      <c r="J62" s="46">
        <f t="shared" si="9"/>
        <v>3454.6</v>
      </c>
      <c r="K62" s="34"/>
      <c r="L62" s="61"/>
      <c r="M62" s="34"/>
      <c r="N62" s="34"/>
      <c r="O62" s="62"/>
      <c r="P62" s="62"/>
      <c r="Q62" s="34"/>
      <c r="R62" s="32"/>
      <c r="S62" s="32"/>
      <c r="T62" s="33"/>
      <c r="U62" s="59"/>
      <c r="V62" s="46">
        <f t="shared" ref="V62" si="46">+J62-SUM(K62:U62)</f>
        <v>3454.6</v>
      </c>
      <c r="W62" s="32">
        <f t="shared" ref="W62" si="47">IF(J62&gt;2250,J62*0.1,0)</f>
        <v>345.46000000000004</v>
      </c>
      <c r="X62" s="46">
        <f t="shared" ref="X62" si="48">+V62-W62</f>
        <v>3109.14</v>
      </c>
      <c r="Y62" s="32"/>
      <c r="Z62" s="32"/>
      <c r="AA62" s="32"/>
      <c r="AB62" s="46"/>
      <c r="AC62" s="56"/>
      <c r="AD62" s="56"/>
      <c r="AE62" s="47"/>
      <c r="AF62" s="35">
        <v>56710784605</v>
      </c>
      <c r="AG62" s="35"/>
    </row>
    <row r="63" spans="1:187" s="18" customFormat="1">
      <c r="A63" s="24"/>
      <c r="B63" s="25"/>
      <c r="C63" s="25"/>
      <c r="D63" s="25"/>
      <c r="E63" s="25"/>
      <c r="F63" s="26"/>
      <c r="G63" s="26"/>
      <c r="H63" s="26"/>
      <c r="I63" s="26"/>
      <c r="J63" s="27"/>
      <c r="K63" s="26"/>
      <c r="L63" s="26"/>
      <c r="M63" s="26"/>
      <c r="N63" s="26"/>
      <c r="O63" s="26"/>
      <c r="P63" s="26"/>
      <c r="Q63" s="26"/>
      <c r="R63" s="36"/>
      <c r="S63" s="36"/>
      <c r="T63" s="36"/>
      <c r="U63" s="36"/>
      <c r="V63" s="27"/>
      <c r="W63" s="36"/>
      <c r="X63" s="27"/>
      <c r="Y63" s="36"/>
      <c r="Z63" s="36"/>
      <c r="AA63" s="36"/>
      <c r="AB63" s="27"/>
      <c r="AC63" s="43"/>
      <c r="AD63" s="43"/>
      <c r="AE63" s="22"/>
    </row>
    <row r="64" spans="1:187">
      <c r="B64" s="37" t="s">
        <v>1</v>
      </c>
      <c r="C64" s="37"/>
      <c r="D64" s="37"/>
      <c r="E64" s="38">
        <f>SUM(E7:E63)</f>
        <v>79471.520000000019</v>
      </c>
      <c r="F64" s="38">
        <f>SUM(F7:F63)</f>
        <v>135112.97</v>
      </c>
      <c r="G64" s="38">
        <f t="shared" ref="G64:U64" si="49">SUM(G7:G63)</f>
        <v>578.99</v>
      </c>
      <c r="H64" s="38">
        <f t="shared" si="49"/>
        <v>888.58</v>
      </c>
      <c r="I64" s="38">
        <f t="shared" si="49"/>
        <v>0</v>
      </c>
      <c r="J64" s="38">
        <f t="shared" si="49"/>
        <v>135692.04999999999</v>
      </c>
      <c r="K64" s="38">
        <f t="shared" si="49"/>
        <v>0</v>
      </c>
      <c r="L64" s="38">
        <f t="shared" si="49"/>
        <v>4</v>
      </c>
      <c r="M64" s="38">
        <f t="shared" si="49"/>
        <v>0</v>
      </c>
      <c r="N64" s="38">
        <f t="shared" si="49"/>
        <v>1300</v>
      </c>
      <c r="O64" s="38">
        <f t="shared" si="49"/>
        <v>0</v>
      </c>
      <c r="P64" s="38">
        <f t="shared" si="49"/>
        <v>0</v>
      </c>
      <c r="Q64" s="38">
        <f t="shared" si="49"/>
        <v>0</v>
      </c>
      <c r="R64" s="38">
        <f t="shared" si="49"/>
        <v>9333.26</v>
      </c>
      <c r="S64" s="38">
        <f t="shared" si="49"/>
        <v>0.6</v>
      </c>
      <c r="T64" s="38">
        <f t="shared" si="49"/>
        <v>0</v>
      </c>
      <c r="U64" s="38">
        <f t="shared" si="49"/>
        <v>5903.77</v>
      </c>
      <c r="V64" s="38">
        <f t="shared" ref="M64:AE64" si="50">SUM(V8:V63)</f>
        <v>115207.56999999998</v>
      </c>
      <c r="W64" s="38">
        <f t="shared" si="50"/>
        <v>7800.9340000000002</v>
      </c>
      <c r="X64" s="38">
        <f t="shared" si="50"/>
        <v>65324.09599999999</v>
      </c>
      <c r="Y64" s="38">
        <f t="shared" si="50"/>
        <v>729.39200000000005</v>
      </c>
      <c r="Z64" s="38">
        <f t="shared" si="50"/>
        <v>268.05999999999995</v>
      </c>
      <c r="AA64" s="38">
        <f t="shared" si="50"/>
        <v>0</v>
      </c>
      <c r="AB64" s="38">
        <f t="shared" si="50"/>
        <v>63004.812000000013</v>
      </c>
      <c r="AC64" s="44">
        <f t="shared" si="50"/>
        <v>0</v>
      </c>
      <c r="AD64" s="44">
        <f t="shared" si="50"/>
        <v>0</v>
      </c>
      <c r="AE64" s="39" t="e">
        <f t="shared" si="50"/>
        <v>#REF!</v>
      </c>
      <c r="AF64" s="28"/>
      <c r="AG64" s="2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  <c r="GE64" s="18"/>
    </row>
    <row r="65" spans="1:187">
      <c r="AB65" s="14">
        <f>AB64*0.16</f>
        <v>10080.769920000002</v>
      </c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</row>
    <row r="66" spans="1:187">
      <c r="A66" s="92" t="s">
        <v>76</v>
      </c>
      <c r="B66" s="92"/>
      <c r="C66" s="28"/>
      <c r="D66" s="28"/>
      <c r="E66" s="28"/>
      <c r="F66" s="30"/>
      <c r="G66" s="30"/>
      <c r="H66" s="30"/>
      <c r="I66" s="30"/>
      <c r="J66" s="38"/>
      <c r="K66" s="30"/>
      <c r="L66" s="30"/>
      <c r="M66" s="30"/>
      <c r="N66" s="34"/>
      <c r="O66" s="34"/>
      <c r="P66" s="34"/>
      <c r="Q66" s="34"/>
      <c r="R66" s="30"/>
      <c r="S66" s="30"/>
      <c r="T66" s="30"/>
      <c r="U66" s="30"/>
      <c r="V66" s="38"/>
      <c r="W66" s="30"/>
      <c r="X66" s="38"/>
      <c r="Y66" s="30"/>
      <c r="Z66" s="30"/>
      <c r="AA66" s="30"/>
      <c r="AB66" s="38">
        <f>+AB64+AB65</f>
        <v>73085.581920000011</v>
      </c>
      <c r="AC66" s="44"/>
      <c r="AD66" s="44"/>
      <c r="AE66" s="39"/>
      <c r="AF66" s="28"/>
      <c r="AG66" s="2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</row>
    <row r="67" spans="1:187">
      <c r="A67" s="33" t="s">
        <v>41</v>
      </c>
      <c r="B67" s="33" t="s">
        <v>159</v>
      </c>
      <c r="C67" s="29" t="s">
        <v>104</v>
      </c>
      <c r="D67" s="50">
        <v>41142</v>
      </c>
      <c r="E67" s="34">
        <v>667.87</v>
      </c>
      <c r="F67" s="34">
        <f>2488.145+5.571</f>
        <v>2493.7159999999999</v>
      </c>
      <c r="G67" s="34"/>
      <c r="H67" s="31"/>
      <c r="I67" s="31"/>
      <c r="J67" s="46">
        <f>SUM(F67:I67)</f>
        <v>2493.7159999999999</v>
      </c>
      <c r="K67" s="34"/>
      <c r="L67" s="61"/>
      <c r="M67" s="34"/>
      <c r="N67" s="34"/>
      <c r="O67" s="62" t="s">
        <v>136</v>
      </c>
      <c r="P67" s="62" t="s">
        <v>136</v>
      </c>
      <c r="Q67" s="34"/>
      <c r="R67" s="32"/>
      <c r="S67" s="32"/>
      <c r="T67" s="33"/>
      <c r="U67" s="33"/>
      <c r="V67" s="46">
        <f>+J67-SUM(K67:U67)</f>
        <v>2493.7159999999999</v>
      </c>
      <c r="W67" s="32">
        <f>+V67*0.05</f>
        <v>124.6858</v>
      </c>
      <c r="X67" s="46">
        <f>+V67-R67-U67</f>
        <v>2493.7159999999999</v>
      </c>
      <c r="Y67" s="55">
        <f>IF(V67&lt;3000,V67*0.1,0)</f>
        <v>249.3716</v>
      </c>
      <c r="Z67" s="55">
        <v>0</v>
      </c>
      <c r="AA67" s="55"/>
      <c r="AB67" s="54">
        <f>+V67+Y67+Z67</f>
        <v>2743.0875999999998</v>
      </c>
      <c r="AC67" s="45"/>
      <c r="AD67" s="45"/>
      <c r="AE67" s="40"/>
      <c r="AF67" s="35">
        <v>56708845760</v>
      </c>
      <c r="AG67" s="35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</row>
    <row r="68" spans="1:187" s="18" customFormat="1">
      <c r="A68" s="33" t="s">
        <v>41</v>
      </c>
      <c r="B68" s="33" t="s">
        <v>53</v>
      </c>
      <c r="C68" s="33" t="s">
        <v>104</v>
      </c>
      <c r="D68" s="49">
        <v>41381</v>
      </c>
      <c r="E68" s="34">
        <v>627.13</v>
      </c>
      <c r="F68" s="34">
        <f>7831.588+5.571</f>
        <v>7837.1589999999997</v>
      </c>
      <c r="G68" s="34"/>
      <c r="H68" s="34"/>
      <c r="I68" s="34"/>
      <c r="J68" s="46">
        <f t="shared" ref="J68:J112" si="51">SUM(F68:I68)</f>
        <v>7837.1589999999997</v>
      </c>
      <c r="K68" s="34"/>
      <c r="L68" s="61"/>
      <c r="M68" s="34"/>
      <c r="N68" s="34"/>
      <c r="O68" s="62" t="s">
        <v>136</v>
      </c>
      <c r="P68" s="62" t="s">
        <v>136</v>
      </c>
      <c r="Q68" s="34"/>
      <c r="R68" s="32"/>
      <c r="S68" s="32"/>
      <c r="T68" s="33"/>
      <c r="U68" s="33"/>
      <c r="V68" s="46">
        <f t="shared" ref="V68:V110" si="52">+J68-SUM(K68:U68)</f>
        <v>7837.1589999999997</v>
      </c>
      <c r="W68" s="32">
        <f t="shared" ref="W68:W76" si="53">IF(J68&gt;2250,J68*0.1,0)</f>
        <v>783.71590000000003</v>
      </c>
      <c r="X68" s="46">
        <f t="shared" ref="X68:X76" si="54">+V68-W68</f>
        <v>7053.4430999999995</v>
      </c>
      <c r="Y68" s="32">
        <f t="shared" ref="Y68:Y76" si="55">IF(J68&lt;2250,J68*0.1,0)</f>
        <v>0</v>
      </c>
      <c r="Z68" s="32">
        <v>10.23</v>
      </c>
      <c r="AA68" s="32" t="str">
        <f t="shared" ref="AA68:AA76" si="56">+O68</f>
        <v>XX</v>
      </c>
      <c r="AB68" s="46" t="e">
        <f t="shared" ref="AB68:AB76" si="57">+J68+Y68+Z68+AA68</f>
        <v>#VALUE!</v>
      </c>
      <c r="AC68" s="51"/>
      <c r="AD68" s="52"/>
      <c r="AE68" s="47">
        <f t="shared" ref="AE68:AE71" si="58">+AC68+AD68-X68</f>
        <v>-7053.4430999999995</v>
      </c>
      <c r="AF68" s="35">
        <v>56708845774</v>
      </c>
      <c r="AG68" s="35"/>
    </row>
    <row r="69" spans="1:187" s="18" customFormat="1">
      <c r="A69" s="33" t="s">
        <v>41</v>
      </c>
      <c r="B69" s="33" t="s">
        <v>83</v>
      </c>
      <c r="C69" s="33" t="s">
        <v>104</v>
      </c>
      <c r="D69" s="49">
        <v>41740</v>
      </c>
      <c r="E69" s="34">
        <v>627.13</v>
      </c>
      <c r="F69" s="34">
        <f>2630.405+5.571</f>
        <v>2635.9760000000001</v>
      </c>
      <c r="G69" s="34"/>
      <c r="H69" s="34"/>
      <c r="I69" s="34"/>
      <c r="J69" s="46">
        <f t="shared" si="51"/>
        <v>2635.9760000000001</v>
      </c>
      <c r="K69" s="34"/>
      <c r="L69" s="61"/>
      <c r="M69" s="34"/>
      <c r="N69" s="32">
        <v>300</v>
      </c>
      <c r="O69" s="62" t="s">
        <v>136</v>
      </c>
      <c r="P69" s="62" t="s">
        <v>136</v>
      </c>
      <c r="Q69" s="34"/>
      <c r="R69" s="32"/>
      <c r="S69" s="32"/>
      <c r="T69" s="33"/>
      <c r="U69" s="33"/>
      <c r="V69" s="46">
        <f t="shared" si="52"/>
        <v>2335.9760000000001</v>
      </c>
      <c r="W69" s="32">
        <f t="shared" si="53"/>
        <v>263.5976</v>
      </c>
      <c r="X69" s="46">
        <f t="shared" si="54"/>
        <v>2072.3784000000001</v>
      </c>
      <c r="Y69" s="32">
        <f t="shared" si="55"/>
        <v>0</v>
      </c>
      <c r="Z69" s="32">
        <v>10.23</v>
      </c>
      <c r="AA69" s="32" t="str">
        <f t="shared" si="56"/>
        <v>XX</v>
      </c>
      <c r="AB69" s="46" t="e">
        <f t="shared" si="57"/>
        <v>#VALUE!</v>
      </c>
      <c r="AC69" s="51"/>
      <c r="AD69" s="52"/>
      <c r="AE69" s="47">
        <f t="shared" si="58"/>
        <v>-2072.3784000000001</v>
      </c>
      <c r="AF69" s="35">
        <v>56708845788</v>
      </c>
      <c r="AG69" s="35"/>
    </row>
    <row r="70" spans="1:187" s="18" customFormat="1">
      <c r="A70" s="33" t="s">
        <v>41</v>
      </c>
      <c r="B70" s="33" t="s">
        <v>126</v>
      </c>
      <c r="C70" s="33" t="s">
        <v>100</v>
      </c>
      <c r="D70" s="49">
        <v>42779</v>
      </c>
      <c r="E70" s="34">
        <v>560.28</v>
      </c>
      <c r="F70" s="34">
        <v>750.93499999999995</v>
      </c>
      <c r="G70" s="34"/>
      <c r="H70" s="34"/>
      <c r="I70" s="34"/>
      <c r="J70" s="46">
        <f t="shared" si="51"/>
        <v>750.93499999999995</v>
      </c>
      <c r="K70" s="34"/>
      <c r="L70" s="61"/>
      <c r="M70" s="34"/>
      <c r="N70" s="34"/>
      <c r="O70" s="62" t="s">
        <v>136</v>
      </c>
      <c r="P70" s="62" t="s">
        <v>136</v>
      </c>
      <c r="Q70" s="34"/>
      <c r="R70" s="32"/>
      <c r="S70" s="32"/>
      <c r="T70" s="33"/>
      <c r="U70" s="33"/>
      <c r="V70" s="46">
        <f t="shared" si="52"/>
        <v>750.93499999999995</v>
      </c>
      <c r="W70" s="32"/>
      <c r="X70" s="46"/>
      <c r="Y70" s="32"/>
      <c r="Z70" s="32"/>
      <c r="AA70" s="32"/>
      <c r="AB70" s="46"/>
      <c r="AC70" s="51"/>
      <c r="AD70" s="52"/>
      <c r="AE70" s="47"/>
      <c r="AF70" s="35">
        <v>60589582591</v>
      </c>
      <c r="AG70" s="35"/>
    </row>
    <row r="71" spans="1:187" s="18" customFormat="1">
      <c r="A71" s="33" t="s">
        <v>41</v>
      </c>
      <c r="B71" s="33" t="s">
        <v>54</v>
      </c>
      <c r="C71" s="33" t="s">
        <v>46</v>
      </c>
      <c r="D71" s="49">
        <v>41227</v>
      </c>
      <c r="E71" s="34">
        <v>560.28</v>
      </c>
      <c r="F71" s="34">
        <f>3732.36+13.099</f>
        <v>3745.4590000000003</v>
      </c>
      <c r="G71" s="34"/>
      <c r="H71" s="34"/>
      <c r="I71" s="34"/>
      <c r="J71" s="46">
        <f t="shared" si="51"/>
        <v>3745.4590000000003</v>
      </c>
      <c r="K71" s="34"/>
      <c r="L71" s="61"/>
      <c r="M71" s="34"/>
      <c r="N71" s="32">
        <v>700</v>
      </c>
      <c r="O71" s="62" t="s">
        <v>136</v>
      </c>
      <c r="P71" s="62" t="s">
        <v>136</v>
      </c>
      <c r="Q71" s="34"/>
      <c r="R71" s="32"/>
      <c r="S71" s="32"/>
      <c r="T71" s="33"/>
      <c r="U71" s="33"/>
      <c r="V71" s="46">
        <f t="shared" si="52"/>
        <v>3045.4590000000003</v>
      </c>
      <c r="W71" s="32">
        <f t="shared" si="53"/>
        <v>374.54590000000007</v>
      </c>
      <c r="X71" s="46">
        <f t="shared" si="54"/>
        <v>2670.9131000000002</v>
      </c>
      <c r="Y71" s="32">
        <f t="shared" si="55"/>
        <v>0</v>
      </c>
      <c r="Z71" s="32">
        <v>10.23</v>
      </c>
      <c r="AA71" s="32" t="str">
        <f t="shared" si="56"/>
        <v>XX</v>
      </c>
      <c r="AB71" s="46" t="e">
        <f t="shared" si="57"/>
        <v>#VALUE!</v>
      </c>
      <c r="AC71" s="51"/>
      <c r="AD71" s="52"/>
      <c r="AE71" s="47">
        <f t="shared" si="58"/>
        <v>-2670.9131000000002</v>
      </c>
      <c r="AF71" s="35">
        <v>56708845791</v>
      </c>
      <c r="AG71" s="35"/>
    </row>
    <row r="72" spans="1:187" s="18" customFormat="1">
      <c r="A72" s="33" t="s">
        <v>39</v>
      </c>
      <c r="B72" s="33" t="s">
        <v>80</v>
      </c>
      <c r="C72" s="33" t="s">
        <v>175</v>
      </c>
      <c r="D72" s="49">
        <v>42338</v>
      </c>
      <c r="E72" s="34">
        <v>739.2</v>
      </c>
      <c r="F72" s="34">
        <f>2493.299+7.428</f>
        <v>2500.7269999999999</v>
      </c>
      <c r="G72" s="34"/>
      <c r="H72" s="34"/>
      <c r="I72" s="34"/>
      <c r="J72" s="46">
        <f t="shared" si="51"/>
        <v>2500.7269999999999</v>
      </c>
      <c r="K72" s="34"/>
      <c r="L72" s="61"/>
      <c r="M72" s="34"/>
      <c r="N72" s="34"/>
      <c r="O72" s="62"/>
      <c r="P72" s="62"/>
      <c r="Q72" s="34"/>
      <c r="R72" s="32"/>
      <c r="S72" s="32"/>
      <c r="T72" s="33"/>
      <c r="U72" s="33"/>
      <c r="V72" s="46">
        <f t="shared" si="52"/>
        <v>2500.7269999999999</v>
      </c>
      <c r="W72" s="32">
        <f t="shared" si="53"/>
        <v>250.0727</v>
      </c>
      <c r="X72" s="46">
        <f t="shared" si="54"/>
        <v>2250.6542999999997</v>
      </c>
      <c r="Y72" s="32">
        <f t="shared" si="55"/>
        <v>0</v>
      </c>
      <c r="Z72" s="32">
        <v>10.23</v>
      </c>
      <c r="AA72" s="32">
        <f t="shared" si="56"/>
        <v>0</v>
      </c>
      <c r="AB72" s="46">
        <f t="shared" si="57"/>
        <v>2510.9569999999999</v>
      </c>
      <c r="AC72" s="51"/>
      <c r="AD72" s="52"/>
      <c r="AE72" s="47">
        <f>+AC72+AD72-X72</f>
        <v>-2250.6542999999997</v>
      </c>
      <c r="AF72" s="35">
        <v>56708881872</v>
      </c>
      <c r="AG72" s="35"/>
    </row>
    <row r="73" spans="1:187" s="18" customFormat="1">
      <c r="A73" s="33" t="s">
        <v>41</v>
      </c>
      <c r="B73" s="33" t="s">
        <v>128</v>
      </c>
      <c r="C73" s="33" t="s">
        <v>100</v>
      </c>
      <c r="D73" s="49">
        <v>42807</v>
      </c>
      <c r="E73" s="34">
        <v>560.28</v>
      </c>
      <c r="F73" s="34">
        <v>879.50599999999997</v>
      </c>
      <c r="G73" s="34"/>
      <c r="H73" s="34"/>
      <c r="I73" s="34"/>
      <c r="J73" s="46">
        <f t="shared" si="51"/>
        <v>879.50599999999997</v>
      </c>
      <c r="K73" s="34"/>
      <c r="L73" s="61">
        <v>1</v>
      </c>
      <c r="M73" s="34"/>
      <c r="N73" s="34"/>
      <c r="O73" s="62" t="s">
        <v>136</v>
      </c>
      <c r="P73" s="62" t="s">
        <v>136</v>
      </c>
      <c r="Q73" s="34"/>
      <c r="R73" s="32"/>
      <c r="S73" s="32"/>
      <c r="T73" s="33"/>
      <c r="U73" s="33"/>
      <c r="V73" s="46">
        <f t="shared" si="52"/>
        <v>878.50599999999997</v>
      </c>
      <c r="W73" s="32"/>
      <c r="X73" s="46"/>
      <c r="Y73" s="32"/>
      <c r="Z73" s="32"/>
      <c r="AA73" s="32"/>
      <c r="AB73" s="46"/>
      <c r="AC73" s="51"/>
      <c r="AD73" s="52"/>
      <c r="AE73" s="47"/>
      <c r="AF73" s="35">
        <v>60589642468</v>
      </c>
      <c r="AG73" s="35"/>
    </row>
    <row r="74" spans="1:187" s="18" customFormat="1">
      <c r="A74" s="33" t="s">
        <v>39</v>
      </c>
      <c r="B74" s="33" t="s">
        <v>115</v>
      </c>
      <c r="C74" s="33" t="s">
        <v>42</v>
      </c>
      <c r="D74" s="49">
        <v>42681</v>
      </c>
      <c r="E74" s="34">
        <v>738.99</v>
      </c>
      <c r="F74" s="34">
        <f>3172.637+13.099</f>
        <v>3185.7360000000003</v>
      </c>
      <c r="G74" s="34"/>
      <c r="H74" s="34"/>
      <c r="I74" s="34"/>
      <c r="J74" s="46">
        <f t="shared" si="51"/>
        <v>3185.7360000000003</v>
      </c>
      <c r="K74" s="34"/>
      <c r="L74" s="61">
        <v>1</v>
      </c>
      <c r="M74" s="34"/>
      <c r="N74" s="34">
        <v>150</v>
      </c>
      <c r="O74" s="62"/>
      <c r="P74" s="62"/>
      <c r="Q74" s="34"/>
      <c r="R74" s="32"/>
      <c r="S74" s="32"/>
      <c r="T74" s="33"/>
      <c r="U74" s="33"/>
      <c r="V74" s="46">
        <f t="shared" si="52"/>
        <v>3034.7360000000003</v>
      </c>
      <c r="W74" s="32">
        <f t="shared" ref="W74" si="59">IF(J74&gt;2250,J74*0.1,0)</f>
        <v>318.57360000000006</v>
      </c>
      <c r="X74" s="46">
        <f t="shared" ref="X74" si="60">+V74-W74</f>
        <v>2716.1624000000002</v>
      </c>
      <c r="Y74" s="32"/>
      <c r="Z74" s="32"/>
      <c r="AA74" s="32"/>
      <c r="AB74" s="46"/>
      <c r="AC74" s="51"/>
      <c r="AD74" s="52"/>
      <c r="AE74" s="47"/>
      <c r="AF74" s="35">
        <v>56710773131</v>
      </c>
      <c r="AG74" s="35"/>
    </row>
    <row r="75" spans="1:187" s="18" customFormat="1">
      <c r="A75" s="33" t="s">
        <v>41</v>
      </c>
      <c r="B75" s="33" t="s">
        <v>88</v>
      </c>
      <c r="C75" s="33" t="s">
        <v>104</v>
      </c>
      <c r="D75" s="49">
        <v>41227</v>
      </c>
      <c r="E75" s="34">
        <v>627.13</v>
      </c>
      <c r="F75" s="34"/>
      <c r="G75" s="34"/>
      <c r="H75" s="34"/>
      <c r="I75" s="34"/>
      <c r="J75" s="46">
        <f t="shared" si="51"/>
        <v>0</v>
      </c>
      <c r="K75" s="34"/>
      <c r="L75" s="61" t="s">
        <v>178</v>
      </c>
      <c r="M75" s="34"/>
      <c r="N75" s="32" t="s">
        <v>172</v>
      </c>
      <c r="O75" s="62" t="s">
        <v>136</v>
      </c>
      <c r="P75" s="62" t="s">
        <v>136</v>
      </c>
      <c r="Q75" s="34"/>
      <c r="R75" s="32"/>
      <c r="S75" s="32"/>
      <c r="T75" s="33"/>
      <c r="U75" s="33"/>
      <c r="V75" s="46">
        <f t="shared" si="52"/>
        <v>0</v>
      </c>
      <c r="W75" s="32">
        <f t="shared" si="53"/>
        <v>0</v>
      </c>
      <c r="X75" s="46">
        <f t="shared" si="54"/>
        <v>0</v>
      </c>
      <c r="Y75" s="32">
        <f t="shared" si="55"/>
        <v>0</v>
      </c>
      <c r="Z75" s="32">
        <v>10.23</v>
      </c>
      <c r="AA75" s="32" t="str">
        <f t="shared" si="56"/>
        <v>XX</v>
      </c>
      <c r="AB75" s="46" t="e">
        <f t="shared" si="57"/>
        <v>#VALUE!</v>
      </c>
      <c r="AC75" s="51"/>
      <c r="AD75" s="52"/>
      <c r="AE75" s="47">
        <f>+AC75+AD75-X75</f>
        <v>0</v>
      </c>
      <c r="AF75" s="35">
        <v>56708845820</v>
      </c>
      <c r="AG75" s="35" t="s">
        <v>183</v>
      </c>
    </row>
    <row r="76" spans="1:187" s="18" customFormat="1">
      <c r="A76" s="33" t="s">
        <v>41</v>
      </c>
      <c r="B76" s="33" t="s">
        <v>63</v>
      </c>
      <c r="C76" s="33" t="s">
        <v>104</v>
      </c>
      <c r="D76" s="49">
        <v>41227</v>
      </c>
      <c r="E76" s="34">
        <v>627.13</v>
      </c>
      <c r="F76" s="34">
        <f>5165.489+2.972</f>
        <v>5168.4609999999993</v>
      </c>
      <c r="G76" s="34"/>
      <c r="H76" s="34"/>
      <c r="I76" s="34"/>
      <c r="J76" s="46">
        <f t="shared" si="51"/>
        <v>5168.4609999999993</v>
      </c>
      <c r="K76" s="34"/>
      <c r="L76" s="61"/>
      <c r="M76" s="34"/>
      <c r="N76" s="34">
        <v>1000</v>
      </c>
      <c r="O76" s="62" t="s">
        <v>136</v>
      </c>
      <c r="P76" s="62" t="s">
        <v>136</v>
      </c>
      <c r="Q76" s="34"/>
      <c r="R76" s="32"/>
      <c r="S76" s="32"/>
      <c r="T76" s="33"/>
      <c r="U76" s="33"/>
      <c r="V76" s="46">
        <f t="shared" si="52"/>
        <v>4168.4609999999993</v>
      </c>
      <c r="W76" s="32">
        <f t="shared" si="53"/>
        <v>516.84609999999998</v>
      </c>
      <c r="X76" s="46">
        <f t="shared" si="54"/>
        <v>3651.6148999999996</v>
      </c>
      <c r="Y76" s="32">
        <f t="shared" si="55"/>
        <v>0</v>
      </c>
      <c r="Z76" s="32">
        <v>10.23</v>
      </c>
      <c r="AA76" s="32" t="str">
        <f t="shared" si="56"/>
        <v>XX</v>
      </c>
      <c r="AB76" s="46" t="e">
        <f t="shared" si="57"/>
        <v>#VALUE!</v>
      </c>
      <c r="AC76" s="51"/>
      <c r="AD76" s="52"/>
      <c r="AE76" s="47">
        <f>+AC76+AD76-X76</f>
        <v>-3651.6148999999996</v>
      </c>
      <c r="AF76" s="35">
        <v>56708845834</v>
      </c>
      <c r="AG76" s="35"/>
    </row>
    <row r="77" spans="1:187" s="18" customFormat="1">
      <c r="A77" s="33" t="s">
        <v>41</v>
      </c>
      <c r="B77" s="33" t="s">
        <v>133</v>
      </c>
      <c r="C77" s="33" t="s">
        <v>120</v>
      </c>
      <c r="D77" s="49">
        <v>42842</v>
      </c>
      <c r="E77" s="34">
        <v>560.28</v>
      </c>
      <c r="F77" s="34">
        <f>4085.579+5.571</f>
        <v>4091.15</v>
      </c>
      <c r="G77" s="34"/>
      <c r="H77" s="34"/>
      <c r="I77" s="34"/>
      <c r="J77" s="46">
        <f t="shared" si="51"/>
        <v>4091.15</v>
      </c>
      <c r="K77" s="34"/>
      <c r="L77" s="61"/>
      <c r="M77" s="34"/>
      <c r="N77" s="34"/>
      <c r="O77" s="62" t="s">
        <v>136</v>
      </c>
      <c r="P77" s="62" t="s">
        <v>136</v>
      </c>
      <c r="Q77" s="34"/>
      <c r="R77" s="32"/>
      <c r="S77" s="32"/>
      <c r="T77" s="33"/>
      <c r="U77" s="33"/>
      <c r="V77" s="46">
        <f t="shared" si="52"/>
        <v>4091.15</v>
      </c>
      <c r="W77" s="32"/>
      <c r="X77" s="46"/>
      <c r="Y77" s="32"/>
      <c r="Z77" s="32"/>
      <c r="AA77" s="32"/>
      <c r="AB77" s="46"/>
      <c r="AC77" s="51"/>
      <c r="AD77" s="52"/>
      <c r="AE77" s="47"/>
      <c r="AF77" s="35">
        <v>60590100738</v>
      </c>
      <c r="AG77" s="35"/>
    </row>
    <row r="78" spans="1:187" s="86" customFormat="1">
      <c r="A78" s="75" t="s">
        <v>39</v>
      </c>
      <c r="B78" s="75" t="s">
        <v>106</v>
      </c>
      <c r="C78" s="75" t="s">
        <v>120</v>
      </c>
      <c r="D78" s="76">
        <v>42604</v>
      </c>
      <c r="E78" s="77">
        <v>560.28</v>
      </c>
      <c r="F78" s="77">
        <v>168.97499999999999</v>
      </c>
      <c r="G78" s="77"/>
      <c r="H78" s="77"/>
      <c r="I78" s="77"/>
      <c r="J78" s="78">
        <f t="shared" si="51"/>
        <v>168.97499999999999</v>
      </c>
      <c r="K78" s="77"/>
      <c r="L78" s="79"/>
      <c r="M78" s="77"/>
      <c r="N78" s="77"/>
      <c r="O78" s="80" t="s">
        <v>136</v>
      </c>
      <c r="P78" s="80" t="s">
        <v>136</v>
      </c>
      <c r="Q78" s="77"/>
      <c r="R78" s="81"/>
      <c r="S78" s="81"/>
      <c r="T78" s="75"/>
      <c r="U78" s="75"/>
      <c r="V78" s="78">
        <f t="shared" si="52"/>
        <v>168.97499999999999</v>
      </c>
      <c r="W78" s="81">
        <f t="shared" ref="W78" si="61">IF(J78&gt;2250,J78*0.1,0)</f>
        <v>0</v>
      </c>
      <c r="X78" s="78">
        <f t="shared" ref="X78" si="62">+V78-W78</f>
        <v>168.97499999999999</v>
      </c>
      <c r="Y78" s="81"/>
      <c r="Z78" s="81"/>
      <c r="AA78" s="81"/>
      <c r="AB78" s="78"/>
      <c r="AC78" s="82"/>
      <c r="AD78" s="83"/>
      <c r="AE78" s="84"/>
      <c r="AF78" s="85">
        <v>56708845848</v>
      </c>
      <c r="AG78" s="85"/>
    </row>
    <row r="79" spans="1:187" s="18" customFormat="1">
      <c r="A79" s="33" t="s">
        <v>39</v>
      </c>
      <c r="B79" s="33" t="s">
        <v>64</v>
      </c>
      <c r="C79" s="33" t="s">
        <v>42</v>
      </c>
      <c r="D79" s="49">
        <v>42319</v>
      </c>
      <c r="E79" s="34">
        <v>739.2</v>
      </c>
      <c r="F79" s="34">
        <f>3759.534+13.099</f>
        <v>3772.6330000000003</v>
      </c>
      <c r="G79" s="34"/>
      <c r="H79" s="34"/>
      <c r="I79" s="34"/>
      <c r="J79" s="46">
        <f t="shared" si="51"/>
        <v>3772.6330000000003</v>
      </c>
      <c r="K79" s="34"/>
      <c r="L79" s="61">
        <v>1</v>
      </c>
      <c r="M79" s="34"/>
      <c r="N79" s="34"/>
      <c r="O79" s="62"/>
      <c r="P79" s="62"/>
      <c r="Q79" s="34"/>
      <c r="R79" s="32"/>
      <c r="S79" s="32"/>
      <c r="T79" s="33"/>
      <c r="U79" s="33"/>
      <c r="V79" s="46">
        <f t="shared" si="52"/>
        <v>3771.6330000000003</v>
      </c>
      <c r="W79" s="32">
        <f t="shared" ref="W79:W107" si="63">IF(J79&gt;2250,J79*0.1,0)</f>
        <v>377.26330000000007</v>
      </c>
      <c r="X79" s="46">
        <f t="shared" ref="X79:X107" si="64">+V79-W79</f>
        <v>3394.3697000000002</v>
      </c>
      <c r="Y79" s="32">
        <f t="shared" ref="Y79:Y107" si="65">IF(J79&lt;2250,J79*0.1,0)</f>
        <v>0</v>
      </c>
      <c r="Z79" s="32">
        <v>19.23</v>
      </c>
      <c r="AA79" s="32">
        <f t="shared" ref="AA79:AA107" si="66">+O79</f>
        <v>0</v>
      </c>
      <c r="AB79" s="46">
        <f t="shared" ref="AB79:AB107" si="67">+J79+Y79+Z79+AA79</f>
        <v>3791.8630000000003</v>
      </c>
      <c r="AC79" s="51"/>
      <c r="AD79" s="52"/>
      <c r="AE79" s="47">
        <f>+AC79+AD79-X79</f>
        <v>-3394.3697000000002</v>
      </c>
      <c r="AF79" s="35">
        <v>56708881901</v>
      </c>
      <c r="AG79" s="35"/>
    </row>
    <row r="80" spans="1:187" s="18" customFormat="1">
      <c r="A80" s="33" t="s">
        <v>39</v>
      </c>
      <c r="B80" s="33" t="s">
        <v>138</v>
      </c>
      <c r="C80" s="33" t="s">
        <v>42</v>
      </c>
      <c r="D80" s="49">
        <v>42884</v>
      </c>
      <c r="E80" s="34">
        <v>739.27</v>
      </c>
      <c r="F80" s="34">
        <f>4353.548+7.428</f>
        <v>4360.9759999999997</v>
      </c>
      <c r="G80" s="34"/>
      <c r="H80" s="34"/>
      <c r="I80" s="34"/>
      <c r="J80" s="46">
        <f t="shared" si="51"/>
        <v>4360.9759999999997</v>
      </c>
      <c r="K80" s="34"/>
      <c r="L80" s="61"/>
      <c r="M80" s="34"/>
      <c r="N80" s="34"/>
      <c r="O80" s="62"/>
      <c r="P80" s="62"/>
      <c r="Q80" s="34"/>
      <c r="R80" s="32"/>
      <c r="S80" s="32"/>
      <c r="T80" s="33"/>
      <c r="U80" s="33"/>
      <c r="V80" s="46">
        <f t="shared" si="52"/>
        <v>4360.9759999999997</v>
      </c>
      <c r="W80" s="32"/>
      <c r="X80" s="46"/>
      <c r="Y80" s="32"/>
      <c r="Z80" s="32"/>
      <c r="AA80" s="32"/>
      <c r="AB80" s="46"/>
      <c r="AC80" s="51"/>
      <c r="AD80" s="52"/>
      <c r="AE80" s="47"/>
      <c r="AF80" s="35">
        <v>60592118015</v>
      </c>
      <c r="AG80" s="35"/>
    </row>
    <row r="81" spans="1:33" s="18" customFormat="1">
      <c r="A81" s="33" t="s">
        <v>41</v>
      </c>
      <c r="B81" s="33" t="s">
        <v>127</v>
      </c>
      <c r="C81" s="33" t="s">
        <v>100</v>
      </c>
      <c r="D81" s="49">
        <v>42807</v>
      </c>
      <c r="E81" s="34">
        <v>560.28</v>
      </c>
      <c r="F81" s="34">
        <v>1545.152</v>
      </c>
      <c r="G81" s="34"/>
      <c r="H81" s="34"/>
      <c r="I81" s="34"/>
      <c r="J81" s="46">
        <f t="shared" si="51"/>
        <v>1545.152</v>
      </c>
      <c r="K81" s="34"/>
      <c r="L81" s="61"/>
      <c r="M81" s="34"/>
      <c r="N81" s="34"/>
      <c r="O81" s="62"/>
      <c r="P81" s="62"/>
      <c r="Q81" s="34"/>
      <c r="R81" s="32"/>
      <c r="S81" s="32"/>
      <c r="T81" s="33"/>
      <c r="U81" s="33"/>
      <c r="V81" s="46">
        <f t="shared" si="52"/>
        <v>1545.152</v>
      </c>
      <c r="W81" s="32"/>
      <c r="X81" s="46"/>
      <c r="Y81" s="32"/>
      <c r="Z81" s="32"/>
      <c r="AA81" s="32"/>
      <c r="AB81" s="46"/>
      <c r="AC81" s="51"/>
      <c r="AD81" s="52"/>
      <c r="AE81" s="47"/>
      <c r="AF81" s="35" t="s">
        <v>155</v>
      </c>
      <c r="AG81" s="35"/>
    </row>
    <row r="82" spans="1:33" s="86" customFormat="1">
      <c r="A82" s="75" t="s">
        <v>39</v>
      </c>
      <c r="B82" s="75" t="s">
        <v>144</v>
      </c>
      <c r="C82" s="75" t="s">
        <v>46</v>
      </c>
      <c r="D82" s="76">
        <v>42916</v>
      </c>
      <c r="E82" s="77">
        <v>739.2</v>
      </c>
      <c r="F82" s="77">
        <v>1780.6030000000001</v>
      </c>
      <c r="G82" s="77"/>
      <c r="H82" s="77"/>
      <c r="I82" s="77"/>
      <c r="J82" s="78">
        <f t="shared" si="51"/>
        <v>1780.6030000000001</v>
      </c>
      <c r="K82" s="77"/>
      <c r="L82" s="79"/>
      <c r="M82" s="77"/>
      <c r="N82" s="77"/>
      <c r="O82" s="80"/>
      <c r="P82" s="80"/>
      <c r="Q82" s="77"/>
      <c r="R82" s="81" t="s">
        <v>172</v>
      </c>
      <c r="S82" s="81"/>
      <c r="T82" s="75"/>
      <c r="U82" s="109" t="s">
        <v>172</v>
      </c>
      <c r="V82" s="78">
        <f t="shared" si="52"/>
        <v>1780.6030000000001</v>
      </c>
      <c r="W82" s="81"/>
      <c r="X82" s="78"/>
      <c r="Y82" s="81"/>
      <c r="Z82" s="81"/>
      <c r="AA82" s="81"/>
      <c r="AB82" s="78"/>
      <c r="AC82" s="82"/>
      <c r="AD82" s="83"/>
      <c r="AE82" s="84"/>
      <c r="AF82" s="85">
        <v>60592515217</v>
      </c>
      <c r="AG82" s="85"/>
    </row>
    <row r="83" spans="1:33" s="18" customFormat="1">
      <c r="A83" s="33" t="s">
        <v>41</v>
      </c>
      <c r="B83" s="33" t="s">
        <v>50</v>
      </c>
      <c r="C83" s="33" t="s">
        <v>120</v>
      </c>
      <c r="D83" s="49">
        <v>41981</v>
      </c>
      <c r="E83" s="34">
        <v>506.28</v>
      </c>
      <c r="F83" s="34">
        <f>1269.646+2.599</f>
        <v>1272.2449999999999</v>
      </c>
      <c r="G83" s="34"/>
      <c r="H83" s="34"/>
      <c r="I83" s="34"/>
      <c r="J83" s="46">
        <f t="shared" si="51"/>
        <v>1272.2449999999999</v>
      </c>
      <c r="K83" s="34">
        <v>200</v>
      </c>
      <c r="L83" s="61"/>
      <c r="M83" s="34"/>
      <c r="N83" s="34">
        <v>300</v>
      </c>
      <c r="O83" s="62" t="s">
        <v>136</v>
      </c>
      <c r="P83" s="62" t="s">
        <v>136</v>
      </c>
      <c r="Q83" s="34"/>
      <c r="R83" s="32"/>
      <c r="S83" s="32"/>
      <c r="T83" s="33"/>
      <c r="U83" s="33"/>
      <c r="V83" s="46">
        <f t="shared" si="52"/>
        <v>772.24499999999989</v>
      </c>
      <c r="W83" s="32">
        <f t="shared" si="63"/>
        <v>0</v>
      </c>
      <c r="X83" s="46">
        <f t="shared" si="64"/>
        <v>772.24499999999989</v>
      </c>
      <c r="Y83" s="32">
        <f t="shared" si="65"/>
        <v>127.22449999999999</v>
      </c>
      <c r="Z83" s="32">
        <v>10.23</v>
      </c>
      <c r="AA83" s="32" t="str">
        <f t="shared" si="66"/>
        <v>XX</v>
      </c>
      <c r="AB83" s="46" t="e">
        <f t="shared" si="67"/>
        <v>#VALUE!</v>
      </c>
      <c r="AC83" s="51"/>
      <c r="AD83" s="52"/>
      <c r="AE83" s="47">
        <f t="shared" ref="AE83:AE107" si="68">+AC83+AD83-X83</f>
        <v>-772.24499999999989</v>
      </c>
      <c r="AF83" s="35">
        <v>56708845851</v>
      </c>
      <c r="AG83" s="35" t="s">
        <v>168</v>
      </c>
    </row>
    <row r="84" spans="1:33" s="18" customFormat="1">
      <c r="A84" s="33" t="s">
        <v>41</v>
      </c>
      <c r="B84" s="33" t="s">
        <v>72</v>
      </c>
      <c r="C84" s="33" t="s">
        <v>104</v>
      </c>
      <c r="D84" s="49">
        <v>41284</v>
      </c>
      <c r="E84" s="34">
        <v>627.13</v>
      </c>
      <c r="F84" s="34">
        <f>2181.571+5.571</f>
        <v>2187.1419999999998</v>
      </c>
      <c r="G84" s="34"/>
      <c r="H84" s="34"/>
      <c r="I84" s="34"/>
      <c r="J84" s="46">
        <f t="shared" si="51"/>
        <v>2187.1419999999998</v>
      </c>
      <c r="K84" s="34"/>
      <c r="L84" s="61"/>
      <c r="M84" s="34"/>
      <c r="N84" s="34"/>
      <c r="O84" s="62" t="s">
        <v>136</v>
      </c>
      <c r="P84" s="62" t="s">
        <v>136</v>
      </c>
      <c r="Q84" s="34"/>
      <c r="R84" s="32"/>
      <c r="S84" s="32"/>
      <c r="T84" s="33"/>
      <c r="U84" s="33"/>
      <c r="V84" s="46">
        <f t="shared" si="52"/>
        <v>2187.1419999999998</v>
      </c>
      <c r="W84" s="32">
        <f t="shared" si="63"/>
        <v>0</v>
      </c>
      <c r="X84" s="46">
        <f t="shared" si="64"/>
        <v>2187.1419999999998</v>
      </c>
      <c r="Y84" s="32">
        <f t="shared" si="65"/>
        <v>218.71420000000001</v>
      </c>
      <c r="Z84" s="32">
        <v>10.23</v>
      </c>
      <c r="AA84" s="32" t="str">
        <f t="shared" si="66"/>
        <v>XX</v>
      </c>
      <c r="AB84" s="46" t="e">
        <f t="shared" si="67"/>
        <v>#VALUE!</v>
      </c>
      <c r="AC84" s="51"/>
      <c r="AD84" s="52"/>
      <c r="AE84" s="47">
        <f t="shared" si="68"/>
        <v>-2187.1419999999998</v>
      </c>
      <c r="AF84" s="35">
        <v>56708881915</v>
      </c>
      <c r="AG84" s="35"/>
    </row>
    <row r="85" spans="1:33" s="18" customFormat="1">
      <c r="A85" s="33" t="s">
        <v>39</v>
      </c>
      <c r="B85" s="33" t="s">
        <v>160</v>
      </c>
      <c r="C85" s="33" t="s">
        <v>42</v>
      </c>
      <c r="D85" s="49">
        <v>42823</v>
      </c>
      <c r="E85" s="34">
        <v>560.28</v>
      </c>
      <c r="F85" s="34">
        <f>5407.207+13.099</f>
        <v>5420.3060000000005</v>
      </c>
      <c r="G85" s="34"/>
      <c r="H85" s="34"/>
      <c r="I85" s="34"/>
      <c r="J85" s="46">
        <f t="shared" si="51"/>
        <v>5420.3060000000005</v>
      </c>
      <c r="K85" s="34"/>
      <c r="L85" s="61"/>
      <c r="M85" s="34"/>
      <c r="N85" s="34"/>
      <c r="O85" s="62"/>
      <c r="P85" s="62"/>
      <c r="Q85" s="34"/>
      <c r="R85" s="32"/>
      <c r="S85" s="32"/>
      <c r="T85" s="33"/>
      <c r="U85" s="33"/>
      <c r="V85" s="46">
        <f t="shared" si="52"/>
        <v>5420.3060000000005</v>
      </c>
      <c r="W85" s="32"/>
      <c r="X85" s="46"/>
      <c r="Y85" s="32"/>
      <c r="Z85" s="32"/>
      <c r="AA85" s="32"/>
      <c r="AB85" s="46"/>
      <c r="AC85" s="51"/>
      <c r="AD85" s="52"/>
      <c r="AE85" s="47"/>
      <c r="AF85" s="35">
        <v>60589704184</v>
      </c>
      <c r="AG85" s="35"/>
    </row>
    <row r="86" spans="1:33" s="18" customFormat="1">
      <c r="A86" s="33" t="s">
        <v>41</v>
      </c>
      <c r="B86" s="33" t="s">
        <v>52</v>
      </c>
      <c r="C86" s="33" t="s">
        <v>104</v>
      </c>
      <c r="D86" s="49">
        <v>41227</v>
      </c>
      <c r="E86" s="34">
        <v>627.13</v>
      </c>
      <c r="F86" s="34">
        <f>2598.145+7.428</f>
        <v>2605.5729999999999</v>
      </c>
      <c r="G86" s="34"/>
      <c r="H86" s="34"/>
      <c r="I86" s="34"/>
      <c r="J86" s="46">
        <f t="shared" si="51"/>
        <v>2605.5729999999999</v>
      </c>
      <c r="K86" s="34"/>
      <c r="L86" s="61"/>
      <c r="M86" s="34"/>
      <c r="N86" s="34"/>
      <c r="O86" s="62" t="s">
        <v>136</v>
      </c>
      <c r="P86" s="62" t="s">
        <v>136</v>
      </c>
      <c r="Q86" s="34"/>
      <c r="R86" s="32"/>
      <c r="S86" s="32"/>
      <c r="T86" s="33"/>
      <c r="U86" s="33"/>
      <c r="V86" s="46">
        <f t="shared" si="52"/>
        <v>2605.5729999999999</v>
      </c>
      <c r="W86" s="32">
        <f t="shared" si="63"/>
        <v>260.5573</v>
      </c>
      <c r="X86" s="46">
        <f t="shared" si="64"/>
        <v>2345.0156999999999</v>
      </c>
      <c r="Y86" s="32">
        <f t="shared" si="65"/>
        <v>0</v>
      </c>
      <c r="Z86" s="32">
        <v>10.23</v>
      </c>
      <c r="AA86" s="32" t="str">
        <f t="shared" si="66"/>
        <v>XX</v>
      </c>
      <c r="AB86" s="46" t="e">
        <f t="shared" si="67"/>
        <v>#VALUE!</v>
      </c>
      <c r="AC86" s="51"/>
      <c r="AD86" s="52"/>
      <c r="AE86" s="47">
        <f t="shared" si="68"/>
        <v>-2345.0156999999999</v>
      </c>
      <c r="AF86" s="35">
        <v>56708845865</v>
      </c>
      <c r="AG86" s="35"/>
    </row>
    <row r="87" spans="1:33" s="18" customFormat="1">
      <c r="A87" s="33" t="s">
        <v>39</v>
      </c>
      <c r="B87" s="33" t="s">
        <v>65</v>
      </c>
      <c r="C87" s="33" t="s">
        <v>42</v>
      </c>
      <c r="D87" s="49">
        <v>41493</v>
      </c>
      <c r="E87" s="34">
        <v>739.2</v>
      </c>
      <c r="F87" s="34">
        <f>3566.827+13.099</f>
        <v>3579.9260000000004</v>
      </c>
      <c r="G87" s="34"/>
      <c r="H87" s="34"/>
      <c r="I87" s="34"/>
      <c r="J87" s="46">
        <f t="shared" si="51"/>
        <v>3579.9260000000004</v>
      </c>
      <c r="K87" s="34"/>
      <c r="L87" s="61"/>
      <c r="M87" s="34"/>
      <c r="N87" s="34"/>
      <c r="O87" s="62"/>
      <c r="P87" s="62"/>
      <c r="Q87" s="34"/>
      <c r="R87" s="32"/>
      <c r="S87" s="32"/>
      <c r="T87" s="33"/>
      <c r="U87" s="33"/>
      <c r="V87" s="46">
        <f t="shared" si="52"/>
        <v>3579.9260000000004</v>
      </c>
      <c r="W87" s="32">
        <f t="shared" si="63"/>
        <v>357.99260000000004</v>
      </c>
      <c r="X87" s="46">
        <f t="shared" si="64"/>
        <v>3221.9334000000003</v>
      </c>
      <c r="Y87" s="32">
        <f t="shared" si="65"/>
        <v>0</v>
      </c>
      <c r="Z87" s="32">
        <v>10.23</v>
      </c>
      <c r="AA87" s="32">
        <f t="shared" si="66"/>
        <v>0</v>
      </c>
      <c r="AB87" s="46">
        <f t="shared" si="67"/>
        <v>3590.1560000000004</v>
      </c>
      <c r="AC87" s="51"/>
      <c r="AD87" s="52"/>
      <c r="AE87" s="47">
        <f t="shared" si="68"/>
        <v>-3221.9334000000003</v>
      </c>
      <c r="AF87" s="35">
        <v>56708845879</v>
      </c>
      <c r="AG87" s="35"/>
    </row>
    <row r="88" spans="1:33" s="18" customFormat="1">
      <c r="A88" s="33" t="s">
        <v>41</v>
      </c>
      <c r="B88" s="33" t="s">
        <v>96</v>
      </c>
      <c r="C88" s="33" t="s">
        <v>120</v>
      </c>
      <c r="D88" s="49">
        <v>42493</v>
      </c>
      <c r="E88" s="34">
        <v>506.28</v>
      </c>
      <c r="F88" s="34">
        <f>617.831+2.599</f>
        <v>620.43000000000006</v>
      </c>
      <c r="G88" s="34"/>
      <c r="H88" s="34"/>
      <c r="I88" s="34"/>
      <c r="J88" s="46">
        <f t="shared" si="51"/>
        <v>620.43000000000006</v>
      </c>
      <c r="K88" s="34"/>
      <c r="L88" s="61"/>
      <c r="M88" s="34"/>
      <c r="N88" s="34"/>
      <c r="O88" s="62" t="s">
        <v>136</v>
      </c>
      <c r="P88" s="62" t="s">
        <v>136</v>
      </c>
      <c r="Q88" s="34"/>
      <c r="R88" s="32"/>
      <c r="S88" s="32"/>
      <c r="T88" s="33"/>
      <c r="U88" s="33"/>
      <c r="V88" s="46">
        <f t="shared" si="52"/>
        <v>620.43000000000006</v>
      </c>
      <c r="W88" s="32">
        <f t="shared" si="63"/>
        <v>0</v>
      </c>
      <c r="X88" s="46">
        <f t="shared" si="64"/>
        <v>620.43000000000006</v>
      </c>
      <c r="Y88" s="32">
        <f t="shared" si="65"/>
        <v>62.043000000000006</v>
      </c>
      <c r="Z88" s="32">
        <v>10.23</v>
      </c>
      <c r="AA88" s="32" t="str">
        <f t="shared" si="66"/>
        <v>XX</v>
      </c>
      <c r="AB88" s="46" t="e">
        <f t="shared" si="67"/>
        <v>#VALUE!</v>
      </c>
      <c r="AC88" s="51"/>
      <c r="AD88" s="52"/>
      <c r="AE88" s="47">
        <f t="shared" si="68"/>
        <v>-620.43000000000006</v>
      </c>
      <c r="AF88" s="35">
        <v>56708845882</v>
      </c>
      <c r="AG88" s="35"/>
    </row>
    <row r="89" spans="1:33" s="18" customFormat="1">
      <c r="A89" s="33" t="s">
        <v>39</v>
      </c>
      <c r="B89" s="33" t="s">
        <v>156</v>
      </c>
      <c r="C89" s="33" t="s">
        <v>42</v>
      </c>
      <c r="D89" s="49">
        <v>42716</v>
      </c>
      <c r="E89" s="34">
        <v>1200.01</v>
      </c>
      <c r="F89" s="34">
        <f>4479.579+5.571-461.01</f>
        <v>4024.1399999999994</v>
      </c>
      <c r="G89" s="34"/>
      <c r="H89" s="34"/>
      <c r="I89" s="34"/>
      <c r="J89" s="46">
        <f t="shared" si="51"/>
        <v>4024.1399999999994</v>
      </c>
      <c r="K89" s="34"/>
      <c r="L89" s="61"/>
      <c r="M89" s="34"/>
      <c r="N89" s="34"/>
      <c r="O89" s="62"/>
      <c r="P89" s="62"/>
      <c r="Q89" s="34"/>
      <c r="R89" s="32"/>
      <c r="S89" s="32"/>
      <c r="T89" s="33"/>
      <c r="U89" s="33">
        <v>301.08999999999997</v>
      </c>
      <c r="V89" s="46">
        <f t="shared" si="52"/>
        <v>3723.0499999999993</v>
      </c>
      <c r="W89" s="32">
        <f t="shared" ref="W89" si="69">IF(J89&gt;2250,J89*0.1,0)</f>
        <v>402.41399999999999</v>
      </c>
      <c r="X89" s="46">
        <f t="shared" ref="X89" si="70">+V89-W89</f>
        <v>3320.6359999999995</v>
      </c>
      <c r="Y89" s="32"/>
      <c r="Z89" s="32"/>
      <c r="AA89" s="32">
        <f t="shared" si="66"/>
        <v>0</v>
      </c>
      <c r="AB89" s="46"/>
      <c r="AC89" s="51"/>
      <c r="AD89" s="52"/>
      <c r="AE89" s="47"/>
      <c r="AF89" s="35">
        <v>60589845501</v>
      </c>
      <c r="AG89" s="35"/>
    </row>
    <row r="90" spans="1:33" s="18" customFormat="1">
      <c r="A90" s="33" t="s">
        <v>39</v>
      </c>
      <c r="B90" s="33" t="s">
        <v>161</v>
      </c>
      <c r="C90" s="33" t="s">
        <v>42</v>
      </c>
      <c r="D90" s="49">
        <v>42909</v>
      </c>
      <c r="E90" s="34">
        <v>738.99</v>
      </c>
      <c r="F90" s="34">
        <f>3109.006+5.571</f>
        <v>3114.5769999999998</v>
      </c>
      <c r="G90" s="34"/>
      <c r="H90" s="34"/>
      <c r="I90" s="34"/>
      <c r="J90" s="46">
        <f t="shared" si="51"/>
        <v>3114.5769999999998</v>
      </c>
      <c r="K90" s="34"/>
      <c r="L90" s="61"/>
      <c r="M90" s="34"/>
      <c r="N90" s="34"/>
      <c r="O90" s="62"/>
      <c r="P90" s="62"/>
      <c r="Q90" s="34"/>
      <c r="R90" s="32"/>
      <c r="S90" s="32"/>
      <c r="T90" s="33"/>
      <c r="U90" s="59"/>
      <c r="V90" s="46">
        <f t="shared" si="52"/>
        <v>3114.5769999999998</v>
      </c>
      <c r="W90" s="32"/>
      <c r="X90" s="46"/>
      <c r="Y90" s="32"/>
      <c r="Z90" s="32"/>
      <c r="AA90" s="32"/>
      <c r="AB90" s="46"/>
      <c r="AC90" s="51"/>
      <c r="AD90" s="51"/>
      <c r="AE90" s="47"/>
      <c r="AF90" s="35">
        <v>60592420864</v>
      </c>
      <c r="AG90" s="35"/>
    </row>
    <row r="91" spans="1:33" s="86" customFormat="1">
      <c r="A91" s="75" t="s">
        <v>39</v>
      </c>
      <c r="B91" s="75" t="s">
        <v>162</v>
      </c>
      <c r="C91" s="75" t="s">
        <v>42</v>
      </c>
      <c r="D91" s="76">
        <v>42170</v>
      </c>
      <c r="E91" s="77">
        <v>739.2</v>
      </c>
      <c r="F91" s="77">
        <f>2989.293+13.099</f>
        <v>3002.3920000000003</v>
      </c>
      <c r="G91" s="77"/>
      <c r="H91" s="77"/>
      <c r="I91" s="77"/>
      <c r="J91" s="78">
        <f t="shared" si="51"/>
        <v>3002.3920000000003</v>
      </c>
      <c r="K91" s="77"/>
      <c r="L91" s="79"/>
      <c r="M91" s="77"/>
      <c r="N91" s="77"/>
      <c r="O91" s="80"/>
      <c r="P91" s="80"/>
      <c r="Q91" s="77"/>
      <c r="R91" s="81"/>
      <c r="S91" s="81"/>
      <c r="T91" s="75"/>
      <c r="U91" s="75"/>
      <c r="V91" s="78">
        <f t="shared" si="52"/>
        <v>3002.3920000000003</v>
      </c>
      <c r="W91" s="81">
        <f t="shared" si="63"/>
        <v>300.23920000000004</v>
      </c>
      <c r="X91" s="78">
        <f t="shared" si="64"/>
        <v>2702.1528000000003</v>
      </c>
      <c r="Y91" s="81">
        <f t="shared" si="65"/>
        <v>0</v>
      </c>
      <c r="Z91" s="81">
        <v>10.23</v>
      </c>
      <c r="AA91" s="81">
        <f t="shared" si="66"/>
        <v>0</v>
      </c>
      <c r="AB91" s="78">
        <f t="shared" si="67"/>
        <v>3012.6220000000003</v>
      </c>
      <c r="AC91" s="82"/>
      <c r="AD91" s="83"/>
      <c r="AE91" s="84">
        <f t="shared" si="68"/>
        <v>-2702.1528000000003</v>
      </c>
      <c r="AF91" s="85">
        <v>56708881929</v>
      </c>
      <c r="AG91" s="85"/>
    </row>
    <row r="92" spans="1:33" s="18" customFormat="1">
      <c r="A92" s="33" t="s">
        <v>41</v>
      </c>
      <c r="B92" s="33" t="s">
        <v>57</v>
      </c>
      <c r="C92" s="33" t="s">
        <v>103</v>
      </c>
      <c r="D92" s="49">
        <v>36868</v>
      </c>
      <c r="E92" s="34">
        <v>627.13</v>
      </c>
      <c r="F92" s="34">
        <f>2004.277+13.099</f>
        <v>2017.376</v>
      </c>
      <c r="G92" s="34"/>
      <c r="H92" s="34"/>
      <c r="I92" s="34"/>
      <c r="J92" s="46">
        <f t="shared" si="51"/>
        <v>2017.376</v>
      </c>
      <c r="K92" s="34"/>
      <c r="L92" s="61"/>
      <c r="M92" s="34"/>
      <c r="N92" s="34"/>
      <c r="O92" s="62" t="s">
        <v>136</v>
      </c>
      <c r="P92" s="62" t="s">
        <v>136</v>
      </c>
      <c r="Q92" s="34"/>
      <c r="R92" s="32"/>
      <c r="S92" s="32"/>
      <c r="T92" s="33"/>
      <c r="U92" s="33"/>
      <c r="V92" s="46">
        <f t="shared" si="52"/>
        <v>2017.376</v>
      </c>
      <c r="W92" s="32">
        <f t="shared" si="63"/>
        <v>0</v>
      </c>
      <c r="X92" s="46">
        <f t="shared" si="64"/>
        <v>2017.376</v>
      </c>
      <c r="Y92" s="32">
        <f t="shared" si="65"/>
        <v>201.73760000000001</v>
      </c>
      <c r="Z92" s="32">
        <v>10.23</v>
      </c>
      <c r="AA92" s="32" t="str">
        <f t="shared" si="66"/>
        <v>XX</v>
      </c>
      <c r="AB92" s="46" t="e">
        <f t="shared" si="67"/>
        <v>#VALUE!</v>
      </c>
      <c r="AC92" s="51"/>
      <c r="AD92" s="51"/>
      <c r="AE92" s="47">
        <f t="shared" si="68"/>
        <v>-2017.376</v>
      </c>
      <c r="AF92" s="35">
        <v>56708845911</v>
      </c>
      <c r="AG92" s="35"/>
    </row>
    <row r="93" spans="1:33" s="18" customFormat="1">
      <c r="A93" s="33" t="s">
        <v>41</v>
      </c>
      <c r="B93" s="33" t="s">
        <v>55</v>
      </c>
      <c r="C93" s="33" t="s">
        <v>101</v>
      </c>
      <c r="D93" s="49">
        <v>41949</v>
      </c>
      <c r="E93" s="34">
        <v>560.28</v>
      </c>
      <c r="F93" s="34">
        <f>2456.4+7.428</f>
        <v>2463.828</v>
      </c>
      <c r="G93" s="34"/>
      <c r="H93" s="34"/>
      <c r="I93" s="34"/>
      <c r="J93" s="46">
        <f t="shared" si="51"/>
        <v>2463.828</v>
      </c>
      <c r="K93" s="34"/>
      <c r="L93" s="61"/>
      <c r="M93" s="34"/>
      <c r="N93" s="34">
        <v>500</v>
      </c>
      <c r="O93" s="62" t="s">
        <v>136</v>
      </c>
      <c r="P93" s="62" t="s">
        <v>136</v>
      </c>
      <c r="Q93" s="34"/>
      <c r="R93" s="32"/>
      <c r="S93" s="32"/>
      <c r="T93" s="33"/>
      <c r="U93" s="33"/>
      <c r="V93" s="46">
        <f t="shared" si="52"/>
        <v>1963.828</v>
      </c>
      <c r="W93" s="32">
        <f t="shared" si="63"/>
        <v>246.3828</v>
      </c>
      <c r="X93" s="46">
        <f t="shared" si="64"/>
        <v>1717.4451999999999</v>
      </c>
      <c r="Y93" s="32">
        <f t="shared" si="65"/>
        <v>0</v>
      </c>
      <c r="Z93" s="32">
        <v>10.23</v>
      </c>
      <c r="AA93" s="32" t="str">
        <f t="shared" si="66"/>
        <v>XX</v>
      </c>
      <c r="AB93" s="46" t="e">
        <f t="shared" si="67"/>
        <v>#VALUE!</v>
      </c>
      <c r="AC93" s="51"/>
      <c r="AD93" s="52"/>
      <c r="AE93" s="47">
        <f t="shared" si="68"/>
        <v>-1717.4451999999999</v>
      </c>
      <c r="AF93" s="35">
        <v>56708845925</v>
      </c>
      <c r="AG93" s="33"/>
    </row>
    <row r="94" spans="1:33" s="18" customFormat="1">
      <c r="A94" s="33" t="s">
        <v>39</v>
      </c>
      <c r="B94" s="33" t="s">
        <v>34</v>
      </c>
      <c r="C94" s="33" t="s">
        <v>42</v>
      </c>
      <c r="D94" s="49">
        <v>42129</v>
      </c>
      <c r="E94" s="34">
        <v>739.2</v>
      </c>
      <c r="F94" s="34">
        <f>4807.018+13.099</f>
        <v>4820.1170000000002</v>
      </c>
      <c r="G94" s="34"/>
      <c r="H94" s="34"/>
      <c r="I94" s="34"/>
      <c r="J94" s="46">
        <f t="shared" si="51"/>
        <v>4820.1170000000002</v>
      </c>
      <c r="K94" s="34"/>
      <c r="L94" s="61"/>
      <c r="M94" s="34"/>
      <c r="N94" s="34"/>
      <c r="O94" s="62"/>
      <c r="P94" s="62"/>
      <c r="Q94" s="34"/>
      <c r="R94" s="32"/>
      <c r="S94" s="32"/>
      <c r="T94" s="33"/>
      <c r="U94" s="33"/>
      <c r="V94" s="46">
        <f t="shared" si="52"/>
        <v>4820.1170000000002</v>
      </c>
      <c r="W94" s="32">
        <f t="shared" ref="W94" si="71">IF(J94&gt;2250,J94*0.1,0)</f>
        <v>482.01170000000002</v>
      </c>
      <c r="X94" s="46">
        <f t="shared" ref="X94" si="72">+V94-W94</f>
        <v>4338.1053000000002</v>
      </c>
      <c r="Y94" s="32">
        <f t="shared" si="65"/>
        <v>0</v>
      </c>
      <c r="Z94" s="32">
        <v>10.23</v>
      </c>
      <c r="AA94" s="32">
        <f t="shared" si="66"/>
        <v>0</v>
      </c>
      <c r="AB94" s="46">
        <f t="shared" si="67"/>
        <v>4830.3469999999998</v>
      </c>
      <c r="AC94" s="51"/>
      <c r="AD94" s="52"/>
      <c r="AE94" s="47">
        <f t="shared" si="68"/>
        <v>-4338.1053000000002</v>
      </c>
      <c r="AF94" s="35">
        <v>56708845939</v>
      </c>
      <c r="AG94" s="35"/>
    </row>
    <row r="95" spans="1:33" s="18" customFormat="1">
      <c r="A95" s="33" t="s">
        <v>39</v>
      </c>
      <c r="B95" s="33" t="s">
        <v>137</v>
      </c>
      <c r="C95" s="33" t="s">
        <v>42</v>
      </c>
      <c r="D95" s="49">
        <v>42815</v>
      </c>
      <c r="E95" s="34">
        <v>560.28</v>
      </c>
      <c r="F95" s="34">
        <f>1797.337+7.428</f>
        <v>1804.7650000000001</v>
      </c>
      <c r="G95" s="34"/>
      <c r="H95" s="34"/>
      <c r="I95" s="34"/>
      <c r="J95" s="46">
        <f t="shared" si="51"/>
        <v>1804.7650000000001</v>
      </c>
      <c r="K95" s="34"/>
      <c r="L95" s="61"/>
      <c r="M95" s="34"/>
      <c r="N95" s="34"/>
      <c r="O95" s="62"/>
      <c r="P95" s="62"/>
      <c r="Q95" s="34"/>
      <c r="R95" s="32"/>
      <c r="S95" s="32"/>
      <c r="T95" s="33"/>
      <c r="U95" s="33"/>
      <c r="V95" s="46">
        <f t="shared" si="52"/>
        <v>1804.7650000000001</v>
      </c>
      <c r="W95" s="32"/>
      <c r="X95" s="46"/>
      <c r="Y95" s="32"/>
      <c r="Z95" s="32"/>
      <c r="AA95" s="32"/>
      <c r="AB95" s="46"/>
      <c r="AC95" s="51"/>
      <c r="AD95" s="52"/>
      <c r="AE95" s="47"/>
      <c r="AF95" s="35">
        <v>60589426888</v>
      </c>
      <c r="AG95" s="35"/>
    </row>
    <row r="96" spans="1:33" s="18" customFormat="1">
      <c r="A96" s="33" t="s">
        <v>41</v>
      </c>
      <c r="B96" s="33" t="s">
        <v>146</v>
      </c>
      <c r="C96" s="33" t="s">
        <v>145</v>
      </c>
      <c r="D96" s="49">
        <v>42912</v>
      </c>
      <c r="E96" s="34">
        <v>627.05999999999995</v>
      </c>
      <c r="F96" s="34">
        <f>2254.863+5.571</f>
        <v>2260.4339999999997</v>
      </c>
      <c r="G96" s="34"/>
      <c r="H96" s="34"/>
      <c r="I96" s="34"/>
      <c r="J96" s="46">
        <f t="shared" si="51"/>
        <v>2260.4339999999997</v>
      </c>
      <c r="K96" s="34"/>
      <c r="L96" s="61"/>
      <c r="M96" s="34"/>
      <c r="N96" s="34"/>
      <c r="O96" s="62"/>
      <c r="P96" s="62"/>
      <c r="Q96" s="34"/>
      <c r="R96" s="32"/>
      <c r="S96" s="32"/>
      <c r="T96" s="33"/>
      <c r="U96" s="33"/>
      <c r="V96" s="46">
        <f t="shared" si="52"/>
        <v>2260.4339999999997</v>
      </c>
      <c r="W96" s="32"/>
      <c r="X96" s="46"/>
      <c r="Y96" s="32"/>
      <c r="Z96" s="32"/>
      <c r="AA96" s="32"/>
      <c r="AB96" s="46"/>
      <c r="AC96" s="51"/>
      <c r="AD96" s="52"/>
      <c r="AE96" s="47"/>
      <c r="AF96" s="35">
        <v>60592585699</v>
      </c>
      <c r="AG96" s="35"/>
    </row>
    <row r="97" spans="1:187" s="18" customFormat="1">
      <c r="A97" s="33" t="s">
        <v>39</v>
      </c>
      <c r="B97" s="33" t="s">
        <v>74</v>
      </c>
      <c r="C97" s="33" t="s">
        <v>42</v>
      </c>
      <c r="D97" s="49">
        <v>42422</v>
      </c>
      <c r="E97" s="34">
        <v>739.2</v>
      </c>
      <c r="F97" s="34">
        <f>5007.387+13.099</f>
        <v>5020.4859999999999</v>
      </c>
      <c r="G97" s="34"/>
      <c r="H97" s="34"/>
      <c r="I97" s="34"/>
      <c r="J97" s="46">
        <f t="shared" si="51"/>
        <v>5020.4859999999999</v>
      </c>
      <c r="K97" s="34"/>
      <c r="L97" s="61"/>
      <c r="M97" s="34"/>
      <c r="N97" s="34"/>
      <c r="O97" s="62"/>
      <c r="P97" s="62"/>
      <c r="Q97" s="34"/>
      <c r="R97" s="32"/>
      <c r="S97" s="32"/>
      <c r="T97" s="33"/>
      <c r="U97" s="33"/>
      <c r="V97" s="46">
        <f t="shared" si="52"/>
        <v>5020.4859999999999</v>
      </c>
      <c r="W97" s="32">
        <f t="shared" ref="W97" si="73">IF(J97&gt;2250,J97*0.1,0)</f>
        <v>502.04860000000002</v>
      </c>
      <c r="X97" s="46">
        <f t="shared" ref="X97" si="74">+V97-W97</f>
        <v>4518.4373999999998</v>
      </c>
      <c r="Y97" s="32">
        <f t="shared" si="65"/>
        <v>0</v>
      </c>
      <c r="Z97" s="32">
        <v>10.23</v>
      </c>
      <c r="AA97" s="32">
        <f t="shared" si="66"/>
        <v>0</v>
      </c>
      <c r="AB97" s="46">
        <f t="shared" si="67"/>
        <v>5030.7159999999994</v>
      </c>
      <c r="AC97" s="51"/>
      <c r="AD97" s="52"/>
      <c r="AE97" s="47">
        <f t="shared" si="68"/>
        <v>-4518.4373999999998</v>
      </c>
      <c r="AF97" s="35">
        <v>56708845942</v>
      </c>
      <c r="AG97" s="35"/>
    </row>
    <row r="98" spans="1:187" s="18" customFormat="1">
      <c r="A98" s="33" t="s">
        <v>41</v>
      </c>
      <c r="B98" s="33" t="s">
        <v>81</v>
      </c>
      <c r="C98" s="33" t="s">
        <v>104</v>
      </c>
      <c r="D98" s="49">
        <v>41227</v>
      </c>
      <c r="E98" s="34">
        <v>627.13</v>
      </c>
      <c r="F98" s="34">
        <f>4157.468+2.599</f>
        <v>4160.067</v>
      </c>
      <c r="G98" s="34"/>
      <c r="H98" s="34"/>
      <c r="I98" s="34"/>
      <c r="J98" s="46">
        <f t="shared" si="51"/>
        <v>4160.067</v>
      </c>
      <c r="K98" s="34"/>
      <c r="L98" s="61"/>
      <c r="M98" s="34"/>
      <c r="N98" s="34">
        <v>200</v>
      </c>
      <c r="O98" s="62" t="s">
        <v>136</v>
      </c>
      <c r="P98" s="62" t="s">
        <v>136</v>
      </c>
      <c r="Q98" s="34"/>
      <c r="R98" s="32"/>
      <c r="S98" s="32"/>
      <c r="T98" s="33"/>
      <c r="U98" s="33"/>
      <c r="V98" s="46">
        <f t="shared" si="52"/>
        <v>3960.067</v>
      </c>
      <c r="W98" s="32">
        <f t="shared" si="63"/>
        <v>416.00670000000002</v>
      </c>
      <c r="X98" s="46">
        <f t="shared" si="64"/>
        <v>3544.0603000000001</v>
      </c>
      <c r="Y98" s="32">
        <f t="shared" si="65"/>
        <v>0</v>
      </c>
      <c r="Z98" s="32">
        <v>10.23</v>
      </c>
      <c r="AA98" s="32" t="str">
        <f t="shared" si="66"/>
        <v>XX</v>
      </c>
      <c r="AB98" s="46" t="e">
        <f t="shared" si="67"/>
        <v>#VALUE!</v>
      </c>
      <c r="AC98" s="51"/>
      <c r="AD98" s="51"/>
      <c r="AE98" s="47">
        <f t="shared" si="68"/>
        <v>-3544.0603000000001</v>
      </c>
      <c r="AF98" s="35">
        <v>56708881946</v>
      </c>
      <c r="AG98" s="35"/>
    </row>
    <row r="99" spans="1:187" s="18" customFormat="1">
      <c r="A99" s="33" t="s">
        <v>39</v>
      </c>
      <c r="B99" s="33" t="s">
        <v>188</v>
      </c>
      <c r="C99" s="33" t="s">
        <v>42</v>
      </c>
      <c r="D99" s="49">
        <v>42907</v>
      </c>
      <c r="E99" s="34">
        <v>738.99</v>
      </c>
      <c r="F99" s="34">
        <f>1702.738+5.571</f>
        <v>1708.309</v>
      </c>
      <c r="G99" s="34"/>
      <c r="H99" s="34"/>
      <c r="I99" s="34"/>
      <c r="J99" s="46">
        <f t="shared" si="51"/>
        <v>1708.309</v>
      </c>
      <c r="K99" s="34"/>
      <c r="L99" s="61"/>
      <c r="M99" s="34"/>
      <c r="N99" s="34"/>
      <c r="O99" s="62"/>
      <c r="P99" s="62"/>
      <c r="Q99" s="34"/>
      <c r="R99" s="32"/>
      <c r="S99" s="32"/>
      <c r="T99" s="33"/>
      <c r="U99" s="59"/>
      <c r="V99" s="46">
        <f t="shared" si="52"/>
        <v>1708.309</v>
      </c>
      <c r="W99" s="32"/>
      <c r="X99" s="46"/>
      <c r="Y99" s="32"/>
      <c r="Z99" s="32"/>
      <c r="AA99" s="32"/>
      <c r="AB99" s="46"/>
      <c r="AC99" s="51"/>
      <c r="AD99" s="51"/>
      <c r="AE99" s="47"/>
      <c r="AF99" s="35">
        <v>60592492890</v>
      </c>
      <c r="AG99" s="35"/>
    </row>
    <row r="100" spans="1:187" s="18" customFormat="1">
      <c r="A100" s="33" t="s">
        <v>41</v>
      </c>
      <c r="B100" s="33" t="s">
        <v>110</v>
      </c>
      <c r="C100" s="33" t="s">
        <v>176</v>
      </c>
      <c r="D100" s="49">
        <v>42635</v>
      </c>
      <c r="E100" s="34">
        <v>560.28</v>
      </c>
      <c r="F100" s="34">
        <v>1565</v>
      </c>
      <c r="G100" s="34"/>
      <c r="H100" s="34"/>
      <c r="I100" s="34"/>
      <c r="J100" s="46">
        <f t="shared" si="51"/>
        <v>1565</v>
      </c>
      <c r="K100" s="34"/>
      <c r="L100" s="61"/>
      <c r="M100" s="34"/>
      <c r="N100" s="34"/>
      <c r="O100" s="62" t="s">
        <v>136</v>
      </c>
      <c r="P100" s="62" t="s">
        <v>136</v>
      </c>
      <c r="Q100" s="34"/>
      <c r="R100" s="32"/>
      <c r="S100" s="32"/>
      <c r="T100" s="33"/>
      <c r="U100" s="33"/>
      <c r="V100" s="46">
        <f t="shared" si="52"/>
        <v>1565</v>
      </c>
      <c r="W100" s="32">
        <f t="shared" ref="W100" si="75">IF(J100&gt;2250,J100*0.1,0)</f>
        <v>0</v>
      </c>
      <c r="X100" s="46">
        <f t="shared" ref="X100" si="76">+V100-W100</f>
        <v>1565</v>
      </c>
      <c r="Y100" s="32"/>
      <c r="Z100" s="32"/>
      <c r="AA100" s="32"/>
      <c r="AB100" s="46"/>
      <c r="AC100" s="51"/>
      <c r="AD100" s="51"/>
      <c r="AE100" s="47"/>
      <c r="AF100" s="35">
        <v>56708881608</v>
      </c>
      <c r="AG100" s="33"/>
    </row>
    <row r="101" spans="1:187" s="18" customFormat="1">
      <c r="A101" s="33" t="s">
        <v>41</v>
      </c>
      <c r="B101" s="33" t="s">
        <v>82</v>
      </c>
      <c r="C101" s="33" t="s">
        <v>104</v>
      </c>
      <c r="D101" s="49">
        <v>41703</v>
      </c>
      <c r="E101" s="34">
        <v>623.35</v>
      </c>
      <c r="F101" s="34">
        <v>1421.9280000000001</v>
      </c>
      <c r="G101" s="34"/>
      <c r="H101" s="34"/>
      <c r="I101" s="34"/>
      <c r="J101" s="46">
        <f t="shared" si="51"/>
        <v>1421.9280000000001</v>
      </c>
      <c r="K101" s="34"/>
      <c r="L101" s="61"/>
      <c r="M101" s="34"/>
      <c r="N101" s="34"/>
      <c r="O101" s="62" t="s">
        <v>136</v>
      </c>
      <c r="P101" s="62" t="s">
        <v>136</v>
      </c>
      <c r="Q101" s="34"/>
      <c r="R101" s="32"/>
      <c r="S101" s="32"/>
      <c r="T101" s="33"/>
      <c r="U101" s="33"/>
      <c r="V101" s="46">
        <f t="shared" si="52"/>
        <v>1421.9280000000001</v>
      </c>
      <c r="W101" s="32">
        <f t="shared" si="63"/>
        <v>0</v>
      </c>
      <c r="X101" s="46">
        <f t="shared" si="64"/>
        <v>1421.9280000000001</v>
      </c>
      <c r="Y101" s="32">
        <f t="shared" si="65"/>
        <v>142.19280000000001</v>
      </c>
      <c r="Z101" s="32">
        <v>10.23</v>
      </c>
      <c r="AA101" s="32" t="str">
        <f t="shared" si="66"/>
        <v>XX</v>
      </c>
      <c r="AB101" s="46" t="e">
        <f t="shared" si="67"/>
        <v>#VALUE!</v>
      </c>
      <c r="AC101" s="51"/>
      <c r="AD101" s="51"/>
      <c r="AE101" s="47">
        <f t="shared" si="68"/>
        <v>-1421.9280000000001</v>
      </c>
      <c r="AF101" s="35">
        <v>56708845973</v>
      </c>
      <c r="AG101" s="33"/>
    </row>
    <row r="102" spans="1:187" s="18" customFormat="1">
      <c r="A102" s="33" t="s">
        <v>41</v>
      </c>
      <c r="B102" s="33" t="s">
        <v>51</v>
      </c>
      <c r="C102" s="33" t="s">
        <v>104</v>
      </c>
      <c r="D102" s="49">
        <v>41291</v>
      </c>
      <c r="E102" s="34">
        <v>627.13</v>
      </c>
      <c r="F102" s="34">
        <f>4477.773+2.599</f>
        <v>4480.3720000000003</v>
      </c>
      <c r="G102" s="34"/>
      <c r="H102" s="34"/>
      <c r="I102" s="34"/>
      <c r="J102" s="46">
        <f t="shared" si="51"/>
        <v>4480.3720000000003</v>
      </c>
      <c r="K102" s="34"/>
      <c r="L102" s="61"/>
      <c r="M102" s="34"/>
      <c r="N102" s="34">
        <v>200</v>
      </c>
      <c r="O102" s="62" t="s">
        <v>136</v>
      </c>
      <c r="P102" s="62" t="s">
        <v>136</v>
      </c>
      <c r="Q102" s="34"/>
      <c r="R102" s="32"/>
      <c r="S102" s="32"/>
      <c r="T102" s="33"/>
      <c r="U102" s="33"/>
      <c r="V102" s="46">
        <f t="shared" si="52"/>
        <v>4280.3720000000003</v>
      </c>
      <c r="W102" s="32">
        <f t="shared" si="63"/>
        <v>448.03720000000004</v>
      </c>
      <c r="X102" s="46">
        <f t="shared" si="64"/>
        <v>3832.3348000000001</v>
      </c>
      <c r="Y102" s="32">
        <f t="shared" si="65"/>
        <v>0</v>
      </c>
      <c r="Z102" s="32">
        <v>10.23</v>
      </c>
      <c r="AA102" s="32" t="str">
        <f t="shared" si="66"/>
        <v>XX</v>
      </c>
      <c r="AB102" s="46" t="e">
        <f t="shared" si="67"/>
        <v>#VALUE!</v>
      </c>
      <c r="AC102" s="51"/>
      <c r="AD102" s="51"/>
      <c r="AE102" s="47">
        <f t="shared" si="68"/>
        <v>-3832.3348000000001</v>
      </c>
      <c r="AF102" s="35">
        <v>56708881963</v>
      </c>
      <c r="AG102" s="35"/>
    </row>
    <row r="103" spans="1:187" s="18" customFormat="1">
      <c r="A103" s="33" t="s">
        <v>39</v>
      </c>
      <c r="B103" s="33" t="s">
        <v>59</v>
      </c>
      <c r="C103" s="33" t="s">
        <v>42</v>
      </c>
      <c r="D103" s="49">
        <v>41666</v>
      </c>
      <c r="E103" s="34">
        <v>739.2</v>
      </c>
      <c r="F103" s="34">
        <f>3710.606+7.428</f>
        <v>3718.0340000000001</v>
      </c>
      <c r="G103" s="34"/>
      <c r="H103" s="34"/>
      <c r="I103" s="34"/>
      <c r="J103" s="46">
        <f t="shared" si="51"/>
        <v>3718.0340000000001</v>
      </c>
      <c r="K103" s="34"/>
      <c r="L103" s="61"/>
      <c r="M103" s="34"/>
      <c r="N103" s="34">
        <v>200</v>
      </c>
      <c r="O103" s="62"/>
      <c r="P103" s="62"/>
      <c r="Q103" s="34"/>
      <c r="R103" s="32"/>
      <c r="S103" s="32"/>
      <c r="T103" s="33"/>
      <c r="U103" s="33">
        <v>442.08</v>
      </c>
      <c r="V103" s="46">
        <f t="shared" si="52"/>
        <v>3075.9540000000002</v>
      </c>
      <c r="W103" s="32">
        <f t="shared" si="63"/>
        <v>371.80340000000001</v>
      </c>
      <c r="X103" s="46">
        <f t="shared" si="64"/>
        <v>2704.1505999999999</v>
      </c>
      <c r="Y103" s="32">
        <f t="shared" si="65"/>
        <v>0</v>
      </c>
      <c r="Z103" s="32">
        <v>10.23</v>
      </c>
      <c r="AA103" s="32">
        <f t="shared" si="66"/>
        <v>0</v>
      </c>
      <c r="AB103" s="46">
        <f t="shared" si="67"/>
        <v>3728.2640000000001</v>
      </c>
      <c r="AC103" s="51"/>
      <c r="AD103" s="52"/>
      <c r="AE103" s="47">
        <f t="shared" si="68"/>
        <v>-2704.1505999999999</v>
      </c>
      <c r="AF103" s="35">
        <v>56708845990</v>
      </c>
      <c r="AG103" s="33"/>
    </row>
    <row r="104" spans="1:187" s="18" customFormat="1">
      <c r="A104" s="33" t="s">
        <v>39</v>
      </c>
      <c r="B104" s="33" t="s">
        <v>129</v>
      </c>
      <c r="C104" s="33" t="s">
        <v>42</v>
      </c>
      <c r="D104" s="49">
        <v>42809</v>
      </c>
      <c r="E104" s="34">
        <v>560.28</v>
      </c>
      <c r="F104" s="34">
        <f>5761.258+13.099</f>
        <v>5774.357</v>
      </c>
      <c r="G104" s="34"/>
      <c r="H104" s="34"/>
      <c r="I104" s="34"/>
      <c r="J104" s="46">
        <f t="shared" si="51"/>
        <v>5774.357</v>
      </c>
      <c r="K104" s="34"/>
      <c r="L104" s="61">
        <v>1</v>
      </c>
      <c r="M104" s="34"/>
      <c r="N104" s="34"/>
      <c r="O104" s="62"/>
      <c r="P104" s="62"/>
      <c r="Q104" s="34"/>
      <c r="R104" s="32"/>
      <c r="S104" s="32"/>
      <c r="T104" s="33"/>
      <c r="U104" s="33"/>
      <c r="V104" s="46">
        <f t="shared" si="52"/>
        <v>5773.357</v>
      </c>
      <c r="W104" s="32"/>
      <c r="X104" s="46"/>
      <c r="Y104" s="32"/>
      <c r="Z104" s="32"/>
      <c r="AA104" s="32"/>
      <c r="AB104" s="46"/>
      <c r="AC104" s="51"/>
      <c r="AD104" s="52"/>
      <c r="AE104" s="47"/>
      <c r="AF104" s="35">
        <v>60589597089</v>
      </c>
      <c r="AG104" s="35"/>
    </row>
    <row r="105" spans="1:187" s="86" customFormat="1">
      <c r="A105" s="75" t="s">
        <v>39</v>
      </c>
      <c r="B105" s="75" t="s">
        <v>152</v>
      </c>
      <c r="C105" s="75" t="s">
        <v>42</v>
      </c>
      <c r="D105" s="76">
        <v>42923</v>
      </c>
      <c r="E105" s="77">
        <v>1200.01</v>
      </c>
      <c r="F105" s="77">
        <v>0</v>
      </c>
      <c r="G105" s="77"/>
      <c r="H105" s="77"/>
      <c r="I105" s="77"/>
      <c r="J105" s="78">
        <f t="shared" si="51"/>
        <v>0</v>
      </c>
      <c r="K105" s="77"/>
      <c r="L105" s="79"/>
      <c r="M105" s="77"/>
      <c r="N105" s="77"/>
      <c r="O105" s="80"/>
      <c r="P105" s="80"/>
      <c r="Q105" s="77"/>
      <c r="R105" s="81"/>
      <c r="S105" s="81"/>
      <c r="T105" s="75"/>
      <c r="U105" s="75"/>
      <c r="V105" s="78">
        <f t="shared" si="52"/>
        <v>0</v>
      </c>
      <c r="W105" s="81"/>
      <c r="X105" s="78"/>
      <c r="Y105" s="81"/>
      <c r="Z105" s="81"/>
      <c r="AA105" s="81"/>
      <c r="AB105" s="78"/>
      <c r="AC105" s="82"/>
      <c r="AD105" s="83"/>
      <c r="AE105" s="84"/>
      <c r="AF105" s="85">
        <v>56708881977</v>
      </c>
      <c r="AG105" s="85"/>
    </row>
    <row r="106" spans="1:187" s="18" customFormat="1">
      <c r="A106" s="33" t="s">
        <v>41</v>
      </c>
      <c r="B106" s="33" t="s">
        <v>121</v>
      </c>
      <c r="C106" s="33" t="s">
        <v>100</v>
      </c>
      <c r="D106" s="49">
        <v>42752</v>
      </c>
      <c r="E106" s="34">
        <v>560.28</v>
      </c>
      <c r="F106" s="34">
        <v>803.58500000000004</v>
      </c>
      <c r="G106" s="34"/>
      <c r="H106" s="34"/>
      <c r="I106" s="34"/>
      <c r="J106" s="46">
        <f t="shared" si="51"/>
        <v>803.58500000000004</v>
      </c>
      <c r="K106" s="34"/>
      <c r="L106" s="61"/>
      <c r="M106" s="34"/>
      <c r="N106" s="34"/>
      <c r="O106" s="62" t="s">
        <v>136</v>
      </c>
      <c r="P106" s="62" t="s">
        <v>136</v>
      </c>
      <c r="Q106" s="34"/>
      <c r="R106" s="32"/>
      <c r="S106" s="32"/>
      <c r="T106" s="33"/>
      <c r="U106" s="33"/>
      <c r="V106" s="46">
        <f t="shared" si="52"/>
        <v>803.58500000000004</v>
      </c>
      <c r="W106" s="32">
        <f t="shared" ref="W106" si="77">IF(J106&gt;2250,J106*0.1,0)</f>
        <v>0</v>
      </c>
      <c r="X106" s="46">
        <f t="shared" ref="X106" si="78">+V106-W106</f>
        <v>803.58500000000004</v>
      </c>
      <c r="Y106" s="32"/>
      <c r="Z106" s="32"/>
      <c r="AA106" s="32"/>
      <c r="AB106" s="46"/>
      <c r="AC106" s="51"/>
      <c r="AD106" s="52"/>
      <c r="AE106" s="47"/>
      <c r="AF106" s="35">
        <v>60589634536</v>
      </c>
      <c r="AG106" s="35"/>
    </row>
    <row r="107" spans="1:187" s="18" customFormat="1">
      <c r="A107" s="33" t="s">
        <v>41</v>
      </c>
      <c r="B107" s="33" t="s">
        <v>99</v>
      </c>
      <c r="C107" s="33" t="s">
        <v>103</v>
      </c>
      <c r="D107" s="49">
        <v>29733</v>
      </c>
      <c r="E107" s="34">
        <v>627.13</v>
      </c>
      <c r="F107" s="34">
        <f>5875.604+3.714</f>
        <v>5879.3180000000002</v>
      </c>
      <c r="G107" s="34"/>
      <c r="H107" s="34"/>
      <c r="I107" s="34"/>
      <c r="J107" s="46">
        <f t="shared" si="51"/>
        <v>5879.3180000000002</v>
      </c>
      <c r="K107" s="34"/>
      <c r="L107" s="61"/>
      <c r="M107" s="34"/>
      <c r="N107" s="34">
        <v>150</v>
      </c>
      <c r="O107" s="62" t="s">
        <v>136</v>
      </c>
      <c r="P107" s="62" t="s">
        <v>136</v>
      </c>
      <c r="Q107" s="34"/>
      <c r="R107" s="32"/>
      <c r="S107" s="32"/>
      <c r="T107" s="33"/>
      <c r="U107" s="33"/>
      <c r="V107" s="46">
        <f t="shared" si="52"/>
        <v>5729.3180000000002</v>
      </c>
      <c r="W107" s="32">
        <f t="shared" si="63"/>
        <v>587.93180000000007</v>
      </c>
      <c r="X107" s="46">
        <f t="shared" si="64"/>
        <v>5141.3861999999999</v>
      </c>
      <c r="Y107" s="32">
        <f t="shared" si="65"/>
        <v>0</v>
      </c>
      <c r="Z107" s="32">
        <v>10.23</v>
      </c>
      <c r="AA107" s="32" t="str">
        <f t="shared" si="66"/>
        <v>XX</v>
      </c>
      <c r="AB107" s="46" t="e">
        <f t="shared" si="67"/>
        <v>#VALUE!</v>
      </c>
      <c r="AC107" s="51"/>
      <c r="AD107" s="52"/>
      <c r="AE107" s="47">
        <f t="shared" si="68"/>
        <v>-5141.3861999999999</v>
      </c>
      <c r="AF107" s="35">
        <v>60589747903</v>
      </c>
      <c r="AG107" s="35"/>
    </row>
    <row r="108" spans="1:187" s="86" customFormat="1">
      <c r="A108" s="75" t="s">
        <v>39</v>
      </c>
      <c r="B108" s="75" t="s">
        <v>35</v>
      </c>
      <c r="C108" s="75" t="s">
        <v>42</v>
      </c>
      <c r="D108" s="76">
        <v>42361</v>
      </c>
      <c r="E108" s="77">
        <v>739.2</v>
      </c>
      <c r="F108" s="77">
        <f>1797.337+7.428</f>
        <v>1804.7650000000001</v>
      </c>
      <c r="G108" s="77"/>
      <c r="H108" s="77"/>
      <c r="I108" s="77"/>
      <c r="J108" s="78">
        <f t="shared" si="51"/>
        <v>1804.7650000000001</v>
      </c>
      <c r="K108" s="77"/>
      <c r="L108" s="79"/>
      <c r="M108" s="77"/>
      <c r="N108" s="77"/>
      <c r="O108" s="80"/>
      <c r="P108" s="80"/>
      <c r="Q108" s="77"/>
      <c r="R108" s="81"/>
      <c r="S108" s="81"/>
      <c r="T108" s="75"/>
      <c r="U108" s="75"/>
      <c r="V108" s="78">
        <f t="shared" si="52"/>
        <v>1804.7650000000001</v>
      </c>
      <c r="W108" s="81">
        <f>IF(J108&gt;2250,J108*0.1,0)</f>
        <v>0</v>
      </c>
      <c r="X108" s="78">
        <f>+V108-W108</f>
        <v>1804.7650000000001</v>
      </c>
      <c r="Y108" s="81">
        <f>IF(J108&lt;2250,J108*0.1,0)</f>
        <v>180.47650000000002</v>
      </c>
      <c r="Z108" s="81">
        <v>10.23</v>
      </c>
      <c r="AA108" s="81">
        <f>+O108</f>
        <v>0</v>
      </c>
      <c r="AB108" s="78">
        <f>+J108+Y108+Z108+AA108</f>
        <v>1995.4715000000001</v>
      </c>
      <c r="AC108" s="82"/>
      <c r="AD108" s="83"/>
      <c r="AE108" s="84">
        <f>+AC108+AD108-X108</f>
        <v>-1804.7650000000001</v>
      </c>
      <c r="AF108" s="85">
        <v>56708846047</v>
      </c>
      <c r="AG108" s="85"/>
    </row>
    <row r="109" spans="1:187" s="18" customFormat="1">
      <c r="A109" s="87" t="s">
        <v>39</v>
      </c>
      <c r="B109" s="87" t="s">
        <v>194</v>
      </c>
      <c r="C109" s="87" t="s">
        <v>195</v>
      </c>
      <c r="D109" s="88">
        <v>43026</v>
      </c>
      <c r="E109" s="89">
        <v>638.96</v>
      </c>
      <c r="F109" s="89">
        <f>3169.61+7.428</f>
        <v>3177.038</v>
      </c>
      <c r="G109" s="89"/>
      <c r="H109" s="89"/>
      <c r="I109" s="89"/>
      <c r="J109" s="46">
        <f t="shared" si="51"/>
        <v>3177.038</v>
      </c>
      <c r="K109" s="34"/>
      <c r="L109" s="61"/>
      <c r="M109" s="34"/>
      <c r="N109" s="34"/>
      <c r="O109" s="62"/>
      <c r="P109" s="62"/>
      <c r="Q109" s="34"/>
      <c r="R109" s="32"/>
      <c r="S109" s="32"/>
      <c r="T109" s="33"/>
      <c r="U109" s="33">
        <v>545.02</v>
      </c>
      <c r="V109" s="46">
        <f t="shared" si="52"/>
        <v>2632.018</v>
      </c>
      <c r="W109" s="32"/>
      <c r="X109" s="46"/>
      <c r="Y109" s="32"/>
      <c r="Z109" s="32"/>
      <c r="AA109" s="32"/>
      <c r="AB109" s="46"/>
      <c r="AC109" s="51"/>
      <c r="AD109" s="52"/>
      <c r="AE109" s="47"/>
      <c r="AF109" s="90">
        <v>60578682154</v>
      </c>
      <c r="AG109" s="87"/>
    </row>
    <row r="110" spans="1:187" s="18" customFormat="1">
      <c r="A110" s="33" t="s">
        <v>39</v>
      </c>
      <c r="B110" s="33" t="s">
        <v>58</v>
      </c>
      <c r="C110" s="33" t="s">
        <v>42</v>
      </c>
      <c r="D110" s="49">
        <v>41549</v>
      </c>
      <c r="E110" s="34">
        <v>739.2</v>
      </c>
      <c r="F110" s="34">
        <f>5549.103+13.099</f>
        <v>5562.2020000000002</v>
      </c>
      <c r="G110" s="34"/>
      <c r="H110" s="34"/>
      <c r="I110" s="34"/>
      <c r="J110" s="46">
        <f t="shared" si="51"/>
        <v>5562.2020000000002</v>
      </c>
      <c r="K110" s="34"/>
      <c r="L110" s="61">
        <v>1</v>
      </c>
      <c r="M110" s="34"/>
      <c r="N110" s="34">
        <v>500</v>
      </c>
      <c r="O110" s="62"/>
      <c r="P110" s="62"/>
      <c r="Q110" s="34"/>
      <c r="R110" s="32"/>
      <c r="S110" s="32"/>
      <c r="T110" s="33"/>
      <c r="U110" s="33"/>
      <c r="V110" s="46">
        <f t="shared" si="52"/>
        <v>5061.2020000000002</v>
      </c>
      <c r="W110" s="32">
        <f>IF(J110&gt;2250,J110*0.1,0)</f>
        <v>556.22020000000009</v>
      </c>
      <c r="X110" s="46">
        <f>+V110-W110</f>
        <v>4504.9818000000005</v>
      </c>
      <c r="Y110" s="32">
        <f>IF(J110&lt;2250,J110*0.1,0)</f>
        <v>0</v>
      </c>
      <c r="Z110" s="32">
        <v>10.23</v>
      </c>
      <c r="AA110" s="32">
        <f>+O110</f>
        <v>0</v>
      </c>
      <c r="AB110" s="46">
        <f>+J110+Y110+Z110+AA110</f>
        <v>5572.4319999999998</v>
      </c>
      <c r="AC110" s="51"/>
      <c r="AD110" s="52"/>
      <c r="AE110" s="47">
        <f>+AC110+AD110-X110</f>
        <v>-4504.9818000000005</v>
      </c>
      <c r="AF110" s="35">
        <v>56708846050</v>
      </c>
      <c r="AG110" s="35"/>
    </row>
    <row r="111" spans="1:187">
      <c r="A111" s="28"/>
      <c r="B111" s="33"/>
      <c r="C111" s="28"/>
      <c r="D111" s="60"/>
      <c r="E111" s="60"/>
      <c r="F111" s="30"/>
      <c r="G111" s="30"/>
      <c r="H111" s="30"/>
      <c r="I111" s="30"/>
      <c r="J111" s="46">
        <f t="shared" si="51"/>
        <v>0</v>
      </c>
      <c r="K111" s="34"/>
      <c r="L111" s="34"/>
      <c r="M111" s="34"/>
      <c r="N111" s="34"/>
      <c r="O111" s="34"/>
      <c r="P111" s="34"/>
      <c r="Q111" s="34"/>
      <c r="R111" s="32"/>
      <c r="S111" s="32"/>
      <c r="T111" s="32"/>
      <c r="U111" s="32"/>
      <c r="V111" s="46"/>
      <c r="W111" s="32"/>
      <c r="X111" s="46"/>
      <c r="Y111" s="55"/>
      <c r="Z111" s="55"/>
      <c r="AA111" s="55"/>
      <c r="AB111" s="54"/>
      <c r="AC111" s="44"/>
      <c r="AD111" s="44"/>
      <c r="AE111" s="39"/>
      <c r="AF111" s="28"/>
      <c r="AG111" s="2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</row>
    <row r="112" spans="1:187">
      <c r="A112" s="28"/>
      <c r="B112" s="35" t="s">
        <v>124</v>
      </c>
      <c r="C112" s="28"/>
      <c r="D112" s="60"/>
      <c r="E112" s="38">
        <f>SUM(E67:E110)</f>
        <v>29312.720000000001</v>
      </c>
      <c r="F112" s="38">
        <f>SUM(F67:F110)</f>
        <v>129185.876</v>
      </c>
      <c r="G112" s="38">
        <f>SUM(G67:G110)</f>
        <v>0</v>
      </c>
      <c r="H112" s="38">
        <f t="shared" ref="H112:X112" si="79">SUM(H67:H110)</f>
        <v>0</v>
      </c>
      <c r="I112" s="38">
        <f t="shared" si="79"/>
        <v>0</v>
      </c>
      <c r="J112" s="46">
        <f t="shared" si="51"/>
        <v>129185.876</v>
      </c>
      <c r="K112" s="38">
        <f t="shared" si="79"/>
        <v>200</v>
      </c>
      <c r="L112" s="38">
        <f t="shared" si="79"/>
        <v>5</v>
      </c>
      <c r="M112" s="38">
        <f t="shared" si="79"/>
        <v>0</v>
      </c>
      <c r="N112" s="38">
        <f t="shared" si="79"/>
        <v>4200</v>
      </c>
      <c r="O112" s="38">
        <f t="shared" si="79"/>
        <v>0</v>
      </c>
      <c r="P112" s="38">
        <f t="shared" si="79"/>
        <v>0</v>
      </c>
      <c r="Q112" s="38">
        <f t="shared" si="79"/>
        <v>0</v>
      </c>
      <c r="R112" s="38">
        <f t="shared" si="79"/>
        <v>0</v>
      </c>
      <c r="S112" s="38">
        <f t="shared" si="79"/>
        <v>0</v>
      </c>
      <c r="T112" s="38">
        <f t="shared" si="79"/>
        <v>0</v>
      </c>
      <c r="U112" s="38">
        <f t="shared" si="79"/>
        <v>1288.19</v>
      </c>
      <c r="V112" s="38">
        <f t="shared" si="79"/>
        <v>123492.68599999999</v>
      </c>
      <c r="W112" s="38">
        <f t="shared" si="79"/>
        <v>7940.9463999999998</v>
      </c>
      <c r="X112" s="38">
        <f t="shared" si="79"/>
        <v>79555.337399999989</v>
      </c>
      <c r="Y112" s="55"/>
      <c r="Z112" s="55"/>
      <c r="AA112" s="55"/>
      <c r="AB112" s="54"/>
      <c r="AC112" s="44"/>
      <c r="AD112" s="44"/>
      <c r="AE112" s="39"/>
      <c r="AF112" s="28"/>
      <c r="AG112" s="2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</row>
    <row r="113" spans="1:187">
      <c r="B113" s="20"/>
      <c r="AB113" s="14" t="e">
        <f>+#REF!*0.16</f>
        <v>#REF!</v>
      </c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</row>
    <row r="114" spans="1:187"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</row>
    <row r="115" spans="1:187"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</row>
    <row r="116" spans="1:187"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</row>
    <row r="117" spans="1:187" ht="23.25">
      <c r="A117" s="103" t="s">
        <v>25</v>
      </c>
      <c r="B117" s="103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</row>
    <row r="118" spans="1:187" s="18" customFormat="1" ht="15.75">
      <c r="A118" s="65" t="s">
        <v>40</v>
      </c>
      <c r="B118" s="65" t="s">
        <v>114</v>
      </c>
      <c r="C118" s="65" t="s">
        <v>44</v>
      </c>
      <c r="D118" s="49">
        <v>42199</v>
      </c>
      <c r="E118" s="34">
        <v>1633</v>
      </c>
      <c r="F118" s="34"/>
      <c r="G118" s="34"/>
      <c r="H118" s="34"/>
      <c r="I118" s="34"/>
      <c r="J118" s="46">
        <f t="shared" ref="J118:J122" si="80">SUM(F118:I118)</f>
        <v>0</v>
      </c>
      <c r="K118" s="34"/>
      <c r="L118" s="61"/>
      <c r="M118" s="34"/>
      <c r="N118" s="34">
        <v>150</v>
      </c>
      <c r="O118" s="62"/>
      <c r="P118" s="62"/>
      <c r="Q118" s="34"/>
      <c r="R118" s="32"/>
      <c r="S118" s="63"/>
      <c r="T118" s="33"/>
      <c r="U118" s="58"/>
      <c r="V118" s="46">
        <f t="shared" ref="V118:V122" si="81">+J118-SUM(K118:U118)</f>
        <v>-150</v>
      </c>
      <c r="W118" s="32">
        <v>0</v>
      </c>
      <c r="X118" s="46">
        <v>-150</v>
      </c>
      <c r="Y118" s="32"/>
      <c r="Z118" s="32"/>
      <c r="AA118" s="32"/>
      <c r="AB118" s="46"/>
      <c r="AC118" s="53"/>
      <c r="AD118" s="51"/>
      <c r="AE118" s="47"/>
      <c r="AF118" s="33">
        <v>60590405464</v>
      </c>
      <c r="AG118" s="66"/>
    </row>
    <row r="119" spans="1:187">
      <c r="A119" s="65" t="s">
        <v>38</v>
      </c>
      <c r="B119" s="65" t="s">
        <v>105</v>
      </c>
      <c r="C119" s="65" t="s">
        <v>44</v>
      </c>
      <c r="D119" s="49">
        <v>34275</v>
      </c>
      <c r="E119" s="34">
        <v>1633</v>
      </c>
      <c r="F119" s="34"/>
      <c r="G119" s="34"/>
      <c r="H119" s="34"/>
      <c r="I119" s="34"/>
      <c r="J119" s="46">
        <f t="shared" si="80"/>
        <v>0</v>
      </c>
      <c r="K119" s="34"/>
      <c r="L119" s="61"/>
      <c r="M119" s="34"/>
      <c r="N119" s="34"/>
      <c r="O119" s="62"/>
      <c r="P119" s="62"/>
      <c r="Q119" s="34"/>
      <c r="R119" s="32"/>
      <c r="S119" s="32"/>
      <c r="T119" s="33"/>
      <c r="U119" s="33"/>
      <c r="V119" s="46">
        <f t="shared" si="81"/>
        <v>0</v>
      </c>
      <c r="W119" s="32">
        <v>0</v>
      </c>
      <c r="X119" s="46">
        <v>0</v>
      </c>
      <c r="Y119" s="55"/>
      <c r="Z119" s="55"/>
      <c r="AA119" s="55"/>
      <c r="AB119" s="54"/>
      <c r="AC119" s="44"/>
      <c r="AD119" s="44"/>
      <c r="AE119" s="39"/>
      <c r="AF119" s="28">
        <v>60590317373</v>
      </c>
      <c r="AG119" s="66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</row>
    <row r="120" spans="1:187">
      <c r="A120" s="65" t="s">
        <v>40</v>
      </c>
      <c r="B120" s="65" t="s">
        <v>122</v>
      </c>
      <c r="C120" s="65" t="s">
        <v>123</v>
      </c>
      <c r="D120" s="49">
        <v>38825</v>
      </c>
      <c r="E120" s="34">
        <v>2100</v>
      </c>
      <c r="F120" s="34"/>
      <c r="G120" s="34"/>
      <c r="H120" s="34"/>
      <c r="I120" s="34"/>
      <c r="J120" s="46">
        <f t="shared" si="80"/>
        <v>0</v>
      </c>
      <c r="K120" s="34"/>
      <c r="L120" s="61"/>
      <c r="M120" s="34"/>
      <c r="N120" s="34"/>
      <c r="O120" s="62"/>
      <c r="P120" s="62"/>
      <c r="Q120" s="34"/>
      <c r="R120" s="32"/>
      <c r="S120" s="32"/>
      <c r="T120" s="33"/>
      <c r="U120" s="33"/>
      <c r="V120" s="46">
        <f t="shared" si="81"/>
        <v>0</v>
      </c>
      <c r="W120" s="32"/>
      <c r="X120" s="46"/>
      <c r="Y120" s="55"/>
      <c r="Z120" s="55"/>
      <c r="AA120" s="55"/>
      <c r="AB120" s="54"/>
      <c r="AC120" s="44"/>
      <c r="AD120" s="44"/>
      <c r="AE120" s="39"/>
      <c r="AF120" s="28">
        <v>56708845376</v>
      </c>
      <c r="AG120" s="66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</row>
    <row r="121" spans="1:187">
      <c r="A121" s="65" t="s">
        <v>38</v>
      </c>
      <c r="B121" s="65" t="s">
        <v>108</v>
      </c>
      <c r="C121" s="65" t="s">
        <v>107</v>
      </c>
      <c r="D121" s="49">
        <v>42809</v>
      </c>
      <c r="E121" s="34">
        <v>937.5</v>
      </c>
      <c r="F121" s="34"/>
      <c r="G121" s="34"/>
      <c r="H121" s="34"/>
      <c r="I121" s="34"/>
      <c r="J121" s="46">
        <f t="shared" si="80"/>
        <v>0</v>
      </c>
      <c r="K121" s="34"/>
      <c r="L121" s="61"/>
      <c r="M121" s="34"/>
      <c r="N121" s="34"/>
      <c r="O121" s="62"/>
      <c r="P121" s="62"/>
      <c r="Q121" s="34"/>
      <c r="R121" s="32"/>
      <c r="S121" s="32"/>
      <c r="T121" s="33"/>
      <c r="U121" s="33"/>
      <c r="V121" s="46">
        <f t="shared" si="81"/>
        <v>0</v>
      </c>
      <c r="W121" s="32"/>
      <c r="X121" s="46"/>
      <c r="Y121" s="55"/>
      <c r="Z121" s="55"/>
      <c r="AA121" s="55"/>
      <c r="AB121" s="54"/>
      <c r="AC121" s="44"/>
      <c r="AD121" s="44"/>
      <c r="AE121" s="39"/>
      <c r="AF121" s="28">
        <v>60590314454</v>
      </c>
      <c r="AG121" s="66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</row>
    <row r="122" spans="1:187">
      <c r="A122" s="65" t="s">
        <v>40</v>
      </c>
      <c r="B122" s="65" t="s">
        <v>166</v>
      </c>
      <c r="C122" s="65" t="s">
        <v>167</v>
      </c>
      <c r="D122" s="49">
        <v>40147</v>
      </c>
      <c r="E122" s="34">
        <v>1900</v>
      </c>
      <c r="F122" s="34"/>
      <c r="G122" s="34"/>
      <c r="H122" s="34"/>
      <c r="I122" s="34"/>
      <c r="J122" s="46">
        <f t="shared" si="80"/>
        <v>0</v>
      </c>
      <c r="K122" s="34"/>
      <c r="L122" s="61"/>
      <c r="M122" s="34"/>
      <c r="N122" s="34"/>
      <c r="O122" s="62"/>
      <c r="P122" s="62"/>
      <c r="Q122" s="34"/>
      <c r="R122" s="32"/>
      <c r="S122" s="32"/>
      <c r="T122" s="33"/>
      <c r="U122" s="33"/>
      <c r="V122" s="46">
        <f t="shared" si="81"/>
        <v>0</v>
      </c>
      <c r="W122" s="32"/>
      <c r="X122" s="46"/>
      <c r="Y122" s="55"/>
      <c r="Z122" s="55"/>
      <c r="AA122" s="55"/>
      <c r="AB122" s="54"/>
      <c r="AC122" s="44"/>
      <c r="AD122" s="44"/>
      <c r="AE122" s="39"/>
      <c r="AF122" s="28">
        <v>60590324373</v>
      </c>
      <c r="AG122" s="66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</row>
    <row r="123" spans="1:187"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</row>
    <row r="124" spans="1:187"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</row>
    <row r="125" spans="1:187"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</row>
    <row r="126" spans="1:187">
      <c r="A126" s="19" t="s">
        <v>17</v>
      </c>
      <c r="B126" s="13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</row>
    <row r="127" spans="1:187">
      <c r="A127" s="19" t="s">
        <v>18</v>
      </c>
      <c r="B127" s="13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</row>
    <row r="128" spans="1:187">
      <c r="A128" s="19" t="s">
        <v>19</v>
      </c>
      <c r="B128" s="13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</row>
    <row r="129" spans="1:187">
      <c r="A129" s="19" t="s">
        <v>20</v>
      </c>
      <c r="B129" s="13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</row>
    <row r="130" spans="1:187">
      <c r="A130" s="19" t="s">
        <v>21</v>
      </c>
      <c r="B130" s="13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</row>
    <row r="131" spans="1:187">
      <c r="A131" s="19" t="s">
        <v>22</v>
      </c>
      <c r="B131" s="13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</row>
    <row r="132" spans="1:187"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</row>
    <row r="133" spans="1:187"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</row>
    <row r="135" spans="1:187">
      <c r="B135" s="17"/>
    </row>
    <row r="136" spans="1:187">
      <c r="B136" s="17"/>
    </row>
    <row r="137" spans="1:187">
      <c r="B137" s="17"/>
    </row>
  </sheetData>
  <sheetProtection selectLockedCells="1" selectUnlockedCells="1"/>
  <autoFilter ref="A5:AG62">
    <filterColumn colId="2"/>
    <filterColumn colId="4"/>
    <filterColumn colId="6"/>
    <filterColumn colId="28" showButton="0"/>
    <sortState ref="A8:AH99">
      <sortCondition ref="B5:B99"/>
    </sortState>
  </autoFilter>
  <mergeCells count="33">
    <mergeCell ref="G5:G6"/>
    <mergeCell ref="A117:B117"/>
    <mergeCell ref="F5:F6"/>
    <mergeCell ref="A5:A6"/>
    <mergeCell ref="B5:B6"/>
    <mergeCell ref="C5:C6"/>
    <mergeCell ref="D5:D6"/>
    <mergeCell ref="E5:E6"/>
    <mergeCell ref="S5:S6"/>
    <mergeCell ref="T5:T6"/>
    <mergeCell ref="H5:H6"/>
    <mergeCell ref="I5:I6"/>
    <mergeCell ref="J5:J6"/>
    <mergeCell ref="K5:K6"/>
    <mergeCell ref="N5:N6"/>
    <mergeCell ref="L5:L6"/>
    <mergeCell ref="M5:M6"/>
    <mergeCell ref="AG5:AG6"/>
    <mergeCell ref="A66:B66"/>
    <mergeCell ref="AB5:AB6"/>
    <mergeCell ref="AC5:AD5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NOMINA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2017-10-27T14:35:11Z</dcterms:modified>
</cp:coreProperties>
</file>