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2045"/>
  </bookViews>
  <sheets>
    <sheet name="FORMATO NOMINA" sheetId="4" r:id="rId1"/>
  </sheets>
  <definedNames>
    <definedName name="_xlnm._FilterDatabase" localSheetId="0" hidden="1">'FORMATO NOMINA'!$A$5:$AF$60</definedName>
  </definedNames>
  <calcPr calcId="124519"/>
</workbook>
</file>

<file path=xl/calcChain.xml><?xml version="1.0" encoding="utf-8"?>
<calcChain xmlns="http://schemas.openxmlformats.org/spreadsheetml/2006/main">
  <c r="F67" i="4"/>
  <c r="F93"/>
  <c r="F96"/>
  <c r="F70"/>
  <c r="F86"/>
  <c r="F84"/>
  <c r="F109"/>
  <c r="F102"/>
  <c r="F103"/>
  <c r="F73"/>
  <c r="F78"/>
  <c r="F72"/>
  <c r="F97"/>
  <c r="F74"/>
  <c r="F108"/>
  <c r="F92"/>
  <c r="F69"/>
  <c r="F106"/>
  <c r="F94"/>
  <c r="F87"/>
  <c r="F91"/>
  <c r="F66"/>
  <c r="F85"/>
  <c r="F80"/>
  <c r="F95"/>
  <c r="F89"/>
  <c r="F98"/>
  <c r="F101"/>
  <c r="F79"/>
  <c r="F88"/>
  <c r="F82"/>
  <c r="F83"/>
  <c r="F65"/>
  <c r="I122"/>
  <c r="U122" s="1"/>
  <c r="I12" l="1"/>
  <c r="I13"/>
  <c r="I14"/>
  <c r="I15"/>
  <c r="I16"/>
  <c r="I17"/>
  <c r="U12"/>
  <c r="I21"/>
  <c r="U21" s="1"/>
  <c r="I32"/>
  <c r="U32" s="1"/>
  <c r="I34" l="1"/>
  <c r="U34" s="1"/>
  <c r="I24"/>
  <c r="U24" s="1"/>
  <c r="J121"/>
  <c r="I22" l="1"/>
  <c r="U22" s="1"/>
  <c r="I39" l="1"/>
  <c r="U39" s="1"/>
  <c r="I67" l="1"/>
  <c r="E111" l="1"/>
  <c r="E62" l="1"/>
  <c r="P62" l="1"/>
  <c r="I8"/>
  <c r="I9"/>
  <c r="I10"/>
  <c r="I11"/>
  <c r="U16"/>
  <c r="U17"/>
  <c r="I18"/>
  <c r="U18" s="1"/>
  <c r="I19"/>
  <c r="I20"/>
  <c r="I23"/>
  <c r="I25"/>
  <c r="U25" s="1"/>
  <c r="I26"/>
  <c r="U26" s="1"/>
  <c r="I27"/>
  <c r="I28"/>
  <c r="I29"/>
  <c r="I30"/>
  <c r="I31"/>
  <c r="U31" s="1"/>
  <c r="I33"/>
  <c r="U33" s="1"/>
  <c r="I35"/>
  <c r="I36"/>
  <c r="I37"/>
  <c r="I38"/>
  <c r="U38" s="1"/>
  <c r="I40"/>
  <c r="U40" s="1"/>
  <c r="I41"/>
  <c r="I42"/>
  <c r="I43"/>
  <c r="I44"/>
  <c r="I45"/>
  <c r="I46"/>
  <c r="I47"/>
  <c r="I48"/>
  <c r="I49"/>
  <c r="I50"/>
  <c r="I51"/>
  <c r="I52"/>
  <c r="I53"/>
  <c r="I54"/>
  <c r="I55"/>
  <c r="I56"/>
  <c r="U56" s="1"/>
  <c r="I57"/>
  <c r="U57" s="1"/>
  <c r="I58"/>
  <c r="I59"/>
  <c r="I60"/>
  <c r="I7"/>
  <c r="I104" l="1"/>
  <c r="U104" s="1"/>
  <c r="I94" l="1"/>
  <c r="U94" s="1"/>
  <c r="I95"/>
  <c r="U95" s="1"/>
  <c r="I96"/>
  <c r="U96" s="1"/>
  <c r="I97"/>
  <c r="I87"/>
  <c r="U87" s="1"/>
  <c r="I88"/>
  <c r="U88" s="1"/>
  <c r="I89"/>
  <c r="U89" s="1"/>
  <c r="I80"/>
  <c r="U80" s="1"/>
  <c r="I81" l="1"/>
  <c r="U81" s="1"/>
  <c r="U41" l="1"/>
  <c r="U42"/>
  <c r="U43"/>
  <c r="U44"/>
  <c r="U45"/>
  <c r="U46"/>
  <c r="U47"/>
  <c r="U48"/>
  <c r="U11"/>
  <c r="U13"/>
  <c r="U14"/>
  <c r="U15"/>
  <c r="U19"/>
  <c r="U20"/>
  <c r="U23"/>
  <c r="U27"/>
  <c r="I90"/>
  <c r="U90" s="1"/>
  <c r="I91"/>
  <c r="U91" s="1"/>
  <c r="I92"/>
  <c r="U92" s="1"/>
  <c r="I93"/>
  <c r="U93" s="1"/>
  <c r="I98"/>
  <c r="U98" s="1"/>
  <c r="I99"/>
  <c r="U99" s="1"/>
  <c r="I100"/>
  <c r="U100" s="1"/>
  <c r="I101"/>
  <c r="U101" s="1"/>
  <c r="I69"/>
  <c r="U69" s="1"/>
  <c r="I70"/>
  <c r="U70" s="1"/>
  <c r="I71"/>
  <c r="U71" s="1"/>
  <c r="I72"/>
  <c r="U72" s="1"/>
  <c r="I73"/>
  <c r="U73" s="1"/>
  <c r="U10" l="1"/>
  <c r="I79"/>
  <c r="U79" s="1"/>
  <c r="I86" l="1"/>
  <c r="U86" s="1"/>
  <c r="I84"/>
  <c r="U84" s="1"/>
  <c r="I85" l="1"/>
  <c r="U85" s="1"/>
  <c r="I82"/>
  <c r="U82" s="1"/>
  <c r="I83"/>
  <c r="U83" s="1"/>
  <c r="T62"/>
  <c r="Z88" l="1"/>
  <c r="X25"/>
  <c r="V25" l="1"/>
  <c r="I77" l="1"/>
  <c r="U77" s="1"/>
  <c r="Q62" l="1"/>
  <c r="U37" l="1"/>
  <c r="U54" l="1"/>
  <c r="I75" l="1"/>
  <c r="U75" s="1"/>
  <c r="I121" l="1"/>
  <c r="U121" s="1"/>
  <c r="I117"/>
  <c r="U117" s="1"/>
  <c r="I118"/>
  <c r="U118" s="1"/>
  <c r="I119"/>
  <c r="U119" s="1"/>
  <c r="I120"/>
  <c r="U120" s="1"/>
  <c r="I66"/>
  <c r="U66" s="1"/>
  <c r="U67"/>
  <c r="I68"/>
  <c r="U68" s="1"/>
  <c r="I74"/>
  <c r="U74" s="1"/>
  <c r="I76"/>
  <c r="U76" s="1"/>
  <c r="I78"/>
  <c r="U78" s="1"/>
  <c r="U36"/>
  <c r="I102"/>
  <c r="U102" s="1"/>
  <c r="I103"/>
  <c r="U103" s="1"/>
  <c r="I105"/>
  <c r="U105" s="1"/>
  <c r="I106"/>
  <c r="U106" s="1"/>
  <c r="I107"/>
  <c r="U107" s="1"/>
  <c r="I108"/>
  <c r="U108" s="1"/>
  <c r="I109"/>
  <c r="U109" s="1"/>
  <c r="I110"/>
  <c r="U28"/>
  <c r="F62" l="1"/>
  <c r="J97" l="1"/>
  <c r="U97" s="1"/>
  <c r="J111" l="1"/>
  <c r="K111"/>
  <c r="L111"/>
  <c r="M111"/>
  <c r="N111"/>
  <c r="O111"/>
  <c r="P111"/>
  <c r="Q111"/>
  <c r="R111"/>
  <c r="S111"/>
  <c r="T111"/>
  <c r="G111"/>
  <c r="H111"/>
  <c r="F111"/>
  <c r="I111" l="1"/>
  <c r="V93" l="1"/>
  <c r="W36"/>
  <c r="X36"/>
  <c r="AA36" s="1"/>
  <c r="V36"/>
  <c r="W93" l="1"/>
  <c r="V105"/>
  <c r="W105" l="1"/>
  <c r="V43" l="1"/>
  <c r="L62"/>
  <c r="W43" l="1"/>
  <c r="V88" l="1"/>
  <c r="W88" l="1"/>
  <c r="V60" l="1"/>
  <c r="U60" l="1"/>
  <c r="W60" s="1"/>
  <c r="V38"/>
  <c r="W38" l="1"/>
  <c r="V27" l="1"/>
  <c r="W27" l="1"/>
  <c r="V72" l="1"/>
  <c r="W72" s="1"/>
  <c r="V19" l="1"/>
  <c r="W19" l="1"/>
  <c r="V48"/>
  <c r="W48" l="1"/>
  <c r="V99"/>
  <c r="W99" l="1"/>
  <c r="U51" l="1"/>
  <c r="V51" l="1"/>
  <c r="W51" s="1"/>
  <c r="X51"/>
  <c r="V76" l="1"/>
  <c r="W76" s="1"/>
  <c r="V107"/>
  <c r="W107" s="1"/>
  <c r="V59" l="1"/>
  <c r="U59" l="1"/>
  <c r="W59" s="1"/>
  <c r="X33" l="1"/>
  <c r="Z33"/>
  <c r="U55"/>
  <c r="Z55"/>
  <c r="AA33" l="1"/>
  <c r="V33"/>
  <c r="X55"/>
  <c r="AA55" s="1"/>
  <c r="V55"/>
  <c r="W55" s="1"/>
  <c r="W33" l="1"/>
  <c r="Z44" l="1"/>
  <c r="X44" l="1"/>
  <c r="AA44" s="1"/>
  <c r="V44"/>
  <c r="W44" s="1"/>
  <c r="Z20" l="1"/>
  <c r="Z23"/>
  <c r="Z78"/>
  <c r="Z28"/>
  <c r="Z29"/>
  <c r="X29" l="1"/>
  <c r="AA29" s="1"/>
  <c r="U29"/>
  <c r="V29"/>
  <c r="W29" l="1"/>
  <c r="V78" l="1"/>
  <c r="X78"/>
  <c r="AA78" s="1"/>
  <c r="W78" l="1"/>
  <c r="Z58" l="1"/>
  <c r="Z42"/>
  <c r="X23" l="1"/>
  <c r="AA23" s="1"/>
  <c r="V23"/>
  <c r="U58"/>
  <c r="X58"/>
  <c r="AA58" s="1"/>
  <c r="V42"/>
  <c r="X42"/>
  <c r="AA42" s="1"/>
  <c r="V58"/>
  <c r="Z46"/>
  <c r="X46"/>
  <c r="W23" l="1"/>
  <c r="AD23" s="1"/>
  <c r="W58"/>
  <c r="W42"/>
  <c r="AA46"/>
  <c r="V46"/>
  <c r="W46" l="1"/>
  <c r="AD58" l="1"/>
  <c r="AD42" l="1"/>
  <c r="Z52"/>
  <c r="V87" l="1"/>
  <c r="X87"/>
  <c r="Z87"/>
  <c r="AA87" l="1"/>
  <c r="W87"/>
  <c r="AD87" s="1"/>
  <c r="Z16" l="1"/>
  <c r="V16" l="1"/>
  <c r="X16"/>
  <c r="AA16" s="1"/>
  <c r="W16" l="1"/>
  <c r="AD16" l="1"/>
  <c r="Z45" l="1"/>
  <c r="Z53" l="1"/>
  <c r="X53" l="1"/>
  <c r="V53" l="1"/>
  <c r="U53"/>
  <c r="AA53"/>
  <c r="W53" l="1"/>
  <c r="AD53" s="1"/>
  <c r="V97" l="1"/>
  <c r="X97"/>
  <c r="Z109"/>
  <c r="Z108"/>
  <c r="Z102"/>
  <c r="Z50"/>
  <c r="Z49"/>
  <c r="Z96"/>
  <c r="Z93"/>
  <c r="Z90"/>
  <c r="Z35"/>
  <c r="Z86"/>
  <c r="Z30"/>
  <c r="Z15"/>
  <c r="Z70"/>
  <c r="Z14"/>
  <c r="Z13"/>
  <c r="Z9"/>
  <c r="Z8"/>
  <c r="Z7"/>
  <c r="Z97" l="1"/>
  <c r="AA97" l="1"/>
  <c r="W97"/>
  <c r="AD97" s="1"/>
  <c r="V96" l="1"/>
  <c r="X96"/>
  <c r="AA96" s="1"/>
  <c r="Y62"/>
  <c r="I65"/>
  <c r="AC62"/>
  <c r="AB62"/>
  <c r="J62"/>
  <c r="H62"/>
  <c r="G62"/>
  <c r="X52"/>
  <c r="W96" l="1"/>
  <c r="AD96" s="1"/>
  <c r="V28"/>
  <c r="X28"/>
  <c r="AA28" s="1"/>
  <c r="V14"/>
  <c r="X14"/>
  <c r="V30"/>
  <c r="X30"/>
  <c r="V35"/>
  <c r="X35"/>
  <c r="V8"/>
  <c r="X8"/>
  <c r="AA8" s="1"/>
  <c r="V13"/>
  <c r="X13"/>
  <c r="AA13" s="1"/>
  <c r="V67"/>
  <c r="X67"/>
  <c r="X93"/>
  <c r="AA93" s="1"/>
  <c r="V70"/>
  <c r="X70"/>
  <c r="AA70" s="1"/>
  <c r="V69"/>
  <c r="X69"/>
  <c r="V91"/>
  <c r="X91"/>
  <c r="V66"/>
  <c r="X66"/>
  <c r="V82"/>
  <c r="X82"/>
  <c r="V73"/>
  <c r="X73"/>
  <c r="V90"/>
  <c r="X90"/>
  <c r="AA90" s="1"/>
  <c r="V86"/>
  <c r="X86"/>
  <c r="AA86" s="1"/>
  <c r="V50"/>
  <c r="X50"/>
  <c r="V106"/>
  <c r="X106"/>
  <c r="V102"/>
  <c r="X102"/>
  <c r="AA102" s="1"/>
  <c r="V109"/>
  <c r="X109"/>
  <c r="AA109" s="1"/>
  <c r="V49"/>
  <c r="X49"/>
  <c r="AA49" s="1"/>
  <c r="V101"/>
  <c r="X101"/>
  <c r="V100"/>
  <c r="X100"/>
  <c r="V108"/>
  <c r="X108"/>
  <c r="AA108" s="1"/>
  <c r="X45"/>
  <c r="AA45" s="1"/>
  <c r="V92"/>
  <c r="X92"/>
  <c r="V85"/>
  <c r="X85"/>
  <c r="V83"/>
  <c r="X83"/>
  <c r="V74"/>
  <c r="X74"/>
  <c r="V52"/>
  <c r="V45"/>
  <c r="R62"/>
  <c r="Z83"/>
  <c r="AA52"/>
  <c r="Z73"/>
  <c r="S62"/>
  <c r="Z69"/>
  <c r="U8"/>
  <c r="Z85"/>
  <c r="Z82"/>
  <c r="Z67"/>
  <c r="Z74"/>
  <c r="Z66"/>
  <c r="AD46"/>
  <c r="Z91"/>
  <c r="Z92"/>
  <c r="Z106"/>
  <c r="U49"/>
  <c r="Z100"/>
  <c r="Z101"/>
  <c r="U52"/>
  <c r="X20" l="1"/>
  <c r="AA20" s="1"/>
  <c r="V20"/>
  <c r="W28"/>
  <c r="W109"/>
  <c r="AD109" s="1"/>
  <c r="W86"/>
  <c r="AD86" s="1"/>
  <c r="V15"/>
  <c r="X15"/>
  <c r="AA15" s="1"/>
  <c r="X9"/>
  <c r="AA9" s="1"/>
  <c r="V7"/>
  <c r="X7"/>
  <c r="AA7" s="1"/>
  <c r="W108"/>
  <c r="AD108" s="1"/>
  <c r="U65"/>
  <c r="W45"/>
  <c r="AD45" s="1"/>
  <c r="U9"/>
  <c r="V9"/>
  <c r="AD78"/>
  <c r="W90"/>
  <c r="AD90" s="1"/>
  <c r="W13"/>
  <c r="AD13" s="1"/>
  <c r="AD93"/>
  <c r="W70"/>
  <c r="AD70" s="1"/>
  <c r="W102"/>
  <c r="AD102" s="1"/>
  <c r="W49"/>
  <c r="AD49" s="1"/>
  <c r="W8"/>
  <c r="AD8" s="1"/>
  <c r="W52"/>
  <c r="AD52" s="1"/>
  <c r="AA74"/>
  <c r="AA106"/>
  <c r="AA101"/>
  <c r="AA83"/>
  <c r="AA82"/>
  <c r="AA85"/>
  <c r="AA69"/>
  <c r="AA66"/>
  <c r="AA91"/>
  <c r="AA73"/>
  <c r="AA67"/>
  <c r="AA92"/>
  <c r="AA100"/>
  <c r="Z62"/>
  <c r="W83"/>
  <c r="AD83" s="1"/>
  <c r="W85"/>
  <c r="AD85" s="1"/>
  <c r="W101"/>
  <c r="AD101" s="1"/>
  <c r="W73"/>
  <c r="AD73" s="1"/>
  <c r="U30"/>
  <c r="AA30"/>
  <c r="AA14"/>
  <c r="AA50"/>
  <c r="U35"/>
  <c r="AA35"/>
  <c r="W69"/>
  <c r="AD69" s="1"/>
  <c r="W91"/>
  <c r="AD91" s="1"/>
  <c r="W92"/>
  <c r="AD92" s="1"/>
  <c r="W82"/>
  <c r="AD82" s="1"/>
  <c r="W74"/>
  <c r="AD74" s="1"/>
  <c r="W67"/>
  <c r="AD67" s="1"/>
  <c r="M62"/>
  <c r="W106"/>
  <c r="AD106" s="1"/>
  <c r="N62"/>
  <c r="O62"/>
  <c r="U7"/>
  <c r="U50"/>
  <c r="W66"/>
  <c r="AD66" s="1"/>
  <c r="W100"/>
  <c r="AD100" s="1"/>
  <c r="V65" l="1"/>
  <c r="V111" s="1"/>
  <c r="U111"/>
  <c r="W20"/>
  <c r="AD20" s="1"/>
  <c r="W15"/>
  <c r="AD15" s="1"/>
  <c r="W65"/>
  <c r="W111" s="1"/>
  <c r="X65"/>
  <c r="AA65" s="1"/>
  <c r="AA112" s="1"/>
  <c r="W9"/>
  <c r="AD9" s="1"/>
  <c r="AD28"/>
  <c r="W14"/>
  <c r="AD14" s="1"/>
  <c r="W30"/>
  <c r="AD30" s="1"/>
  <c r="W50"/>
  <c r="AD50" s="1"/>
  <c r="W35"/>
  <c r="AD35" s="1"/>
  <c r="W7"/>
  <c r="AD7" s="1"/>
  <c r="I62" l="1"/>
  <c r="X62"/>
  <c r="V62"/>
  <c r="U62" l="1"/>
  <c r="AA62"/>
  <c r="W62" l="1"/>
  <c r="AD62"/>
  <c r="AA63"/>
  <c r="AA64" s="1"/>
</calcChain>
</file>

<file path=xl/comments1.xml><?xml version="1.0" encoding="utf-8"?>
<comments xmlns="http://schemas.openxmlformats.org/spreadsheetml/2006/main">
  <authors>
    <author>usuario</author>
  </authors>
  <commentList>
    <comment ref="M67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300</t>
        </r>
      </text>
    </comment>
  </commentList>
</comments>
</file>

<file path=xl/sharedStrings.xml><?xml version="1.0" encoding="utf-8"?>
<sst xmlns="http://schemas.openxmlformats.org/spreadsheetml/2006/main" count="432" uniqueCount="191">
  <si>
    <t>Puesto</t>
  </si>
  <si>
    <t>TOTAL NOMINA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</si>
  <si>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</si>
  <si>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</si>
  <si>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</si>
  <si>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</si>
  <si>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</si>
  <si>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</si>
  <si>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</si>
  <si>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</si>
  <si>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</si>
  <si>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</si>
  <si>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</si>
  <si>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</si>
  <si>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</si>
  <si>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</si>
  <si>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</si>
  <si>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</si>
  <si>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</si>
  <si>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</si>
  <si>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</si>
  <si>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</si>
  <si>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</si>
  <si>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</si>
  <si>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</si>
  <si>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</si>
  <si>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</si>
  <si>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</si>
  <si>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</si>
  <si>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</si>
  <si>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</si>
  <si>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</si>
  <si>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</si>
  <si>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</si>
  <si>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</si>
  <si>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VEGA RIVERA ISMAEL</t>
  </si>
  <si>
    <t>ARENAS VARGAS MOISES</t>
  </si>
  <si>
    <t>RUIZ RODRIGUEZ OMAR</t>
  </si>
  <si>
    <t>SERVICIO</t>
  </si>
  <si>
    <t>HOJALATERIA</t>
  </si>
  <si>
    <t>ADMINISTRACION</t>
  </si>
  <si>
    <t>COSTO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</si>
  <si>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</si>
  <si>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</si>
  <si>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</si>
  <si>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</si>
  <si>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</si>
  <si>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</si>
  <si>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</si>
  <si>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</si>
  <si>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MARTINEZ ALVARADO ADRIAN</t>
  </si>
  <si>
    <t>SANCHEZ HURTADO CARLOS</t>
  </si>
  <si>
    <t>MARTINEZ GUERRERO LEONEL</t>
  </si>
  <si>
    <t>ALAVEZ LOPEZ INOCENCIO</t>
  </si>
  <si>
    <t>CANCINO RODRIGUEZ GREGORIO</t>
  </si>
  <si>
    <t>OLVERA SOTO LUIS ANGEL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</si>
  <si>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</si>
  <si>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</si>
  <si>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</si>
  <si>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</si>
  <si>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</si>
  <si>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</si>
  <si>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REYES FLORES ALAN RICARDO</t>
  </si>
  <si>
    <t>ARROYO ZARAZUA GILBERTO</t>
  </si>
  <si>
    <t>FONSECA GUILLEN JOSE FELIPE</t>
  </si>
  <si>
    <t>HERNANDEZ SILVA EDGAR SAMUEL</t>
  </si>
  <si>
    <t>MARTINEZ LORENZO LUIS ALEJANDRO</t>
  </si>
  <si>
    <t>AGUILAR BRAVO CRISTIAN SAUL</t>
  </si>
  <si>
    <t>RIVERA AGUILAR GABRIEL</t>
  </si>
  <si>
    <t>CASTILLO ORDOÑEZ JORGE</t>
  </si>
  <si>
    <t>FECHA DE INICIO</t>
  </si>
  <si>
    <t>ADMON VENTAS</t>
  </si>
  <si>
    <t>CUENTA</t>
  </si>
  <si>
    <t>OBSERVACIONES</t>
  </si>
  <si>
    <t>MARTINEZ GALLEGOS LUIS FERNANDO</t>
  </si>
  <si>
    <t>CARRASCO TOVAR ARTURO</t>
  </si>
  <si>
    <t>RESENDIZ CAMPUZANO ISRAEL</t>
  </si>
  <si>
    <t>UNIFORMES</t>
  </si>
  <si>
    <t>ESPECIALES</t>
  </si>
  <si>
    <t>MORALES SANCHEZ ANGEL</t>
  </si>
  <si>
    <t>SERENO CUELLAR JUVENAL</t>
  </si>
  <si>
    <t>DISPERSION</t>
  </si>
  <si>
    <t>CORTEZ OVANDO FAUSTINO ALI</t>
  </si>
  <si>
    <t>RESENDIZ ECHEVERRIA MARIO ALBERTO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</si>
  <si>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</si>
  <si>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</si>
  <si>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</si>
  <si>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</si>
  <si>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</si>
  <si>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</si>
  <si>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</si>
  <si>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TRONCOSO PEÑA GERARDO</t>
  </si>
  <si>
    <t>PATIÑO NAVARRO OSCAR MARTIN</t>
  </si>
  <si>
    <t>HERNANDEZ ARREOLA RODOLFO MAYOLO</t>
  </si>
  <si>
    <t>JEFE DE TALLER</t>
  </si>
  <si>
    <t>REYES ARMADILLO JORGE ANDRES</t>
  </si>
  <si>
    <t>FALTAS</t>
  </si>
  <si>
    <t>SOLORZANO LUNA MARIANA</t>
  </si>
  <si>
    <t>MATILDE SANTIAGO URIEL</t>
  </si>
  <si>
    <t>LUPERCIO ESPINO ALAN JAIRO</t>
  </si>
  <si>
    <t>SIFONTES SARDUA DAYAN JESUS</t>
  </si>
  <si>
    <t>VALDEZ MARTINEZ MARTIN</t>
  </si>
  <si>
    <t>AYUDANTE</t>
  </si>
  <si>
    <t>ESTETICAS AYUDANTE</t>
  </si>
  <si>
    <t>MANTENIMIENTO</t>
  </si>
  <si>
    <t>TECNICO A</t>
  </si>
  <si>
    <t>TECNICO B</t>
  </si>
  <si>
    <t>SANCHEZ DE SANTIAGO RICARDO</t>
  </si>
  <si>
    <t>HERNANDEZ AGUILAR ROBERTO CARLOS</t>
  </si>
  <si>
    <t>WEB MASTER</t>
  </si>
  <si>
    <t>GUZMAN NAVARRO EDUARDO</t>
  </si>
  <si>
    <t>SALDAÑA SANCHEZ JULIO CESAR</t>
  </si>
  <si>
    <t>SALAS MARTINEZ OSCAR JESUS</t>
  </si>
  <si>
    <t>RODRIGUEZ PINACHO CESAR OCTAVIO</t>
  </si>
  <si>
    <t>GALLEGOS ROMERO CRISTIAN</t>
  </si>
  <si>
    <t>COACH BDC</t>
  </si>
  <si>
    <t>GAYTAN MARTINEZ RAUL</t>
  </si>
  <si>
    <t>DOMINGUEZ GUDIÑO OMAR</t>
  </si>
  <si>
    <t>HERNANDEZ SANCHEZ RODRIGO</t>
  </si>
  <si>
    <t>NAVARRO ARENAS ANDREA ARELI</t>
  </si>
  <si>
    <t>VARGAS GOMEZ RAUL ARMANDO</t>
  </si>
  <si>
    <t>Ingenieria Fiscal Laboral S.C.</t>
  </si>
  <si>
    <t>TECNICO</t>
  </si>
  <si>
    <t>EN TRAMITE</t>
  </si>
  <si>
    <t>RAMIREZ MOYA NESTOR</t>
  </si>
  <si>
    <t>VALDEZ BERNAL JUAN PABLO</t>
  </si>
  <si>
    <t>DESCUENTO CTA 254 POR CONCEPTO DE HERRAMIENTAS</t>
  </si>
  <si>
    <t>FERRER GONZALEZ MARIA ELENA</t>
  </si>
  <si>
    <t>AUX. ADMON.</t>
  </si>
  <si>
    <t>TOTAL DE LA NOMINA</t>
  </si>
  <si>
    <t>VALDEZ HERNANDEZ ELDA NELLY</t>
  </si>
  <si>
    <t>BAUTISTA RAMIREZ MARIO ALEXIS</t>
  </si>
  <si>
    <t>JUAREZ URIBE MICHEL</t>
  </si>
  <si>
    <t>DE JESUS PADILLA ALFREDO</t>
  </si>
  <si>
    <t>SAUCEDO MAGAÑA VICTOR HUGO</t>
  </si>
  <si>
    <t>BANCOMER</t>
  </si>
  <si>
    <t>HERNANDEZ MATA AURELIANO</t>
  </si>
  <si>
    <t>HURTADO PAJARO JOSE EDUARDO</t>
  </si>
  <si>
    <t>GUTIERREZ LARA GEOVANNI</t>
  </si>
  <si>
    <t>SOLANO PEREZ JOSE ANTONIO</t>
  </si>
  <si>
    <t>HERNANDEZ MARTINEZ EDUARDO RENE</t>
  </si>
  <si>
    <t>HERNANDEZ SOLIS GUMECINDO</t>
  </si>
  <si>
    <t>XX</t>
  </si>
  <si>
    <t>PUEBLA MARTINEZ JOSE ANDRES</t>
  </si>
  <si>
    <t>JUAREZ MARTINEZ LUIS MIGUEL</t>
  </si>
  <si>
    <t>BERDEJA LEON FRANCISCO GERARDO</t>
  </si>
  <si>
    <t>PADILLA RUIZ JOSE ANTONIO</t>
  </si>
  <si>
    <t>FLORES VENTURA PAULINA SOLEDAD</t>
  </si>
  <si>
    <t>COACH DE VENTAS SEM</t>
  </si>
  <si>
    <t>ROCHA MORENO HUGO ARMANDO</t>
  </si>
  <si>
    <t>RIVERO MAGOS JESSICA LILIANA</t>
  </si>
  <si>
    <t>BOCANEGRA PEGUERO MARIA GUADALUPE</t>
  </si>
  <si>
    <t>CONTAC CENTER</t>
  </si>
  <si>
    <t>LOPEZ MARTINEZ OSCAR</t>
  </si>
  <si>
    <t>LOPEZ PALACIOS LUIS ARTURO</t>
  </si>
  <si>
    <t>MECANICO NOCTURNO</t>
  </si>
  <si>
    <t>RAMIREZ MONTES MISSAEL GUILLERMO</t>
  </si>
  <si>
    <t>TORRES GAYTAN EVELYN</t>
  </si>
  <si>
    <t>HERNANDEZ RAMOS LUIS FELIPE</t>
  </si>
  <si>
    <t>DURAN GUERRA VICTOR MANUEL</t>
  </si>
  <si>
    <t>LANDAVERDE GARCIA JUAN</t>
  </si>
  <si>
    <t>MORENO VALERA NORMA</t>
  </si>
  <si>
    <t>TELLEZ GAYTAN DANIEL</t>
  </si>
  <si>
    <t>ONTIVEROS PLIEGO LUIS GERARDO</t>
  </si>
  <si>
    <t>SUEDO BASE</t>
  </si>
  <si>
    <t>EFECTIVO</t>
  </si>
  <si>
    <t>NAVA RUBIO JAVIER (-$461.01)</t>
  </si>
  <si>
    <t>DESCUENTO CTA 254 POR PRESTAMO 3/12</t>
  </si>
  <si>
    <t>RODRIGUEZ RODRIGUEZ RODOLFO ANUAR</t>
  </si>
  <si>
    <t>TORRES IBARRA LUIS GERARDO</t>
  </si>
  <si>
    <t>AGUILAR PEREZ MARCOS ARTEMIO</t>
  </si>
  <si>
    <t>MARTINEZ GARCIA JOSE JUAN</t>
  </si>
  <si>
    <t>NIETO GONZALEZ ANGEL RICARDO</t>
  </si>
  <si>
    <t>OLVERA BAUTISTA J DOLORES GILBERTO</t>
  </si>
  <si>
    <t>VEGA GRANADOS JUAN MANUEL</t>
  </si>
  <si>
    <t>OLIVAS MANCILLA JESUS SADIEL</t>
  </si>
  <si>
    <t>GUZMAN OROZCO JORGE ISAAC</t>
  </si>
  <si>
    <t>DESCUENTO CTA 254 POR CONCEPTO DE TRAJES 23/24</t>
  </si>
  <si>
    <t>DESCUENTO POR PRESTAMO 8/25</t>
  </si>
  <si>
    <t>HERNANDEZ LOPEZ ERICK DANIEL</t>
  </si>
  <si>
    <t>X</t>
  </si>
  <si>
    <t>MARTINEZ HERNANDEZ MARCO ANTONIO</t>
  </si>
  <si>
    <t>LOYOLA SANDOVAL JOSE ANDRES</t>
  </si>
  <si>
    <t>GUTIERREZ CORONA ALDO URIEL</t>
  </si>
  <si>
    <t>CARDENAS CASAS MARIA DEL ROCIO</t>
  </si>
  <si>
    <t>BECERRA JIMENEZ ALEJANDRO BONIFACIO</t>
  </si>
  <si>
    <t>JARDINERO</t>
  </si>
  <si>
    <t>Periodo Semana 37</t>
  </si>
  <si>
    <t>06/09/17 AL 12/09/17</t>
  </si>
  <si>
    <t>7 DIAS INCAP</t>
  </si>
  <si>
    <t>7 DIAS INCAPACIDAD (07/09 AL 13/09)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</si>
</sst>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dd/mm/yy"/>
  </numFmts>
  <fonts count="18">
    <font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  <font>
      <b/>
      <sz val="18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43" fontId="1" fillId="0" borderId="0" applyFill="0" applyBorder="0" applyAlignment="0" applyProtection="0"/>
    <xf numFmtId="0" fontId="2" fillId="0" borderId="0"/>
    <xf numFmtId="0" fontId="1" fillId="0" borderId="0"/>
  </cellStyleXfs>
  <cellXfs count="105">
    <xf numFmtId="0" fontId="0" fillId="0" borderId="0" xfId="0"/>
    <xf numFmtId="43" fontId="1" fillId="0" borderId="0" xfId="2"/>
    <xf numFmtId="0" fontId="4" fillId="0" borderId="0" xfId="3" applyFont="1" applyFill="1" applyAlignment="1" applyProtection="1">
      <alignment horizontal="left"/>
    </xf>
    <xf numFmtId="0" fontId="4" fillId="0" borderId="0" xfId="3" applyFont="1" applyFill="1" applyAlignment="1" applyProtection="1">
      <alignment horizontal="center"/>
    </xf>
    <xf numFmtId="43" fontId="5" fillId="0" borderId="0" xfId="2" applyFont="1" applyFill="1" applyAlignment="1" applyProtection="1">
      <alignment horizontal="center"/>
    </xf>
    <xf numFmtId="43" fontId="6" fillId="0" borderId="0" xfId="2" applyFont="1" applyFill="1" applyAlignment="1" applyProtection="1">
      <alignment horizontal="center"/>
    </xf>
    <xf numFmtId="0" fontId="5" fillId="0" borderId="0" xfId="0" applyFont="1" applyFill="1" applyProtection="1"/>
    <xf numFmtId="0" fontId="5" fillId="0" borderId="0" xfId="0" applyFont="1" applyProtection="1"/>
    <xf numFmtId="0" fontId="7" fillId="0" borderId="0" xfId="3" applyFont="1" applyFill="1" applyAlignment="1" applyProtection="1">
      <alignment horizontal="left"/>
    </xf>
    <xf numFmtId="0" fontId="7" fillId="0" borderId="0" xfId="3" applyFont="1" applyFill="1" applyAlignment="1" applyProtection="1">
      <alignment horizontal="center"/>
    </xf>
    <xf numFmtId="15" fontId="4" fillId="0" borderId="0" xfId="3" applyNumberFormat="1" applyFont="1" applyFill="1" applyAlignment="1" applyProtection="1">
      <alignment horizontal="left"/>
    </xf>
    <xf numFmtId="15" fontId="4" fillId="0" borderId="0" xfId="3" applyNumberFormat="1" applyFont="1" applyFill="1" applyAlignment="1" applyProtection="1">
      <alignment horizontal="center"/>
    </xf>
    <xf numFmtId="0" fontId="6" fillId="0" borderId="0" xfId="0" applyFont="1"/>
    <xf numFmtId="43" fontId="5" fillId="0" borderId="0" xfId="2" applyFont="1"/>
    <xf numFmtId="43" fontId="6" fillId="0" borderId="0" xfId="2" applyFont="1"/>
    <xf numFmtId="43" fontId="5" fillId="0" borderId="0" xfId="2" applyFont="1" applyFill="1"/>
    <xf numFmtId="0" fontId="6" fillId="0" borderId="0" xfId="0" applyFont="1" applyFill="1"/>
    <xf numFmtId="0" fontId="5" fillId="0" borderId="1" xfId="0" applyFont="1" applyBorder="1"/>
    <xf numFmtId="0" fontId="5" fillId="0" borderId="0" xfId="0" applyFont="1" applyFill="1"/>
    <xf numFmtId="0" fontId="5" fillId="0" borderId="0" xfId="0" applyFont="1"/>
    <xf numFmtId="0" fontId="8" fillId="0" borderId="0" xfId="0" applyFont="1"/>
    <xf numFmtId="43" fontId="1" fillId="0" borderId="0" xfId="2" applyProtection="1"/>
    <xf numFmtId="43" fontId="1" fillId="0" borderId="0" xfId="2" applyFill="1"/>
    <xf numFmtId="43" fontId="6" fillId="5" borderId="1" xfId="2" applyFont="1" applyFill="1" applyBorder="1" applyAlignment="1">
      <alignment horizontal="center" wrapText="1"/>
    </xf>
    <xf numFmtId="0" fontId="6" fillId="0" borderId="6" xfId="0" applyFont="1" applyFill="1" applyBorder="1"/>
    <xf numFmtId="0" fontId="5" fillId="0" borderId="8" xfId="0" applyFont="1" applyFill="1" applyBorder="1"/>
    <xf numFmtId="43" fontId="5" fillId="0" borderId="8" xfId="2" applyFont="1" applyFill="1" applyBorder="1"/>
    <xf numFmtId="43" fontId="6" fillId="0" borderId="8" xfId="2" applyFont="1" applyFill="1" applyBorder="1"/>
    <xf numFmtId="0" fontId="5" fillId="0" borderId="7" xfId="0" applyFont="1" applyBorder="1"/>
    <xf numFmtId="0" fontId="5" fillId="2" borderId="7" xfId="0" applyFont="1" applyFill="1" applyBorder="1"/>
    <xf numFmtId="43" fontId="5" fillId="0" borderId="7" xfId="2" applyFont="1" applyBorder="1"/>
    <xf numFmtId="43" fontId="5" fillId="2" borderId="7" xfId="2" applyFont="1" applyFill="1" applyBorder="1"/>
    <xf numFmtId="43" fontId="5" fillId="0" borderId="7" xfId="2" applyFont="1" applyFill="1" applyBorder="1" applyAlignment="1">
      <alignment horizontal="center"/>
    </xf>
    <xf numFmtId="0" fontId="5" fillId="0" borderId="7" xfId="0" applyFont="1" applyFill="1" applyBorder="1"/>
    <xf numFmtId="43" fontId="5" fillId="0" borderId="7" xfId="2" applyFont="1" applyFill="1" applyBorder="1"/>
    <xf numFmtId="0" fontId="6" fillId="0" borderId="7" xfId="0" applyFont="1" applyFill="1" applyBorder="1"/>
    <xf numFmtId="43" fontId="5" fillId="0" borderId="8" xfId="2" applyFont="1" applyFill="1" applyBorder="1" applyAlignment="1">
      <alignment horizontal="center"/>
    </xf>
    <xf numFmtId="0" fontId="6" fillId="0" borderId="7" xfId="0" applyFont="1" applyBorder="1"/>
    <xf numFmtId="43" fontId="6" fillId="0" borderId="7" xfId="2" applyFont="1" applyBorder="1"/>
    <xf numFmtId="43" fontId="1" fillId="0" borderId="7" xfId="2" applyBorder="1"/>
    <xf numFmtId="43" fontId="1" fillId="3" borderId="7" xfId="2" applyFill="1" applyBorder="1"/>
    <xf numFmtId="43" fontId="10" fillId="0" borderId="0" xfId="2" applyFont="1" applyProtection="1"/>
    <xf numFmtId="43" fontId="10" fillId="0" borderId="0" xfId="2" applyFont="1"/>
    <xf numFmtId="43" fontId="10" fillId="0" borderId="0" xfId="2" applyFont="1" applyFill="1"/>
    <xf numFmtId="43" fontId="10" fillId="0" borderId="7" xfId="2" applyFont="1" applyBorder="1"/>
    <xf numFmtId="43" fontId="10" fillId="3" borderId="7" xfId="2" applyFont="1" applyFill="1" applyBorder="1"/>
    <xf numFmtId="43" fontId="6" fillId="0" borderId="7" xfId="2" applyFont="1" applyFill="1" applyBorder="1"/>
    <xf numFmtId="43" fontId="11" fillId="0" borderId="7" xfId="2" applyFont="1" applyFill="1" applyBorder="1"/>
    <xf numFmtId="2" fontId="5" fillId="0" borderId="7" xfId="0" applyNumberFormat="1" applyFont="1" applyFill="1" applyBorder="1"/>
    <xf numFmtId="164" fontId="11" fillId="0" borderId="7" xfId="0" applyNumberFormat="1" applyFont="1" applyFill="1" applyBorder="1"/>
    <xf numFmtId="14" fontId="5" fillId="0" borderId="7" xfId="0" applyNumberFormat="1" applyFont="1" applyFill="1" applyBorder="1" applyAlignment="1"/>
    <xf numFmtId="0" fontId="11" fillId="0" borderId="7" xfId="0" applyFont="1" applyFill="1" applyBorder="1" applyAlignment="1">
      <alignment wrapText="1"/>
    </xf>
    <xf numFmtId="4" fontId="11" fillId="0" borderId="7" xfId="0" applyNumberFormat="1" applyFont="1" applyFill="1" applyBorder="1" applyAlignment="1">
      <alignment wrapText="1"/>
    </xf>
    <xf numFmtId="0" fontId="12" fillId="0" borderId="7" xfId="0" applyFont="1" applyFill="1" applyBorder="1"/>
    <xf numFmtId="43" fontId="6" fillId="7" borderId="7" xfId="2" applyFont="1" applyFill="1" applyBorder="1"/>
    <xf numFmtId="43" fontId="5" fillId="7" borderId="7" xfId="2" applyFont="1" applyFill="1" applyBorder="1" applyAlignment="1">
      <alignment horizontal="center"/>
    </xf>
    <xf numFmtId="0" fontId="11" fillId="0" borderId="7" xfId="0" applyFont="1" applyFill="1" applyBorder="1"/>
    <xf numFmtId="4" fontId="11" fillId="0" borderId="7" xfId="0" applyNumberFormat="1" applyFont="1" applyFill="1" applyBorder="1"/>
    <xf numFmtId="4" fontId="5" fillId="0" borderId="7" xfId="0" applyNumberFormat="1" applyFont="1" applyFill="1" applyBorder="1"/>
    <xf numFmtId="43" fontId="5" fillId="0" borderId="7" xfId="0" applyNumberFormat="1" applyFont="1" applyFill="1" applyBorder="1"/>
    <xf numFmtId="14" fontId="5" fillId="0" borderId="7" xfId="0" applyNumberFormat="1" applyFont="1" applyBorder="1"/>
    <xf numFmtId="0" fontId="6" fillId="0" borderId="7" xfId="2" applyNumberFormat="1" applyFont="1" applyFill="1" applyBorder="1" applyAlignment="1">
      <alignment horizontal="center"/>
    </xf>
    <xf numFmtId="43" fontId="6" fillId="0" borderId="7" xfId="2" applyFont="1" applyFill="1" applyBorder="1" applyAlignment="1">
      <alignment horizontal="center"/>
    </xf>
    <xf numFmtId="43" fontId="13" fillId="0" borderId="7" xfId="2" applyFont="1" applyFill="1" applyBorder="1" applyAlignment="1">
      <alignment horizontal="center"/>
    </xf>
    <xf numFmtId="43" fontId="14" fillId="0" borderId="7" xfId="2" applyFont="1" applyFill="1" applyBorder="1"/>
    <xf numFmtId="0" fontId="5" fillId="7" borderId="7" xfId="0" applyFont="1" applyFill="1" applyBorder="1"/>
    <xf numFmtId="0" fontId="6" fillId="7" borderId="7" xfId="0" applyFont="1" applyFill="1" applyBorder="1" applyAlignment="1">
      <alignment wrapText="1"/>
    </xf>
    <xf numFmtId="9" fontId="13" fillId="0" borderId="7" xfId="2" applyNumberFormat="1" applyFont="1" applyFill="1" applyBorder="1" applyAlignment="1">
      <alignment horizontal="center"/>
    </xf>
    <xf numFmtId="43" fontId="6" fillId="5" borderId="2" xfId="2" applyFont="1" applyFill="1" applyBorder="1" applyAlignment="1">
      <alignment horizontal="center" wrapText="1"/>
    </xf>
    <xf numFmtId="43" fontId="9" fillId="5" borderId="2" xfId="2" applyFont="1" applyFill="1" applyBorder="1" applyAlignment="1">
      <alignment horizontal="center" wrapText="1"/>
    </xf>
    <xf numFmtId="0" fontId="6" fillId="0" borderId="0" xfId="0" applyFont="1" applyFill="1" applyAlignment="1">
      <alignment horizontal="center" wrapText="1"/>
    </xf>
    <xf numFmtId="0" fontId="6" fillId="0" borderId="0" xfId="0" applyFont="1" applyAlignment="1">
      <alignment horizontal="center" wrapText="1"/>
    </xf>
    <xf numFmtId="0" fontId="5" fillId="8" borderId="7" xfId="0" applyFont="1" applyFill="1" applyBorder="1"/>
    <xf numFmtId="0" fontId="5" fillId="0" borderId="7" xfId="0" applyFont="1" applyFill="1" applyBorder="1" applyAlignment="1">
      <alignment horizontal="center"/>
    </xf>
    <xf numFmtId="0" fontId="5" fillId="9" borderId="7" xfId="0" applyFont="1" applyFill="1" applyBorder="1"/>
    <xf numFmtId="164" fontId="11" fillId="9" borderId="7" xfId="0" applyNumberFormat="1" applyFont="1" applyFill="1" applyBorder="1"/>
    <xf numFmtId="43" fontId="5" fillId="9" borderId="7" xfId="2" applyFont="1" applyFill="1" applyBorder="1"/>
    <xf numFmtId="43" fontId="6" fillId="9" borderId="7" xfId="2" applyFont="1" applyFill="1" applyBorder="1"/>
    <xf numFmtId="0" fontId="6" fillId="9" borderId="7" xfId="2" applyNumberFormat="1" applyFont="1" applyFill="1" applyBorder="1" applyAlignment="1">
      <alignment horizontal="center"/>
    </xf>
    <xf numFmtId="43" fontId="6" fillId="9" borderId="7" xfId="2" applyFont="1" applyFill="1" applyBorder="1" applyAlignment="1">
      <alignment horizontal="center"/>
    </xf>
    <xf numFmtId="43" fontId="5" fillId="9" borderId="7" xfId="2" applyFont="1" applyFill="1" applyBorder="1" applyAlignment="1">
      <alignment horizontal="center"/>
    </xf>
    <xf numFmtId="9" fontId="13" fillId="9" borderId="7" xfId="2" applyNumberFormat="1" applyFont="1" applyFill="1" applyBorder="1" applyAlignment="1">
      <alignment horizontal="center"/>
    </xf>
    <xf numFmtId="0" fontId="11" fillId="9" borderId="7" xfId="0" applyFont="1" applyFill="1" applyBorder="1" applyAlignment="1">
      <alignment wrapText="1"/>
    </xf>
    <xf numFmtId="4" fontId="11" fillId="9" borderId="7" xfId="0" applyNumberFormat="1" applyFont="1" applyFill="1" applyBorder="1" applyAlignment="1">
      <alignment wrapText="1"/>
    </xf>
    <xf numFmtId="43" fontId="11" fillId="9" borderId="7" xfId="2" applyFont="1" applyFill="1" applyBorder="1"/>
    <xf numFmtId="0" fontId="6" fillId="9" borderId="7" xfId="0" applyFont="1" applyFill="1" applyBorder="1"/>
    <xf numFmtId="0" fontId="5" fillId="9" borderId="0" xfId="0" applyFont="1" applyFill="1"/>
    <xf numFmtId="0" fontId="15" fillId="0" borderId="7" xfId="0" applyFont="1" applyBorder="1" applyAlignment="1">
      <alignment horizontal="center"/>
    </xf>
    <xf numFmtId="43" fontId="6" fillId="5" borderId="2" xfId="2" applyFont="1" applyFill="1" applyBorder="1" applyAlignment="1">
      <alignment horizontal="center" vertical="center" wrapText="1"/>
    </xf>
    <xf numFmtId="43" fontId="6" fillId="5" borderId="8" xfId="2" applyFont="1" applyFill="1" applyBorder="1" applyAlignment="1">
      <alignment horizontal="center" vertical="center" wrapText="1"/>
    </xf>
    <xf numFmtId="3" fontId="6" fillId="5" borderId="2" xfId="0" applyNumberFormat="1" applyFont="1" applyFill="1" applyBorder="1" applyAlignment="1">
      <alignment horizontal="center" vertical="center"/>
    </xf>
    <xf numFmtId="3" fontId="6" fillId="5" borderId="9" xfId="0" applyNumberFormat="1" applyFont="1" applyFill="1" applyBorder="1" applyAlignment="1">
      <alignment horizontal="center" vertical="center"/>
    </xf>
    <xf numFmtId="3" fontId="6" fillId="5" borderId="2" xfId="0" applyNumberFormat="1" applyFont="1" applyFill="1" applyBorder="1" applyAlignment="1">
      <alignment horizontal="center" vertical="center" wrapText="1"/>
    </xf>
    <xf numFmtId="3" fontId="6" fillId="5" borderId="9" xfId="0" applyNumberFormat="1" applyFont="1" applyFill="1" applyBorder="1" applyAlignment="1">
      <alignment horizontal="center" vertical="center" wrapText="1"/>
    </xf>
    <xf numFmtId="43" fontId="6" fillId="5" borderId="1" xfId="2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43" fontId="6" fillId="5" borderId="9" xfId="2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/>
    </xf>
    <xf numFmtId="43" fontId="6" fillId="5" borderId="1" xfId="2" applyFont="1" applyFill="1" applyBorder="1" applyAlignment="1">
      <alignment horizontal="center" wrapText="1"/>
    </xf>
    <xf numFmtId="43" fontId="6" fillId="5" borderId="2" xfId="2" applyFont="1" applyFill="1" applyBorder="1" applyAlignment="1">
      <alignment horizontal="center" wrapText="1"/>
    </xf>
    <xf numFmtId="43" fontId="9" fillId="5" borderId="3" xfId="2" applyFont="1" applyFill="1" applyBorder="1" applyAlignment="1">
      <alignment horizontal="center" wrapText="1"/>
    </xf>
    <xf numFmtId="43" fontId="9" fillId="5" borderId="4" xfId="2" applyFont="1" applyFill="1" applyBorder="1" applyAlignment="1">
      <alignment horizontal="center" wrapText="1"/>
    </xf>
    <xf numFmtId="43" fontId="1" fillId="4" borderId="5" xfId="2" applyFill="1" applyBorder="1" applyAlignment="1">
      <alignment horizontal="center"/>
    </xf>
  </cellXfs>
  <cellStyles count="5">
    <cellStyle name="Excel Built-in Normal" xfId="1"/>
    <cellStyle name="Millares" xfId="2" builtinId="3"/>
    <cellStyle name="Normal" xfId="0" builtinId="0"/>
    <cellStyle name="Normal 4" xfId="4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CCFF"/>
      <color rgb="FF33CCFF"/>
      <color rgb="FFFF00FF"/>
      <color rgb="FFFFFF66"/>
      <color rgb="FFF4B082"/>
      <color rgb="FF9999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D137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3" sqref="A3"/>
    </sheetView>
  </sheetViews>
  <sheetFormatPr baseColWidth="10" defaultColWidth="11.5703125" defaultRowHeight="15"/>
  <cols>
    <col min="1" max="1" width="17.140625" style="19" customWidth="1"/>
    <col min="2" max="2" width="40" style="19" customWidth="1"/>
    <col min="3" max="3" width="22.42578125" style="19" bestFit="1" customWidth="1"/>
    <col min="4" max="5" width="13.28515625" style="19" customWidth="1"/>
    <col min="6" max="6" width="13.85546875" style="13" customWidth="1"/>
    <col min="7" max="8" width="13.5703125" style="13" customWidth="1"/>
    <col min="9" max="9" width="17" style="14" customWidth="1"/>
    <col min="10" max="12" width="13.5703125" style="13" customWidth="1"/>
    <col min="13" max="13" width="13.5703125" style="15" customWidth="1"/>
    <col min="14" max="14" width="19.28515625" style="15" customWidth="1"/>
    <col min="15" max="15" width="16.85546875" style="15" customWidth="1"/>
    <col min="16" max="16" width="16.140625" style="15" customWidth="1"/>
    <col min="17" max="20" width="13.5703125" style="13" customWidth="1"/>
    <col min="21" max="21" width="16.7109375" style="14" customWidth="1"/>
    <col min="22" max="22" width="16.7109375" style="13" hidden="1" customWidth="1"/>
    <col min="23" max="23" width="15.42578125" style="14" hidden="1" customWidth="1"/>
    <col min="24" max="26" width="13.5703125" style="13" hidden="1" customWidth="1"/>
    <col min="27" max="27" width="15.42578125" style="14" hidden="1" customWidth="1"/>
    <col min="28" max="28" width="15.28515625" style="42" hidden="1" customWidth="1"/>
    <col min="29" max="29" width="12.7109375" style="42" hidden="1" customWidth="1"/>
    <col min="30" max="30" width="11.5703125" style="1" hidden="1" customWidth="1"/>
    <col min="31" max="31" width="19.28515625" style="19" bestFit="1" customWidth="1"/>
    <col min="32" max="32" width="52.42578125" style="19" bestFit="1" customWidth="1"/>
    <col min="33" max="33" width="11.85546875" style="18" bestFit="1" customWidth="1"/>
    <col min="34" max="46" width="11.5703125" style="18"/>
    <col min="47" max="16384" width="11.5703125" style="19"/>
  </cols>
  <sheetData>
    <row r="1" spans="1:46" s="7" customFormat="1">
      <c r="A1" s="2" t="s">
        <v>121</v>
      </c>
      <c r="B1" s="2"/>
      <c r="C1" s="3"/>
      <c r="D1" s="3"/>
      <c r="E1" s="3"/>
      <c r="F1" s="4"/>
      <c r="G1" s="4"/>
      <c r="H1" s="4"/>
      <c r="I1" s="5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5"/>
      <c r="V1" s="4"/>
      <c r="W1" s="5"/>
      <c r="X1" s="4"/>
      <c r="Y1" s="4"/>
      <c r="Z1" s="4"/>
      <c r="AA1" s="5"/>
      <c r="AB1" s="41"/>
      <c r="AC1" s="41"/>
      <c r="AD1" s="21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</row>
    <row r="2" spans="1:46" s="7" customFormat="1">
      <c r="A2" s="8" t="s">
        <v>33</v>
      </c>
      <c r="B2" s="8"/>
      <c r="C2" s="9"/>
      <c r="D2" s="9"/>
      <c r="E2" s="9"/>
      <c r="F2" s="4"/>
      <c r="G2" s="4"/>
      <c r="H2" s="4"/>
      <c r="I2" s="5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5"/>
      <c r="V2" s="4"/>
      <c r="W2" s="5"/>
      <c r="X2" s="4"/>
      <c r="Y2" s="4"/>
      <c r="Z2" s="4"/>
      <c r="AA2" s="5"/>
      <c r="AB2" s="41"/>
      <c r="AC2" s="41"/>
      <c r="AD2" s="21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</row>
    <row r="3" spans="1:46" s="7" customFormat="1">
      <c r="A3" s="10" t="s">
        <v>187</v>
      </c>
      <c r="B3" s="10"/>
      <c r="C3" s="11"/>
      <c r="D3" s="11"/>
      <c r="E3" s="11"/>
      <c r="F3" s="4"/>
      <c r="G3" s="4"/>
      <c r="H3" s="4"/>
      <c r="I3" s="5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5"/>
      <c r="X3" s="4"/>
      <c r="Y3" s="4"/>
      <c r="Z3" s="4"/>
      <c r="AA3" s="5"/>
      <c r="AB3" s="41"/>
      <c r="AC3" s="41"/>
      <c r="AD3" s="21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</row>
    <row r="4" spans="1:46" s="12" customFormat="1">
      <c r="A4" s="12" t="s">
        <v>188</v>
      </c>
      <c r="F4" s="13"/>
      <c r="G4" s="13"/>
      <c r="H4" s="13"/>
      <c r="I4" s="14"/>
      <c r="J4" s="13"/>
      <c r="K4" s="13"/>
      <c r="L4" s="13"/>
      <c r="M4" s="15"/>
      <c r="N4" s="15"/>
      <c r="O4" s="15"/>
      <c r="P4" s="15"/>
      <c r="Q4" s="13"/>
      <c r="R4" s="13"/>
      <c r="S4" s="13"/>
      <c r="T4" s="13"/>
      <c r="U4" s="14"/>
      <c r="V4" s="13"/>
      <c r="W4" s="14"/>
      <c r="X4" s="13"/>
      <c r="Y4" s="13"/>
      <c r="Z4" s="13"/>
      <c r="AA4" s="14"/>
      <c r="AB4" s="42"/>
      <c r="AC4" s="42"/>
      <c r="AD4" s="1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</row>
    <row r="5" spans="1:46" s="12" customFormat="1" ht="28.5" customHeight="1">
      <c r="A5" s="90" t="s">
        <v>13</v>
      </c>
      <c r="B5" s="90" t="s">
        <v>14</v>
      </c>
      <c r="C5" s="90" t="s">
        <v>0</v>
      </c>
      <c r="D5" s="92" t="s">
        <v>70</v>
      </c>
      <c r="E5" s="92" t="s">
        <v>164</v>
      </c>
      <c r="F5" s="88" t="s">
        <v>32</v>
      </c>
      <c r="G5" s="94" t="s">
        <v>9</v>
      </c>
      <c r="H5" s="94" t="s">
        <v>10</v>
      </c>
      <c r="I5" s="94" t="s">
        <v>11</v>
      </c>
      <c r="J5" s="94" t="s">
        <v>12</v>
      </c>
      <c r="K5" s="88" t="s">
        <v>96</v>
      </c>
      <c r="L5" s="88" t="s">
        <v>77</v>
      </c>
      <c r="M5" s="95" t="s">
        <v>47</v>
      </c>
      <c r="N5" s="95" t="s">
        <v>61</v>
      </c>
      <c r="O5" s="95" t="s">
        <v>60</v>
      </c>
      <c r="P5" s="95" t="s">
        <v>48</v>
      </c>
      <c r="Q5" s="94" t="s">
        <v>6</v>
      </c>
      <c r="R5" s="94" t="s">
        <v>16</v>
      </c>
      <c r="S5" s="94" t="s">
        <v>15</v>
      </c>
      <c r="T5" s="94" t="s">
        <v>8</v>
      </c>
      <c r="U5" s="94" t="s">
        <v>23</v>
      </c>
      <c r="V5" s="100" t="s">
        <v>3</v>
      </c>
      <c r="W5" s="100" t="s">
        <v>7</v>
      </c>
      <c r="X5" s="100" t="s">
        <v>2</v>
      </c>
      <c r="Y5" s="100" t="s">
        <v>4</v>
      </c>
      <c r="Z5" s="23"/>
      <c r="AA5" s="100" t="s">
        <v>5</v>
      </c>
      <c r="AB5" s="102" t="s">
        <v>81</v>
      </c>
      <c r="AC5" s="103"/>
      <c r="AD5" s="104" t="s">
        <v>49</v>
      </c>
      <c r="AE5" s="98" t="s">
        <v>72</v>
      </c>
      <c r="AF5" s="98" t="s">
        <v>73</v>
      </c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</row>
    <row r="6" spans="1:46" s="71" customFormat="1" ht="39" customHeight="1">
      <c r="A6" s="91"/>
      <c r="B6" s="91"/>
      <c r="C6" s="91"/>
      <c r="D6" s="93"/>
      <c r="E6" s="93"/>
      <c r="F6" s="89"/>
      <c r="G6" s="88"/>
      <c r="H6" s="88"/>
      <c r="I6" s="88"/>
      <c r="J6" s="88"/>
      <c r="K6" s="97"/>
      <c r="L6" s="97"/>
      <c r="M6" s="96"/>
      <c r="N6" s="96"/>
      <c r="O6" s="96"/>
      <c r="P6" s="96"/>
      <c r="Q6" s="88"/>
      <c r="R6" s="88"/>
      <c r="S6" s="88"/>
      <c r="T6" s="88"/>
      <c r="U6" s="88"/>
      <c r="V6" s="101"/>
      <c r="W6" s="101"/>
      <c r="X6" s="101"/>
      <c r="Y6" s="101"/>
      <c r="Z6" s="68"/>
      <c r="AA6" s="101"/>
      <c r="AB6" s="69" t="s">
        <v>24</v>
      </c>
      <c r="AC6" s="69" t="s">
        <v>25</v>
      </c>
      <c r="AD6" s="104"/>
      <c r="AE6" s="98"/>
      <c r="AF6" s="98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</row>
    <row r="7" spans="1:46" s="18" customFormat="1">
      <c r="A7" s="72" t="s">
        <v>38</v>
      </c>
      <c r="B7" s="33" t="s">
        <v>67</v>
      </c>
      <c r="C7" s="33" t="s">
        <v>29</v>
      </c>
      <c r="D7" s="49">
        <v>42062</v>
      </c>
      <c r="E7" s="34">
        <v>1166.27</v>
      </c>
      <c r="F7" s="34">
        <v>2162.84</v>
      </c>
      <c r="G7" s="34"/>
      <c r="H7" s="34"/>
      <c r="I7" s="46">
        <f>SUM(F7:H7)</f>
        <v>2162.84</v>
      </c>
      <c r="J7" s="34"/>
      <c r="K7" s="61"/>
      <c r="L7" s="34"/>
      <c r="M7" s="34"/>
      <c r="N7" s="62"/>
      <c r="O7" s="62"/>
      <c r="P7" s="34"/>
      <c r="Q7" s="32"/>
      <c r="R7" s="32"/>
      <c r="S7" s="33"/>
      <c r="T7" s="33"/>
      <c r="U7" s="46">
        <f t="shared" ref="U7:U28" si="0">+I7-SUM(J7:T7)</f>
        <v>2162.84</v>
      </c>
      <c r="V7" s="32">
        <f t="shared" ref="V7:V20" si="1">IF(I7&gt;2250,I7*0.1,0)</f>
        <v>0</v>
      </c>
      <c r="W7" s="46">
        <f t="shared" ref="W7:W20" si="2">+U7-V7</f>
        <v>2162.84</v>
      </c>
      <c r="X7" s="32">
        <f t="shared" ref="X7:X20" si="3">IF(I7&lt;2250,I7*0.1,0)</f>
        <v>216.28400000000002</v>
      </c>
      <c r="Y7" s="32">
        <v>10.23</v>
      </c>
      <c r="Z7" s="32">
        <f t="shared" ref="Z7:Z20" si="4">+N7</f>
        <v>0</v>
      </c>
      <c r="AA7" s="46">
        <f t="shared" ref="AA7:AA20" si="5">+I7+X7+Y7+Z7</f>
        <v>2389.3540000000003</v>
      </c>
      <c r="AB7" s="51"/>
      <c r="AC7" s="52"/>
      <c r="AD7" s="47">
        <f t="shared" ref="AD7:AD9" si="6">+AB7+AC7-W7</f>
        <v>-2162.84</v>
      </c>
      <c r="AE7" s="35">
        <v>56708844887</v>
      </c>
      <c r="AF7" s="33"/>
    </row>
    <row r="8" spans="1:46" s="18" customFormat="1">
      <c r="A8" s="72" t="s">
        <v>28</v>
      </c>
      <c r="B8" s="33" t="s">
        <v>36</v>
      </c>
      <c r="C8" s="33" t="s">
        <v>31</v>
      </c>
      <c r="D8" s="49">
        <v>39508</v>
      </c>
      <c r="E8" s="34">
        <v>4666.6899999999996</v>
      </c>
      <c r="F8" s="34">
        <v>1108.6300000000001</v>
      </c>
      <c r="G8" s="34"/>
      <c r="H8" s="34"/>
      <c r="I8" s="46">
        <f t="shared" ref="I8:I60" si="7">SUM(F8:H8)</f>
        <v>1108.6300000000001</v>
      </c>
      <c r="J8" s="34">
        <v>413.79</v>
      </c>
      <c r="K8" s="61"/>
      <c r="L8" s="34"/>
      <c r="M8" s="34"/>
      <c r="N8" s="62"/>
      <c r="O8" s="62"/>
      <c r="P8" s="34"/>
      <c r="Q8" s="32"/>
      <c r="R8" s="32"/>
      <c r="S8" s="33"/>
      <c r="T8" s="33"/>
      <c r="U8" s="46">
        <f t="shared" si="0"/>
        <v>694.84000000000015</v>
      </c>
      <c r="V8" s="32">
        <f t="shared" si="1"/>
        <v>0</v>
      </c>
      <c r="W8" s="46">
        <f t="shared" si="2"/>
        <v>694.84000000000015</v>
      </c>
      <c r="X8" s="32">
        <f t="shared" si="3"/>
        <v>110.86300000000001</v>
      </c>
      <c r="Y8" s="32">
        <v>10.23</v>
      </c>
      <c r="Z8" s="32">
        <f t="shared" si="4"/>
        <v>0</v>
      </c>
      <c r="AA8" s="46">
        <f t="shared" si="5"/>
        <v>1229.7230000000002</v>
      </c>
      <c r="AB8" s="51"/>
      <c r="AC8" s="52"/>
      <c r="AD8" s="47">
        <f t="shared" si="6"/>
        <v>-694.84000000000015</v>
      </c>
      <c r="AE8" s="35">
        <v>56708881292</v>
      </c>
      <c r="AF8" s="35" t="s">
        <v>177</v>
      </c>
    </row>
    <row r="9" spans="1:46" s="18" customFormat="1">
      <c r="A9" s="72" t="s">
        <v>28</v>
      </c>
      <c r="B9" s="33" t="s">
        <v>63</v>
      </c>
      <c r="C9" s="33" t="s">
        <v>30</v>
      </c>
      <c r="D9" s="49">
        <v>42383</v>
      </c>
      <c r="E9" s="34">
        <v>1026.69</v>
      </c>
      <c r="F9" s="34">
        <v>3760.71</v>
      </c>
      <c r="G9" s="34"/>
      <c r="H9" s="34"/>
      <c r="I9" s="46">
        <f t="shared" si="7"/>
        <v>3760.71</v>
      </c>
      <c r="J9" s="34"/>
      <c r="K9" s="61"/>
      <c r="L9" s="34"/>
      <c r="M9" s="34"/>
      <c r="N9" s="62"/>
      <c r="O9" s="62"/>
      <c r="P9" s="34"/>
      <c r="Q9" s="32"/>
      <c r="R9" s="32"/>
      <c r="S9" s="33"/>
      <c r="T9" s="33">
        <v>358.34</v>
      </c>
      <c r="U9" s="46">
        <f t="shared" si="0"/>
        <v>3402.37</v>
      </c>
      <c r="V9" s="32">
        <f t="shared" si="1"/>
        <v>376.07100000000003</v>
      </c>
      <c r="W9" s="46">
        <f t="shared" si="2"/>
        <v>3026.299</v>
      </c>
      <c r="X9" s="32">
        <f t="shared" si="3"/>
        <v>0</v>
      </c>
      <c r="Y9" s="32">
        <v>10.23</v>
      </c>
      <c r="Z9" s="32">
        <f t="shared" si="4"/>
        <v>0</v>
      </c>
      <c r="AA9" s="46">
        <f t="shared" si="5"/>
        <v>3770.94</v>
      </c>
      <c r="AB9" s="51"/>
      <c r="AC9" s="52"/>
      <c r="AD9" s="47">
        <f t="shared" si="6"/>
        <v>-3026.299</v>
      </c>
      <c r="AE9" s="35">
        <v>56708881304</v>
      </c>
      <c r="AF9" s="33"/>
    </row>
    <row r="10" spans="1:46" s="18" customFormat="1" ht="15.75">
      <c r="A10" s="72" t="s">
        <v>28</v>
      </c>
      <c r="B10" s="33" t="s">
        <v>145</v>
      </c>
      <c r="C10" s="33" t="s">
        <v>30</v>
      </c>
      <c r="D10" s="49">
        <v>42878</v>
      </c>
      <c r="E10" s="34">
        <v>1026.69</v>
      </c>
      <c r="F10" s="34">
        <v>5744.1</v>
      </c>
      <c r="G10" s="34"/>
      <c r="H10" s="34"/>
      <c r="I10" s="46">
        <f t="shared" si="7"/>
        <v>5744.1</v>
      </c>
      <c r="J10" s="34"/>
      <c r="K10" s="61">
        <v>1</v>
      </c>
      <c r="L10" s="34"/>
      <c r="M10" s="34"/>
      <c r="N10" s="62"/>
      <c r="O10" s="62"/>
      <c r="P10" s="34"/>
      <c r="Q10" s="32"/>
      <c r="R10" s="67">
        <v>0.3</v>
      </c>
      <c r="S10" s="33"/>
      <c r="T10" s="33">
        <v>3000</v>
      </c>
      <c r="U10" s="46">
        <f t="shared" si="0"/>
        <v>2742.8</v>
      </c>
      <c r="V10" s="32"/>
      <c r="W10" s="46"/>
      <c r="X10" s="32"/>
      <c r="Y10" s="32"/>
      <c r="Z10" s="32"/>
      <c r="AA10" s="46"/>
      <c r="AB10" s="51"/>
      <c r="AC10" s="52"/>
      <c r="AD10" s="47"/>
      <c r="AE10" s="35">
        <v>53917427816</v>
      </c>
      <c r="AF10" s="33"/>
    </row>
    <row r="11" spans="1:46" s="18" customFormat="1" ht="15.75">
      <c r="A11" s="72" t="s">
        <v>28</v>
      </c>
      <c r="B11" s="33" t="s">
        <v>151</v>
      </c>
      <c r="C11" s="33" t="s">
        <v>152</v>
      </c>
      <c r="D11" s="49">
        <v>42908</v>
      </c>
      <c r="E11" s="34">
        <v>1499.96</v>
      </c>
      <c r="F11" s="34"/>
      <c r="G11" s="34"/>
      <c r="H11" s="34"/>
      <c r="I11" s="46">
        <f t="shared" si="7"/>
        <v>0</v>
      </c>
      <c r="J11" s="34"/>
      <c r="K11" s="61" t="s">
        <v>189</v>
      </c>
      <c r="L11" s="34"/>
      <c r="M11" s="34"/>
      <c r="N11" s="62"/>
      <c r="O11" s="62"/>
      <c r="P11" s="34"/>
      <c r="Q11" s="32"/>
      <c r="R11" s="67"/>
      <c r="S11" s="33"/>
      <c r="T11" s="33"/>
      <c r="U11" s="46">
        <f t="shared" si="0"/>
        <v>0</v>
      </c>
      <c r="V11" s="32"/>
      <c r="W11" s="46"/>
      <c r="X11" s="32"/>
      <c r="Y11" s="32"/>
      <c r="Z11" s="32"/>
      <c r="AA11" s="46"/>
      <c r="AB11" s="51"/>
      <c r="AC11" s="52"/>
      <c r="AD11" s="47"/>
      <c r="AE11" s="35">
        <v>60592545278</v>
      </c>
      <c r="AF11" s="35" t="s">
        <v>190</v>
      </c>
    </row>
    <row r="12" spans="1:46" s="18" customFormat="1" ht="15.75">
      <c r="A12" s="72" t="s">
        <v>38</v>
      </c>
      <c r="B12" s="33" t="s">
        <v>184</v>
      </c>
      <c r="C12" s="33" t="s">
        <v>43</v>
      </c>
      <c r="D12" s="49">
        <v>42977</v>
      </c>
      <c r="E12" s="34">
        <v>933.31</v>
      </c>
      <c r="F12" s="34"/>
      <c r="G12" s="34"/>
      <c r="H12" s="34"/>
      <c r="I12" s="46">
        <f t="shared" si="7"/>
        <v>0</v>
      </c>
      <c r="J12" s="34"/>
      <c r="K12" s="61"/>
      <c r="L12" s="34"/>
      <c r="M12" s="34"/>
      <c r="N12" s="62"/>
      <c r="O12" s="62"/>
      <c r="P12" s="34"/>
      <c r="Q12" s="32"/>
      <c r="R12" s="67"/>
      <c r="S12" s="33"/>
      <c r="T12" s="33"/>
      <c r="U12" s="46">
        <f t="shared" si="0"/>
        <v>0</v>
      </c>
      <c r="V12" s="32"/>
      <c r="W12" s="46"/>
      <c r="X12" s="32"/>
      <c r="Y12" s="32"/>
      <c r="Z12" s="32"/>
      <c r="AA12" s="46"/>
      <c r="AB12" s="51"/>
      <c r="AC12" s="52"/>
      <c r="AD12" s="47"/>
      <c r="AE12" s="35">
        <v>60594701908</v>
      </c>
      <c r="AF12" s="33"/>
    </row>
    <row r="13" spans="1:46" s="18" customFormat="1" ht="15.75">
      <c r="A13" s="72" t="s">
        <v>28</v>
      </c>
      <c r="B13" s="33" t="s">
        <v>75</v>
      </c>
      <c r="C13" s="33" t="s">
        <v>31</v>
      </c>
      <c r="D13" s="49">
        <v>39699</v>
      </c>
      <c r="E13" s="34">
        <v>4666.6899999999996</v>
      </c>
      <c r="F13" s="34">
        <v>7792.64</v>
      </c>
      <c r="G13" s="34"/>
      <c r="H13" s="34"/>
      <c r="I13" s="46">
        <f t="shared" si="7"/>
        <v>7792.64</v>
      </c>
      <c r="J13" s="34">
        <v>413.79</v>
      </c>
      <c r="K13" s="61"/>
      <c r="L13" s="34"/>
      <c r="M13" s="34">
        <v>1000</v>
      </c>
      <c r="N13" s="62"/>
      <c r="O13" s="62"/>
      <c r="P13" s="34"/>
      <c r="Q13" s="32">
        <v>2000</v>
      </c>
      <c r="R13" s="67"/>
      <c r="S13" s="33"/>
      <c r="T13" s="33"/>
      <c r="U13" s="46">
        <f t="shared" si="0"/>
        <v>4378.8500000000004</v>
      </c>
      <c r="V13" s="32">
        <f t="shared" si="1"/>
        <v>779.26400000000012</v>
      </c>
      <c r="W13" s="46">
        <f t="shared" si="2"/>
        <v>3599.5860000000002</v>
      </c>
      <c r="X13" s="32">
        <f t="shared" si="3"/>
        <v>0</v>
      </c>
      <c r="Y13" s="32">
        <v>10.23</v>
      </c>
      <c r="Z13" s="32">
        <f t="shared" si="4"/>
        <v>0</v>
      </c>
      <c r="AA13" s="46">
        <f t="shared" si="5"/>
        <v>7802.87</v>
      </c>
      <c r="AB13" s="51"/>
      <c r="AC13" s="52"/>
      <c r="AD13" s="47">
        <f t="shared" ref="AD13:AD14" si="8">+AB13+AC13-W13</f>
        <v>-3599.5860000000002</v>
      </c>
      <c r="AE13" s="35">
        <v>56708881349</v>
      </c>
      <c r="AF13" s="33" t="s">
        <v>177</v>
      </c>
    </row>
    <row r="14" spans="1:46" s="86" customFormat="1" ht="15.75">
      <c r="A14" s="74" t="s">
        <v>27</v>
      </c>
      <c r="B14" s="74" t="s">
        <v>69</v>
      </c>
      <c r="C14" s="74" t="s">
        <v>45</v>
      </c>
      <c r="D14" s="75">
        <v>42332</v>
      </c>
      <c r="E14" s="76">
        <v>1026.69</v>
      </c>
      <c r="F14" s="76"/>
      <c r="G14" s="76"/>
      <c r="H14" s="76"/>
      <c r="I14" s="77">
        <f t="shared" si="7"/>
        <v>0</v>
      </c>
      <c r="J14" s="76"/>
      <c r="K14" s="78"/>
      <c r="L14" s="76"/>
      <c r="M14" s="76"/>
      <c r="N14" s="79"/>
      <c r="O14" s="79"/>
      <c r="P14" s="76"/>
      <c r="Q14" s="80"/>
      <c r="R14" s="81"/>
      <c r="S14" s="74"/>
      <c r="T14" s="74" t="s">
        <v>180</v>
      </c>
      <c r="U14" s="77">
        <f t="shared" si="0"/>
        <v>0</v>
      </c>
      <c r="V14" s="80">
        <f t="shared" si="1"/>
        <v>0</v>
      </c>
      <c r="W14" s="77">
        <f t="shared" si="2"/>
        <v>0</v>
      </c>
      <c r="X14" s="80">
        <f t="shared" si="3"/>
        <v>0</v>
      </c>
      <c r="Y14" s="80">
        <v>10.23</v>
      </c>
      <c r="Z14" s="80">
        <f t="shared" si="4"/>
        <v>0</v>
      </c>
      <c r="AA14" s="77">
        <f t="shared" si="5"/>
        <v>10.23</v>
      </c>
      <c r="AB14" s="82"/>
      <c r="AC14" s="83"/>
      <c r="AD14" s="84">
        <f t="shared" si="8"/>
        <v>0</v>
      </c>
      <c r="AE14" s="85">
        <v>56708844947</v>
      </c>
      <c r="AF14" s="74"/>
    </row>
    <row r="15" spans="1:46" s="18" customFormat="1" ht="15.75">
      <c r="A15" s="72" t="s">
        <v>71</v>
      </c>
      <c r="B15" s="33" t="s">
        <v>56</v>
      </c>
      <c r="C15" s="33" t="s">
        <v>44</v>
      </c>
      <c r="D15" s="49">
        <v>42205</v>
      </c>
      <c r="E15" s="34">
        <v>1869</v>
      </c>
      <c r="F15" s="34"/>
      <c r="G15" s="34"/>
      <c r="H15" s="34"/>
      <c r="I15" s="46">
        <f t="shared" si="7"/>
        <v>0</v>
      </c>
      <c r="J15" s="34"/>
      <c r="K15" s="61"/>
      <c r="L15" s="34"/>
      <c r="M15" s="34">
        <v>300</v>
      </c>
      <c r="N15" s="62"/>
      <c r="O15" s="62"/>
      <c r="P15" s="34"/>
      <c r="Q15" s="32"/>
      <c r="R15" s="67">
        <v>0.3</v>
      </c>
      <c r="S15" s="33"/>
      <c r="T15" s="33"/>
      <c r="U15" s="46">
        <f t="shared" si="0"/>
        <v>-300.3</v>
      </c>
      <c r="V15" s="32">
        <f t="shared" si="1"/>
        <v>0</v>
      </c>
      <c r="W15" s="46">
        <f t="shared" si="2"/>
        <v>-300.3</v>
      </c>
      <c r="X15" s="32">
        <f t="shared" si="3"/>
        <v>0</v>
      </c>
      <c r="Y15" s="32">
        <v>10.23</v>
      </c>
      <c r="Z15" s="32">
        <f t="shared" si="4"/>
        <v>0</v>
      </c>
      <c r="AA15" s="46">
        <f t="shared" si="5"/>
        <v>10.23</v>
      </c>
      <c r="AB15" s="51"/>
      <c r="AC15" s="52"/>
      <c r="AD15" s="47">
        <f t="shared" ref="AD15" si="9">+AB15+AC15-W15</f>
        <v>300.3</v>
      </c>
      <c r="AE15" s="35">
        <v>56708844950</v>
      </c>
      <c r="AF15" s="33"/>
    </row>
    <row r="16" spans="1:46" s="18" customFormat="1" ht="15.75">
      <c r="A16" s="72" t="s">
        <v>71</v>
      </c>
      <c r="B16" s="33" t="s">
        <v>88</v>
      </c>
      <c r="C16" s="33" t="s">
        <v>44</v>
      </c>
      <c r="D16" s="49">
        <v>42476</v>
      </c>
      <c r="E16" s="34">
        <v>1869</v>
      </c>
      <c r="F16" s="34"/>
      <c r="G16" s="34"/>
      <c r="H16" s="34"/>
      <c r="I16" s="46">
        <f t="shared" si="7"/>
        <v>0</v>
      </c>
      <c r="J16" s="34"/>
      <c r="K16" s="61"/>
      <c r="L16" s="34"/>
      <c r="M16" s="34"/>
      <c r="N16" s="62"/>
      <c r="O16" s="62"/>
      <c r="P16" s="34"/>
      <c r="Q16" s="32"/>
      <c r="R16" s="67"/>
      <c r="S16" s="33"/>
      <c r="T16" s="33"/>
      <c r="U16" s="46">
        <f t="shared" si="0"/>
        <v>0</v>
      </c>
      <c r="V16" s="32">
        <f t="shared" ref="V16" si="10">IF(I16&gt;2250,I16*0.1,0)</f>
        <v>0</v>
      </c>
      <c r="W16" s="46">
        <f t="shared" ref="W16" si="11">+U16-V16</f>
        <v>0</v>
      </c>
      <c r="X16" s="32">
        <f t="shared" si="3"/>
        <v>0</v>
      </c>
      <c r="Y16" s="32">
        <v>10.23</v>
      </c>
      <c r="Z16" s="32">
        <f t="shared" si="4"/>
        <v>0</v>
      </c>
      <c r="AA16" s="46">
        <f t="shared" si="5"/>
        <v>10.23</v>
      </c>
      <c r="AB16" s="51"/>
      <c r="AC16" s="52"/>
      <c r="AD16" s="47" t="e">
        <f>+AB16+AC16-#REF!</f>
        <v>#REF!</v>
      </c>
      <c r="AE16" s="35">
        <v>56708844964</v>
      </c>
      <c r="AF16" s="33"/>
    </row>
    <row r="17" spans="1:32" s="18" customFormat="1" ht="15.75">
      <c r="A17" s="72" t="s">
        <v>28</v>
      </c>
      <c r="B17" s="33" t="s">
        <v>159</v>
      </c>
      <c r="C17" s="33" t="s">
        <v>30</v>
      </c>
      <c r="D17" s="49">
        <v>42916</v>
      </c>
      <c r="E17" s="34">
        <v>1026.69</v>
      </c>
      <c r="F17" s="34">
        <v>18749.46</v>
      </c>
      <c r="G17" s="34"/>
      <c r="H17" s="34"/>
      <c r="I17" s="46">
        <f t="shared" si="7"/>
        <v>18749.46</v>
      </c>
      <c r="J17" s="34"/>
      <c r="K17" s="61"/>
      <c r="L17" s="34"/>
      <c r="M17" s="34"/>
      <c r="N17" s="62"/>
      <c r="O17" s="62"/>
      <c r="P17" s="34"/>
      <c r="Q17" s="32"/>
      <c r="R17" s="67"/>
      <c r="S17" s="33"/>
      <c r="T17" s="33">
        <v>470.86</v>
      </c>
      <c r="U17" s="46">
        <f t="shared" si="0"/>
        <v>18278.599999999999</v>
      </c>
      <c r="V17" s="32"/>
      <c r="W17" s="46"/>
      <c r="X17" s="32"/>
      <c r="Y17" s="32"/>
      <c r="Z17" s="32"/>
      <c r="AA17" s="46"/>
      <c r="AB17" s="51"/>
      <c r="AC17" s="52"/>
      <c r="AD17" s="47"/>
      <c r="AE17" s="35">
        <v>60592609882</v>
      </c>
      <c r="AF17" s="33"/>
    </row>
    <row r="18" spans="1:32" s="18" customFormat="1" ht="15.75">
      <c r="A18" s="72" t="s">
        <v>28</v>
      </c>
      <c r="B18" s="33" t="s">
        <v>147</v>
      </c>
      <c r="C18" s="33" t="s">
        <v>30</v>
      </c>
      <c r="D18" s="49">
        <v>42899</v>
      </c>
      <c r="E18" s="34">
        <v>1026.69</v>
      </c>
      <c r="F18" s="34">
        <v>458.12</v>
      </c>
      <c r="G18" s="34"/>
      <c r="H18" s="34"/>
      <c r="I18" s="46">
        <f t="shared" si="7"/>
        <v>458.12</v>
      </c>
      <c r="J18" s="34"/>
      <c r="K18" s="61"/>
      <c r="L18" s="34"/>
      <c r="M18" s="34"/>
      <c r="N18" s="62"/>
      <c r="O18" s="62"/>
      <c r="P18" s="34"/>
      <c r="Q18" s="32"/>
      <c r="R18" s="67"/>
      <c r="S18" s="33"/>
      <c r="T18" s="33"/>
      <c r="U18" s="46">
        <f t="shared" si="0"/>
        <v>458.12</v>
      </c>
      <c r="V18" s="32"/>
      <c r="W18" s="46"/>
      <c r="X18" s="32"/>
      <c r="Y18" s="32"/>
      <c r="Z18" s="32"/>
      <c r="AA18" s="46"/>
      <c r="AB18" s="51"/>
      <c r="AC18" s="52"/>
      <c r="AD18" s="47"/>
      <c r="AE18" s="35">
        <v>60592030048</v>
      </c>
      <c r="AF18" s="33"/>
    </row>
    <row r="19" spans="1:32" s="18" customFormat="1" ht="15.75">
      <c r="A19" s="72" t="s">
        <v>28</v>
      </c>
      <c r="B19" s="33" t="s">
        <v>114</v>
      </c>
      <c r="C19" s="33" t="s">
        <v>115</v>
      </c>
      <c r="D19" s="49">
        <v>41359</v>
      </c>
      <c r="E19" s="34">
        <v>4666.6899999999996</v>
      </c>
      <c r="F19" s="34">
        <v>7106.91</v>
      </c>
      <c r="G19" s="34"/>
      <c r="H19" s="34"/>
      <c r="I19" s="46">
        <f t="shared" si="7"/>
        <v>7106.91</v>
      </c>
      <c r="J19" s="34">
        <v>413.79</v>
      </c>
      <c r="K19" s="61"/>
      <c r="L19" s="34"/>
      <c r="M19" s="34"/>
      <c r="N19" s="62"/>
      <c r="O19" s="62"/>
      <c r="P19" s="34"/>
      <c r="Q19" s="32"/>
      <c r="R19" s="67"/>
      <c r="S19" s="33"/>
      <c r="T19" s="33"/>
      <c r="U19" s="46">
        <f t="shared" si="0"/>
        <v>6693.12</v>
      </c>
      <c r="V19" s="32">
        <f t="shared" ref="V19" si="12">IF(I19&gt;2250,I19*0.1,0)</f>
        <v>710.69100000000003</v>
      </c>
      <c r="W19" s="46">
        <f t="shared" ref="W19" si="13">+U19-V19</f>
        <v>5982.4290000000001</v>
      </c>
      <c r="X19" s="32"/>
      <c r="Y19" s="32"/>
      <c r="Z19" s="32"/>
      <c r="AA19" s="46"/>
      <c r="AB19" s="51"/>
      <c r="AC19" s="52"/>
      <c r="AD19" s="47"/>
      <c r="AE19" s="35">
        <v>56708881383</v>
      </c>
      <c r="AF19" s="33" t="s">
        <v>177</v>
      </c>
    </row>
    <row r="20" spans="1:32" s="18" customFormat="1" ht="15.75">
      <c r="A20" s="72" t="s">
        <v>28</v>
      </c>
      <c r="B20" s="33" t="s">
        <v>87</v>
      </c>
      <c r="C20" s="33" t="s">
        <v>30</v>
      </c>
      <c r="D20" s="49">
        <v>42413</v>
      </c>
      <c r="E20" s="34">
        <v>1026.69</v>
      </c>
      <c r="F20" s="34"/>
      <c r="G20" s="34"/>
      <c r="H20" s="34"/>
      <c r="I20" s="46">
        <f t="shared" si="7"/>
        <v>0</v>
      </c>
      <c r="J20" s="34"/>
      <c r="K20" s="61"/>
      <c r="L20" s="34"/>
      <c r="M20" s="34"/>
      <c r="N20" s="62"/>
      <c r="O20" s="62"/>
      <c r="P20" s="34"/>
      <c r="Q20" s="32"/>
      <c r="R20" s="67"/>
      <c r="S20" s="33"/>
      <c r="T20" s="33"/>
      <c r="U20" s="46">
        <f t="shared" si="0"/>
        <v>0</v>
      </c>
      <c r="V20" s="32">
        <f t="shared" si="1"/>
        <v>0</v>
      </c>
      <c r="W20" s="46">
        <f t="shared" si="2"/>
        <v>0</v>
      </c>
      <c r="X20" s="32">
        <f t="shared" si="3"/>
        <v>0</v>
      </c>
      <c r="Y20" s="32">
        <v>13.23</v>
      </c>
      <c r="Z20" s="32">
        <f t="shared" si="4"/>
        <v>0</v>
      </c>
      <c r="AA20" s="46">
        <f t="shared" si="5"/>
        <v>13.23</v>
      </c>
      <c r="AB20" s="51"/>
      <c r="AC20" s="52"/>
      <c r="AD20" s="47">
        <f>+AB20+AC20-W20</f>
        <v>0</v>
      </c>
      <c r="AE20" s="35">
        <v>60590329504</v>
      </c>
      <c r="AF20" s="33"/>
    </row>
    <row r="21" spans="1:32" s="86" customFormat="1" ht="15.75">
      <c r="A21" s="74" t="s">
        <v>40</v>
      </c>
      <c r="B21" s="74" t="s">
        <v>183</v>
      </c>
      <c r="C21" s="74" t="s">
        <v>44</v>
      </c>
      <c r="D21" s="75">
        <v>42983</v>
      </c>
      <c r="E21" s="76">
        <v>1516.62</v>
      </c>
      <c r="F21" s="76"/>
      <c r="G21" s="76"/>
      <c r="H21" s="76"/>
      <c r="I21" s="77">
        <f t="shared" si="7"/>
        <v>0</v>
      </c>
      <c r="J21" s="76"/>
      <c r="K21" s="78"/>
      <c r="L21" s="76"/>
      <c r="M21" s="76"/>
      <c r="N21" s="79"/>
      <c r="O21" s="79"/>
      <c r="P21" s="76"/>
      <c r="Q21" s="80"/>
      <c r="R21" s="81"/>
      <c r="S21" s="74"/>
      <c r="T21" s="74"/>
      <c r="U21" s="77">
        <f t="shared" si="0"/>
        <v>0</v>
      </c>
      <c r="V21" s="80"/>
      <c r="W21" s="77"/>
      <c r="X21" s="80"/>
      <c r="Y21" s="80"/>
      <c r="Z21" s="80"/>
      <c r="AA21" s="77"/>
      <c r="AB21" s="82"/>
      <c r="AC21" s="83"/>
      <c r="AD21" s="84"/>
      <c r="AE21" s="85">
        <v>60594835769</v>
      </c>
      <c r="AF21" s="74"/>
    </row>
    <row r="22" spans="1:32" s="18" customFormat="1" ht="15.75">
      <c r="A22" s="72" t="s">
        <v>38</v>
      </c>
      <c r="B22" s="33" t="s">
        <v>176</v>
      </c>
      <c r="C22" s="33" t="s">
        <v>29</v>
      </c>
      <c r="D22" s="49">
        <v>42958</v>
      </c>
      <c r="E22" s="34">
        <v>1166.6199999999999</v>
      </c>
      <c r="F22" s="34">
        <v>1708.05</v>
      </c>
      <c r="G22" s="34"/>
      <c r="H22" s="34"/>
      <c r="I22" s="46">
        <f>SUM(F22:H22)</f>
        <v>1708.05</v>
      </c>
      <c r="J22" s="34"/>
      <c r="K22" s="61"/>
      <c r="L22" s="34"/>
      <c r="M22" s="34"/>
      <c r="N22" s="62"/>
      <c r="O22" s="62"/>
      <c r="P22" s="34"/>
      <c r="Q22" s="32"/>
      <c r="R22" s="67"/>
      <c r="S22" s="33"/>
      <c r="T22" s="33"/>
      <c r="U22" s="46">
        <f>+I22-SUM(J22:T22)</f>
        <v>1708.05</v>
      </c>
      <c r="V22" s="32"/>
      <c r="W22" s="46"/>
      <c r="X22" s="32"/>
      <c r="Y22" s="32"/>
      <c r="Z22" s="32"/>
      <c r="AA22" s="46"/>
      <c r="AB22" s="51"/>
      <c r="AC22" s="52"/>
      <c r="AD22" s="47"/>
      <c r="AE22" s="35">
        <v>60594219460</v>
      </c>
      <c r="AF22" s="33"/>
    </row>
    <row r="23" spans="1:32" s="18" customFormat="1" ht="15.75">
      <c r="A23" s="72" t="s">
        <v>28</v>
      </c>
      <c r="B23" s="33" t="s">
        <v>93</v>
      </c>
      <c r="C23" s="33" t="s">
        <v>104</v>
      </c>
      <c r="D23" s="49">
        <v>42480</v>
      </c>
      <c r="E23" s="34">
        <v>2800</v>
      </c>
      <c r="F23" s="34"/>
      <c r="G23" s="34"/>
      <c r="H23" s="34"/>
      <c r="I23" s="46">
        <f t="shared" si="7"/>
        <v>0</v>
      </c>
      <c r="J23" s="34"/>
      <c r="K23" s="61"/>
      <c r="L23" s="34"/>
      <c r="M23" s="34"/>
      <c r="N23" s="62"/>
      <c r="O23" s="62"/>
      <c r="P23" s="34"/>
      <c r="Q23" s="32"/>
      <c r="R23" s="67"/>
      <c r="S23" s="33"/>
      <c r="T23" s="33"/>
      <c r="U23" s="46">
        <f t="shared" si="0"/>
        <v>0</v>
      </c>
      <c r="V23" s="32">
        <f t="shared" ref="V23:V42" si="14">IF(I23&gt;2250,I23*0.1,0)</f>
        <v>0</v>
      </c>
      <c r="W23" s="46">
        <f t="shared" ref="W23:W42" si="15">+U23-V23</f>
        <v>0</v>
      </c>
      <c r="X23" s="32">
        <f t="shared" ref="X23:X42" si="16">IF(I23&lt;2250,I23*0.1,0)</f>
        <v>0</v>
      </c>
      <c r="Y23" s="32">
        <v>17.23</v>
      </c>
      <c r="Z23" s="32">
        <f t="shared" ref="Z23:Z42" si="17">+N23</f>
        <v>0</v>
      </c>
      <c r="AA23" s="46">
        <f t="shared" ref="AA23:AA42" si="18">+I23+X23+Y23+Z23</f>
        <v>17.23</v>
      </c>
      <c r="AB23" s="51"/>
      <c r="AC23" s="52"/>
      <c r="AD23" s="47">
        <f>+AB23+AC23-W23</f>
        <v>0</v>
      </c>
      <c r="AE23" s="35">
        <v>56708845010</v>
      </c>
      <c r="AF23" s="33"/>
    </row>
    <row r="24" spans="1:32" s="18" customFormat="1" ht="15.75">
      <c r="A24" s="72" t="s">
        <v>28</v>
      </c>
      <c r="B24" s="33" t="s">
        <v>179</v>
      </c>
      <c r="C24" s="33" t="s">
        <v>30</v>
      </c>
      <c r="D24" s="49">
        <v>42972</v>
      </c>
      <c r="E24" s="34">
        <v>1026.69</v>
      </c>
      <c r="F24" s="34"/>
      <c r="G24" s="34"/>
      <c r="H24" s="34"/>
      <c r="I24" s="46">
        <f t="shared" si="7"/>
        <v>0</v>
      </c>
      <c r="J24" s="34"/>
      <c r="K24" s="61"/>
      <c r="L24" s="34"/>
      <c r="M24" s="34"/>
      <c r="N24" s="62"/>
      <c r="O24" s="62"/>
      <c r="P24" s="34"/>
      <c r="Q24" s="32"/>
      <c r="R24" s="67"/>
      <c r="S24" s="33"/>
      <c r="T24" s="33">
        <v>70</v>
      </c>
      <c r="U24" s="46">
        <f t="shared" si="0"/>
        <v>-70</v>
      </c>
      <c r="V24" s="32"/>
      <c r="W24" s="46"/>
      <c r="X24" s="32"/>
      <c r="Y24" s="32"/>
      <c r="Z24" s="32"/>
      <c r="AA24" s="46"/>
      <c r="AB24" s="51"/>
      <c r="AC24" s="52"/>
      <c r="AD24" s="47"/>
      <c r="AE24" s="35">
        <v>60594573909</v>
      </c>
      <c r="AF24" s="33"/>
    </row>
    <row r="25" spans="1:32" s="18" customFormat="1" ht="15.75">
      <c r="A25" s="72" t="s">
        <v>40</v>
      </c>
      <c r="B25" s="33" t="s">
        <v>136</v>
      </c>
      <c r="C25" s="33" t="s">
        <v>44</v>
      </c>
      <c r="D25" s="49">
        <v>42826</v>
      </c>
      <c r="E25" s="34">
        <v>1633.31</v>
      </c>
      <c r="F25" s="34"/>
      <c r="G25" s="34"/>
      <c r="H25" s="34"/>
      <c r="I25" s="46">
        <f t="shared" si="7"/>
        <v>0</v>
      </c>
      <c r="J25" s="34"/>
      <c r="K25" s="61"/>
      <c r="L25" s="34"/>
      <c r="M25" s="34"/>
      <c r="N25" s="62"/>
      <c r="O25" s="62"/>
      <c r="P25" s="34"/>
      <c r="Q25" s="32"/>
      <c r="R25" s="67"/>
      <c r="S25" s="33"/>
      <c r="T25" s="33"/>
      <c r="U25" s="46">
        <f t="shared" si="0"/>
        <v>0</v>
      </c>
      <c r="V25" s="32">
        <f t="shared" si="14"/>
        <v>0</v>
      </c>
      <c r="W25" s="46"/>
      <c r="X25" s="32">
        <f t="shared" si="16"/>
        <v>0</v>
      </c>
      <c r="Y25" s="32"/>
      <c r="Z25" s="32"/>
      <c r="AA25" s="46"/>
      <c r="AB25" s="51"/>
      <c r="AC25" s="52"/>
      <c r="AD25" s="47"/>
      <c r="AE25" s="35">
        <v>60590035118</v>
      </c>
      <c r="AF25" s="33"/>
    </row>
    <row r="26" spans="1:32" s="18" customFormat="1" ht="15.75">
      <c r="A26" s="72" t="s">
        <v>27</v>
      </c>
      <c r="B26" s="33" t="s">
        <v>158</v>
      </c>
      <c r="C26" s="33" t="s">
        <v>45</v>
      </c>
      <c r="D26" s="49">
        <v>42916</v>
      </c>
      <c r="E26" s="34">
        <v>1026.69</v>
      </c>
      <c r="F26" s="34"/>
      <c r="G26" s="34"/>
      <c r="H26" s="34"/>
      <c r="I26" s="46">
        <f t="shared" si="7"/>
        <v>0</v>
      </c>
      <c r="J26" s="34"/>
      <c r="K26" s="61"/>
      <c r="L26" s="34"/>
      <c r="M26" s="34"/>
      <c r="N26" s="62"/>
      <c r="O26" s="62"/>
      <c r="P26" s="34"/>
      <c r="Q26" s="32"/>
      <c r="R26" s="67"/>
      <c r="S26" s="33"/>
      <c r="T26" s="33">
        <v>649.46</v>
      </c>
      <c r="U26" s="46">
        <f t="shared" si="0"/>
        <v>-649.46</v>
      </c>
      <c r="V26" s="32"/>
      <c r="W26" s="46"/>
      <c r="X26" s="32"/>
      <c r="Y26" s="32"/>
      <c r="Z26" s="32"/>
      <c r="AA26" s="46"/>
      <c r="AB26" s="51"/>
      <c r="AC26" s="52"/>
      <c r="AD26" s="47"/>
      <c r="AE26" s="35">
        <v>60584074827</v>
      </c>
      <c r="AF26" s="33"/>
    </row>
    <row r="27" spans="1:32" s="18" customFormat="1" ht="15.75">
      <c r="A27" s="72" t="s">
        <v>28</v>
      </c>
      <c r="B27" s="33" t="s">
        <v>118</v>
      </c>
      <c r="C27" s="33" t="s">
        <v>30</v>
      </c>
      <c r="D27" s="49">
        <v>42415</v>
      </c>
      <c r="E27" s="34">
        <v>1026.69</v>
      </c>
      <c r="F27" s="34"/>
      <c r="G27" s="34"/>
      <c r="H27" s="34"/>
      <c r="I27" s="46">
        <f t="shared" si="7"/>
        <v>0</v>
      </c>
      <c r="J27" s="34"/>
      <c r="K27" s="61"/>
      <c r="L27" s="34"/>
      <c r="M27" s="34"/>
      <c r="N27" s="62"/>
      <c r="O27" s="62"/>
      <c r="P27" s="34"/>
      <c r="Q27" s="32"/>
      <c r="R27" s="67"/>
      <c r="S27" s="33"/>
      <c r="T27" s="33"/>
      <c r="U27" s="46">
        <f t="shared" si="0"/>
        <v>0</v>
      </c>
      <c r="V27" s="32">
        <f t="shared" ref="V27" si="19">IF(I27&gt;2250,I27*0.1,0)</f>
        <v>0</v>
      </c>
      <c r="W27" s="46">
        <f t="shared" ref="W27" si="20">+U27-V27</f>
        <v>0</v>
      </c>
      <c r="X27" s="32"/>
      <c r="Y27" s="32"/>
      <c r="Z27" s="32"/>
      <c r="AA27" s="46"/>
      <c r="AB27" s="51"/>
      <c r="AC27" s="52"/>
      <c r="AD27" s="47"/>
      <c r="AE27" s="35">
        <v>56708881656</v>
      </c>
      <c r="AF27" s="33"/>
    </row>
    <row r="28" spans="1:32" s="18" customFormat="1" ht="15.75">
      <c r="A28" s="72" t="s">
        <v>28</v>
      </c>
      <c r="B28" s="33" t="s">
        <v>141</v>
      </c>
      <c r="C28" s="33" t="s">
        <v>30</v>
      </c>
      <c r="D28" s="49">
        <v>41463</v>
      </c>
      <c r="E28" s="34">
        <v>1026.69</v>
      </c>
      <c r="F28" s="34">
        <v>8342.4599999999991</v>
      </c>
      <c r="G28" s="34"/>
      <c r="H28" s="34"/>
      <c r="I28" s="46">
        <f t="shared" si="7"/>
        <v>8342.4599999999991</v>
      </c>
      <c r="J28" s="34"/>
      <c r="K28" s="61"/>
      <c r="L28" s="34"/>
      <c r="M28" s="34"/>
      <c r="N28" s="62"/>
      <c r="O28" s="62"/>
      <c r="P28" s="34"/>
      <c r="Q28" s="32"/>
      <c r="R28" s="67"/>
      <c r="S28" s="33"/>
      <c r="T28" s="33"/>
      <c r="U28" s="46">
        <f t="shared" si="0"/>
        <v>8342.4599999999991</v>
      </c>
      <c r="V28" s="32">
        <f t="shared" si="14"/>
        <v>834.24599999999998</v>
      </c>
      <c r="W28" s="46">
        <f t="shared" si="15"/>
        <v>7508.213999999999</v>
      </c>
      <c r="X28" s="32">
        <f t="shared" si="16"/>
        <v>0</v>
      </c>
      <c r="Y28" s="32">
        <v>20.23</v>
      </c>
      <c r="Z28" s="32">
        <f t="shared" si="17"/>
        <v>0</v>
      </c>
      <c r="AA28" s="46">
        <f t="shared" si="18"/>
        <v>8362.6899999999987</v>
      </c>
      <c r="AB28" s="51"/>
      <c r="AC28" s="52"/>
      <c r="AD28" s="47">
        <f>+AB28+AC28-W28</f>
        <v>-7508.213999999999</v>
      </c>
      <c r="AE28" s="35">
        <v>56708881457</v>
      </c>
      <c r="AF28" s="33"/>
    </row>
    <row r="29" spans="1:32" s="18" customFormat="1" ht="15.75">
      <c r="A29" s="72" t="s">
        <v>26</v>
      </c>
      <c r="B29" s="33" t="s">
        <v>137</v>
      </c>
      <c r="C29" s="33" t="s">
        <v>94</v>
      </c>
      <c r="D29" s="49">
        <v>40618</v>
      </c>
      <c r="E29" s="34">
        <v>1633.31</v>
      </c>
      <c r="F29" s="34">
        <v>4780.3999999999996</v>
      </c>
      <c r="G29" s="34"/>
      <c r="H29" s="34"/>
      <c r="I29" s="46">
        <f t="shared" si="7"/>
        <v>4780.3999999999996</v>
      </c>
      <c r="J29" s="34"/>
      <c r="K29" s="61"/>
      <c r="L29" s="34"/>
      <c r="M29" s="34"/>
      <c r="N29" s="62"/>
      <c r="O29" s="62"/>
      <c r="P29" s="34"/>
      <c r="Q29" s="32"/>
      <c r="R29" s="67"/>
      <c r="S29" s="33"/>
      <c r="T29" s="33"/>
      <c r="U29" s="46">
        <f t="shared" ref="U29:U35" si="21">+I29-SUM(J29:T29)</f>
        <v>4780.3999999999996</v>
      </c>
      <c r="V29" s="32">
        <f t="shared" si="14"/>
        <v>478.03999999999996</v>
      </c>
      <c r="W29" s="46">
        <f t="shared" si="15"/>
        <v>4302.3599999999997</v>
      </c>
      <c r="X29" s="32">
        <f t="shared" si="16"/>
        <v>0</v>
      </c>
      <c r="Y29" s="32">
        <v>21.23</v>
      </c>
      <c r="Z29" s="32">
        <f t="shared" si="17"/>
        <v>0</v>
      </c>
      <c r="AA29" s="46">
        <f t="shared" si="18"/>
        <v>4801.6299999999992</v>
      </c>
      <c r="AB29" s="51"/>
      <c r="AC29" s="52"/>
      <c r="AD29" s="47"/>
      <c r="AE29" s="35">
        <v>56708845038</v>
      </c>
      <c r="AF29" s="33"/>
    </row>
    <row r="30" spans="1:32" s="18" customFormat="1" ht="15.75">
      <c r="A30" s="72" t="s">
        <v>28</v>
      </c>
      <c r="B30" s="33" t="s">
        <v>86</v>
      </c>
      <c r="C30" s="33" t="s">
        <v>30</v>
      </c>
      <c r="D30" s="49">
        <v>42296</v>
      </c>
      <c r="E30" s="34">
        <v>1026.69</v>
      </c>
      <c r="F30" s="34"/>
      <c r="G30" s="34"/>
      <c r="H30" s="34"/>
      <c r="I30" s="46">
        <f t="shared" si="7"/>
        <v>0</v>
      </c>
      <c r="J30" s="34"/>
      <c r="K30" s="61">
        <v>1</v>
      </c>
      <c r="L30" s="34"/>
      <c r="M30" s="34"/>
      <c r="N30" s="62"/>
      <c r="O30" s="62"/>
      <c r="P30" s="34"/>
      <c r="Q30" s="32" t="s">
        <v>180</v>
      </c>
      <c r="R30" s="67"/>
      <c r="S30" s="33"/>
      <c r="T30" s="33">
        <v>688.02</v>
      </c>
      <c r="U30" s="46">
        <f t="shared" si="21"/>
        <v>-689.02</v>
      </c>
      <c r="V30" s="32">
        <f t="shared" si="14"/>
        <v>0</v>
      </c>
      <c r="W30" s="46">
        <f t="shared" si="15"/>
        <v>-689.02</v>
      </c>
      <c r="X30" s="32">
        <f t="shared" si="16"/>
        <v>0</v>
      </c>
      <c r="Y30" s="32">
        <v>10.23</v>
      </c>
      <c r="Z30" s="32">
        <f t="shared" si="17"/>
        <v>0</v>
      </c>
      <c r="AA30" s="46">
        <f t="shared" si="18"/>
        <v>10.23</v>
      </c>
      <c r="AB30" s="51"/>
      <c r="AC30" s="52"/>
      <c r="AD30" s="47">
        <f>+AB30+AC30-W30</f>
        <v>689.02</v>
      </c>
      <c r="AE30" s="35">
        <v>56708881460</v>
      </c>
      <c r="AF30" s="33"/>
    </row>
    <row r="31" spans="1:32" s="18" customFormat="1" ht="15.75">
      <c r="A31" s="72" t="s">
        <v>27</v>
      </c>
      <c r="B31" s="33" t="s">
        <v>160</v>
      </c>
      <c r="C31" s="33" t="s">
        <v>45</v>
      </c>
      <c r="D31" s="49">
        <v>42916</v>
      </c>
      <c r="E31" s="34">
        <v>1026.69</v>
      </c>
      <c r="F31" s="34">
        <v>2150.42</v>
      </c>
      <c r="G31" s="34"/>
      <c r="H31" s="34"/>
      <c r="I31" s="46">
        <f t="shared" si="7"/>
        <v>2150.42</v>
      </c>
      <c r="J31" s="34"/>
      <c r="K31" s="61"/>
      <c r="L31" s="34"/>
      <c r="M31" s="34"/>
      <c r="N31" s="62"/>
      <c r="O31" s="62"/>
      <c r="P31" s="34"/>
      <c r="Q31" s="32"/>
      <c r="R31" s="67"/>
      <c r="S31" s="33"/>
      <c r="T31" s="33"/>
      <c r="U31" s="46">
        <f t="shared" si="21"/>
        <v>2150.42</v>
      </c>
      <c r="V31" s="32"/>
      <c r="W31" s="46"/>
      <c r="X31" s="32"/>
      <c r="Y31" s="32"/>
      <c r="Z31" s="32"/>
      <c r="AA31" s="46"/>
      <c r="AB31" s="51"/>
      <c r="AC31" s="52"/>
      <c r="AD31" s="47"/>
      <c r="AE31" s="35">
        <v>60592636121</v>
      </c>
      <c r="AF31" s="33"/>
    </row>
    <row r="32" spans="1:32" s="18" customFormat="1" ht="15.75">
      <c r="A32" s="72" t="s">
        <v>38</v>
      </c>
      <c r="B32" s="33" t="s">
        <v>182</v>
      </c>
      <c r="C32" s="33" t="s">
        <v>29</v>
      </c>
      <c r="D32" s="49">
        <v>42978</v>
      </c>
      <c r="E32" s="34">
        <v>1166.6199999999999</v>
      </c>
      <c r="F32" s="34"/>
      <c r="G32" s="34"/>
      <c r="H32" s="34"/>
      <c r="I32" s="46">
        <f t="shared" si="7"/>
        <v>0</v>
      </c>
      <c r="J32" s="34"/>
      <c r="K32" s="61"/>
      <c r="L32" s="34"/>
      <c r="M32" s="34"/>
      <c r="N32" s="62"/>
      <c r="O32" s="62"/>
      <c r="P32" s="34"/>
      <c r="Q32" s="32"/>
      <c r="R32" s="67"/>
      <c r="S32" s="33"/>
      <c r="T32" s="33"/>
      <c r="U32" s="46">
        <f t="shared" si="21"/>
        <v>0</v>
      </c>
      <c r="V32" s="32"/>
      <c r="W32" s="46"/>
      <c r="X32" s="32"/>
      <c r="Y32" s="32"/>
      <c r="Z32" s="32"/>
      <c r="AA32" s="46"/>
      <c r="AB32" s="51"/>
      <c r="AC32" s="52"/>
      <c r="AD32" s="47"/>
      <c r="AE32" s="35">
        <v>60594750506</v>
      </c>
      <c r="AF32" s="33"/>
    </row>
    <row r="33" spans="1:32" s="18" customFormat="1">
      <c r="A33" s="72" t="s">
        <v>27</v>
      </c>
      <c r="B33" s="33" t="s">
        <v>99</v>
      </c>
      <c r="C33" s="33" t="s">
        <v>45</v>
      </c>
      <c r="D33" s="49">
        <v>42576</v>
      </c>
      <c r="E33" s="34">
        <v>1026.69</v>
      </c>
      <c r="F33" s="34"/>
      <c r="G33" s="34"/>
      <c r="H33" s="34"/>
      <c r="I33" s="46">
        <f t="shared" si="7"/>
        <v>0</v>
      </c>
      <c r="J33" s="34"/>
      <c r="K33" s="61">
        <v>1</v>
      </c>
      <c r="L33" s="34"/>
      <c r="M33" s="34"/>
      <c r="N33" s="62"/>
      <c r="O33" s="62"/>
      <c r="P33" s="34"/>
      <c r="Q33" s="32"/>
      <c r="R33" s="32"/>
      <c r="S33" s="33"/>
      <c r="T33" s="33"/>
      <c r="U33" s="46">
        <f t="shared" si="21"/>
        <v>-1</v>
      </c>
      <c r="V33" s="33">
        <f t="shared" si="14"/>
        <v>0</v>
      </c>
      <c r="W33" s="33">
        <f t="shared" si="15"/>
        <v>-1</v>
      </c>
      <c r="X33" s="32">
        <f t="shared" si="16"/>
        <v>0</v>
      </c>
      <c r="Y33" s="32">
        <v>11.23</v>
      </c>
      <c r="Z33" s="32">
        <f t="shared" si="17"/>
        <v>0</v>
      </c>
      <c r="AA33" s="46">
        <f t="shared" si="18"/>
        <v>11.23</v>
      </c>
      <c r="AB33" s="51"/>
      <c r="AC33" s="51"/>
      <c r="AD33" s="47"/>
      <c r="AE33" s="35">
        <v>56708845072</v>
      </c>
      <c r="AF33" s="35"/>
    </row>
    <row r="34" spans="1:32" s="18" customFormat="1">
      <c r="A34" s="72" t="s">
        <v>28</v>
      </c>
      <c r="B34" s="33" t="s">
        <v>181</v>
      </c>
      <c r="C34" s="33" t="s">
        <v>30</v>
      </c>
      <c r="D34" s="49">
        <v>42975</v>
      </c>
      <c r="E34" s="34">
        <v>1026.69</v>
      </c>
      <c r="F34" s="34"/>
      <c r="G34" s="34"/>
      <c r="H34" s="34"/>
      <c r="I34" s="46">
        <f t="shared" si="7"/>
        <v>0</v>
      </c>
      <c r="J34" s="34"/>
      <c r="K34" s="61"/>
      <c r="L34" s="34"/>
      <c r="M34" s="34"/>
      <c r="N34" s="62"/>
      <c r="O34" s="62"/>
      <c r="P34" s="34"/>
      <c r="Q34" s="32"/>
      <c r="R34" s="32"/>
      <c r="S34" s="33"/>
      <c r="T34" s="33"/>
      <c r="U34" s="46">
        <f t="shared" si="21"/>
        <v>0</v>
      </c>
      <c r="V34" s="33"/>
      <c r="W34" s="33"/>
      <c r="X34" s="32"/>
      <c r="Y34" s="32"/>
      <c r="Z34" s="32"/>
      <c r="AA34" s="46"/>
      <c r="AB34" s="51"/>
      <c r="AC34" s="51"/>
      <c r="AD34" s="47"/>
      <c r="AE34" s="35">
        <v>60594660888</v>
      </c>
      <c r="AF34" s="35"/>
    </row>
    <row r="35" spans="1:32" s="18" customFormat="1">
      <c r="A35" s="72" t="s">
        <v>28</v>
      </c>
      <c r="B35" s="33" t="s">
        <v>89</v>
      </c>
      <c r="C35" s="33" t="s">
        <v>30</v>
      </c>
      <c r="D35" s="49">
        <v>37834</v>
      </c>
      <c r="E35" s="34">
        <v>1026.69</v>
      </c>
      <c r="F35" s="34"/>
      <c r="G35" s="34"/>
      <c r="H35" s="34"/>
      <c r="I35" s="46">
        <f t="shared" si="7"/>
        <v>0</v>
      </c>
      <c r="J35" s="34"/>
      <c r="K35" s="61"/>
      <c r="L35" s="34"/>
      <c r="M35" s="34"/>
      <c r="N35" s="62"/>
      <c r="O35" s="62"/>
      <c r="P35" s="34"/>
      <c r="Q35" s="32"/>
      <c r="R35" s="32"/>
      <c r="S35" s="33"/>
      <c r="T35" s="33"/>
      <c r="U35" s="46">
        <f t="shared" si="21"/>
        <v>0</v>
      </c>
      <c r="V35" s="32">
        <f t="shared" si="14"/>
        <v>0</v>
      </c>
      <c r="W35" s="46">
        <f t="shared" si="15"/>
        <v>0</v>
      </c>
      <c r="X35" s="32">
        <f t="shared" si="16"/>
        <v>0</v>
      </c>
      <c r="Y35" s="32">
        <v>10.23</v>
      </c>
      <c r="Z35" s="32">
        <f t="shared" si="17"/>
        <v>0</v>
      </c>
      <c r="AA35" s="46">
        <f t="shared" si="18"/>
        <v>10.23</v>
      </c>
      <c r="AB35" s="51"/>
      <c r="AC35" s="52"/>
      <c r="AD35" s="47">
        <f t="shared" ref="AD35" si="22">+AB35+AC35-W35</f>
        <v>0</v>
      </c>
      <c r="AE35" s="35">
        <v>56708881503</v>
      </c>
      <c r="AF35" s="35"/>
    </row>
    <row r="36" spans="1:32" s="18" customFormat="1">
      <c r="A36" s="72" t="s">
        <v>28</v>
      </c>
      <c r="B36" s="33" t="s">
        <v>79</v>
      </c>
      <c r="C36" s="33" t="s">
        <v>44</v>
      </c>
      <c r="D36" s="49">
        <v>40813</v>
      </c>
      <c r="E36" s="34">
        <v>1869</v>
      </c>
      <c r="F36" s="64"/>
      <c r="G36" s="34"/>
      <c r="H36" s="34"/>
      <c r="I36" s="46">
        <f t="shared" si="7"/>
        <v>0</v>
      </c>
      <c r="J36" s="34"/>
      <c r="K36" s="61"/>
      <c r="L36" s="34"/>
      <c r="M36" s="34"/>
      <c r="N36" s="62"/>
      <c r="O36" s="62"/>
      <c r="P36" s="34"/>
      <c r="Q36" s="32"/>
      <c r="R36" s="32"/>
      <c r="S36" s="48"/>
      <c r="T36" s="48"/>
      <c r="U36" s="46">
        <f t="shared" ref="U36:U48" si="23">+I36-SUM(J36:T36)</f>
        <v>0</v>
      </c>
      <c r="V36" s="32">
        <f t="shared" ref="V36" si="24">+U36*0.05</f>
        <v>0</v>
      </c>
      <c r="W36" s="46">
        <f t="shared" ref="W36" si="25">+U36-Q36-T36</f>
        <v>0</v>
      </c>
      <c r="X36" s="32">
        <f t="shared" ref="X36" si="26">IF(U36&lt;3000,U36*0.1,0)</f>
        <v>0</v>
      </c>
      <c r="Y36" s="32"/>
      <c r="Z36" s="32"/>
      <c r="AA36" s="46">
        <f t="shared" ref="AA36" si="27">+U36+X36+Y36</f>
        <v>0</v>
      </c>
      <c r="AB36" s="51"/>
      <c r="AC36" s="52"/>
      <c r="AD36" s="47"/>
      <c r="AE36" s="35">
        <v>60589552237</v>
      </c>
      <c r="AF36" s="35"/>
    </row>
    <row r="37" spans="1:32" s="18" customFormat="1">
      <c r="A37" s="72" t="s">
        <v>27</v>
      </c>
      <c r="B37" s="33" t="s">
        <v>161</v>
      </c>
      <c r="C37" s="33" t="s">
        <v>30</v>
      </c>
      <c r="D37" s="49">
        <v>42852</v>
      </c>
      <c r="E37" s="34">
        <v>1026.69</v>
      </c>
      <c r="F37" s="34">
        <v>5000</v>
      </c>
      <c r="G37" s="34"/>
      <c r="H37" s="34"/>
      <c r="I37" s="46">
        <f t="shared" si="7"/>
        <v>5000</v>
      </c>
      <c r="J37" s="34"/>
      <c r="K37" s="61"/>
      <c r="L37" s="34"/>
      <c r="M37" s="34"/>
      <c r="N37" s="62"/>
      <c r="O37" s="62"/>
      <c r="P37" s="34"/>
      <c r="Q37" s="32"/>
      <c r="R37" s="32"/>
      <c r="S37" s="48"/>
      <c r="T37" s="48"/>
      <c r="U37" s="46">
        <f t="shared" si="23"/>
        <v>5000</v>
      </c>
      <c r="V37" s="32"/>
      <c r="W37" s="46"/>
      <c r="X37" s="32"/>
      <c r="Y37" s="32"/>
      <c r="Z37" s="32"/>
      <c r="AA37" s="46"/>
      <c r="AB37" s="51"/>
      <c r="AC37" s="52"/>
      <c r="AD37" s="47"/>
      <c r="AE37" s="35">
        <v>60590678030</v>
      </c>
      <c r="AF37" s="35"/>
    </row>
    <row r="38" spans="1:32" s="18" customFormat="1">
      <c r="A38" s="72" t="s">
        <v>27</v>
      </c>
      <c r="B38" s="33" t="s">
        <v>119</v>
      </c>
      <c r="C38" s="33" t="s">
        <v>148</v>
      </c>
      <c r="D38" s="49">
        <v>42644</v>
      </c>
      <c r="E38" s="34">
        <v>1633.38</v>
      </c>
      <c r="F38" s="34"/>
      <c r="G38" s="34"/>
      <c r="H38" s="34"/>
      <c r="I38" s="46">
        <f t="shared" si="7"/>
        <v>0</v>
      </c>
      <c r="J38" s="34"/>
      <c r="K38" s="61"/>
      <c r="L38" s="34"/>
      <c r="M38" s="34"/>
      <c r="N38" s="62"/>
      <c r="O38" s="62"/>
      <c r="P38" s="34"/>
      <c r="Q38" s="32"/>
      <c r="R38" s="32"/>
      <c r="S38" s="48"/>
      <c r="T38" s="48"/>
      <c r="U38" s="46">
        <f t="shared" si="23"/>
        <v>0</v>
      </c>
      <c r="V38" s="32">
        <f t="shared" ref="V38" si="28">IF(I38&gt;2250,I38*0.1,0)</f>
        <v>0</v>
      </c>
      <c r="W38" s="46">
        <f t="shared" ref="W38" si="29">+U38-V38</f>
        <v>0</v>
      </c>
      <c r="X38" s="32"/>
      <c r="Y38" s="32"/>
      <c r="Z38" s="32"/>
      <c r="AA38" s="46"/>
      <c r="AB38" s="51"/>
      <c r="AC38" s="52"/>
      <c r="AD38" s="47"/>
      <c r="AE38" s="35">
        <v>56708845530</v>
      </c>
      <c r="AF38" s="35"/>
    </row>
    <row r="39" spans="1:32" s="18" customFormat="1">
      <c r="A39" s="72" t="s">
        <v>28</v>
      </c>
      <c r="B39" s="33" t="s">
        <v>175</v>
      </c>
      <c r="C39" s="33" t="s">
        <v>30</v>
      </c>
      <c r="D39" s="49">
        <v>42961</v>
      </c>
      <c r="E39" s="34">
        <v>1022.56</v>
      </c>
      <c r="F39" s="34"/>
      <c r="G39" s="34"/>
      <c r="H39" s="34"/>
      <c r="I39" s="46">
        <f t="shared" si="7"/>
        <v>0</v>
      </c>
      <c r="J39" s="34"/>
      <c r="K39" s="61"/>
      <c r="L39" s="34"/>
      <c r="M39" s="34"/>
      <c r="N39" s="62"/>
      <c r="O39" s="62"/>
      <c r="P39" s="34"/>
      <c r="Q39" s="32"/>
      <c r="R39" s="32"/>
      <c r="S39" s="48"/>
      <c r="T39" s="48"/>
      <c r="U39" s="46">
        <f t="shared" si="23"/>
        <v>0</v>
      </c>
      <c r="V39" s="32"/>
      <c r="W39" s="46"/>
      <c r="X39" s="32"/>
      <c r="Y39" s="32"/>
      <c r="Z39" s="32"/>
      <c r="AA39" s="46"/>
      <c r="AB39" s="51"/>
      <c r="AC39" s="52"/>
      <c r="AD39" s="47"/>
      <c r="AE39" s="35">
        <v>60589665774</v>
      </c>
      <c r="AF39" s="35"/>
    </row>
    <row r="40" spans="1:32" s="18" customFormat="1">
      <c r="A40" s="72" t="s">
        <v>28</v>
      </c>
      <c r="B40" s="33" t="s">
        <v>163</v>
      </c>
      <c r="C40" s="33" t="s">
        <v>30</v>
      </c>
      <c r="D40" s="49">
        <v>42921</v>
      </c>
      <c r="E40" s="34">
        <v>1022.56</v>
      </c>
      <c r="F40" s="34"/>
      <c r="G40" s="34"/>
      <c r="H40" s="34"/>
      <c r="I40" s="46">
        <f t="shared" si="7"/>
        <v>0</v>
      </c>
      <c r="J40" s="34"/>
      <c r="K40" s="61"/>
      <c r="L40" s="34"/>
      <c r="M40" s="34"/>
      <c r="N40" s="62"/>
      <c r="O40" s="62"/>
      <c r="P40" s="34"/>
      <c r="Q40" s="32">
        <v>260</v>
      </c>
      <c r="R40" s="32"/>
      <c r="S40" s="33"/>
      <c r="T40" s="33"/>
      <c r="U40" s="46">
        <f t="shared" si="23"/>
        <v>-260</v>
      </c>
      <c r="V40" s="32"/>
      <c r="W40" s="46"/>
      <c r="X40" s="32"/>
      <c r="Y40" s="32"/>
      <c r="Z40" s="32"/>
      <c r="AA40" s="46"/>
      <c r="AB40" s="51"/>
      <c r="AC40" s="52"/>
      <c r="AD40" s="47"/>
      <c r="AE40" s="35">
        <v>56708881702</v>
      </c>
      <c r="AF40" s="33"/>
    </row>
    <row r="41" spans="1:32" s="18" customFormat="1">
      <c r="A41" s="72" t="s">
        <v>40</v>
      </c>
      <c r="B41" s="33" t="s">
        <v>146</v>
      </c>
      <c r="C41" s="33" t="s">
        <v>44</v>
      </c>
      <c r="D41" s="49">
        <v>42891</v>
      </c>
      <c r="E41" s="34">
        <v>1633.31</v>
      </c>
      <c r="F41" s="34"/>
      <c r="G41" s="34"/>
      <c r="H41" s="34"/>
      <c r="I41" s="46">
        <f t="shared" si="7"/>
        <v>0</v>
      </c>
      <c r="J41" s="34"/>
      <c r="K41" s="61"/>
      <c r="L41" s="34"/>
      <c r="M41" s="34"/>
      <c r="N41" s="62"/>
      <c r="O41" s="62"/>
      <c r="P41" s="34"/>
      <c r="Q41" s="32"/>
      <c r="R41" s="32"/>
      <c r="S41" s="33"/>
      <c r="T41" s="33"/>
      <c r="U41" s="46">
        <f t="shared" si="23"/>
        <v>0</v>
      </c>
      <c r="V41" s="32"/>
      <c r="W41" s="46"/>
      <c r="X41" s="32"/>
      <c r="Y41" s="32"/>
      <c r="Z41" s="32"/>
      <c r="AA41" s="46"/>
      <c r="AB41" s="51"/>
      <c r="AC41" s="52"/>
      <c r="AD41" s="47"/>
      <c r="AE41" s="35">
        <v>60590340221</v>
      </c>
      <c r="AF41" s="33"/>
    </row>
    <row r="42" spans="1:32" s="18" customFormat="1">
      <c r="A42" s="72" t="s">
        <v>38</v>
      </c>
      <c r="B42" s="33" t="s">
        <v>92</v>
      </c>
      <c r="C42" s="33" t="s">
        <v>29</v>
      </c>
      <c r="D42" s="49">
        <v>42506</v>
      </c>
      <c r="E42" s="34">
        <v>1166.27</v>
      </c>
      <c r="F42" s="34">
        <v>2578.5700000000002</v>
      </c>
      <c r="G42" s="34"/>
      <c r="H42" s="34"/>
      <c r="I42" s="46">
        <f t="shared" si="7"/>
        <v>2578.5700000000002</v>
      </c>
      <c r="J42" s="34"/>
      <c r="K42" s="61"/>
      <c r="L42" s="34"/>
      <c r="M42" s="34"/>
      <c r="N42" s="62"/>
      <c r="O42" s="62"/>
      <c r="P42" s="34"/>
      <c r="Q42" s="32"/>
      <c r="R42" s="32"/>
      <c r="S42" s="33"/>
      <c r="T42" s="33"/>
      <c r="U42" s="46">
        <f t="shared" si="23"/>
        <v>2578.5700000000002</v>
      </c>
      <c r="V42" s="32">
        <f t="shared" si="14"/>
        <v>257.85700000000003</v>
      </c>
      <c r="W42" s="46">
        <f t="shared" si="15"/>
        <v>2320.7130000000002</v>
      </c>
      <c r="X42" s="32">
        <f t="shared" si="16"/>
        <v>0</v>
      </c>
      <c r="Y42" s="32">
        <v>10.23</v>
      </c>
      <c r="Z42" s="32">
        <f t="shared" si="17"/>
        <v>0</v>
      </c>
      <c r="AA42" s="46">
        <f t="shared" si="18"/>
        <v>2588.8000000000002</v>
      </c>
      <c r="AB42" s="51"/>
      <c r="AC42" s="51"/>
      <c r="AD42" s="47">
        <f t="shared" ref="AD42" si="30">+AB42+AC42-W42</f>
        <v>-2320.7130000000002</v>
      </c>
      <c r="AE42" s="35">
        <v>56708881551</v>
      </c>
      <c r="AF42" s="35"/>
    </row>
    <row r="43" spans="1:32" s="18" customFormat="1">
      <c r="A43" s="72" t="s">
        <v>28</v>
      </c>
      <c r="B43" s="33" t="s">
        <v>124</v>
      </c>
      <c r="C43" s="33" t="s">
        <v>30</v>
      </c>
      <c r="D43" s="49">
        <v>42730</v>
      </c>
      <c r="E43" s="34">
        <v>1026.69</v>
      </c>
      <c r="F43" s="34">
        <v>5191.18</v>
      </c>
      <c r="G43" s="34"/>
      <c r="H43" s="34"/>
      <c r="I43" s="46">
        <f t="shared" si="7"/>
        <v>5191.18</v>
      </c>
      <c r="J43" s="34"/>
      <c r="K43" s="61"/>
      <c r="L43" s="34"/>
      <c r="M43" s="34"/>
      <c r="N43" s="62"/>
      <c r="O43" s="62"/>
      <c r="P43" s="34"/>
      <c r="Q43" s="32"/>
      <c r="R43" s="32"/>
      <c r="S43" s="33"/>
      <c r="T43" s="33"/>
      <c r="U43" s="46">
        <f t="shared" si="23"/>
        <v>5191.18</v>
      </c>
      <c r="V43" s="32">
        <f t="shared" ref="V43" si="31">IF(I43&gt;2250,I43*0.1,0)</f>
        <v>519.11800000000005</v>
      </c>
      <c r="W43" s="46">
        <f t="shared" ref="W43" si="32">+U43-V43</f>
        <v>4672.0619999999999</v>
      </c>
      <c r="X43" s="32"/>
      <c r="Y43" s="32"/>
      <c r="Z43" s="32"/>
      <c r="AA43" s="46"/>
      <c r="AB43" s="51"/>
      <c r="AC43" s="51"/>
      <c r="AD43" s="47"/>
      <c r="AE43" s="35">
        <v>60589669043</v>
      </c>
      <c r="AF43" s="35"/>
    </row>
    <row r="44" spans="1:32" s="18" customFormat="1">
      <c r="A44" s="72" t="s">
        <v>28</v>
      </c>
      <c r="B44" s="33" t="s">
        <v>95</v>
      </c>
      <c r="C44" s="33" t="s">
        <v>30</v>
      </c>
      <c r="D44" s="49">
        <v>42522</v>
      </c>
      <c r="E44" s="34">
        <v>1026.69</v>
      </c>
      <c r="F44" s="34"/>
      <c r="G44" s="34"/>
      <c r="H44" s="34"/>
      <c r="I44" s="46">
        <f t="shared" si="7"/>
        <v>0</v>
      </c>
      <c r="J44" s="34"/>
      <c r="K44" s="61">
        <v>2</v>
      </c>
      <c r="L44" s="34"/>
      <c r="M44" s="34"/>
      <c r="N44" s="62"/>
      <c r="O44" s="62"/>
      <c r="P44" s="34"/>
      <c r="Q44" s="32">
        <v>500</v>
      </c>
      <c r="R44" s="32"/>
      <c r="S44" s="33"/>
      <c r="T44" s="33"/>
      <c r="U44" s="46">
        <f t="shared" si="23"/>
        <v>-502</v>
      </c>
      <c r="V44" s="32">
        <f t="shared" ref="V44:V50" si="33">IF(I44&gt;2250,I44*0.1,0)</f>
        <v>0</v>
      </c>
      <c r="W44" s="46">
        <f t="shared" ref="W44:W59" si="34">+U44-V44</f>
        <v>-502</v>
      </c>
      <c r="X44" s="32">
        <f t="shared" ref="X44:X58" si="35">IF(I44&lt;2250,I44*0.1,0)</f>
        <v>0</v>
      </c>
      <c r="Y44" s="32">
        <v>10.23</v>
      </c>
      <c r="Z44" s="32">
        <f t="shared" ref="Z44:Z58" si="36">+N44</f>
        <v>0</v>
      </c>
      <c r="AA44" s="46">
        <f t="shared" ref="AA44:AA58" si="37">+I44+X44+Y44+Z44</f>
        <v>10.23</v>
      </c>
      <c r="AB44" s="51"/>
      <c r="AC44" s="51"/>
      <c r="AD44" s="47"/>
      <c r="AE44" s="35">
        <v>56708845237</v>
      </c>
      <c r="AF44" s="35"/>
    </row>
    <row r="45" spans="1:32" s="86" customFormat="1">
      <c r="A45" s="74" t="s">
        <v>28</v>
      </c>
      <c r="B45" s="74" t="s">
        <v>62</v>
      </c>
      <c r="C45" s="74" t="s">
        <v>30</v>
      </c>
      <c r="D45" s="75">
        <v>42396</v>
      </c>
      <c r="E45" s="76">
        <v>1026.69</v>
      </c>
      <c r="F45" s="76"/>
      <c r="G45" s="76"/>
      <c r="H45" s="76"/>
      <c r="I45" s="77">
        <f t="shared" si="7"/>
        <v>0</v>
      </c>
      <c r="J45" s="76"/>
      <c r="K45" s="78"/>
      <c r="L45" s="76"/>
      <c r="M45" s="76"/>
      <c r="N45" s="79"/>
      <c r="O45" s="79"/>
      <c r="P45" s="76"/>
      <c r="Q45" s="80" t="s">
        <v>180</v>
      </c>
      <c r="R45" s="80"/>
      <c r="S45" s="74"/>
      <c r="T45" s="74" t="s">
        <v>180</v>
      </c>
      <c r="U45" s="77">
        <f t="shared" si="23"/>
        <v>0</v>
      </c>
      <c r="V45" s="80">
        <f t="shared" si="33"/>
        <v>0</v>
      </c>
      <c r="W45" s="77">
        <f t="shared" si="34"/>
        <v>0</v>
      </c>
      <c r="X45" s="80">
        <f t="shared" si="35"/>
        <v>0</v>
      </c>
      <c r="Y45" s="80">
        <v>10.23</v>
      </c>
      <c r="Z45" s="80">
        <f t="shared" si="36"/>
        <v>0</v>
      </c>
      <c r="AA45" s="77">
        <f t="shared" si="37"/>
        <v>10.23</v>
      </c>
      <c r="AB45" s="82"/>
      <c r="AC45" s="82"/>
      <c r="AD45" s="84">
        <f t="shared" ref="AD45:AD50" si="38">+AB45+AC45-W45</f>
        <v>0</v>
      </c>
      <c r="AE45" s="85">
        <v>56708881579</v>
      </c>
      <c r="AF45" s="85"/>
    </row>
    <row r="46" spans="1:32" s="18" customFormat="1">
      <c r="A46" s="72" t="s">
        <v>38</v>
      </c>
      <c r="B46" s="33" t="s">
        <v>68</v>
      </c>
      <c r="C46" s="33" t="s">
        <v>44</v>
      </c>
      <c r="D46" s="49">
        <v>42321</v>
      </c>
      <c r="E46" s="34">
        <v>1869</v>
      </c>
      <c r="F46" s="64"/>
      <c r="G46" s="34"/>
      <c r="H46" s="34"/>
      <c r="I46" s="46">
        <f t="shared" si="7"/>
        <v>0</v>
      </c>
      <c r="J46" s="34"/>
      <c r="K46" s="61"/>
      <c r="L46" s="34"/>
      <c r="M46" s="34"/>
      <c r="N46" s="62"/>
      <c r="O46" s="62"/>
      <c r="P46" s="34"/>
      <c r="Q46" s="32"/>
      <c r="R46" s="32"/>
      <c r="S46" s="33"/>
      <c r="T46" s="33"/>
      <c r="U46" s="46">
        <f t="shared" si="23"/>
        <v>0</v>
      </c>
      <c r="V46" s="32">
        <f t="shared" si="33"/>
        <v>0</v>
      </c>
      <c r="W46" s="46">
        <f t="shared" si="34"/>
        <v>0</v>
      </c>
      <c r="X46" s="32">
        <f t="shared" si="35"/>
        <v>0</v>
      </c>
      <c r="Y46" s="32">
        <v>10.23</v>
      </c>
      <c r="Z46" s="32">
        <f t="shared" si="36"/>
        <v>0</v>
      </c>
      <c r="AA46" s="46">
        <f t="shared" si="37"/>
        <v>10.23</v>
      </c>
      <c r="AB46" s="51"/>
      <c r="AC46" s="52"/>
      <c r="AD46" s="47">
        <f t="shared" si="38"/>
        <v>0</v>
      </c>
      <c r="AE46" s="35">
        <v>56708845240</v>
      </c>
      <c r="AF46" s="33"/>
    </row>
    <row r="47" spans="1:32" s="86" customFormat="1">
      <c r="A47" s="74" t="s">
        <v>27</v>
      </c>
      <c r="B47" s="74" t="s">
        <v>150</v>
      </c>
      <c r="C47" s="74" t="s">
        <v>109</v>
      </c>
      <c r="D47" s="75">
        <v>42908</v>
      </c>
      <c r="E47" s="76">
        <v>1516.69</v>
      </c>
      <c r="F47" s="76"/>
      <c r="G47" s="76"/>
      <c r="H47" s="76"/>
      <c r="I47" s="77">
        <f t="shared" si="7"/>
        <v>0</v>
      </c>
      <c r="J47" s="76"/>
      <c r="K47" s="78"/>
      <c r="L47" s="76"/>
      <c r="M47" s="76"/>
      <c r="N47" s="79"/>
      <c r="O47" s="79"/>
      <c r="P47" s="76"/>
      <c r="Q47" s="80"/>
      <c r="R47" s="80"/>
      <c r="S47" s="74"/>
      <c r="T47" s="74"/>
      <c r="U47" s="77">
        <f t="shared" si="23"/>
        <v>0</v>
      </c>
      <c r="V47" s="80"/>
      <c r="W47" s="77"/>
      <c r="X47" s="80"/>
      <c r="Y47" s="80"/>
      <c r="Z47" s="80"/>
      <c r="AA47" s="77"/>
      <c r="AB47" s="82"/>
      <c r="AC47" s="82"/>
      <c r="AD47" s="84"/>
      <c r="AE47" s="85">
        <v>56707771884</v>
      </c>
      <c r="AF47" s="85"/>
    </row>
    <row r="48" spans="1:32" s="18" customFormat="1">
      <c r="A48" s="72" t="s">
        <v>38</v>
      </c>
      <c r="B48" s="33" t="s">
        <v>113</v>
      </c>
      <c r="C48" s="33" t="s">
        <v>94</v>
      </c>
      <c r="D48" s="49">
        <v>42646</v>
      </c>
      <c r="E48" s="34">
        <v>1166.27</v>
      </c>
      <c r="F48" s="34">
        <v>3471.36</v>
      </c>
      <c r="G48" s="34"/>
      <c r="H48" s="34"/>
      <c r="I48" s="46">
        <f t="shared" si="7"/>
        <v>3471.36</v>
      </c>
      <c r="J48" s="34"/>
      <c r="K48" s="61">
        <v>1</v>
      </c>
      <c r="L48" s="34"/>
      <c r="M48" s="34"/>
      <c r="N48" s="62"/>
      <c r="O48" s="62"/>
      <c r="P48" s="34"/>
      <c r="Q48" s="32"/>
      <c r="R48" s="32"/>
      <c r="S48" s="33"/>
      <c r="T48" s="33"/>
      <c r="U48" s="46">
        <f t="shared" si="23"/>
        <v>3470.36</v>
      </c>
      <c r="V48" s="32">
        <f t="shared" ref="V48" si="39">IF(I48&gt;2250,I48*0.1,0)</f>
        <v>347.13600000000002</v>
      </c>
      <c r="W48" s="46">
        <f t="shared" ref="W48" si="40">+U48-V48</f>
        <v>3123.2240000000002</v>
      </c>
      <c r="X48" s="32"/>
      <c r="Y48" s="32"/>
      <c r="Z48" s="32"/>
      <c r="AA48" s="46"/>
      <c r="AB48" s="51"/>
      <c r="AC48" s="52"/>
      <c r="AD48" s="47"/>
      <c r="AE48" s="35">
        <v>56708881582</v>
      </c>
      <c r="AF48" s="35"/>
    </row>
    <row r="49" spans="1:186" s="18" customFormat="1">
      <c r="A49" s="72" t="s">
        <v>38</v>
      </c>
      <c r="B49" s="33" t="s">
        <v>168</v>
      </c>
      <c r="C49" s="33" t="s">
        <v>29</v>
      </c>
      <c r="D49" s="49">
        <v>42065</v>
      </c>
      <c r="E49" s="34">
        <v>1166.27</v>
      </c>
      <c r="F49" s="34">
        <v>1237.77</v>
      </c>
      <c r="G49" s="34"/>
      <c r="H49" s="34"/>
      <c r="I49" s="46">
        <f t="shared" si="7"/>
        <v>1237.77</v>
      </c>
      <c r="J49" s="34"/>
      <c r="K49" s="61"/>
      <c r="L49" s="34"/>
      <c r="M49" s="34"/>
      <c r="N49" s="62"/>
      <c r="O49" s="62"/>
      <c r="P49" s="34"/>
      <c r="Q49" s="32"/>
      <c r="R49" s="32"/>
      <c r="S49" s="33"/>
      <c r="T49" s="33"/>
      <c r="U49" s="46">
        <f t="shared" ref="U49:U59" si="41">+I49-SUM(J49:T49)</f>
        <v>1237.77</v>
      </c>
      <c r="V49" s="32">
        <f t="shared" si="33"/>
        <v>0</v>
      </c>
      <c r="W49" s="46">
        <f t="shared" si="34"/>
        <v>1237.77</v>
      </c>
      <c r="X49" s="32">
        <f t="shared" si="35"/>
        <v>123.777</v>
      </c>
      <c r="Y49" s="32">
        <v>10.23</v>
      </c>
      <c r="Z49" s="32">
        <f t="shared" si="36"/>
        <v>0</v>
      </c>
      <c r="AA49" s="46">
        <f t="shared" si="37"/>
        <v>1371.777</v>
      </c>
      <c r="AB49" s="51"/>
      <c r="AC49" s="52"/>
      <c r="AD49" s="47">
        <f t="shared" si="38"/>
        <v>-1237.77</v>
      </c>
      <c r="AE49" s="35">
        <v>56708845254</v>
      </c>
      <c r="AF49" s="35"/>
    </row>
    <row r="50" spans="1:186" s="18" customFormat="1">
      <c r="A50" s="72" t="s">
        <v>28</v>
      </c>
      <c r="B50" s="33" t="s">
        <v>37</v>
      </c>
      <c r="C50" s="33" t="s">
        <v>30</v>
      </c>
      <c r="D50" s="49">
        <v>41218</v>
      </c>
      <c r="E50" s="34">
        <v>1026.69</v>
      </c>
      <c r="F50" s="34"/>
      <c r="G50" s="34"/>
      <c r="H50" s="34"/>
      <c r="I50" s="46">
        <f t="shared" si="7"/>
        <v>0</v>
      </c>
      <c r="J50" s="34"/>
      <c r="K50" s="61"/>
      <c r="L50" s="34"/>
      <c r="M50" s="34"/>
      <c r="N50" s="62"/>
      <c r="O50" s="62"/>
      <c r="P50" s="34"/>
      <c r="Q50" s="32">
        <v>500</v>
      </c>
      <c r="R50" s="32"/>
      <c r="S50" s="33"/>
      <c r="T50" s="33"/>
      <c r="U50" s="46">
        <f t="shared" si="41"/>
        <v>-500</v>
      </c>
      <c r="V50" s="32">
        <f t="shared" si="33"/>
        <v>0</v>
      </c>
      <c r="W50" s="46">
        <f t="shared" si="34"/>
        <v>-500</v>
      </c>
      <c r="X50" s="32">
        <f t="shared" si="35"/>
        <v>0</v>
      </c>
      <c r="Y50" s="32">
        <v>10.23</v>
      </c>
      <c r="Z50" s="32">
        <f t="shared" si="36"/>
        <v>0</v>
      </c>
      <c r="AA50" s="46">
        <f t="shared" si="37"/>
        <v>10.23</v>
      </c>
      <c r="AB50" s="51"/>
      <c r="AC50" s="52"/>
      <c r="AD50" s="47">
        <f t="shared" si="38"/>
        <v>500</v>
      </c>
      <c r="AE50" s="35">
        <v>56708881596</v>
      </c>
      <c r="AF50" s="33"/>
    </row>
    <row r="51" spans="1:186" s="18" customFormat="1">
      <c r="A51" s="72" t="s">
        <v>26</v>
      </c>
      <c r="B51" s="33" t="s">
        <v>111</v>
      </c>
      <c r="C51" s="33" t="s">
        <v>109</v>
      </c>
      <c r="D51" s="49">
        <v>42241</v>
      </c>
      <c r="E51" s="34">
        <v>1250.02</v>
      </c>
      <c r="F51" s="34"/>
      <c r="G51" s="34"/>
      <c r="H51" s="34"/>
      <c r="I51" s="46">
        <f t="shared" si="7"/>
        <v>0</v>
      </c>
      <c r="J51" s="34"/>
      <c r="K51" s="61"/>
      <c r="L51" s="34"/>
      <c r="M51" s="34"/>
      <c r="N51" s="62"/>
      <c r="O51" s="62"/>
      <c r="P51" s="34"/>
      <c r="Q51" s="32"/>
      <c r="R51" s="32"/>
      <c r="S51" s="33"/>
      <c r="T51" s="33"/>
      <c r="U51" s="46">
        <f t="shared" ref="U51" si="42">+I51-SUM(J51:T51)</f>
        <v>0</v>
      </c>
      <c r="V51" s="32">
        <f t="shared" ref="V51" si="43">IF(I51&gt;2250,I51*0.1,0)</f>
        <v>0</v>
      </c>
      <c r="W51" s="46">
        <f t="shared" ref="W51" si="44">+U51-V51</f>
        <v>0</v>
      </c>
      <c r="X51" s="32">
        <f t="shared" si="35"/>
        <v>0</v>
      </c>
      <c r="Y51" s="32"/>
      <c r="Z51" s="32"/>
      <c r="AA51" s="46"/>
      <c r="AB51" s="51"/>
      <c r="AC51" s="52"/>
      <c r="AD51" s="47"/>
      <c r="AE51" s="35">
        <v>56708845268</v>
      </c>
      <c r="AF51" s="35"/>
    </row>
    <row r="52" spans="1:186" s="18" customFormat="1">
      <c r="A52" s="72" t="s">
        <v>40</v>
      </c>
      <c r="B52" s="33" t="s">
        <v>80</v>
      </c>
      <c r="C52" s="33" t="s">
        <v>44</v>
      </c>
      <c r="D52" s="49">
        <v>42333</v>
      </c>
      <c r="E52" s="34">
        <v>1869</v>
      </c>
      <c r="F52" s="64"/>
      <c r="G52" s="34"/>
      <c r="H52" s="34"/>
      <c r="I52" s="46">
        <f t="shared" si="7"/>
        <v>0</v>
      </c>
      <c r="J52" s="34"/>
      <c r="K52" s="61"/>
      <c r="L52" s="34"/>
      <c r="M52" s="34"/>
      <c r="N52" s="62"/>
      <c r="O52" s="62"/>
      <c r="P52" s="34"/>
      <c r="Q52" s="32"/>
      <c r="R52" s="32"/>
      <c r="S52" s="33"/>
      <c r="T52" s="33">
        <v>355.52</v>
      </c>
      <c r="U52" s="46">
        <f t="shared" si="41"/>
        <v>-355.52</v>
      </c>
      <c r="V52" s="32">
        <f t="shared" ref="V52:V59" si="45">IF(I52&gt;2250,I52*0.1,0)</f>
        <v>0</v>
      </c>
      <c r="W52" s="46">
        <f t="shared" si="34"/>
        <v>-355.52</v>
      </c>
      <c r="X52" s="32">
        <f t="shared" si="35"/>
        <v>0</v>
      </c>
      <c r="Y52" s="32">
        <v>10.23</v>
      </c>
      <c r="Z52" s="32">
        <f t="shared" si="36"/>
        <v>0</v>
      </c>
      <c r="AA52" s="46">
        <f t="shared" si="37"/>
        <v>10.23</v>
      </c>
      <c r="AB52" s="51"/>
      <c r="AC52" s="52"/>
      <c r="AD52" s="47">
        <f>+AB52+AC52-W52</f>
        <v>355.52</v>
      </c>
      <c r="AE52" s="35">
        <v>60589939521</v>
      </c>
      <c r="AF52" s="35"/>
    </row>
    <row r="53" spans="1:186" s="18" customFormat="1">
      <c r="A53" s="72" t="s">
        <v>28</v>
      </c>
      <c r="B53" s="33" t="s">
        <v>100</v>
      </c>
      <c r="C53" s="33" t="s">
        <v>30</v>
      </c>
      <c r="D53" s="49">
        <v>42459</v>
      </c>
      <c r="E53" s="34">
        <v>1026.69</v>
      </c>
      <c r="F53" s="34">
        <v>1485.69</v>
      </c>
      <c r="G53" s="34"/>
      <c r="H53" s="34"/>
      <c r="I53" s="46">
        <f t="shared" si="7"/>
        <v>1485.69</v>
      </c>
      <c r="J53" s="34"/>
      <c r="K53" s="61"/>
      <c r="L53" s="34"/>
      <c r="M53" s="34"/>
      <c r="N53" s="62"/>
      <c r="O53" s="62"/>
      <c r="P53" s="34"/>
      <c r="Q53" s="32">
        <v>1000</v>
      </c>
      <c r="R53" s="32"/>
      <c r="S53" s="33"/>
      <c r="T53" s="33"/>
      <c r="U53" s="46">
        <f t="shared" si="41"/>
        <v>485.69000000000005</v>
      </c>
      <c r="V53" s="32">
        <f t="shared" si="45"/>
        <v>0</v>
      </c>
      <c r="W53" s="46">
        <f t="shared" si="34"/>
        <v>485.69000000000005</v>
      </c>
      <c r="X53" s="32">
        <f t="shared" si="35"/>
        <v>148.56900000000002</v>
      </c>
      <c r="Y53" s="32">
        <v>10.23</v>
      </c>
      <c r="Z53" s="32">
        <f t="shared" si="36"/>
        <v>0</v>
      </c>
      <c r="AA53" s="46">
        <f t="shared" si="37"/>
        <v>1644.489</v>
      </c>
      <c r="AB53" s="56"/>
      <c r="AC53" s="52"/>
      <c r="AD53" s="47">
        <f>+AB53+AC53-W53</f>
        <v>-485.69000000000005</v>
      </c>
      <c r="AE53" s="35">
        <v>60589627948</v>
      </c>
      <c r="AF53" s="35"/>
    </row>
    <row r="54" spans="1:186" s="18" customFormat="1">
      <c r="A54" s="72" t="s">
        <v>26</v>
      </c>
      <c r="B54" s="33" t="s">
        <v>139</v>
      </c>
      <c r="C54" s="33" t="s">
        <v>29</v>
      </c>
      <c r="D54" s="49">
        <v>42849</v>
      </c>
      <c r="E54" s="34">
        <v>1166.27</v>
      </c>
      <c r="F54" s="34">
        <v>1000</v>
      </c>
      <c r="G54" s="34"/>
      <c r="H54" s="34"/>
      <c r="I54" s="46">
        <f t="shared" si="7"/>
        <v>1000</v>
      </c>
      <c r="J54" s="34"/>
      <c r="K54" s="61"/>
      <c r="L54" s="34"/>
      <c r="M54" s="34"/>
      <c r="N54" s="62"/>
      <c r="O54" s="62"/>
      <c r="P54" s="34"/>
      <c r="Q54" s="32"/>
      <c r="R54" s="32"/>
      <c r="S54" s="33"/>
      <c r="T54" s="33"/>
      <c r="U54" s="46">
        <f t="shared" si="41"/>
        <v>1000</v>
      </c>
      <c r="V54" s="32"/>
      <c r="W54" s="46"/>
      <c r="X54" s="32"/>
      <c r="Y54" s="32"/>
      <c r="Z54" s="32"/>
      <c r="AA54" s="46"/>
      <c r="AB54" s="56"/>
      <c r="AC54" s="52"/>
      <c r="AD54" s="47"/>
      <c r="AE54" s="35">
        <v>60590412629</v>
      </c>
      <c r="AF54" s="35"/>
    </row>
    <row r="55" spans="1:186" s="18" customFormat="1">
      <c r="A55" s="72" t="s">
        <v>26</v>
      </c>
      <c r="B55" s="33" t="s">
        <v>97</v>
      </c>
      <c r="C55" s="33" t="s">
        <v>43</v>
      </c>
      <c r="D55" s="49">
        <v>42566</v>
      </c>
      <c r="E55" s="34">
        <v>933.31</v>
      </c>
      <c r="F55" s="34">
        <v>1500</v>
      </c>
      <c r="G55" s="34"/>
      <c r="H55" s="34"/>
      <c r="I55" s="46">
        <f t="shared" si="7"/>
        <v>1500</v>
      </c>
      <c r="J55" s="34"/>
      <c r="K55" s="61"/>
      <c r="L55" s="34"/>
      <c r="M55" s="34"/>
      <c r="N55" s="62"/>
      <c r="O55" s="62"/>
      <c r="P55" s="34"/>
      <c r="Q55" s="32"/>
      <c r="R55" s="32"/>
      <c r="S55" s="33"/>
      <c r="T55" s="33"/>
      <c r="U55" s="46">
        <f t="shared" si="41"/>
        <v>1500</v>
      </c>
      <c r="V55" s="32">
        <f t="shared" si="45"/>
        <v>0</v>
      </c>
      <c r="W55" s="46">
        <f t="shared" si="34"/>
        <v>1500</v>
      </c>
      <c r="X55" s="32">
        <f t="shared" si="35"/>
        <v>150</v>
      </c>
      <c r="Y55" s="32">
        <v>21.23</v>
      </c>
      <c r="Z55" s="32">
        <f t="shared" si="36"/>
        <v>0</v>
      </c>
      <c r="AA55" s="46">
        <f t="shared" si="37"/>
        <v>1671.23</v>
      </c>
      <c r="AB55" s="56"/>
      <c r="AC55" s="52"/>
      <c r="AD55" s="47"/>
      <c r="AE55" s="35">
        <v>56708845709</v>
      </c>
      <c r="AF55" s="35"/>
    </row>
    <row r="56" spans="1:186" s="18" customFormat="1">
      <c r="A56" s="72" t="s">
        <v>27</v>
      </c>
      <c r="B56" s="33" t="s">
        <v>157</v>
      </c>
      <c r="C56" s="33" t="s">
        <v>45</v>
      </c>
      <c r="D56" s="49">
        <v>42916</v>
      </c>
      <c r="E56" s="34">
        <v>1026.69</v>
      </c>
      <c r="F56" s="34">
        <v>5192.55</v>
      </c>
      <c r="G56" s="34"/>
      <c r="H56" s="34"/>
      <c r="I56" s="46">
        <f t="shared" si="7"/>
        <v>5192.55</v>
      </c>
      <c r="J56" s="34"/>
      <c r="K56" s="61"/>
      <c r="L56" s="34"/>
      <c r="M56" s="34"/>
      <c r="N56" s="62"/>
      <c r="O56" s="62"/>
      <c r="P56" s="34"/>
      <c r="Q56" s="32"/>
      <c r="R56" s="32"/>
      <c r="S56" s="33"/>
      <c r="T56" s="33"/>
      <c r="U56" s="46">
        <f t="shared" si="41"/>
        <v>5192.55</v>
      </c>
      <c r="V56" s="32"/>
      <c r="W56" s="46"/>
      <c r="X56" s="32"/>
      <c r="Y56" s="32"/>
      <c r="Z56" s="32"/>
      <c r="AA56" s="46"/>
      <c r="AB56" s="56"/>
      <c r="AC56" s="57"/>
      <c r="AD56" s="47"/>
      <c r="AE56" s="35">
        <v>60592631462</v>
      </c>
      <c r="AF56" s="35"/>
    </row>
    <row r="57" spans="1:186" s="18" customFormat="1">
      <c r="A57" s="72" t="s">
        <v>28</v>
      </c>
      <c r="B57" s="33" t="s">
        <v>169</v>
      </c>
      <c r="C57" s="33" t="s">
        <v>30</v>
      </c>
      <c r="D57" s="49">
        <v>42842</v>
      </c>
      <c r="E57" s="34">
        <v>1026.69</v>
      </c>
      <c r="F57" s="34"/>
      <c r="G57" s="34"/>
      <c r="H57" s="34"/>
      <c r="I57" s="46">
        <f t="shared" si="7"/>
        <v>0</v>
      </c>
      <c r="J57" s="34"/>
      <c r="K57" s="61"/>
      <c r="L57" s="34"/>
      <c r="M57" s="34"/>
      <c r="N57" s="62"/>
      <c r="O57" s="62"/>
      <c r="P57" s="34"/>
      <c r="Q57" s="32"/>
      <c r="R57" s="32"/>
      <c r="S57" s="33"/>
      <c r="T57" s="33"/>
      <c r="U57" s="46">
        <f t="shared" si="41"/>
        <v>0</v>
      </c>
      <c r="V57" s="32"/>
      <c r="W57" s="46"/>
      <c r="X57" s="32"/>
      <c r="Y57" s="32"/>
      <c r="Z57" s="32"/>
      <c r="AA57" s="46"/>
      <c r="AB57" s="56"/>
      <c r="AC57" s="57"/>
      <c r="AD57" s="47"/>
      <c r="AE57" s="35">
        <v>60590199370</v>
      </c>
      <c r="AF57" s="35"/>
    </row>
    <row r="58" spans="1:186" s="18" customFormat="1">
      <c r="A58" s="72" t="s">
        <v>27</v>
      </c>
      <c r="B58" s="33" t="s">
        <v>91</v>
      </c>
      <c r="C58" s="33" t="s">
        <v>148</v>
      </c>
      <c r="D58" s="49">
        <v>42506</v>
      </c>
      <c r="E58" s="34">
        <v>1633.38</v>
      </c>
      <c r="F58" s="34"/>
      <c r="G58" s="34"/>
      <c r="H58" s="34"/>
      <c r="I58" s="46">
        <f t="shared" si="7"/>
        <v>0</v>
      </c>
      <c r="J58" s="34"/>
      <c r="K58" s="61"/>
      <c r="L58" s="34"/>
      <c r="M58" s="34"/>
      <c r="N58" s="62"/>
      <c r="O58" s="62"/>
      <c r="P58" s="34"/>
      <c r="Q58" s="32">
        <v>205</v>
      </c>
      <c r="R58" s="32"/>
      <c r="S58" s="33"/>
      <c r="T58" s="59">
        <v>208.65</v>
      </c>
      <c r="U58" s="46">
        <f t="shared" si="41"/>
        <v>-413.65</v>
      </c>
      <c r="V58" s="32">
        <f t="shared" si="45"/>
        <v>0</v>
      </c>
      <c r="W58" s="46">
        <f t="shared" si="34"/>
        <v>-413.65</v>
      </c>
      <c r="X58" s="32">
        <f t="shared" si="35"/>
        <v>0</v>
      </c>
      <c r="Y58" s="32">
        <v>10.23</v>
      </c>
      <c r="Z58" s="32">
        <f t="shared" si="36"/>
        <v>0</v>
      </c>
      <c r="AA58" s="46">
        <f t="shared" si="37"/>
        <v>10.23</v>
      </c>
      <c r="AB58" s="56"/>
      <c r="AC58" s="56"/>
      <c r="AD58" s="47">
        <f t="shared" ref="AD58" si="46">+AB58+AC58-W58</f>
        <v>413.65</v>
      </c>
      <c r="AE58" s="35">
        <v>1179675078</v>
      </c>
      <c r="AF58" s="35"/>
      <c r="AG58" s="18" t="s">
        <v>135</v>
      </c>
    </row>
    <row r="59" spans="1:186" s="18" customFormat="1">
      <c r="A59" s="72" t="s">
        <v>26</v>
      </c>
      <c r="B59" s="33" t="s">
        <v>130</v>
      </c>
      <c r="C59" s="33" t="s">
        <v>43</v>
      </c>
      <c r="D59" s="49">
        <v>42597</v>
      </c>
      <c r="E59" s="34">
        <v>933.31</v>
      </c>
      <c r="F59" s="34">
        <v>1890</v>
      </c>
      <c r="G59" s="34"/>
      <c r="H59" s="34"/>
      <c r="I59" s="46">
        <f t="shared" si="7"/>
        <v>1890</v>
      </c>
      <c r="J59" s="34"/>
      <c r="K59" s="61"/>
      <c r="L59" s="34"/>
      <c r="M59" s="34"/>
      <c r="N59" s="62"/>
      <c r="O59" s="62"/>
      <c r="P59" s="34"/>
      <c r="Q59" s="32"/>
      <c r="R59" s="32"/>
      <c r="S59" s="33"/>
      <c r="T59" s="59"/>
      <c r="U59" s="46">
        <f t="shared" si="41"/>
        <v>1890</v>
      </c>
      <c r="V59" s="32">
        <f t="shared" si="45"/>
        <v>0</v>
      </c>
      <c r="W59" s="46">
        <f t="shared" si="34"/>
        <v>1890</v>
      </c>
      <c r="X59" s="32"/>
      <c r="Y59" s="32"/>
      <c r="Z59" s="32"/>
      <c r="AA59" s="46"/>
      <c r="AB59" s="56"/>
      <c r="AC59" s="56"/>
      <c r="AD59" s="47"/>
      <c r="AE59" s="35" t="s">
        <v>165</v>
      </c>
      <c r="AF59" s="35"/>
    </row>
    <row r="60" spans="1:186" s="18" customFormat="1">
      <c r="A60" s="72" t="s">
        <v>38</v>
      </c>
      <c r="B60" s="33" t="s">
        <v>120</v>
      </c>
      <c r="C60" s="33" t="s">
        <v>29</v>
      </c>
      <c r="D60" s="49">
        <v>42696</v>
      </c>
      <c r="E60" s="34">
        <v>1166.27</v>
      </c>
      <c r="F60" s="34">
        <v>3400.82</v>
      </c>
      <c r="G60" s="34"/>
      <c r="H60" s="34"/>
      <c r="I60" s="46">
        <f t="shared" si="7"/>
        <v>3400.82</v>
      </c>
      <c r="J60" s="34"/>
      <c r="K60" s="61"/>
      <c r="L60" s="34"/>
      <c r="M60" s="34"/>
      <c r="N60" s="62"/>
      <c r="O60" s="62"/>
      <c r="P60" s="34"/>
      <c r="Q60" s="32"/>
      <c r="R60" s="32"/>
      <c r="S60" s="33"/>
      <c r="T60" s="59"/>
      <c r="U60" s="46">
        <f t="shared" ref="U60" si="47">+I60-SUM(J60:T60)</f>
        <v>3400.82</v>
      </c>
      <c r="V60" s="32">
        <f t="shared" ref="V60" si="48">IF(I60&gt;2250,I60*0.1,0)</f>
        <v>340.08200000000005</v>
      </c>
      <c r="W60" s="46">
        <f t="shared" ref="W60" si="49">+U60-V60</f>
        <v>3060.7380000000003</v>
      </c>
      <c r="X60" s="32"/>
      <c r="Y60" s="32"/>
      <c r="Z60" s="32"/>
      <c r="AA60" s="46"/>
      <c r="AB60" s="56"/>
      <c r="AC60" s="56"/>
      <c r="AD60" s="47"/>
      <c r="AE60" s="35">
        <v>56710784605</v>
      </c>
      <c r="AF60" s="35"/>
    </row>
    <row r="61" spans="1:186" s="18" customFormat="1">
      <c r="A61" s="24"/>
      <c r="B61" s="25"/>
      <c r="C61" s="25"/>
      <c r="D61" s="25"/>
      <c r="E61" s="25"/>
      <c r="F61" s="26"/>
      <c r="G61" s="26"/>
      <c r="H61" s="26"/>
      <c r="I61" s="27"/>
      <c r="J61" s="26"/>
      <c r="K61" s="26"/>
      <c r="L61" s="26"/>
      <c r="M61" s="26"/>
      <c r="N61" s="26"/>
      <c r="O61" s="26"/>
      <c r="P61" s="26"/>
      <c r="Q61" s="36"/>
      <c r="R61" s="36"/>
      <c r="S61" s="36"/>
      <c r="T61" s="36"/>
      <c r="U61" s="27"/>
      <c r="V61" s="36"/>
      <c r="W61" s="27"/>
      <c r="X61" s="36"/>
      <c r="Y61" s="36"/>
      <c r="Z61" s="36"/>
      <c r="AA61" s="27"/>
      <c r="AB61" s="43"/>
      <c r="AC61" s="43"/>
      <c r="AD61" s="22"/>
    </row>
    <row r="62" spans="1:186">
      <c r="B62" s="37" t="s">
        <v>1</v>
      </c>
      <c r="C62" s="37"/>
      <c r="D62" s="37"/>
      <c r="E62" s="38">
        <f t="shared" ref="E62:J62" si="50">SUM(E7:E61)</f>
        <v>77884.830000000016</v>
      </c>
      <c r="F62" s="38">
        <f t="shared" si="50"/>
        <v>95812.680000000037</v>
      </c>
      <c r="G62" s="38">
        <f t="shared" si="50"/>
        <v>0</v>
      </c>
      <c r="H62" s="38">
        <f t="shared" si="50"/>
        <v>0</v>
      </c>
      <c r="I62" s="38">
        <f t="shared" si="50"/>
        <v>95812.680000000037</v>
      </c>
      <c r="J62" s="38">
        <f t="shared" si="50"/>
        <v>1241.3700000000001</v>
      </c>
      <c r="K62" s="38"/>
      <c r="L62" s="38">
        <f t="shared" ref="L62:AD62" si="51">SUM(L7:L61)</f>
        <v>0</v>
      </c>
      <c r="M62" s="38">
        <f t="shared" si="51"/>
        <v>1300</v>
      </c>
      <c r="N62" s="38">
        <f t="shared" si="51"/>
        <v>0</v>
      </c>
      <c r="O62" s="38">
        <f t="shared" si="51"/>
        <v>0</v>
      </c>
      <c r="P62" s="38">
        <f t="shared" si="51"/>
        <v>0</v>
      </c>
      <c r="Q62" s="38">
        <f t="shared" si="51"/>
        <v>4465</v>
      </c>
      <c r="R62" s="38">
        <f t="shared" si="51"/>
        <v>0.6</v>
      </c>
      <c r="S62" s="38">
        <f t="shared" si="51"/>
        <v>0</v>
      </c>
      <c r="T62" s="38">
        <f t="shared" si="51"/>
        <v>5800.85</v>
      </c>
      <c r="U62" s="38">
        <f t="shared" si="51"/>
        <v>82998.860000000015</v>
      </c>
      <c r="V62" s="38">
        <f t="shared" si="51"/>
        <v>4642.5050000000001</v>
      </c>
      <c r="W62" s="38">
        <f t="shared" si="51"/>
        <v>42805.275000000001</v>
      </c>
      <c r="X62" s="38">
        <f t="shared" si="51"/>
        <v>749.49300000000005</v>
      </c>
      <c r="Y62" s="38">
        <f t="shared" si="51"/>
        <v>288.52</v>
      </c>
      <c r="Z62" s="38">
        <f t="shared" si="51"/>
        <v>0</v>
      </c>
      <c r="AA62" s="38">
        <f t="shared" si="51"/>
        <v>35787.722999999998</v>
      </c>
      <c r="AB62" s="44">
        <f t="shared" si="51"/>
        <v>0</v>
      </c>
      <c r="AC62" s="44">
        <f t="shared" si="51"/>
        <v>0</v>
      </c>
      <c r="AD62" s="39" t="e">
        <f t="shared" si="51"/>
        <v>#REF!</v>
      </c>
      <c r="AE62" s="28"/>
      <c r="AF62" s="2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8"/>
      <c r="BO62" s="18"/>
      <c r="BP62" s="18"/>
      <c r="BQ62" s="18"/>
      <c r="BR62" s="18"/>
      <c r="BS62" s="18"/>
      <c r="BT62" s="18"/>
      <c r="BU62" s="18"/>
      <c r="BV62" s="18"/>
      <c r="BW62" s="18"/>
      <c r="BX62" s="18"/>
      <c r="BY62" s="18"/>
      <c r="BZ62" s="18"/>
      <c r="CA62" s="18"/>
      <c r="CB62" s="18"/>
      <c r="CC62" s="18"/>
      <c r="CD62" s="18"/>
      <c r="CE62" s="18"/>
      <c r="CF62" s="18"/>
      <c r="CG62" s="18"/>
      <c r="CH62" s="18"/>
      <c r="CI62" s="18"/>
      <c r="CJ62" s="18"/>
      <c r="CK62" s="18"/>
      <c r="CL62" s="18"/>
      <c r="CM62" s="18"/>
      <c r="CN62" s="18"/>
      <c r="CO62" s="18"/>
      <c r="CP62" s="18"/>
      <c r="CQ62" s="18"/>
      <c r="CR62" s="18"/>
      <c r="CS62" s="18"/>
      <c r="CT62" s="18"/>
      <c r="CU62" s="18"/>
      <c r="CV62" s="18"/>
      <c r="CW62" s="18"/>
      <c r="CX62" s="18"/>
      <c r="CY62" s="18"/>
      <c r="CZ62" s="18"/>
      <c r="DA62" s="18"/>
      <c r="DB62" s="18"/>
      <c r="DC62" s="18"/>
      <c r="DD62" s="18"/>
      <c r="DE62" s="18"/>
      <c r="DF62" s="18"/>
      <c r="DG62" s="18"/>
      <c r="DH62" s="18"/>
      <c r="DI62" s="18"/>
      <c r="DJ62" s="18"/>
      <c r="DK62" s="18"/>
      <c r="DL62" s="18"/>
      <c r="DM62" s="18"/>
      <c r="DN62" s="18"/>
      <c r="DO62" s="18"/>
      <c r="DP62" s="18"/>
      <c r="DQ62" s="18"/>
      <c r="DR62" s="18"/>
      <c r="DS62" s="18"/>
      <c r="DT62" s="18"/>
      <c r="DU62" s="18"/>
      <c r="DV62" s="18"/>
      <c r="DW62" s="18"/>
      <c r="DX62" s="18"/>
      <c r="DY62" s="18"/>
      <c r="DZ62" s="18"/>
      <c r="EA62" s="18"/>
      <c r="EB62" s="18"/>
      <c r="EC62" s="18"/>
      <c r="ED62" s="18"/>
      <c r="EE62" s="18"/>
      <c r="EF62" s="18"/>
      <c r="EG62" s="18"/>
      <c r="EH62" s="18"/>
      <c r="EI62" s="18"/>
      <c r="EJ62" s="18"/>
      <c r="EK62" s="18"/>
      <c r="EL62" s="18"/>
      <c r="EM62" s="18"/>
      <c r="EN62" s="18"/>
      <c r="EO62" s="18"/>
      <c r="EP62" s="18"/>
      <c r="EQ62" s="18"/>
      <c r="ER62" s="18"/>
      <c r="ES62" s="18"/>
      <c r="ET62" s="18"/>
      <c r="EU62" s="18"/>
      <c r="EV62" s="18"/>
      <c r="EW62" s="18"/>
      <c r="EX62" s="18"/>
      <c r="EY62" s="18"/>
      <c r="EZ62" s="18"/>
      <c r="FA62" s="18"/>
      <c r="FB62" s="18"/>
      <c r="FC62" s="18"/>
      <c r="FD62" s="18"/>
      <c r="FE62" s="18"/>
      <c r="FF62" s="18"/>
      <c r="FG62" s="18"/>
      <c r="FH62" s="18"/>
      <c r="FI62" s="18"/>
      <c r="FJ62" s="18"/>
      <c r="FK62" s="18"/>
      <c r="FL62" s="18"/>
      <c r="FM62" s="18"/>
      <c r="FN62" s="18"/>
      <c r="FO62" s="18"/>
      <c r="FP62" s="18"/>
      <c r="FQ62" s="18"/>
      <c r="FR62" s="18"/>
      <c r="FS62" s="18"/>
      <c r="FT62" s="18"/>
      <c r="FU62" s="18"/>
      <c r="FV62" s="18"/>
      <c r="FW62" s="18"/>
      <c r="FX62" s="18"/>
      <c r="FY62" s="18"/>
      <c r="FZ62" s="18"/>
      <c r="GA62" s="18"/>
      <c r="GB62" s="18"/>
      <c r="GC62" s="18"/>
      <c r="GD62" s="18"/>
    </row>
    <row r="63" spans="1:186">
      <c r="AA63" s="14">
        <f>AA62*0.16</f>
        <v>5726.03568</v>
      </c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8"/>
      <c r="BK63" s="18"/>
      <c r="BL63" s="18"/>
      <c r="BM63" s="18"/>
      <c r="BN63" s="18"/>
      <c r="BO63" s="18"/>
      <c r="BP63" s="18"/>
      <c r="BQ63" s="18"/>
      <c r="BR63" s="18"/>
      <c r="BS63" s="18"/>
      <c r="BT63" s="18"/>
      <c r="BU63" s="18"/>
      <c r="BV63" s="18"/>
      <c r="BW63" s="18"/>
      <c r="BX63" s="18"/>
      <c r="BY63" s="18"/>
      <c r="BZ63" s="18"/>
      <c r="CA63" s="18"/>
      <c r="CB63" s="18"/>
      <c r="CC63" s="18"/>
      <c r="CD63" s="18"/>
      <c r="CE63" s="18"/>
      <c r="CF63" s="18"/>
      <c r="CG63" s="18"/>
      <c r="CH63" s="18"/>
      <c r="CI63" s="18"/>
      <c r="CJ63" s="18"/>
      <c r="CK63" s="18"/>
      <c r="CL63" s="18"/>
      <c r="CM63" s="18"/>
      <c r="CN63" s="18"/>
      <c r="CO63" s="18"/>
      <c r="CP63" s="18"/>
      <c r="CQ63" s="18"/>
      <c r="CR63" s="18"/>
      <c r="CS63" s="18"/>
      <c r="CT63" s="18"/>
      <c r="CU63" s="18"/>
      <c r="CV63" s="18"/>
      <c r="CW63" s="18"/>
      <c r="CX63" s="18"/>
      <c r="CY63" s="18"/>
      <c r="CZ63" s="18"/>
      <c r="DA63" s="18"/>
      <c r="DB63" s="18"/>
      <c r="DC63" s="18"/>
      <c r="DD63" s="18"/>
      <c r="DE63" s="18"/>
      <c r="DF63" s="18"/>
      <c r="DG63" s="18"/>
      <c r="DH63" s="18"/>
      <c r="DI63" s="18"/>
      <c r="DJ63" s="18"/>
      <c r="DK63" s="18"/>
      <c r="DL63" s="18"/>
      <c r="DM63" s="18"/>
      <c r="DN63" s="18"/>
      <c r="DO63" s="18"/>
      <c r="DP63" s="18"/>
      <c r="DQ63" s="18"/>
      <c r="DR63" s="18"/>
      <c r="DS63" s="18"/>
      <c r="DT63" s="18"/>
      <c r="DU63" s="18"/>
      <c r="DV63" s="18"/>
      <c r="DW63" s="18"/>
      <c r="DX63" s="18"/>
      <c r="DY63" s="18"/>
      <c r="DZ63" s="18"/>
      <c r="EA63" s="18"/>
      <c r="EB63" s="18"/>
      <c r="EC63" s="18"/>
      <c r="ED63" s="18"/>
      <c r="EE63" s="18"/>
      <c r="EF63" s="18"/>
      <c r="EG63" s="18"/>
      <c r="EH63" s="18"/>
      <c r="EI63" s="18"/>
      <c r="EJ63" s="18"/>
      <c r="EK63" s="18"/>
      <c r="EL63" s="18"/>
      <c r="EM63" s="18"/>
      <c r="EN63" s="18"/>
      <c r="EO63" s="18"/>
      <c r="EP63" s="18"/>
      <c r="EQ63" s="18"/>
      <c r="ER63" s="18"/>
      <c r="ES63" s="18"/>
      <c r="ET63" s="18"/>
      <c r="EU63" s="18"/>
      <c r="EV63" s="18"/>
      <c r="EW63" s="18"/>
      <c r="EX63" s="18"/>
      <c r="EY63" s="18"/>
      <c r="EZ63" s="18"/>
      <c r="FA63" s="18"/>
      <c r="FB63" s="18"/>
      <c r="FC63" s="18"/>
      <c r="FD63" s="18"/>
      <c r="FE63" s="18"/>
      <c r="FF63" s="18"/>
      <c r="FG63" s="18"/>
      <c r="FH63" s="18"/>
      <c r="FI63" s="18"/>
      <c r="FJ63" s="18"/>
      <c r="FK63" s="18"/>
      <c r="FL63" s="18"/>
      <c r="FM63" s="18"/>
      <c r="FN63" s="18"/>
      <c r="FO63" s="18"/>
      <c r="FP63" s="18"/>
      <c r="FQ63" s="18"/>
      <c r="FR63" s="18"/>
      <c r="FS63" s="18"/>
      <c r="FT63" s="18"/>
      <c r="FU63" s="18"/>
      <c r="FV63" s="18"/>
      <c r="FW63" s="18"/>
      <c r="FX63" s="18"/>
      <c r="FY63" s="18"/>
      <c r="FZ63" s="18"/>
      <c r="GA63" s="18"/>
      <c r="GB63" s="18"/>
      <c r="GC63" s="18"/>
      <c r="GD63" s="18"/>
    </row>
    <row r="64" spans="1:186">
      <c r="A64" s="99" t="s">
        <v>78</v>
      </c>
      <c r="B64" s="99"/>
      <c r="C64" s="28"/>
      <c r="D64" s="28"/>
      <c r="E64" s="28"/>
      <c r="F64" s="30"/>
      <c r="G64" s="30"/>
      <c r="H64" s="30"/>
      <c r="I64" s="38"/>
      <c r="J64" s="30"/>
      <c r="K64" s="30"/>
      <c r="L64" s="30"/>
      <c r="M64" s="34"/>
      <c r="N64" s="34"/>
      <c r="O64" s="34"/>
      <c r="P64" s="34"/>
      <c r="Q64" s="30"/>
      <c r="R64" s="30"/>
      <c r="S64" s="30"/>
      <c r="T64" s="30"/>
      <c r="U64" s="38"/>
      <c r="V64" s="30"/>
      <c r="W64" s="38"/>
      <c r="X64" s="30"/>
      <c r="Y64" s="30"/>
      <c r="Z64" s="30"/>
      <c r="AA64" s="38">
        <f>+AA62+AA63</f>
        <v>41513.758679999999</v>
      </c>
      <c r="AB64" s="44"/>
      <c r="AC64" s="44"/>
      <c r="AD64" s="39"/>
      <c r="AE64" s="28"/>
      <c r="AF64" s="2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8"/>
      <c r="BK64" s="18"/>
      <c r="BL64" s="18"/>
      <c r="BM64" s="18"/>
      <c r="BN64" s="18"/>
      <c r="BO64" s="18"/>
      <c r="BP64" s="18"/>
      <c r="BQ64" s="18"/>
      <c r="BR64" s="18"/>
      <c r="BS64" s="18"/>
      <c r="BT64" s="18"/>
      <c r="BU64" s="18"/>
      <c r="BV64" s="18"/>
      <c r="BW64" s="18"/>
      <c r="BX64" s="18"/>
      <c r="BY64" s="18"/>
      <c r="BZ64" s="18"/>
      <c r="CA64" s="18"/>
      <c r="CB64" s="18"/>
      <c r="CC64" s="18"/>
      <c r="CD64" s="18"/>
      <c r="CE64" s="18"/>
      <c r="CF64" s="18"/>
      <c r="CG64" s="18"/>
      <c r="CH64" s="18"/>
      <c r="CI64" s="18"/>
      <c r="CJ64" s="18"/>
      <c r="CK64" s="18"/>
      <c r="CL64" s="18"/>
      <c r="CM64" s="18"/>
      <c r="CN64" s="18"/>
      <c r="CO64" s="18"/>
      <c r="CP64" s="18"/>
      <c r="CQ64" s="18"/>
      <c r="CR64" s="18"/>
      <c r="CS64" s="18"/>
      <c r="CT64" s="18"/>
      <c r="CU64" s="18"/>
      <c r="CV64" s="18"/>
      <c r="CW64" s="18"/>
      <c r="CX64" s="18"/>
      <c r="CY64" s="18"/>
      <c r="CZ64" s="18"/>
      <c r="DA64" s="18"/>
      <c r="DB64" s="18"/>
      <c r="DC64" s="18"/>
      <c r="DD64" s="18"/>
      <c r="DE64" s="18"/>
      <c r="DF64" s="18"/>
      <c r="DG64" s="18"/>
      <c r="DH64" s="18"/>
      <c r="DI64" s="18"/>
      <c r="DJ64" s="18"/>
      <c r="DK64" s="18"/>
      <c r="DL64" s="18"/>
      <c r="DM64" s="18"/>
      <c r="DN64" s="18"/>
      <c r="DO64" s="18"/>
      <c r="DP64" s="18"/>
      <c r="DQ64" s="18"/>
      <c r="DR64" s="18"/>
      <c r="DS64" s="18"/>
      <c r="DT64" s="18"/>
      <c r="DU64" s="18"/>
      <c r="DV64" s="18"/>
      <c r="DW64" s="18"/>
      <c r="DX64" s="18"/>
      <c r="DY64" s="18"/>
      <c r="DZ64" s="18"/>
      <c r="EA64" s="18"/>
      <c r="EB64" s="18"/>
      <c r="EC64" s="18"/>
      <c r="ED64" s="18"/>
      <c r="EE64" s="18"/>
      <c r="EF64" s="18"/>
      <c r="EG64" s="18"/>
      <c r="EH64" s="18"/>
      <c r="EI64" s="18"/>
      <c r="EJ64" s="18"/>
      <c r="EK64" s="18"/>
      <c r="EL64" s="18"/>
      <c r="EM64" s="18"/>
      <c r="EN64" s="18"/>
      <c r="EO64" s="18"/>
      <c r="EP64" s="18"/>
      <c r="EQ64" s="18"/>
      <c r="ER64" s="18"/>
      <c r="ES64" s="18"/>
      <c r="ET64" s="18"/>
      <c r="EU64" s="18"/>
      <c r="EV64" s="18"/>
      <c r="EW64" s="18"/>
      <c r="EX64" s="18"/>
      <c r="EY64" s="18"/>
      <c r="EZ64" s="18"/>
      <c r="FA64" s="18"/>
      <c r="FB64" s="18"/>
      <c r="FC64" s="18"/>
      <c r="FD64" s="18"/>
      <c r="FE64" s="18"/>
      <c r="FF64" s="18"/>
      <c r="FG64" s="18"/>
      <c r="FH64" s="18"/>
      <c r="FI64" s="18"/>
      <c r="FJ64" s="18"/>
      <c r="FK64" s="18"/>
      <c r="FL64" s="18"/>
      <c r="FM64" s="18"/>
      <c r="FN64" s="18"/>
      <c r="FO64" s="18"/>
      <c r="FP64" s="18"/>
      <c r="FQ64" s="18"/>
      <c r="FR64" s="18"/>
      <c r="FS64" s="18"/>
      <c r="FT64" s="18"/>
      <c r="FU64" s="18"/>
      <c r="FV64" s="18"/>
      <c r="FW64" s="18"/>
      <c r="FX64" s="18"/>
      <c r="FY64" s="18"/>
      <c r="FZ64" s="18"/>
      <c r="GA64" s="18"/>
      <c r="GB64" s="18"/>
      <c r="GC64" s="18"/>
      <c r="GD64" s="18"/>
    </row>
    <row r="65" spans="1:186">
      <c r="A65" s="33" t="s">
        <v>41</v>
      </c>
      <c r="B65" s="33" t="s">
        <v>170</v>
      </c>
      <c r="C65" s="29" t="s">
        <v>106</v>
      </c>
      <c r="D65" s="50">
        <v>41142</v>
      </c>
      <c r="E65" s="34">
        <v>667.87</v>
      </c>
      <c r="F65" s="34">
        <f>1462.345+5.571</f>
        <v>1467.9159999999999</v>
      </c>
      <c r="G65" s="31"/>
      <c r="H65" s="31"/>
      <c r="I65" s="46">
        <f>SUM(F65:H65)</f>
        <v>1467.9159999999999</v>
      </c>
      <c r="J65" s="34">
        <v>134.66999999999999</v>
      </c>
      <c r="K65" s="61"/>
      <c r="L65" s="34"/>
      <c r="M65" s="34"/>
      <c r="N65" s="62" t="s">
        <v>142</v>
      </c>
      <c r="O65" s="62" t="s">
        <v>142</v>
      </c>
      <c r="P65" s="34"/>
      <c r="Q65" s="32"/>
      <c r="R65" s="32"/>
      <c r="S65" s="33"/>
      <c r="T65" s="33"/>
      <c r="U65" s="46">
        <f>+I65-SUM(J65:T65)</f>
        <v>1333.2459999999999</v>
      </c>
      <c r="V65" s="32">
        <f>+U65*0.05</f>
        <v>66.662300000000002</v>
      </c>
      <c r="W65" s="46">
        <f>+U65-Q65-T65</f>
        <v>1333.2459999999999</v>
      </c>
      <c r="X65" s="55">
        <f>IF(U65&lt;3000,U65*0.1,0)</f>
        <v>133.3246</v>
      </c>
      <c r="Y65" s="55">
        <v>0</v>
      </c>
      <c r="Z65" s="55"/>
      <c r="AA65" s="54">
        <f>+U65+X65+Y65</f>
        <v>1466.5705999999998</v>
      </c>
      <c r="AB65" s="45"/>
      <c r="AC65" s="45"/>
      <c r="AD65" s="40"/>
      <c r="AE65" s="35">
        <v>56708845760</v>
      </c>
      <c r="AF65" s="35" t="s">
        <v>126</v>
      </c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18"/>
      <c r="BL65" s="18"/>
      <c r="BM65" s="18"/>
      <c r="BN65" s="18"/>
      <c r="BO65" s="18"/>
      <c r="BP65" s="18"/>
      <c r="BQ65" s="18"/>
      <c r="BR65" s="18"/>
      <c r="BS65" s="18"/>
      <c r="BT65" s="18"/>
      <c r="BU65" s="18"/>
      <c r="BV65" s="18"/>
      <c r="BW65" s="18"/>
      <c r="BX65" s="18"/>
      <c r="BY65" s="18"/>
      <c r="BZ65" s="18"/>
      <c r="CA65" s="18"/>
      <c r="CB65" s="18"/>
      <c r="CC65" s="18"/>
      <c r="CD65" s="18"/>
      <c r="CE65" s="18"/>
      <c r="CF65" s="18"/>
      <c r="CG65" s="18"/>
      <c r="CH65" s="18"/>
      <c r="CI65" s="18"/>
      <c r="CJ65" s="18"/>
      <c r="CK65" s="18"/>
      <c r="CL65" s="18"/>
      <c r="CM65" s="18"/>
      <c r="CN65" s="18"/>
      <c r="CO65" s="18"/>
      <c r="CP65" s="18"/>
      <c r="CQ65" s="18"/>
      <c r="CR65" s="18"/>
      <c r="CS65" s="18"/>
      <c r="CT65" s="18"/>
      <c r="CU65" s="18"/>
      <c r="CV65" s="18"/>
      <c r="CW65" s="18"/>
      <c r="CX65" s="18"/>
      <c r="CY65" s="18"/>
      <c r="CZ65" s="18"/>
      <c r="DA65" s="18"/>
      <c r="DB65" s="18"/>
      <c r="DC65" s="18"/>
      <c r="DD65" s="18"/>
      <c r="DE65" s="18"/>
      <c r="DF65" s="18"/>
      <c r="DG65" s="18"/>
      <c r="DH65" s="18"/>
      <c r="DI65" s="18"/>
      <c r="DJ65" s="18"/>
      <c r="DK65" s="18"/>
      <c r="DL65" s="18"/>
      <c r="DM65" s="18"/>
      <c r="DN65" s="18"/>
      <c r="DO65" s="18"/>
      <c r="DP65" s="18"/>
      <c r="DQ65" s="18"/>
      <c r="DR65" s="18"/>
      <c r="DS65" s="18"/>
      <c r="DT65" s="18"/>
      <c r="DU65" s="18"/>
      <c r="DV65" s="18"/>
      <c r="DW65" s="18"/>
      <c r="DX65" s="18"/>
      <c r="DY65" s="18"/>
      <c r="DZ65" s="18"/>
      <c r="EA65" s="18"/>
      <c r="EB65" s="18"/>
      <c r="EC65" s="18"/>
      <c r="ED65" s="18"/>
      <c r="EE65" s="18"/>
      <c r="EF65" s="18"/>
      <c r="EG65" s="18"/>
      <c r="EH65" s="18"/>
      <c r="EI65" s="18"/>
      <c r="EJ65" s="18"/>
      <c r="EK65" s="18"/>
      <c r="EL65" s="18"/>
      <c r="EM65" s="18"/>
      <c r="EN65" s="18"/>
      <c r="EO65" s="18"/>
      <c r="EP65" s="18"/>
      <c r="EQ65" s="18"/>
      <c r="ER65" s="18"/>
      <c r="ES65" s="18"/>
      <c r="ET65" s="18"/>
      <c r="EU65" s="18"/>
      <c r="EV65" s="18"/>
      <c r="EW65" s="18"/>
      <c r="EX65" s="18"/>
      <c r="EY65" s="18"/>
      <c r="EZ65" s="18"/>
      <c r="FA65" s="18"/>
      <c r="FB65" s="18"/>
      <c r="FC65" s="18"/>
      <c r="FD65" s="18"/>
      <c r="FE65" s="18"/>
      <c r="FF65" s="18"/>
      <c r="FG65" s="18"/>
      <c r="FH65" s="18"/>
      <c r="FI65" s="18"/>
      <c r="FJ65" s="18"/>
      <c r="FK65" s="18"/>
      <c r="FL65" s="18"/>
      <c r="FM65" s="18"/>
      <c r="FN65" s="18"/>
      <c r="FO65" s="18"/>
      <c r="FP65" s="18"/>
      <c r="FQ65" s="18"/>
      <c r="FR65" s="18"/>
      <c r="FS65" s="18"/>
      <c r="FT65" s="18"/>
      <c r="FU65" s="18"/>
      <c r="FV65" s="18"/>
      <c r="FW65" s="18"/>
      <c r="FX65" s="18"/>
      <c r="FY65" s="18"/>
      <c r="FZ65" s="18"/>
      <c r="GA65" s="18"/>
      <c r="GB65" s="18"/>
      <c r="GC65" s="18"/>
      <c r="GD65" s="18"/>
    </row>
    <row r="66" spans="1:186" s="18" customFormat="1">
      <c r="A66" s="33" t="s">
        <v>41</v>
      </c>
      <c r="B66" s="33" t="s">
        <v>53</v>
      </c>
      <c r="C66" s="33" t="s">
        <v>106</v>
      </c>
      <c r="D66" s="49">
        <v>41381</v>
      </c>
      <c r="E66" s="34">
        <v>627.13</v>
      </c>
      <c r="F66" s="34">
        <f>5108.524+2.599</f>
        <v>5111.1230000000005</v>
      </c>
      <c r="G66" s="34"/>
      <c r="H66" s="34"/>
      <c r="I66" s="46">
        <f t="shared" ref="I66:I111" si="52">SUM(F66:H66)</f>
        <v>5111.1230000000005</v>
      </c>
      <c r="J66" s="34"/>
      <c r="K66" s="61"/>
      <c r="L66" s="34"/>
      <c r="M66" s="34"/>
      <c r="N66" s="62" t="s">
        <v>142</v>
      </c>
      <c r="O66" s="62" t="s">
        <v>142</v>
      </c>
      <c r="P66" s="34"/>
      <c r="Q66" s="32"/>
      <c r="R66" s="32"/>
      <c r="S66" s="33"/>
      <c r="T66" s="33"/>
      <c r="U66" s="46">
        <f t="shared" ref="U66:U109" si="53">+I66-SUM(J66:T66)</f>
        <v>5111.1230000000005</v>
      </c>
      <c r="V66" s="32">
        <f t="shared" ref="V66:V74" si="54">IF(I66&gt;2250,I66*0.1,0)</f>
        <v>511.11230000000006</v>
      </c>
      <c r="W66" s="46">
        <f t="shared" ref="W66:W74" si="55">+U66-V66</f>
        <v>4600.0107000000007</v>
      </c>
      <c r="X66" s="32">
        <f t="shared" ref="X66:X74" si="56">IF(I66&lt;2250,I66*0.1,0)</f>
        <v>0</v>
      </c>
      <c r="Y66" s="32">
        <v>10.23</v>
      </c>
      <c r="Z66" s="32" t="str">
        <f t="shared" ref="Z66:Z74" si="57">+N66</f>
        <v>XX</v>
      </c>
      <c r="AA66" s="46" t="e">
        <f t="shared" ref="AA66:AA74" si="58">+I66+X66+Y66+Z66</f>
        <v>#VALUE!</v>
      </c>
      <c r="AB66" s="51"/>
      <c r="AC66" s="52"/>
      <c r="AD66" s="47">
        <f t="shared" ref="AD66:AD69" si="59">+AB66+AC66-W66</f>
        <v>-4600.0107000000007</v>
      </c>
      <c r="AE66" s="35">
        <v>56708845774</v>
      </c>
      <c r="AF66" s="35"/>
    </row>
    <row r="67" spans="1:186" s="18" customFormat="1">
      <c r="A67" s="33" t="s">
        <v>41</v>
      </c>
      <c r="B67" s="33" t="s">
        <v>85</v>
      </c>
      <c r="C67" s="33" t="s">
        <v>106</v>
      </c>
      <c r="D67" s="49">
        <v>41740</v>
      </c>
      <c r="E67" s="34">
        <v>627.13</v>
      </c>
      <c r="F67" s="34">
        <f>660.781+2.599</f>
        <v>663.38</v>
      </c>
      <c r="G67" s="34"/>
      <c r="H67" s="34"/>
      <c r="I67" s="46">
        <f t="shared" si="52"/>
        <v>663.38</v>
      </c>
      <c r="J67" s="34">
        <v>275.38</v>
      </c>
      <c r="K67" s="61"/>
      <c r="L67" s="34"/>
      <c r="M67" s="32">
        <v>300</v>
      </c>
      <c r="N67" s="62" t="s">
        <v>142</v>
      </c>
      <c r="O67" s="62" t="s">
        <v>142</v>
      </c>
      <c r="P67" s="34"/>
      <c r="Q67" s="32"/>
      <c r="R67" s="32"/>
      <c r="S67" s="33"/>
      <c r="T67" s="33"/>
      <c r="U67" s="46">
        <f t="shared" si="53"/>
        <v>88</v>
      </c>
      <c r="V67" s="32">
        <f t="shared" si="54"/>
        <v>0</v>
      </c>
      <c r="W67" s="46">
        <f t="shared" si="55"/>
        <v>88</v>
      </c>
      <c r="X67" s="32">
        <f t="shared" si="56"/>
        <v>66.338000000000008</v>
      </c>
      <c r="Y67" s="32">
        <v>10.23</v>
      </c>
      <c r="Z67" s="32" t="str">
        <f t="shared" si="57"/>
        <v>XX</v>
      </c>
      <c r="AA67" s="46" t="e">
        <f t="shared" si="58"/>
        <v>#VALUE!</v>
      </c>
      <c r="AB67" s="51"/>
      <c r="AC67" s="52"/>
      <c r="AD67" s="47">
        <f t="shared" si="59"/>
        <v>-88</v>
      </c>
      <c r="AE67" s="35">
        <v>56708845788</v>
      </c>
      <c r="AF67" s="35" t="s">
        <v>126</v>
      </c>
    </row>
    <row r="68" spans="1:186" s="18" customFormat="1">
      <c r="A68" s="33" t="s">
        <v>41</v>
      </c>
      <c r="B68" s="33" t="s">
        <v>131</v>
      </c>
      <c r="C68" s="33" t="s">
        <v>102</v>
      </c>
      <c r="D68" s="49">
        <v>42779</v>
      </c>
      <c r="E68" s="34">
        <v>560.28</v>
      </c>
      <c r="F68" s="34">
        <v>697.60199999999998</v>
      </c>
      <c r="G68" s="34"/>
      <c r="H68" s="34"/>
      <c r="I68" s="46">
        <f t="shared" si="52"/>
        <v>697.60199999999998</v>
      </c>
      <c r="J68" s="34"/>
      <c r="K68" s="61"/>
      <c r="L68" s="34"/>
      <c r="M68" s="34"/>
      <c r="N68" s="62" t="s">
        <v>142</v>
      </c>
      <c r="O68" s="62" t="s">
        <v>142</v>
      </c>
      <c r="P68" s="34"/>
      <c r="Q68" s="32"/>
      <c r="R68" s="32"/>
      <c r="S68" s="33"/>
      <c r="T68" s="33"/>
      <c r="U68" s="46">
        <f t="shared" si="53"/>
        <v>697.60199999999998</v>
      </c>
      <c r="V68" s="32"/>
      <c r="W68" s="46"/>
      <c r="X68" s="32"/>
      <c r="Y68" s="32"/>
      <c r="Z68" s="32"/>
      <c r="AA68" s="46"/>
      <c r="AB68" s="51"/>
      <c r="AC68" s="52"/>
      <c r="AD68" s="47"/>
      <c r="AE68" s="35">
        <v>60589582591</v>
      </c>
      <c r="AF68" s="35"/>
    </row>
    <row r="69" spans="1:186" s="18" customFormat="1">
      <c r="A69" s="33" t="s">
        <v>41</v>
      </c>
      <c r="B69" s="33" t="s">
        <v>54</v>
      </c>
      <c r="C69" s="33" t="s">
        <v>46</v>
      </c>
      <c r="D69" s="49">
        <v>41227</v>
      </c>
      <c r="E69" s="34">
        <v>560.28</v>
      </c>
      <c r="F69" s="34">
        <f>2291.8+13.099</f>
        <v>2304.8990000000003</v>
      </c>
      <c r="G69" s="34"/>
      <c r="H69" s="34"/>
      <c r="I69" s="46">
        <f t="shared" si="52"/>
        <v>2304.8990000000003</v>
      </c>
      <c r="J69" s="34"/>
      <c r="K69" s="61"/>
      <c r="L69" s="34"/>
      <c r="M69" s="32">
        <v>700</v>
      </c>
      <c r="N69" s="62" t="s">
        <v>142</v>
      </c>
      <c r="O69" s="62" t="s">
        <v>142</v>
      </c>
      <c r="P69" s="34"/>
      <c r="Q69" s="32"/>
      <c r="R69" s="32"/>
      <c r="S69" s="33"/>
      <c r="T69" s="33"/>
      <c r="U69" s="46">
        <f t="shared" si="53"/>
        <v>1604.8990000000003</v>
      </c>
      <c r="V69" s="32">
        <f t="shared" si="54"/>
        <v>230.48990000000003</v>
      </c>
      <c r="W69" s="46">
        <f t="shared" si="55"/>
        <v>1374.4091000000003</v>
      </c>
      <c r="X69" s="32">
        <f t="shared" si="56"/>
        <v>0</v>
      </c>
      <c r="Y69" s="32">
        <v>10.23</v>
      </c>
      <c r="Z69" s="32" t="str">
        <f t="shared" si="57"/>
        <v>XX</v>
      </c>
      <c r="AA69" s="46" t="e">
        <f t="shared" si="58"/>
        <v>#VALUE!</v>
      </c>
      <c r="AB69" s="51"/>
      <c r="AC69" s="52"/>
      <c r="AD69" s="47">
        <f t="shared" si="59"/>
        <v>-1374.4091000000003</v>
      </c>
      <c r="AE69" s="35">
        <v>56708845791</v>
      </c>
      <c r="AF69" s="35"/>
    </row>
    <row r="70" spans="1:186" s="18" customFormat="1">
      <c r="A70" s="33" t="s">
        <v>39</v>
      </c>
      <c r="B70" s="33" t="s">
        <v>82</v>
      </c>
      <c r="C70" s="33" t="s">
        <v>102</v>
      </c>
      <c r="D70" s="49">
        <v>42338</v>
      </c>
      <c r="E70" s="34">
        <v>739.2</v>
      </c>
      <c r="F70" s="34">
        <f>74.76+2.972</f>
        <v>77.731999999999999</v>
      </c>
      <c r="G70" s="34"/>
      <c r="H70" s="34"/>
      <c r="I70" s="46">
        <f t="shared" si="52"/>
        <v>77.731999999999999</v>
      </c>
      <c r="J70" s="34"/>
      <c r="K70" s="61"/>
      <c r="L70" s="34"/>
      <c r="M70" s="34"/>
      <c r="N70" s="62"/>
      <c r="O70" s="62"/>
      <c r="P70" s="34"/>
      <c r="Q70" s="32"/>
      <c r="R70" s="32"/>
      <c r="S70" s="33"/>
      <c r="T70" s="33"/>
      <c r="U70" s="46">
        <f t="shared" si="53"/>
        <v>77.731999999999999</v>
      </c>
      <c r="V70" s="32">
        <f t="shared" si="54"/>
        <v>0</v>
      </c>
      <c r="W70" s="46">
        <f t="shared" si="55"/>
        <v>77.731999999999999</v>
      </c>
      <c r="X70" s="32">
        <f t="shared" si="56"/>
        <v>7.7732000000000001</v>
      </c>
      <c r="Y70" s="32">
        <v>10.23</v>
      </c>
      <c r="Z70" s="32">
        <f t="shared" si="57"/>
        <v>0</v>
      </c>
      <c r="AA70" s="46">
        <f t="shared" si="58"/>
        <v>95.735200000000006</v>
      </c>
      <c r="AB70" s="51"/>
      <c r="AC70" s="52"/>
      <c r="AD70" s="47">
        <f>+AB70+AC70-W70</f>
        <v>-77.731999999999999</v>
      </c>
      <c r="AE70" s="35">
        <v>56708881872</v>
      </c>
      <c r="AF70" s="35"/>
    </row>
    <row r="71" spans="1:186" s="18" customFormat="1">
      <c r="A71" s="33" t="s">
        <v>41</v>
      </c>
      <c r="B71" s="33" t="s">
        <v>133</v>
      </c>
      <c r="C71" s="33" t="s">
        <v>102</v>
      </c>
      <c r="D71" s="49">
        <v>42807</v>
      </c>
      <c r="E71" s="34">
        <v>560.28</v>
      </c>
      <c r="F71" s="34">
        <v>542.58299999999997</v>
      </c>
      <c r="G71" s="34"/>
      <c r="H71" s="34"/>
      <c r="I71" s="46">
        <f t="shared" si="52"/>
        <v>542.58299999999997</v>
      </c>
      <c r="J71" s="34"/>
      <c r="K71" s="61"/>
      <c r="L71" s="34"/>
      <c r="M71" s="34"/>
      <c r="N71" s="62" t="s">
        <v>142</v>
      </c>
      <c r="O71" s="62" t="s">
        <v>142</v>
      </c>
      <c r="P71" s="34"/>
      <c r="Q71" s="32"/>
      <c r="R71" s="32"/>
      <c r="S71" s="33"/>
      <c r="T71" s="33"/>
      <c r="U71" s="46">
        <f t="shared" si="53"/>
        <v>542.58299999999997</v>
      </c>
      <c r="V71" s="32"/>
      <c r="W71" s="46"/>
      <c r="X71" s="32"/>
      <c r="Y71" s="32"/>
      <c r="Z71" s="32"/>
      <c r="AA71" s="46"/>
      <c r="AB71" s="51"/>
      <c r="AC71" s="52"/>
      <c r="AD71" s="47"/>
      <c r="AE71" s="35">
        <v>60589642468</v>
      </c>
      <c r="AF71" s="35"/>
    </row>
    <row r="72" spans="1:186" s="18" customFormat="1">
      <c r="A72" s="33" t="s">
        <v>39</v>
      </c>
      <c r="B72" s="33" t="s">
        <v>117</v>
      </c>
      <c r="C72" s="33" t="s">
        <v>42</v>
      </c>
      <c r="D72" s="49">
        <v>42681</v>
      </c>
      <c r="E72" s="34"/>
      <c r="F72" s="34">
        <f>1625.214+7.428</f>
        <v>1632.6420000000001</v>
      </c>
      <c r="G72" s="34"/>
      <c r="H72" s="34"/>
      <c r="I72" s="46">
        <f t="shared" si="52"/>
        <v>1632.6420000000001</v>
      </c>
      <c r="J72" s="34"/>
      <c r="K72" s="61">
        <v>1</v>
      </c>
      <c r="L72" s="34"/>
      <c r="M72" s="34">
        <v>150</v>
      </c>
      <c r="N72" s="62"/>
      <c r="O72" s="62"/>
      <c r="P72" s="34"/>
      <c r="Q72" s="32"/>
      <c r="R72" s="32"/>
      <c r="S72" s="33"/>
      <c r="T72" s="33"/>
      <c r="U72" s="46">
        <f t="shared" si="53"/>
        <v>1481.6420000000001</v>
      </c>
      <c r="V72" s="32">
        <f t="shared" ref="V72" si="60">IF(I72&gt;2250,I72*0.1,0)</f>
        <v>0</v>
      </c>
      <c r="W72" s="46">
        <f t="shared" ref="W72" si="61">+U72-V72</f>
        <v>1481.6420000000001</v>
      </c>
      <c r="X72" s="32"/>
      <c r="Y72" s="32"/>
      <c r="Z72" s="32"/>
      <c r="AA72" s="46"/>
      <c r="AB72" s="51"/>
      <c r="AC72" s="52"/>
      <c r="AD72" s="47"/>
      <c r="AE72" s="35">
        <v>56710773131</v>
      </c>
      <c r="AF72" s="35"/>
    </row>
    <row r="73" spans="1:186" s="18" customFormat="1">
      <c r="A73" s="33" t="s">
        <v>41</v>
      </c>
      <c r="B73" s="33" t="s">
        <v>90</v>
      </c>
      <c r="C73" s="33" t="s">
        <v>106</v>
      </c>
      <c r="D73" s="49">
        <v>41227</v>
      </c>
      <c r="E73" s="34">
        <v>627.13</v>
      </c>
      <c r="F73" s="34">
        <f>1158.467+2.599</f>
        <v>1161.066</v>
      </c>
      <c r="G73" s="34"/>
      <c r="H73" s="34"/>
      <c r="I73" s="46">
        <f t="shared" si="52"/>
        <v>1161.066</v>
      </c>
      <c r="J73" s="34">
        <v>199.21</v>
      </c>
      <c r="K73" s="61"/>
      <c r="L73" s="34"/>
      <c r="M73" s="32">
        <v>500</v>
      </c>
      <c r="N73" s="62" t="s">
        <v>142</v>
      </c>
      <c r="O73" s="62" t="s">
        <v>142</v>
      </c>
      <c r="P73" s="34"/>
      <c r="Q73" s="32"/>
      <c r="R73" s="32"/>
      <c r="S73" s="33"/>
      <c r="T73" s="33"/>
      <c r="U73" s="46">
        <f t="shared" si="53"/>
        <v>461.85599999999999</v>
      </c>
      <c r="V73" s="32">
        <f t="shared" si="54"/>
        <v>0</v>
      </c>
      <c r="W73" s="46">
        <f t="shared" si="55"/>
        <v>461.85599999999999</v>
      </c>
      <c r="X73" s="32">
        <f t="shared" si="56"/>
        <v>116.10660000000001</v>
      </c>
      <c r="Y73" s="32">
        <v>10.23</v>
      </c>
      <c r="Z73" s="32" t="str">
        <f t="shared" si="57"/>
        <v>XX</v>
      </c>
      <c r="AA73" s="46" t="e">
        <f t="shared" si="58"/>
        <v>#VALUE!</v>
      </c>
      <c r="AB73" s="51"/>
      <c r="AC73" s="52"/>
      <c r="AD73" s="47">
        <f>+AB73+AC73-W73</f>
        <v>-461.85599999999999</v>
      </c>
      <c r="AE73" s="35">
        <v>56708845820</v>
      </c>
      <c r="AF73" s="35" t="s">
        <v>126</v>
      </c>
    </row>
    <row r="74" spans="1:186" s="18" customFormat="1">
      <c r="A74" s="33" t="s">
        <v>41</v>
      </c>
      <c r="B74" s="33" t="s">
        <v>64</v>
      </c>
      <c r="C74" s="33" t="s">
        <v>106</v>
      </c>
      <c r="D74" s="49">
        <v>41227</v>
      </c>
      <c r="E74" s="34">
        <v>627.13</v>
      </c>
      <c r="F74" s="34">
        <f>3059.82+2.972</f>
        <v>3062.7920000000004</v>
      </c>
      <c r="G74" s="34"/>
      <c r="H74" s="34"/>
      <c r="I74" s="46">
        <f t="shared" si="52"/>
        <v>3062.7920000000004</v>
      </c>
      <c r="J74" s="34"/>
      <c r="K74" s="61"/>
      <c r="L74" s="34"/>
      <c r="M74" s="34">
        <v>1000</v>
      </c>
      <c r="N74" s="62" t="s">
        <v>142</v>
      </c>
      <c r="O74" s="62" t="s">
        <v>142</v>
      </c>
      <c r="P74" s="34"/>
      <c r="Q74" s="32"/>
      <c r="R74" s="32"/>
      <c r="S74" s="33"/>
      <c r="T74" s="33"/>
      <c r="U74" s="46">
        <f t="shared" si="53"/>
        <v>2062.7920000000004</v>
      </c>
      <c r="V74" s="32">
        <f t="shared" si="54"/>
        <v>306.27920000000006</v>
      </c>
      <c r="W74" s="46">
        <f t="shared" si="55"/>
        <v>1756.5128000000004</v>
      </c>
      <c r="X74" s="32">
        <f t="shared" si="56"/>
        <v>0</v>
      </c>
      <c r="Y74" s="32">
        <v>10.23</v>
      </c>
      <c r="Z74" s="32" t="str">
        <f t="shared" si="57"/>
        <v>XX</v>
      </c>
      <c r="AA74" s="46" t="e">
        <f t="shared" si="58"/>
        <v>#VALUE!</v>
      </c>
      <c r="AB74" s="51"/>
      <c r="AC74" s="52"/>
      <c r="AD74" s="47">
        <f>+AB74+AC74-W74</f>
        <v>-1756.5128000000004</v>
      </c>
      <c r="AE74" s="35">
        <v>56708845834</v>
      </c>
      <c r="AF74" s="35"/>
    </row>
    <row r="75" spans="1:186" s="18" customFormat="1">
      <c r="A75" s="33" t="s">
        <v>41</v>
      </c>
      <c r="B75" s="33" t="s">
        <v>138</v>
      </c>
      <c r="C75" s="33" t="s">
        <v>122</v>
      </c>
      <c r="D75" s="49">
        <v>42842</v>
      </c>
      <c r="E75" s="34">
        <v>560.28</v>
      </c>
      <c r="F75" s="34"/>
      <c r="G75" s="34"/>
      <c r="H75" s="34"/>
      <c r="I75" s="46">
        <f t="shared" si="52"/>
        <v>0</v>
      </c>
      <c r="J75" s="34"/>
      <c r="K75" s="61"/>
      <c r="L75" s="34"/>
      <c r="M75" s="34"/>
      <c r="N75" s="62" t="s">
        <v>142</v>
      </c>
      <c r="O75" s="62" t="s">
        <v>142</v>
      </c>
      <c r="P75" s="34"/>
      <c r="Q75" s="32"/>
      <c r="R75" s="32"/>
      <c r="S75" s="33"/>
      <c r="T75" s="33"/>
      <c r="U75" s="46">
        <f t="shared" si="53"/>
        <v>0</v>
      </c>
      <c r="V75" s="32"/>
      <c r="W75" s="46"/>
      <c r="X75" s="32"/>
      <c r="Y75" s="32"/>
      <c r="Z75" s="32"/>
      <c r="AA75" s="46"/>
      <c r="AB75" s="51"/>
      <c r="AC75" s="52"/>
      <c r="AD75" s="47"/>
      <c r="AE75" s="35">
        <v>60590100738</v>
      </c>
      <c r="AF75" s="35"/>
    </row>
    <row r="76" spans="1:186" s="18" customFormat="1">
      <c r="A76" s="33" t="s">
        <v>39</v>
      </c>
      <c r="B76" s="33" t="s">
        <v>108</v>
      </c>
      <c r="C76" s="33" t="s">
        <v>122</v>
      </c>
      <c r="D76" s="49">
        <v>42604</v>
      </c>
      <c r="E76" s="34">
        <v>560.28</v>
      </c>
      <c r="F76" s="34">
        <v>325.505</v>
      </c>
      <c r="G76" s="34"/>
      <c r="H76" s="34"/>
      <c r="I76" s="46">
        <f t="shared" si="52"/>
        <v>325.505</v>
      </c>
      <c r="J76" s="34"/>
      <c r="K76" s="61">
        <v>1</v>
      </c>
      <c r="L76" s="34"/>
      <c r="M76" s="34"/>
      <c r="N76" s="62" t="s">
        <v>142</v>
      </c>
      <c r="O76" s="62" t="s">
        <v>142</v>
      </c>
      <c r="P76" s="34"/>
      <c r="Q76" s="32"/>
      <c r="R76" s="32"/>
      <c r="S76" s="33"/>
      <c r="T76" s="33"/>
      <c r="U76" s="46">
        <f t="shared" si="53"/>
        <v>324.505</v>
      </c>
      <c r="V76" s="32">
        <f t="shared" ref="V76" si="62">IF(I76&gt;2250,I76*0.1,0)</f>
        <v>0</v>
      </c>
      <c r="W76" s="46">
        <f t="shared" ref="W76" si="63">+U76-V76</f>
        <v>324.505</v>
      </c>
      <c r="X76" s="32"/>
      <c r="Y76" s="32"/>
      <c r="Z76" s="32"/>
      <c r="AA76" s="46"/>
      <c r="AB76" s="51"/>
      <c r="AC76" s="52"/>
      <c r="AD76" s="47"/>
      <c r="AE76" s="35">
        <v>56708845848</v>
      </c>
      <c r="AF76" s="35"/>
    </row>
    <row r="77" spans="1:186" s="18" customFormat="1">
      <c r="A77" s="33" t="s">
        <v>41</v>
      </c>
      <c r="B77" s="33" t="s">
        <v>140</v>
      </c>
      <c r="C77" s="33" t="s">
        <v>102</v>
      </c>
      <c r="D77" s="49">
        <v>42864</v>
      </c>
      <c r="E77" s="34">
        <v>560.28</v>
      </c>
      <c r="F77" s="34">
        <v>346.49900000000002</v>
      </c>
      <c r="G77" s="34"/>
      <c r="H77" s="34"/>
      <c r="I77" s="46">
        <f t="shared" si="52"/>
        <v>346.49900000000002</v>
      </c>
      <c r="J77" s="34"/>
      <c r="K77" s="61"/>
      <c r="L77" s="34"/>
      <c r="M77" s="34"/>
      <c r="N77" s="62" t="s">
        <v>142</v>
      </c>
      <c r="O77" s="62" t="s">
        <v>142</v>
      </c>
      <c r="P77" s="34"/>
      <c r="Q77" s="32"/>
      <c r="R77" s="32"/>
      <c r="S77" s="33"/>
      <c r="T77" s="33"/>
      <c r="U77" s="46">
        <f t="shared" si="53"/>
        <v>346.49900000000002</v>
      </c>
      <c r="V77" s="32"/>
      <c r="W77" s="46"/>
      <c r="X77" s="32"/>
      <c r="Y77" s="32"/>
      <c r="Z77" s="32"/>
      <c r="AA77" s="46"/>
      <c r="AB77" s="51"/>
      <c r="AC77" s="52"/>
      <c r="AD77" s="47"/>
      <c r="AE77" s="35" t="s">
        <v>123</v>
      </c>
      <c r="AF77" s="35"/>
    </row>
    <row r="78" spans="1:186" s="18" customFormat="1">
      <c r="A78" s="33" t="s">
        <v>39</v>
      </c>
      <c r="B78" s="33" t="s">
        <v>65</v>
      </c>
      <c r="C78" s="33" t="s">
        <v>42</v>
      </c>
      <c r="D78" s="49">
        <v>42319</v>
      </c>
      <c r="E78" s="34">
        <v>739.2</v>
      </c>
      <c r="F78" s="34">
        <f>785.76+3.714</f>
        <v>789.47400000000005</v>
      </c>
      <c r="G78" s="34"/>
      <c r="H78" s="34"/>
      <c r="I78" s="46">
        <f t="shared" si="52"/>
        <v>789.47400000000005</v>
      </c>
      <c r="J78" s="34"/>
      <c r="K78" s="61"/>
      <c r="L78" s="34"/>
      <c r="M78" s="34"/>
      <c r="N78" s="62"/>
      <c r="O78" s="62"/>
      <c r="P78" s="34"/>
      <c r="Q78" s="32"/>
      <c r="R78" s="32"/>
      <c r="S78" s="33"/>
      <c r="T78" s="33"/>
      <c r="U78" s="46">
        <f t="shared" si="53"/>
        <v>789.47400000000005</v>
      </c>
      <c r="V78" s="32">
        <f t="shared" ref="V78:V106" si="64">IF(I78&gt;2250,I78*0.1,0)</f>
        <v>0</v>
      </c>
      <c r="W78" s="46">
        <f t="shared" ref="W78:W106" si="65">+U78-V78</f>
        <v>789.47400000000005</v>
      </c>
      <c r="X78" s="32">
        <f t="shared" ref="X78:X106" si="66">IF(I78&lt;2250,I78*0.1,0)</f>
        <v>78.947400000000016</v>
      </c>
      <c r="Y78" s="32">
        <v>19.23</v>
      </c>
      <c r="Z78" s="32">
        <f t="shared" ref="Z78:Z106" si="67">+N78</f>
        <v>0</v>
      </c>
      <c r="AA78" s="46">
        <f t="shared" ref="AA78:AA106" si="68">+I78+X78+Y78+Z78</f>
        <v>887.65140000000008</v>
      </c>
      <c r="AB78" s="51"/>
      <c r="AC78" s="52"/>
      <c r="AD78" s="47">
        <f>+AB78+AC78-W78</f>
        <v>-789.47400000000005</v>
      </c>
      <c r="AE78" s="35">
        <v>56708881901</v>
      </c>
      <c r="AF78" s="35"/>
    </row>
    <row r="79" spans="1:186" s="18" customFormat="1">
      <c r="A79" s="33" t="s">
        <v>39</v>
      </c>
      <c r="B79" s="33" t="s">
        <v>144</v>
      </c>
      <c r="C79" s="33" t="s">
        <v>42</v>
      </c>
      <c r="D79" s="49">
        <v>42884</v>
      </c>
      <c r="E79" s="34">
        <v>739.27</v>
      </c>
      <c r="F79" s="34">
        <f>996.978+2.972</f>
        <v>999.94999999999993</v>
      </c>
      <c r="G79" s="34"/>
      <c r="H79" s="34"/>
      <c r="I79" s="46">
        <f t="shared" si="52"/>
        <v>999.94999999999993</v>
      </c>
      <c r="J79" s="34"/>
      <c r="K79" s="61">
        <v>1</v>
      </c>
      <c r="L79" s="34"/>
      <c r="M79" s="34"/>
      <c r="N79" s="62"/>
      <c r="O79" s="62"/>
      <c r="P79" s="34"/>
      <c r="Q79" s="32"/>
      <c r="R79" s="32"/>
      <c r="S79" s="33"/>
      <c r="T79" s="33"/>
      <c r="U79" s="46">
        <f t="shared" si="53"/>
        <v>998.94999999999993</v>
      </c>
      <c r="V79" s="32"/>
      <c r="W79" s="46"/>
      <c r="X79" s="32"/>
      <c r="Y79" s="32"/>
      <c r="Z79" s="32"/>
      <c r="AA79" s="46"/>
      <c r="AB79" s="51"/>
      <c r="AC79" s="52"/>
      <c r="AD79" s="47"/>
      <c r="AE79" s="35">
        <v>60592118015</v>
      </c>
      <c r="AF79" s="35"/>
    </row>
    <row r="80" spans="1:186" s="18" customFormat="1">
      <c r="A80" s="33" t="s">
        <v>39</v>
      </c>
      <c r="B80" s="33" t="s">
        <v>153</v>
      </c>
      <c r="C80" s="33" t="s">
        <v>46</v>
      </c>
      <c r="D80" s="49">
        <v>42916</v>
      </c>
      <c r="E80" s="34">
        <v>739.2</v>
      </c>
      <c r="F80" s="34">
        <f>317.725+2.599</f>
        <v>320.32400000000001</v>
      </c>
      <c r="G80" s="34"/>
      <c r="H80" s="34"/>
      <c r="I80" s="46">
        <f t="shared" si="52"/>
        <v>320.32400000000001</v>
      </c>
      <c r="J80" s="34"/>
      <c r="K80" s="61">
        <v>1</v>
      </c>
      <c r="L80" s="34"/>
      <c r="M80" s="34"/>
      <c r="N80" s="62"/>
      <c r="O80" s="62"/>
      <c r="P80" s="34"/>
      <c r="Q80" s="32"/>
      <c r="R80" s="32"/>
      <c r="S80" s="33"/>
      <c r="T80" s="73">
        <v>198.87</v>
      </c>
      <c r="U80" s="46">
        <f t="shared" si="53"/>
        <v>120.45400000000001</v>
      </c>
      <c r="V80" s="32"/>
      <c r="W80" s="46"/>
      <c r="X80" s="32"/>
      <c r="Y80" s="32"/>
      <c r="Z80" s="32"/>
      <c r="AA80" s="46"/>
      <c r="AB80" s="51"/>
      <c r="AC80" s="52"/>
      <c r="AD80" s="47"/>
      <c r="AE80" s="35">
        <v>60592515217</v>
      </c>
      <c r="AF80" s="35"/>
    </row>
    <row r="81" spans="1:32" s="18" customFormat="1">
      <c r="A81" s="33" t="s">
        <v>41</v>
      </c>
      <c r="B81" s="33" t="s">
        <v>154</v>
      </c>
      <c r="C81" s="33" t="s">
        <v>46</v>
      </c>
      <c r="D81" s="49">
        <v>42912</v>
      </c>
      <c r="E81" s="34">
        <v>739.2</v>
      </c>
      <c r="F81" s="34">
        <v>1160.8800000000001</v>
      </c>
      <c r="G81" s="34"/>
      <c r="H81" s="34"/>
      <c r="I81" s="46">
        <f t="shared" si="52"/>
        <v>1160.8800000000001</v>
      </c>
      <c r="J81" s="34"/>
      <c r="K81" s="61"/>
      <c r="L81" s="34"/>
      <c r="M81" s="34"/>
      <c r="N81" s="62"/>
      <c r="O81" s="62"/>
      <c r="P81" s="34"/>
      <c r="Q81" s="32"/>
      <c r="R81" s="32"/>
      <c r="S81" s="33"/>
      <c r="T81" s="33"/>
      <c r="U81" s="46">
        <f t="shared" si="53"/>
        <v>1160.8800000000001</v>
      </c>
      <c r="V81" s="32"/>
      <c r="W81" s="46"/>
      <c r="X81" s="32"/>
      <c r="Y81" s="32"/>
      <c r="Z81" s="32"/>
      <c r="AA81" s="46"/>
      <c r="AB81" s="51"/>
      <c r="AC81" s="52"/>
      <c r="AD81" s="47"/>
      <c r="AE81" s="35">
        <v>56686168111</v>
      </c>
      <c r="AF81" s="35"/>
    </row>
    <row r="82" spans="1:32" s="18" customFormat="1">
      <c r="A82" s="33" t="s">
        <v>41</v>
      </c>
      <c r="B82" s="33" t="s">
        <v>50</v>
      </c>
      <c r="C82" s="33" t="s">
        <v>122</v>
      </c>
      <c r="D82" s="49">
        <v>41981</v>
      </c>
      <c r="E82" s="34">
        <v>506.28</v>
      </c>
      <c r="F82" s="34">
        <f>1685.973+2.599</f>
        <v>1688.5719999999999</v>
      </c>
      <c r="G82" s="34"/>
      <c r="H82" s="34"/>
      <c r="I82" s="46">
        <f t="shared" si="52"/>
        <v>1688.5719999999999</v>
      </c>
      <c r="J82" s="34">
        <v>200</v>
      </c>
      <c r="K82" s="61"/>
      <c r="L82" s="34"/>
      <c r="M82" s="34">
        <v>300</v>
      </c>
      <c r="N82" s="62" t="s">
        <v>142</v>
      </c>
      <c r="O82" s="62" t="s">
        <v>142</v>
      </c>
      <c r="P82" s="34"/>
      <c r="Q82" s="32"/>
      <c r="R82" s="32"/>
      <c r="S82" s="33"/>
      <c r="T82" s="33"/>
      <c r="U82" s="46">
        <f t="shared" si="53"/>
        <v>1188.5719999999999</v>
      </c>
      <c r="V82" s="32">
        <f t="shared" si="64"/>
        <v>0</v>
      </c>
      <c r="W82" s="46">
        <f t="shared" si="65"/>
        <v>1188.5719999999999</v>
      </c>
      <c r="X82" s="32">
        <f t="shared" si="66"/>
        <v>168.85720000000001</v>
      </c>
      <c r="Y82" s="32">
        <v>10.23</v>
      </c>
      <c r="Z82" s="32" t="str">
        <f t="shared" si="67"/>
        <v>XX</v>
      </c>
      <c r="AA82" s="46" t="e">
        <f t="shared" si="68"/>
        <v>#VALUE!</v>
      </c>
      <c r="AB82" s="51"/>
      <c r="AC82" s="52"/>
      <c r="AD82" s="47">
        <f t="shared" ref="AD82:AD106" si="69">+AB82+AC82-W82</f>
        <v>-1188.5719999999999</v>
      </c>
      <c r="AE82" s="35">
        <v>56708845851</v>
      </c>
      <c r="AF82" s="35" t="s">
        <v>178</v>
      </c>
    </row>
    <row r="83" spans="1:32" s="18" customFormat="1">
      <c r="A83" s="33" t="s">
        <v>41</v>
      </c>
      <c r="B83" s="33" t="s">
        <v>74</v>
      </c>
      <c r="C83" s="33" t="s">
        <v>106</v>
      </c>
      <c r="D83" s="49">
        <v>41284</v>
      </c>
      <c r="E83" s="34">
        <v>627.13</v>
      </c>
      <c r="F83" s="34">
        <f>1859.358+2.599</f>
        <v>1861.9569999999999</v>
      </c>
      <c r="G83" s="34"/>
      <c r="H83" s="34"/>
      <c r="I83" s="46">
        <f t="shared" si="52"/>
        <v>1861.9569999999999</v>
      </c>
      <c r="J83" s="34">
        <v>246.63</v>
      </c>
      <c r="K83" s="61"/>
      <c r="L83" s="34"/>
      <c r="M83" s="34"/>
      <c r="N83" s="62" t="s">
        <v>142</v>
      </c>
      <c r="O83" s="62" t="s">
        <v>142</v>
      </c>
      <c r="P83" s="34"/>
      <c r="Q83" s="32"/>
      <c r="R83" s="32"/>
      <c r="S83" s="33"/>
      <c r="T83" s="33"/>
      <c r="U83" s="46">
        <f t="shared" si="53"/>
        <v>1615.3269999999998</v>
      </c>
      <c r="V83" s="32">
        <f t="shared" si="64"/>
        <v>0</v>
      </c>
      <c r="W83" s="46">
        <f t="shared" si="65"/>
        <v>1615.3269999999998</v>
      </c>
      <c r="X83" s="32">
        <f t="shared" si="66"/>
        <v>186.19569999999999</v>
      </c>
      <c r="Y83" s="32">
        <v>10.23</v>
      </c>
      <c r="Z83" s="32" t="str">
        <f t="shared" si="67"/>
        <v>XX</v>
      </c>
      <c r="AA83" s="46" t="e">
        <f t="shared" si="68"/>
        <v>#VALUE!</v>
      </c>
      <c r="AB83" s="51"/>
      <c r="AC83" s="52"/>
      <c r="AD83" s="47">
        <f t="shared" si="69"/>
        <v>-1615.3269999999998</v>
      </c>
      <c r="AE83" s="35">
        <v>56708881915</v>
      </c>
      <c r="AF83" s="35" t="s">
        <v>126</v>
      </c>
    </row>
    <row r="84" spans="1:32" s="18" customFormat="1">
      <c r="A84" s="33" t="s">
        <v>39</v>
      </c>
      <c r="B84" s="33" t="s">
        <v>171</v>
      </c>
      <c r="C84" s="33" t="s">
        <v>42</v>
      </c>
      <c r="D84" s="49">
        <v>42823</v>
      </c>
      <c r="E84" s="34">
        <v>560.28</v>
      </c>
      <c r="F84" s="34">
        <f>589.32+3.714</f>
        <v>593.03400000000011</v>
      </c>
      <c r="G84" s="34"/>
      <c r="H84" s="34"/>
      <c r="I84" s="46">
        <f t="shared" si="52"/>
        <v>593.03400000000011</v>
      </c>
      <c r="J84" s="34"/>
      <c r="K84" s="61"/>
      <c r="L84" s="34"/>
      <c r="M84" s="34"/>
      <c r="N84" s="62"/>
      <c r="O84" s="62"/>
      <c r="P84" s="34"/>
      <c r="Q84" s="32"/>
      <c r="R84" s="32"/>
      <c r="S84" s="33"/>
      <c r="T84" s="33"/>
      <c r="U84" s="46">
        <f t="shared" si="53"/>
        <v>593.03400000000011</v>
      </c>
      <c r="V84" s="32"/>
      <c r="W84" s="46"/>
      <c r="X84" s="32"/>
      <c r="Y84" s="32"/>
      <c r="Z84" s="32"/>
      <c r="AA84" s="46"/>
      <c r="AB84" s="51"/>
      <c r="AC84" s="52"/>
      <c r="AD84" s="47"/>
      <c r="AE84" s="35">
        <v>60589704184</v>
      </c>
      <c r="AF84" s="35"/>
    </row>
    <row r="85" spans="1:32" s="18" customFormat="1">
      <c r="A85" s="33" t="s">
        <v>41</v>
      </c>
      <c r="B85" s="33" t="s">
        <v>52</v>
      </c>
      <c r="C85" s="33" t="s">
        <v>106</v>
      </c>
      <c r="D85" s="49">
        <v>41227</v>
      </c>
      <c r="E85" s="34">
        <v>627.13</v>
      </c>
      <c r="F85" s="34">
        <f>1900.976+2.972</f>
        <v>1903.9480000000001</v>
      </c>
      <c r="G85" s="34"/>
      <c r="H85" s="34"/>
      <c r="I85" s="46">
        <f t="shared" si="52"/>
        <v>1903.9480000000001</v>
      </c>
      <c r="J85" s="34"/>
      <c r="K85" s="61"/>
      <c r="L85" s="34"/>
      <c r="M85" s="34"/>
      <c r="N85" s="62" t="s">
        <v>142</v>
      </c>
      <c r="O85" s="62" t="s">
        <v>142</v>
      </c>
      <c r="P85" s="34"/>
      <c r="Q85" s="32"/>
      <c r="R85" s="32"/>
      <c r="S85" s="33"/>
      <c r="T85" s="33"/>
      <c r="U85" s="46">
        <f t="shared" si="53"/>
        <v>1903.9480000000001</v>
      </c>
      <c r="V85" s="32">
        <f t="shared" si="64"/>
        <v>0</v>
      </c>
      <c r="W85" s="46">
        <f t="shared" si="65"/>
        <v>1903.9480000000001</v>
      </c>
      <c r="X85" s="32">
        <f t="shared" si="66"/>
        <v>190.39480000000003</v>
      </c>
      <c r="Y85" s="32">
        <v>10.23</v>
      </c>
      <c r="Z85" s="32" t="str">
        <f t="shared" si="67"/>
        <v>XX</v>
      </c>
      <c r="AA85" s="46" t="e">
        <f t="shared" si="68"/>
        <v>#VALUE!</v>
      </c>
      <c r="AB85" s="51"/>
      <c r="AC85" s="52"/>
      <c r="AD85" s="47">
        <f t="shared" si="69"/>
        <v>-1903.9480000000001</v>
      </c>
      <c r="AE85" s="35">
        <v>56708845865</v>
      </c>
      <c r="AF85" s="35"/>
    </row>
    <row r="86" spans="1:32" s="18" customFormat="1">
      <c r="A86" s="33" t="s">
        <v>39</v>
      </c>
      <c r="B86" s="33" t="s">
        <v>66</v>
      </c>
      <c r="C86" s="33" t="s">
        <v>42</v>
      </c>
      <c r="D86" s="49">
        <v>41493</v>
      </c>
      <c r="E86" s="34">
        <v>739.2</v>
      </c>
      <c r="F86" s="34">
        <f>1211.38+3.714</f>
        <v>1215.0940000000001</v>
      </c>
      <c r="G86" s="34"/>
      <c r="H86" s="34"/>
      <c r="I86" s="46">
        <f t="shared" si="52"/>
        <v>1215.0940000000001</v>
      </c>
      <c r="J86" s="34"/>
      <c r="K86" s="61"/>
      <c r="L86" s="34"/>
      <c r="M86" s="34"/>
      <c r="N86" s="62"/>
      <c r="O86" s="62"/>
      <c r="P86" s="34"/>
      <c r="Q86" s="32"/>
      <c r="R86" s="32"/>
      <c r="S86" s="33"/>
      <c r="T86" s="33"/>
      <c r="U86" s="46">
        <f t="shared" si="53"/>
        <v>1215.0940000000001</v>
      </c>
      <c r="V86" s="32">
        <f t="shared" si="64"/>
        <v>0</v>
      </c>
      <c r="W86" s="46">
        <f t="shared" si="65"/>
        <v>1215.0940000000001</v>
      </c>
      <c r="X86" s="32">
        <f t="shared" si="66"/>
        <v>121.50940000000001</v>
      </c>
      <c r="Y86" s="32">
        <v>10.23</v>
      </c>
      <c r="Z86" s="32">
        <f t="shared" si="67"/>
        <v>0</v>
      </c>
      <c r="AA86" s="46">
        <f t="shared" si="68"/>
        <v>1346.8334</v>
      </c>
      <c r="AB86" s="51"/>
      <c r="AC86" s="52"/>
      <c r="AD86" s="47">
        <f t="shared" si="69"/>
        <v>-1215.0940000000001</v>
      </c>
      <c r="AE86" s="35">
        <v>56708845879</v>
      </c>
      <c r="AF86" s="35"/>
    </row>
    <row r="87" spans="1:32" s="18" customFormat="1">
      <c r="A87" s="33" t="s">
        <v>41</v>
      </c>
      <c r="B87" s="33" t="s">
        <v>98</v>
      </c>
      <c r="C87" s="33" t="s">
        <v>122</v>
      </c>
      <c r="D87" s="49">
        <v>42493</v>
      </c>
      <c r="E87" s="34">
        <v>506.28</v>
      </c>
      <c r="F87" s="34">
        <f>207.176+2.599</f>
        <v>209.77499999999998</v>
      </c>
      <c r="G87" s="34"/>
      <c r="H87" s="34"/>
      <c r="I87" s="46">
        <f t="shared" si="52"/>
        <v>209.77499999999998</v>
      </c>
      <c r="J87" s="34"/>
      <c r="K87" s="61"/>
      <c r="L87" s="34"/>
      <c r="M87" s="34"/>
      <c r="N87" s="62" t="s">
        <v>142</v>
      </c>
      <c r="O87" s="62" t="s">
        <v>142</v>
      </c>
      <c r="P87" s="34"/>
      <c r="Q87" s="32"/>
      <c r="R87" s="32"/>
      <c r="S87" s="33"/>
      <c r="T87" s="33"/>
      <c r="U87" s="46">
        <f t="shared" si="53"/>
        <v>209.77499999999998</v>
      </c>
      <c r="V87" s="32">
        <f t="shared" si="64"/>
        <v>0</v>
      </c>
      <c r="W87" s="46">
        <f t="shared" si="65"/>
        <v>209.77499999999998</v>
      </c>
      <c r="X87" s="32">
        <f t="shared" si="66"/>
        <v>20.977499999999999</v>
      </c>
      <c r="Y87" s="32">
        <v>10.23</v>
      </c>
      <c r="Z87" s="32" t="str">
        <f t="shared" si="67"/>
        <v>XX</v>
      </c>
      <c r="AA87" s="46" t="e">
        <f t="shared" si="68"/>
        <v>#VALUE!</v>
      </c>
      <c r="AB87" s="51"/>
      <c r="AC87" s="52"/>
      <c r="AD87" s="47">
        <f t="shared" si="69"/>
        <v>-209.77499999999998</v>
      </c>
      <c r="AE87" s="35">
        <v>56708845882</v>
      </c>
      <c r="AF87" s="35"/>
    </row>
    <row r="88" spans="1:32" s="18" customFormat="1">
      <c r="A88" s="33" t="s">
        <v>39</v>
      </c>
      <c r="B88" s="33" t="s">
        <v>166</v>
      </c>
      <c r="C88" s="33" t="s">
        <v>102</v>
      </c>
      <c r="D88" s="49">
        <v>42716</v>
      </c>
      <c r="E88" s="34">
        <v>1200.01</v>
      </c>
      <c r="F88" s="34">
        <f>775.07+2.599-461.01</f>
        <v>316.65900000000011</v>
      </c>
      <c r="G88" s="34"/>
      <c r="H88" s="34"/>
      <c r="I88" s="46">
        <f t="shared" si="52"/>
        <v>316.65900000000011</v>
      </c>
      <c r="J88" s="34"/>
      <c r="K88" s="61"/>
      <c r="L88" s="34"/>
      <c r="M88" s="34"/>
      <c r="N88" s="62"/>
      <c r="O88" s="62"/>
      <c r="P88" s="34"/>
      <c r="Q88" s="32"/>
      <c r="R88" s="32"/>
      <c r="S88" s="33"/>
      <c r="T88" s="33">
        <v>301.08999999999997</v>
      </c>
      <c r="U88" s="46">
        <f t="shared" si="53"/>
        <v>15.569000000000131</v>
      </c>
      <c r="V88" s="32">
        <f t="shared" ref="V88" si="70">IF(I88&gt;2250,I88*0.1,0)</f>
        <v>0</v>
      </c>
      <c r="W88" s="46">
        <f t="shared" ref="W88" si="71">+U88-V88</f>
        <v>15.569000000000131</v>
      </c>
      <c r="X88" s="32"/>
      <c r="Y88" s="32"/>
      <c r="Z88" s="32">
        <f t="shared" si="67"/>
        <v>0</v>
      </c>
      <c r="AA88" s="46"/>
      <c r="AB88" s="51"/>
      <c r="AC88" s="52"/>
      <c r="AD88" s="47"/>
      <c r="AE88" s="35">
        <v>60589845501</v>
      </c>
      <c r="AF88" s="35"/>
    </row>
    <row r="89" spans="1:32" s="18" customFormat="1">
      <c r="A89" s="33" t="s">
        <v>39</v>
      </c>
      <c r="B89" s="33" t="s">
        <v>172</v>
      </c>
      <c r="C89" s="33" t="s">
        <v>42</v>
      </c>
      <c r="D89" s="49">
        <v>42909</v>
      </c>
      <c r="E89" s="34">
        <v>738.99</v>
      </c>
      <c r="F89" s="34">
        <f>895+2.599</f>
        <v>897.59900000000005</v>
      </c>
      <c r="G89" s="34"/>
      <c r="H89" s="34"/>
      <c r="I89" s="46">
        <f t="shared" si="52"/>
        <v>897.59900000000005</v>
      </c>
      <c r="J89" s="34"/>
      <c r="K89" s="61"/>
      <c r="L89" s="34"/>
      <c r="M89" s="34"/>
      <c r="N89" s="62"/>
      <c r="O89" s="62"/>
      <c r="P89" s="34"/>
      <c r="Q89" s="32"/>
      <c r="R89" s="32"/>
      <c r="S89" s="33"/>
      <c r="T89" s="59"/>
      <c r="U89" s="46">
        <f t="shared" si="53"/>
        <v>897.59900000000005</v>
      </c>
      <c r="V89" s="32"/>
      <c r="W89" s="46"/>
      <c r="X89" s="32"/>
      <c r="Y89" s="32"/>
      <c r="Z89" s="32"/>
      <c r="AA89" s="46"/>
      <c r="AB89" s="51"/>
      <c r="AC89" s="51"/>
      <c r="AD89" s="47"/>
      <c r="AE89" s="35">
        <v>60592420864</v>
      </c>
      <c r="AF89" s="35"/>
    </row>
    <row r="90" spans="1:32" s="18" customFormat="1">
      <c r="A90" s="33" t="s">
        <v>39</v>
      </c>
      <c r="B90" s="33" t="s">
        <v>173</v>
      </c>
      <c r="C90" s="33" t="s">
        <v>42</v>
      </c>
      <c r="D90" s="49">
        <v>42170</v>
      </c>
      <c r="E90" s="34">
        <v>739.2</v>
      </c>
      <c r="F90" s="34"/>
      <c r="G90" s="34">
        <v>1243.54</v>
      </c>
      <c r="H90" s="34"/>
      <c r="I90" s="46">
        <f t="shared" si="52"/>
        <v>1243.54</v>
      </c>
      <c r="J90" s="61"/>
      <c r="K90" s="61"/>
      <c r="L90" s="34"/>
      <c r="M90" s="34"/>
      <c r="N90" s="62"/>
      <c r="O90" s="62"/>
      <c r="P90" s="34"/>
      <c r="Q90" s="32"/>
      <c r="R90" s="32"/>
      <c r="S90" s="33"/>
      <c r="T90" s="33"/>
      <c r="U90" s="46">
        <f t="shared" si="53"/>
        <v>1243.54</v>
      </c>
      <c r="V90" s="32">
        <f t="shared" si="64"/>
        <v>0</v>
      </c>
      <c r="W90" s="46">
        <f t="shared" si="65"/>
        <v>1243.54</v>
      </c>
      <c r="X90" s="32">
        <f t="shared" si="66"/>
        <v>124.354</v>
      </c>
      <c r="Y90" s="32">
        <v>10.23</v>
      </c>
      <c r="Z90" s="32">
        <f t="shared" si="67"/>
        <v>0</v>
      </c>
      <c r="AA90" s="46">
        <f t="shared" si="68"/>
        <v>1378.124</v>
      </c>
      <c r="AB90" s="51"/>
      <c r="AC90" s="52"/>
      <c r="AD90" s="47">
        <f t="shared" si="69"/>
        <v>-1243.54</v>
      </c>
      <c r="AE90" s="35">
        <v>56708881929</v>
      </c>
      <c r="AF90" s="35"/>
    </row>
    <row r="91" spans="1:32" s="18" customFormat="1">
      <c r="A91" s="33" t="s">
        <v>41</v>
      </c>
      <c r="B91" s="33" t="s">
        <v>57</v>
      </c>
      <c r="C91" s="33" t="s">
        <v>105</v>
      </c>
      <c r="D91" s="49">
        <v>36868</v>
      </c>
      <c r="E91" s="34">
        <v>627.13</v>
      </c>
      <c r="F91" s="34">
        <f>187.833+3.714</f>
        <v>191.547</v>
      </c>
      <c r="G91" s="34"/>
      <c r="H91" s="34"/>
      <c r="I91" s="46">
        <f t="shared" si="52"/>
        <v>191.547</v>
      </c>
      <c r="J91" s="34">
        <v>236.31</v>
      </c>
      <c r="K91" s="61"/>
      <c r="L91" s="34"/>
      <c r="M91" s="34"/>
      <c r="N91" s="62" t="s">
        <v>142</v>
      </c>
      <c r="O91" s="62" t="s">
        <v>142</v>
      </c>
      <c r="P91" s="34"/>
      <c r="Q91" s="32"/>
      <c r="R91" s="32"/>
      <c r="S91" s="33"/>
      <c r="T91" s="33"/>
      <c r="U91" s="46">
        <f t="shared" si="53"/>
        <v>-44.763000000000005</v>
      </c>
      <c r="V91" s="32">
        <f t="shared" si="64"/>
        <v>0</v>
      </c>
      <c r="W91" s="46">
        <f t="shared" si="65"/>
        <v>-44.763000000000005</v>
      </c>
      <c r="X91" s="32">
        <f t="shared" si="66"/>
        <v>19.154700000000002</v>
      </c>
      <c r="Y91" s="32">
        <v>10.23</v>
      </c>
      <c r="Z91" s="32" t="str">
        <f t="shared" si="67"/>
        <v>XX</v>
      </c>
      <c r="AA91" s="46" t="e">
        <f t="shared" si="68"/>
        <v>#VALUE!</v>
      </c>
      <c r="AB91" s="51"/>
      <c r="AC91" s="51"/>
      <c r="AD91" s="47">
        <f t="shared" si="69"/>
        <v>44.763000000000005</v>
      </c>
      <c r="AE91" s="35">
        <v>56708845911</v>
      </c>
      <c r="AF91" s="35" t="s">
        <v>126</v>
      </c>
    </row>
    <row r="92" spans="1:32" s="18" customFormat="1">
      <c r="A92" s="33" t="s">
        <v>41</v>
      </c>
      <c r="B92" s="33" t="s">
        <v>55</v>
      </c>
      <c r="C92" s="33" t="s">
        <v>103</v>
      </c>
      <c r="D92" s="49">
        <v>41949</v>
      </c>
      <c r="E92" s="34">
        <v>560.28</v>
      </c>
      <c r="F92" s="34">
        <f>1602+7.428</f>
        <v>1609.4280000000001</v>
      </c>
      <c r="G92" s="34"/>
      <c r="H92" s="34"/>
      <c r="I92" s="46">
        <f t="shared" si="52"/>
        <v>1609.4280000000001</v>
      </c>
      <c r="J92" s="34"/>
      <c r="K92" s="61"/>
      <c r="L92" s="34"/>
      <c r="M92" s="34">
        <v>500</v>
      </c>
      <c r="N92" s="62" t="s">
        <v>142</v>
      </c>
      <c r="O92" s="62" t="s">
        <v>142</v>
      </c>
      <c r="P92" s="34"/>
      <c r="Q92" s="32"/>
      <c r="R92" s="32"/>
      <c r="S92" s="33"/>
      <c r="T92" s="33"/>
      <c r="U92" s="46">
        <f t="shared" si="53"/>
        <v>1109.4280000000001</v>
      </c>
      <c r="V92" s="32">
        <f t="shared" si="64"/>
        <v>0</v>
      </c>
      <c r="W92" s="46">
        <f t="shared" si="65"/>
        <v>1109.4280000000001</v>
      </c>
      <c r="X92" s="32">
        <f t="shared" si="66"/>
        <v>160.94280000000003</v>
      </c>
      <c r="Y92" s="32">
        <v>10.23</v>
      </c>
      <c r="Z92" s="32" t="str">
        <f t="shared" si="67"/>
        <v>XX</v>
      </c>
      <c r="AA92" s="46" t="e">
        <f t="shared" si="68"/>
        <v>#VALUE!</v>
      </c>
      <c r="AB92" s="51"/>
      <c r="AC92" s="52"/>
      <c r="AD92" s="47">
        <f t="shared" si="69"/>
        <v>-1109.4280000000001</v>
      </c>
      <c r="AE92" s="35">
        <v>56708845925</v>
      </c>
      <c r="AF92" s="33"/>
    </row>
    <row r="93" spans="1:32" s="18" customFormat="1">
      <c r="A93" s="33" t="s">
        <v>39</v>
      </c>
      <c r="B93" s="33" t="s">
        <v>34</v>
      </c>
      <c r="C93" s="33" t="s">
        <v>42</v>
      </c>
      <c r="D93" s="49">
        <v>42129</v>
      </c>
      <c r="E93" s="34">
        <v>739.2</v>
      </c>
      <c r="F93" s="34">
        <f>770.045+3.714</f>
        <v>773.75900000000001</v>
      </c>
      <c r="G93" s="34"/>
      <c r="H93" s="34"/>
      <c r="I93" s="46">
        <f t="shared" si="52"/>
        <v>773.75900000000001</v>
      </c>
      <c r="J93" s="34"/>
      <c r="K93" s="61"/>
      <c r="L93" s="34"/>
      <c r="M93" s="34"/>
      <c r="N93" s="62"/>
      <c r="O93" s="62"/>
      <c r="P93" s="34"/>
      <c r="Q93" s="32"/>
      <c r="R93" s="32"/>
      <c r="S93" s="33"/>
      <c r="T93" s="33"/>
      <c r="U93" s="46">
        <f t="shared" si="53"/>
        <v>773.75900000000001</v>
      </c>
      <c r="V93" s="32">
        <f t="shared" ref="V93" si="72">IF(I93&gt;2250,I93*0.1,0)</f>
        <v>0</v>
      </c>
      <c r="W93" s="46">
        <f t="shared" ref="W93" si="73">+U93-V93</f>
        <v>773.75900000000001</v>
      </c>
      <c r="X93" s="32">
        <f t="shared" si="66"/>
        <v>77.375900000000001</v>
      </c>
      <c r="Y93" s="32">
        <v>10.23</v>
      </c>
      <c r="Z93" s="32">
        <f t="shared" si="67"/>
        <v>0</v>
      </c>
      <c r="AA93" s="46">
        <f t="shared" si="68"/>
        <v>861.36490000000003</v>
      </c>
      <c r="AB93" s="51"/>
      <c r="AC93" s="52"/>
      <c r="AD93" s="47">
        <f t="shared" si="69"/>
        <v>-773.75900000000001</v>
      </c>
      <c r="AE93" s="35">
        <v>56708845939</v>
      </c>
      <c r="AF93" s="35"/>
    </row>
    <row r="94" spans="1:32" s="18" customFormat="1">
      <c r="A94" s="33" t="s">
        <v>39</v>
      </c>
      <c r="B94" s="33" t="s">
        <v>143</v>
      </c>
      <c r="C94" s="33" t="s">
        <v>42</v>
      </c>
      <c r="D94" s="49">
        <v>42815</v>
      </c>
      <c r="E94" s="34">
        <v>560.28</v>
      </c>
      <c r="F94" s="34">
        <f>267+2.972</f>
        <v>269.97199999999998</v>
      </c>
      <c r="G94" s="34"/>
      <c r="H94" s="34"/>
      <c r="I94" s="46">
        <f t="shared" si="52"/>
        <v>269.97199999999998</v>
      </c>
      <c r="J94" s="34"/>
      <c r="K94" s="61"/>
      <c r="L94" s="34"/>
      <c r="M94" s="34"/>
      <c r="N94" s="62"/>
      <c r="O94" s="62"/>
      <c r="P94" s="34"/>
      <c r="Q94" s="32"/>
      <c r="R94" s="32"/>
      <c r="S94" s="33"/>
      <c r="T94" s="33"/>
      <c r="U94" s="46">
        <f t="shared" si="53"/>
        <v>269.97199999999998</v>
      </c>
      <c r="V94" s="32"/>
      <c r="W94" s="46"/>
      <c r="X94" s="32"/>
      <c r="Y94" s="32"/>
      <c r="Z94" s="32"/>
      <c r="AA94" s="46"/>
      <c r="AB94" s="51"/>
      <c r="AC94" s="52"/>
      <c r="AD94" s="47"/>
      <c r="AE94" s="35">
        <v>60589426888</v>
      </c>
      <c r="AF94" s="35"/>
    </row>
    <row r="95" spans="1:32" s="18" customFormat="1">
      <c r="A95" s="33" t="s">
        <v>41</v>
      </c>
      <c r="B95" s="33" t="s">
        <v>156</v>
      </c>
      <c r="C95" s="33" t="s">
        <v>155</v>
      </c>
      <c r="D95" s="49">
        <v>42912</v>
      </c>
      <c r="E95" s="34">
        <v>627.05999999999995</v>
      </c>
      <c r="F95" s="34">
        <f>914.988+2.599</f>
        <v>917.5870000000001</v>
      </c>
      <c r="G95" s="34"/>
      <c r="H95" s="34"/>
      <c r="I95" s="46">
        <f t="shared" si="52"/>
        <v>917.5870000000001</v>
      </c>
      <c r="J95" s="34"/>
      <c r="K95" s="61"/>
      <c r="L95" s="34"/>
      <c r="M95" s="34"/>
      <c r="N95" s="62"/>
      <c r="O95" s="62"/>
      <c r="P95" s="34"/>
      <c r="Q95" s="32"/>
      <c r="R95" s="32"/>
      <c r="S95" s="33"/>
      <c r="T95" s="33"/>
      <c r="U95" s="46">
        <f t="shared" si="53"/>
        <v>917.5870000000001</v>
      </c>
      <c r="V95" s="32"/>
      <c r="W95" s="46"/>
      <c r="X95" s="32"/>
      <c r="Y95" s="32"/>
      <c r="Z95" s="32"/>
      <c r="AA95" s="46"/>
      <c r="AB95" s="51"/>
      <c r="AC95" s="52"/>
      <c r="AD95" s="47"/>
      <c r="AE95" s="35">
        <v>60592585699</v>
      </c>
      <c r="AF95" s="35"/>
    </row>
    <row r="96" spans="1:32" s="18" customFormat="1">
      <c r="A96" s="33" t="s">
        <v>39</v>
      </c>
      <c r="B96" s="33" t="s">
        <v>76</v>
      </c>
      <c r="C96" s="33" t="s">
        <v>102</v>
      </c>
      <c r="D96" s="49">
        <v>42422</v>
      </c>
      <c r="E96" s="34">
        <v>739.2</v>
      </c>
      <c r="F96" s="34">
        <f>327.4+3.714</f>
        <v>331.11399999999998</v>
      </c>
      <c r="G96" s="34"/>
      <c r="H96" s="34"/>
      <c r="I96" s="46">
        <f t="shared" si="52"/>
        <v>331.11399999999998</v>
      </c>
      <c r="J96" s="34"/>
      <c r="K96" s="61"/>
      <c r="L96" s="34"/>
      <c r="M96" s="34"/>
      <c r="N96" s="62"/>
      <c r="O96" s="62"/>
      <c r="P96" s="34"/>
      <c r="Q96" s="32"/>
      <c r="R96" s="32"/>
      <c r="S96" s="33"/>
      <c r="T96" s="33"/>
      <c r="U96" s="46">
        <f t="shared" si="53"/>
        <v>331.11399999999998</v>
      </c>
      <c r="V96" s="32">
        <f t="shared" ref="V96" si="74">IF(I96&gt;2250,I96*0.1,0)</f>
        <v>0</v>
      </c>
      <c r="W96" s="46">
        <f t="shared" ref="W96" si="75">+U96-V96</f>
        <v>331.11399999999998</v>
      </c>
      <c r="X96" s="32">
        <f t="shared" si="66"/>
        <v>33.111399999999996</v>
      </c>
      <c r="Y96" s="32">
        <v>10.23</v>
      </c>
      <c r="Z96" s="32">
        <f t="shared" si="67"/>
        <v>0</v>
      </c>
      <c r="AA96" s="46">
        <f t="shared" si="68"/>
        <v>374.4554</v>
      </c>
      <c r="AB96" s="51"/>
      <c r="AC96" s="52"/>
      <c r="AD96" s="47">
        <f t="shared" si="69"/>
        <v>-331.11399999999998</v>
      </c>
      <c r="AE96" s="35">
        <v>56708845942</v>
      </c>
      <c r="AF96" s="35"/>
    </row>
    <row r="97" spans="1:186" s="18" customFormat="1">
      <c r="A97" s="33" t="s">
        <v>41</v>
      </c>
      <c r="B97" s="33" t="s">
        <v>83</v>
      </c>
      <c r="C97" s="33" t="s">
        <v>106</v>
      </c>
      <c r="D97" s="49">
        <v>41227</v>
      </c>
      <c r="E97" s="34">
        <v>627.13</v>
      </c>
      <c r="F97" s="34">
        <f>2674.269+2.599</f>
        <v>2676.8679999999999</v>
      </c>
      <c r="G97" s="34"/>
      <c r="H97" s="34"/>
      <c r="I97" s="46">
        <f t="shared" si="52"/>
        <v>2676.8679999999999</v>
      </c>
      <c r="J97" s="34">
        <f>209.76</f>
        <v>209.76</v>
      </c>
      <c r="K97" s="61"/>
      <c r="L97" s="34"/>
      <c r="M97" s="34">
        <v>400</v>
      </c>
      <c r="N97" s="62" t="s">
        <v>142</v>
      </c>
      <c r="O97" s="62" t="s">
        <v>142</v>
      </c>
      <c r="P97" s="34"/>
      <c r="Q97" s="32"/>
      <c r="R97" s="32"/>
      <c r="S97" s="33"/>
      <c r="T97" s="33"/>
      <c r="U97" s="46">
        <f t="shared" si="53"/>
        <v>2067.1080000000002</v>
      </c>
      <c r="V97" s="32">
        <f t="shared" si="64"/>
        <v>267.68680000000001</v>
      </c>
      <c r="W97" s="46">
        <f t="shared" si="65"/>
        <v>1799.4212000000002</v>
      </c>
      <c r="X97" s="32">
        <f t="shared" si="66"/>
        <v>0</v>
      </c>
      <c r="Y97" s="32">
        <v>10.23</v>
      </c>
      <c r="Z97" s="32" t="str">
        <f t="shared" si="67"/>
        <v>XX</v>
      </c>
      <c r="AA97" s="46" t="e">
        <f t="shared" si="68"/>
        <v>#VALUE!</v>
      </c>
      <c r="AB97" s="51"/>
      <c r="AC97" s="51"/>
      <c r="AD97" s="47">
        <f t="shared" si="69"/>
        <v>-1799.4212000000002</v>
      </c>
      <c r="AE97" s="35">
        <v>56708881946</v>
      </c>
      <c r="AF97" s="35" t="s">
        <v>126</v>
      </c>
    </row>
    <row r="98" spans="1:186" s="18" customFormat="1">
      <c r="A98" s="33" t="s">
        <v>39</v>
      </c>
      <c r="B98" s="33" t="s">
        <v>149</v>
      </c>
      <c r="C98" s="33" t="s">
        <v>42</v>
      </c>
      <c r="D98" s="49">
        <v>42907</v>
      </c>
      <c r="E98" s="34">
        <v>738.99</v>
      </c>
      <c r="F98" s="34">
        <f>2864+5.571</f>
        <v>2869.5709999999999</v>
      </c>
      <c r="G98" s="34"/>
      <c r="H98" s="34"/>
      <c r="I98" s="46">
        <f t="shared" si="52"/>
        <v>2869.5709999999999</v>
      </c>
      <c r="J98" s="34"/>
      <c r="K98" s="61"/>
      <c r="L98" s="34"/>
      <c r="M98" s="34"/>
      <c r="N98" s="62"/>
      <c r="O98" s="62"/>
      <c r="P98" s="34"/>
      <c r="Q98" s="32"/>
      <c r="R98" s="32"/>
      <c r="S98" s="33"/>
      <c r="T98" s="59"/>
      <c r="U98" s="46">
        <f t="shared" si="53"/>
        <v>2869.5709999999999</v>
      </c>
      <c r="V98" s="32"/>
      <c r="W98" s="46"/>
      <c r="X98" s="32"/>
      <c r="Y98" s="32"/>
      <c r="Z98" s="32"/>
      <c r="AA98" s="46"/>
      <c r="AB98" s="51"/>
      <c r="AC98" s="51"/>
      <c r="AD98" s="47"/>
      <c r="AE98" s="35">
        <v>60592492890</v>
      </c>
      <c r="AF98" s="35"/>
    </row>
    <row r="99" spans="1:186" s="18" customFormat="1">
      <c r="A99" s="33" t="s">
        <v>41</v>
      </c>
      <c r="B99" s="33" t="s">
        <v>112</v>
      </c>
      <c r="C99" s="33" t="s">
        <v>102</v>
      </c>
      <c r="D99" s="49">
        <v>42635</v>
      </c>
      <c r="E99" s="34">
        <v>560.28</v>
      </c>
      <c r="F99" s="34">
        <v>385.8</v>
      </c>
      <c r="G99" s="34"/>
      <c r="H99" s="34"/>
      <c r="I99" s="46">
        <f t="shared" si="52"/>
        <v>385.8</v>
      </c>
      <c r="J99" s="34"/>
      <c r="K99" s="61"/>
      <c r="L99" s="34"/>
      <c r="M99" s="34"/>
      <c r="N99" s="62" t="s">
        <v>142</v>
      </c>
      <c r="O99" s="62" t="s">
        <v>142</v>
      </c>
      <c r="P99" s="34"/>
      <c r="Q99" s="32"/>
      <c r="R99" s="32"/>
      <c r="S99" s="33"/>
      <c r="T99" s="33"/>
      <c r="U99" s="46">
        <f t="shared" si="53"/>
        <v>385.8</v>
      </c>
      <c r="V99" s="32">
        <f t="shared" ref="V99" si="76">IF(I99&gt;2250,I99*0.1,0)</f>
        <v>0</v>
      </c>
      <c r="W99" s="46">
        <f t="shared" ref="W99" si="77">+U99-V99</f>
        <v>385.8</v>
      </c>
      <c r="X99" s="32"/>
      <c r="Y99" s="32"/>
      <c r="Z99" s="32"/>
      <c r="AA99" s="46"/>
      <c r="AB99" s="51"/>
      <c r="AC99" s="51"/>
      <c r="AD99" s="47"/>
      <c r="AE99" s="35">
        <v>56708881608</v>
      </c>
      <c r="AF99" s="33"/>
    </row>
    <row r="100" spans="1:186" s="18" customFormat="1">
      <c r="A100" s="33" t="s">
        <v>41</v>
      </c>
      <c r="B100" s="33" t="s">
        <v>84</v>
      </c>
      <c r="C100" s="33" t="s">
        <v>106</v>
      </c>
      <c r="D100" s="49">
        <v>41703</v>
      </c>
      <c r="E100" s="34">
        <v>623.35</v>
      </c>
      <c r="F100" s="34">
        <v>1101.0909999999999</v>
      </c>
      <c r="G100" s="34"/>
      <c r="H100" s="34"/>
      <c r="I100" s="46">
        <f t="shared" si="52"/>
        <v>1101.0909999999999</v>
      </c>
      <c r="J100" s="34"/>
      <c r="K100" s="61"/>
      <c r="L100" s="34"/>
      <c r="M100" s="34"/>
      <c r="N100" s="62" t="s">
        <v>142</v>
      </c>
      <c r="O100" s="62" t="s">
        <v>142</v>
      </c>
      <c r="P100" s="34"/>
      <c r="Q100" s="32"/>
      <c r="R100" s="32"/>
      <c r="S100" s="33"/>
      <c r="T100" s="33"/>
      <c r="U100" s="46">
        <f t="shared" si="53"/>
        <v>1101.0909999999999</v>
      </c>
      <c r="V100" s="32">
        <f t="shared" si="64"/>
        <v>0</v>
      </c>
      <c r="W100" s="46">
        <f t="shared" si="65"/>
        <v>1101.0909999999999</v>
      </c>
      <c r="X100" s="32">
        <f t="shared" si="66"/>
        <v>110.1091</v>
      </c>
      <c r="Y100" s="32">
        <v>10.23</v>
      </c>
      <c r="Z100" s="32" t="str">
        <f t="shared" si="67"/>
        <v>XX</v>
      </c>
      <c r="AA100" s="46" t="e">
        <f t="shared" si="68"/>
        <v>#VALUE!</v>
      </c>
      <c r="AB100" s="51"/>
      <c r="AC100" s="51"/>
      <c r="AD100" s="47">
        <f t="shared" si="69"/>
        <v>-1101.0909999999999</v>
      </c>
      <c r="AE100" s="35">
        <v>56708845973</v>
      </c>
      <c r="AF100" s="33"/>
    </row>
    <row r="101" spans="1:186" s="18" customFormat="1">
      <c r="A101" s="33" t="s">
        <v>41</v>
      </c>
      <c r="B101" s="33" t="s">
        <v>51</v>
      </c>
      <c r="C101" s="33" t="s">
        <v>106</v>
      </c>
      <c r="D101" s="49">
        <v>41291</v>
      </c>
      <c r="E101" s="34">
        <v>627.13</v>
      </c>
      <c r="F101" s="34">
        <f>2756.937+2.599</f>
        <v>2759.5360000000001</v>
      </c>
      <c r="G101" s="34"/>
      <c r="H101" s="34"/>
      <c r="I101" s="46">
        <f t="shared" si="52"/>
        <v>2759.5360000000001</v>
      </c>
      <c r="J101" s="34">
        <v>216.71</v>
      </c>
      <c r="K101" s="61"/>
      <c r="L101" s="34"/>
      <c r="M101" s="34">
        <v>200</v>
      </c>
      <c r="N101" s="62" t="s">
        <v>142</v>
      </c>
      <c r="O101" s="62" t="s">
        <v>142</v>
      </c>
      <c r="P101" s="34">
        <v>343.11</v>
      </c>
      <c r="Q101" s="32"/>
      <c r="R101" s="32"/>
      <c r="S101" s="33"/>
      <c r="T101" s="33"/>
      <c r="U101" s="46">
        <f t="shared" si="53"/>
        <v>1999.7159999999999</v>
      </c>
      <c r="V101" s="32">
        <f t="shared" si="64"/>
        <v>275.95359999999999</v>
      </c>
      <c r="W101" s="46">
        <f t="shared" si="65"/>
        <v>1723.7623999999998</v>
      </c>
      <c r="X101" s="32">
        <f t="shared" si="66"/>
        <v>0</v>
      </c>
      <c r="Y101" s="32">
        <v>10.23</v>
      </c>
      <c r="Z101" s="32" t="str">
        <f t="shared" si="67"/>
        <v>XX</v>
      </c>
      <c r="AA101" s="46" t="e">
        <f t="shared" si="68"/>
        <v>#VALUE!</v>
      </c>
      <c r="AB101" s="51"/>
      <c r="AC101" s="51"/>
      <c r="AD101" s="47">
        <f t="shared" si="69"/>
        <v>-1723.7623999999998</v>
      </c>
      <c r="AE101" s="35">
        <v>56708881963</v>
      </c>
      <c r="AF101" s="35" t="s">
        <v>126</v>
      </c>
    </row>
    <row r="102" spans="1:186" s="18" customFormat="1">
      <c r="A102" s="33" t="s">
        <v>39</v>
      </c>
      <c r="B102" s="33" t="s">
        <v>59</v>
      </c>
      <c r="C102" s="33" t="s">
        <v>42</v>
      </c>
      <c r="D102" s="49">
        <v>41666</v>
      </c>
      <c r="E102" s="34">
        <v>739.2</v>
      </c>
      <c r="F102" s="34">
        <f>2509.8+7.428</f>
        <v>2517.2280000000001</v>
      </c>
      <c r="G102" s="34"/>
      <c r="H102" s="34"/>
      <c r="I102" s="46">
        <f t="shared" si="52"/>
        <v>2517.2280000000001</v>
      </c>
      <c r="J102" s="34"/>
      <c r="K102" s="61"/>
      <c r="L102" s="34"/>
      <c r="M102" s="34">
        <v>200</v>
      </c>
      <c r="N102" s="62"/>
      <c r="O102" s="62"/>
      <c r="P102" s="34"/>
      <c r="Q102" s="32"/>
      <c r="R102" s="32"/>
      <c r="S102" s="33"/>
      <c r="T102" s="33">
        <v>442.08</v>
      </c>
      <c r="U102" s="46">
        <f t="shared" si="53"/>
        <v>1875.1480000000001</v>
      </c>
      <c r="V102" s="32">
        <f t="shared" si="64"/>
        <v>251.72280000000001</v>
      </c>
      <c r="W102" s="46">
        <f t="shared" si="65"/>
        <v>1623.4252000000001</v>
      </c>
      <c r="X102" s="32">
        <f t="shared" si="66"/>
        <v>0</v>
      </c>
      <c r="Y102" s="32">
        <v>10.23</v>
      </c>
      <c r="Z102" s="32">
        <f t="shared" si="67"/>
        <v>0</v>
      </c>
      <c r="AA102" s="46">
        <f t="shared" si="68"/>
        <v>2527.4580000000001</v>
      </c>
      <c r="AB102" s="51"/>
      <c r="AC102" s="52"/>
      <c r="AD102" s="47">
        <f t="shared" si="69"/>
        <v>-1623.4252000000001</v>
      </c>
      <c r="AE102" s="35">
        <v>56708845990</v>
      </c>
      <c r="AF102" s="33"/>
    </row>
    <row r="103" spans="1:186" s="18" customFormat="1">
      <c r="A103" s="33" t="s">
        <v>39</v>
      </c>
      <c r="B103" s="33" t="s">
        <v>134</v>
      </c>
      <c r="C103" s="33" t="s">
        <v>42</v>
      </c>
      <c r="D103" s="49">
        <v>42809</v>
      </c>
      <c r="E103" s="34">
        <v>560.28</v>
      </c>
      <c r="F103" s="34">
        <f>1506.04+7.428</f>
        <v>1513.4680000000001</v>
      </c>
      <c r="G103" s="34"/>
      <c r="H103" s="34"/>
      <c r="I103" s="46">
        <f t="shared" si="52"/>
        <v>1513.4680000000001</v>
      </c>
      <c r="J103" s="34"/>
      <c r="K103" s="61"/>
      <c r="L103" s="34"/>
      <c r="M103" s="34"/>
      <c r="N103" s="62"/>
      <c r="O103" s="62"/>
      <c r="P103" s="34"/>
      <c r="Q103" s="32"/>
      <c r="R103" s="32"/>
      <c r="S103" s="33"/>
      <c r="T103" s="33"/>
      <c r="U103" s="46">
        <f t="shared" si="53"/>
        <v>1513.4680000000001</v>
      </c>
      <c r="V103" s="32"/>
      <c r="W103" s="46"/>
      <c r="X103" s="32"/>
      <c r="Y103" s="32"/>
      <c r="Z103" s="32"/>
      <c r="AA103" s="46"/>
      <c r="AB103" s="51"/>
      <c r="AC103" s="52"/>
      <c r="AD103" s="47"/>
      <c r="AE103" s="35">
        <v>60589597089</v>
      </c>
      <c r="AF103" s="35"/>
    </row>
    <row r="104" spans="1:186" s="18" customFormat="1">
      <c r="A104" s="33" t="s">
        <v>39</v>
      </c>
      <c r="B104" s="33" t="s">
        <v>162</v>
      </c>
      <c r="C104" s="33" t="s">
        <v>42</v>
      </c>
      <c r="D104" s="49">
        <v>42923</v>
      </c>
      <c r="E104" s="34">
        <v>1200.01</v>
      </c>
      <c r="F104" s="34">
        <v>0</v>
      </c>
      <c r="G104" s="34"/>
      <c r="H104" s="34"/>
      <c r="I104" s="46">
        <f t="shared" si="52"/>
        <v>0</v>
      </c>
      <c r="J104" s="34"/>
      <c r="K104" s="61">
        <v>1</v>
      </c>
      <c r="L104" s="34"/>
      <c r="M104" s="34"/>
      <c r="N104" s="62"/>
      <c r="O104" s="62"/>
      <c r="P104" s="34"/>
      <c r="Q104" s="32"/>
      <c r="R104" s="32"/>
      <c r="S104" s="33"/>
      <c r="T104" s="33"/>
      <c r="U104" s="46">
        <f t="shared" si="53"/>
        <v>-1</v>
      </c>
      <c r="V104" s="32"/>
      <c r="W104" s="46"/>
      <c r="X104" s="32"/>
      <c r="Y104" s="32"/>
      <c r="Z104" s="32"/>
      <c r="AA104" s="46"/>
      <c r="AB104" s="51"/>
      <c r="AC104" s="52"/>
      <c r="AD104" s="47"/>
      <c r="AE104" s="35">
        <v>56708881977</v>
      </c>
      <c r="AF104" s="35"/>
    </row>
    <row r="105" spans="1:186" s="18" customFormat="1">
      <c r="A105" s="33" t="s">
        <v>41</v>
      </c>
      <c r="B105" s="33" t="s">
        <v>125</v>
      </c>
      <c r="C105" s="33" t="s">
        <v>102</v>
      </c>
      <c r="D105" s="49">
        <v>42752</v>
      </c>
      <c r="E105" s="34">
        <v>560.28</v>
      </c>
      <c r="F105" s="34">
        <v>431.25599999999997</v>
      </c>
      <c r="G105" s="34"/>
      <c r="H105" s="34"/>
      <c r="I105" s="46">
        <f t="shared" si="52"/>
        <v>431.25599999999997</v>
      </c>
      <c r="J105" s="34"/>
      <c r="K105" s="61"/>
      <c r="L105" s="34"/>
      <c r="M105" s="34"/>
      <c r="N105" s="62" t="s">
        <v>142</v>
      </c>
      <c r="O105" s="62" t="s">
        <v>142</v>
      </c>
      <c r="P105" s="34"/>
      <c r="Q105" s="32"/>
      <c r="R105" s="32"/>
      <c r="S105" s="33"/>
      <c r="T105" s="33"/>
      <c r="U105" s="46">
        <f t="shared" si="53"/>
        <v>431.25599999999997</v>
      </c>
      <c r="V105" s="32">
        <f t="shared" ref="V105" si="78">IF(I105&gt;2250,I105*0.1,0)</f>
        <v>0</v>
      </c>
      <c r="W105" s="46">
        <f t="shared" ref="W105" si="79">+U105-V105</f>
        <v>431.25599999999997</v>
      </c>
      <c r="X105" s="32"/>
      <c r="Y105" s="32"/>
      <c r="Z105" s="32"/>
      <c r="AA105" s="46"/>
      <c r="AB105" s="51"/>
      <c r="AC105" s="52"/>
      <c r="AD105" s="47"/>
      <c r="AE105" s="35">
        <v>60589634536</v>
      </c>
      <c r="AF105" s="35"/>
    </row>
    <row r="106" spans="1:186" s="18" customFormat="1">
      <c r="A106" s="33" t="s">
        <v>41</v>
      </c>
      <c r="B106" s="33" t="s">
        <v>101</v>
      </c>
      <c r="C106" s="33" t="s">
        <v>105</v>
      </c>
      <c r="D106" s="49">
        <v>29733</v>
      </c>
      <c r="E106" s="34">
        <v>627.13</v>
      </c>
      <c r="F106" s="34">
        <f>3184.472+3.714</f>
        <v>3188.1860000000001</v>
      </c>
      <c r="G106" s="34"/>
      <c r="H106" s="34"/>
      <c r="I106" s="46">
        <f t="shared" si="52"/>
        <v>3188.1860000000001</v>
      </c>
      <c r="J106" s="34">
        <v>470.2</v>
      </c>
      <c r="K106" s="61"/>
      <c r="L106" s="34"/>
      <c r="M106" s="34">
        <v>150</v>
      </c>
      <c r="N106" s="62" t="s">
        <v>142</v>
      </c>
      <c r="O106" s="62" t="s">
        <v>142</v>
      </c>
      <c r="P106" s="34"/>
      <c r="Q106" s="32"/>
      <c r="R106" s="32"/>
      <c r="S106" s="33"/>
      <c r="T106" s="33"/>
      <c r="U106" s="46">
        <f t="shared" si="53"/>
        <v>2567.9859999999999</v>
      </c>
      <c r="V106" s="32">
        <f t="shared" si="64"/>
        <v>318.81860000000006</v>
      </c>
      <c r="W106" s="46">
        <f t="shared" si="65"/>
        <v>2249.1673999999998</v>
      </c>
      <c r="X106" s="32">
        <f t="shared" si="66"/>
        <v>0</v>
      </c>
      <c r="Y106" s="32">
        <v>10.23</v>
      </c>
      <c r="Z106" s="32" t="str">
        <f t="shared" si="67"/>
        <v>XX</v>
      </c>
      <c r="AA106" s="46" t="e">
        <f t="shared" si="68"/>
        <v>#VALUE!</v>
      </c>
      <c r="AB106" s="51"/>
      <c r="AC106" s="52"/>
      <c r="AD106" s="47">
        <f t="shared" si="69"/>
        <v>-2249.1673999999998</v>
      </c>
      <c r="AE106" s="35">
        <v>60589747903</v>
      </c>
      <c r="AF106" s="35" t="s">
        <v>126</v>
      </c>
    </row>
    <row r="107" spans="1:186" s="18" customFormat="1">
      <c r="A107" s="33" t="s">
        <v>39</v>
      </c>
      <c r="B107" s="33" t="s">
        <v>174</v>
      </c>
      <c r="C107" s="33" t="s">
        <v>122</v>
      </c>
      <c r="D107" s="49">
        <v>42604</v>
      </c>
      <c r="E107" s="34">
        <v>560.28</v>
      </c>
      <c r="F107" s="34">
        <v>256.875</v>
      </c>
      <c r="G107" s="34"/>
      <c r="H107" s="34"/>
      <c r="I107" s="46">
        <f t="shared" si="52"/>
        <v>256.875</v>
      </c>
      <c r="J107" s="34"/>
      <c r="K107" s="61"/>
      <c r="L107" s="34"/>
      <c r="M107" s="34"/>
      <c r="N107" s="62" t="s">
        <v>142</v>
      </c>
      <c r="O107" s="62" t="s">
        <v>142</v>
      </c>
      <c r="P107" s="34"/>
      <c r="Q107" s="32"/>
      <c r="R107" s="32"/>
      <c r="S107" s="33"/>
      <c r="T107" s="33"/>
      <c r="U107" s="46">
        <f t="shared" si="53"/>
        <v>256.875</v>
      </c>
      <c r="V107" s="32">
        <f t="shared" ref="V107" si="80">IF(I107&gt;2250,I107*0.1,0)</f>
        <v>0</v>
      </c>
      <c r="W107" s="46">
        <f t="shared" ref="W107" si="81">+U107-V107</f>
        <v>256.875</v>
      </c>
      <c r="X107" s="32"/>
      <c r="Y107" s="32"/>
      <c r="Z107" s="32"/>
      <c r="AA107" s="46"/>
      <c r="AB107" s="51"/>
      <c r="AC107" s="57"/>
      <c r="AD107" s="47"/>
      <c r="AE107" s="35">
        <v>60590218306</v>
      </c>
      <c r="AF107" s="33"/>
    </row>
    <row r="108" spans="1:186" s="18" customFormat="1">
      <c r="A108" s="33" t="s">
        <v>39</v>
      </c>
      <c r="B108" s="33" t="s">
        <v>35</v>
      </c>
      <c r="C108" s="33" t="s">
        <v>42</v>
      </c>
      <c r="D108" s="49">
        <v>42361</v>
      </c>
      <c r="E108" s="34">
        <v>739.2</v>
      </c>
      <c r="F108" s="34">
        <f>1495.2+7.428</f>
        <v>1502.6280000000002</v>
      </c>
      <c r="G108" s="34"/>
      <c r="H108" s="34"/>
      <c r="I108" s="46">
        <f t="shared" si="52"/>
        <v>1502.6280000000002</v>
      </c>
      <c r="J108" s="34"/>
      <c r="K108" s="61"/>
      <c r="L108" s="34"/>
      <c r="M108" s="34"/>
      <c r="N108" s="62"/>
      <c r="O108" s="62"/>
      <c r="P108" s="34"/>
      <c r="Q108" s="32"/>
      <c r="R108" s="32"/>
      <c r="S108" s="33"/>
      <c r="T108" s="33"/>
      <c r="U108" s="46">
        <f t="shared" si="53"/>
        <v>1502.6280000000002</v>
      </c>
      <c r="V108" s="32">
        <f>IF(I108&gt;2250,I108*0.1,0)</f>
        <v>0</v>
      </c>
      <c r="W108" s="46">
        <f>+U108-V108</f>
        <v>1502.6280000000002</v>
      </c>
      <c r="X108" s="32">
        <f>IF(I108&lt;2250,I108*0.1,0)</f>
        <v>150.26280000000003</v>
      </c>
      <c r="Y108" s="32">
        <v>10.23</v>
      </c>
      <c r="Z108" s="32">
        <f>+N108</f>
        <v>0</v>
      </c>
      <c r="AA108" s="46">
        <f>+I108+X108+Y108+Z108</f>
        <v>1663.1208000000001</v>
      </c>
      <c r="AB108" s="51"/>
      <c r="AC108" s="56"/>
      <c r="AD108" s="47">
        <f>+AB108+AC108-W108</f>
        <v>-1502.6280000000002</v>
      </c>
      <c r="AE108" s="35">
        <v>56708846047</v>
      </c>
      <c r="AF108" s="35"/>
    </row>
    <row r="109" spans="1:186" s="18" customFormat="1">
      <c r="A109" s="33" t="s">
        <v>39</v>
      </c>
      <c r="B109" s="33" t="s">
        <v>58</v>
      </c>
      <c r="C109" s="33" t="s">
        <v>42</v>
      </c>
      <c r="D109" s="49">
        <v>41549</v>
      </c>
      <c r="E109" s="34">
        <v>739.2</v>
      </c>
      <c r="F109" s="34">
        <f>2651.94+13.099</f>
        <v>2665.0390000000002</v>
      </c>
      <c r="G109" s="34"/>
      <c r="H109" s="34"/>
      <c r="I109" s="46">
        <f t="shared" si="52"/>
        <v>2665.0390000000002</v>
      </c>
      <c r="J109" s="34"/>
      <c r="K109" s="61">
        <v>1</v>
      </c>
      <c r="L109" s="34"/>
      <c r="M109" s="34">
        <v>500</v>
      </c>
      <c r="N109" s="62"/>
      <c r="O109" s="62"/>
      <c r="P109" s="34"/>
      <c r="Q109" s="32"/>
      <c r="R109" s="32"/>
      <c r="S109" s="33"/>
      <c r="T109" s="33"/>
      <c r="U109" s="46">
        <f t="shared" si="53"/>
        <v>2164.0390000000002</v>
      </c>
      <c r="V109" s="32">
        <f>IF(I109&gt;2250,I109*0.1,0)</f>
        <v>266.50390000000004</v>
      </c>
      <c r="W109" s="46">
        <f>+U109-V109</f>
        <v>1897.5351000000001</v>
      </c>
      <c r="X109" s="32">
        <f>IF(I109&lt;2250,I109*0.1,0)</f>
        <v>0</v>
      </c>
      <c r="Y109" s="32">
        <v>10.23</v>
      </c>
      <c r="Z109" s="32">
        <f>+N109</f>
        <v>0</v>
      </c>
      <c r="AA109" s="46">
        <f>+I109+X109+Y109+Z109</f>
        <v>2675.2690000000002</v>
      </c>
      <c r="AB109" s="51"/>
      <c r="AC109" s="52"/>
      <c r="AD109" s="47">
        <f>+AB109+AC109-W109</f>
        <v>-1897.5351000000001</v>
      </c>
      <c r="AE109" s="35">
        <v>56708846050</v>
      </c>
      <c r="AF109" s="35"/>
    </row>
    <row r="110" spans="1:186">
      <c r="A110" s="28"/>
      <c r="B110" s="33"/>
      <c r="C110" s="28"/>
      <c r="D110" s="60"/>
      <c r="E110" s="60"/>
      <c r="F110" s="30"/>
      <c r="G110" s="30"/>
      <c r="H110" s="30"/>
      <c r="I110" s="46">
        <f t="shared" si="52"/>
        <v>0</v>
      </c>
      <c r="J110" s="34"/>
      <c r="K110" s="34"/>
      <c r="L110" s="34"/>
      <c r="M110" s="34"/>
      <c r="N110" s="34"/>
      <c r="O110" s="34"/>
      <c r="P110" s="34"/>
      <c r="Q110" s="32"/>
      <c r="R110" s="32"/>
      <c r="S110" s="32"/>
      <c r="T110" s="32"/>
      <c r="U110" s="46"/>
      <c r="V110" s="32"/>
      <c r="W110" s="46"/>
      <c r="X110" s="55"/>
      <c r="Y110" s="55"/>
      <c r="Z110" s="55"/>
      <c r="AA110" s="54"/>
      <c r="AB110" s="44"/>
      <c r="AC110" s="44"/>
      <c r="AD110" s="39"/>
      <c r="AE110" s="28"/>
      <c r="AF110" s="28"/>
      <c r="AU110" s="18"/>
      <c r="AV110" s="18"/>
      <c r="AW110" s="18"/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/>
      <c r="CD110" s="18"/>
      <c r="CE110" s="18"/>
      <c r="CF110" s="18"/>
      <c r="CG110" s="18"/>
      <c r="CH110" s="18"/>
      <c r="CI110" s="18"/>
      <c r="CJ110" s="18"/>
      <c r="CK110" s="18"/>
      <c r="CL110" s="18"/>
      <c r="CM110" s="18"/>
      <c r="CN110" s="18"/>
      <c r="CO110" s="18"/>
      <c r="CP110" s="18"/>
      <c r="CQ110" s="18"/>
      <c r="CR110" s="18"/>
      <c r="CS110" s="18"/>
      <c r="CT110" s="18"/>
      <c r="CU110" s="18"/>
      <c r="CV110" s="18"/>
      <c r="CW110" s="18"/>
      <c r="CX110" s="18"/>
      <c r="CY110" s="18"/>
      <c r="CZ110" s="18"/>
      <c r="DA110" s="18"/>
      <c r="DB110" s="18"/>
      <c r="DC110" s="18"/>
      <c r="DD110" s="18"/>
      <c r="DE110" s="18"/>
      <c r="DF110" s="18"/>
      <c r="DG110" s="18"/>
      <c r="DH110" s="18"/>
      <c r="DI110" s="18"/>
      <c r="DJ110" s="18"/>
      <c r="DK110" s="18"/>
      <c r="DL110" s="18"/>
      <c r="DM110" s="18"/>
      <c r="DN110" s="18"/>
      <c r="DO110" s="18"/>
      <c r="DP110" s="18"/>
      <c r="DQ110" s="18"/>
      <c r="DR110" s="18"/>
      <c r="DS110" s="18"/>
      <c r="DT110" s="18"/>
      <c r="DU110" s="18"/>
      <c r="DV110" s="18"/>
      <c r="DW110" s="18"/>
      <c r="DX110" s="18"/>
      <c r="DY110" s="18"/>
      <c r="DZ110" s="18"/>
      <c r="EA110" s="18"/>
      <c r="EB110" s="18"/>
      <c r="EC110" s="18"/>
      <c r="ED110" s="18"/>
      <c r="EE110" s="18"/>
      <c r="EF110" s="18"/>
      <c r="EG110" s="18"/>
      <c r="EH110" s="18"/>
      <c r="EI110" s="18"/>
      <c r="EJ110" s="18"/>
      <c r="EK110" s="18"/>
      <c r="EL110" s="18"/>
      <c r="EM110" s="18"/>
      <c r="EN110" s="18"/>
      <c r="EO110" s="18"/>
      <c r="EP110" s="18"/>
      <c r="EQ110" s="18"/>
      <c r="ER110" s="18"/>
      <c r="ES110" s="18"/>
      <c r="ET110" s="18"/>
      <c r="EU110" s="18"/>
      <c r="EV110" s="18"/>
      <c r="EW110" s="18"/>
      <c r="EX110" s="18"/>
      <c r="EY110" s="18"/>
      <c r="EZ110" s="18"/>
      <c r="FA110" s="18"/>
      <c r="FB110" s="18"/>
      <c r="FC110" s="18"/>
      <c r="FD110" s="18"/>
      <c r="FE110" s="18"/>
      <c r="FF110" s="18"/>
      <c r="FG110" s="18"/>
      <c r="FH110" s="18"/>
      <c r="FI110" s="18"/>
      <c r="FJ110" s="18"/>
      <c r="FK110" s="18"/>
      <c r="FL110" s="18"/>
      <c r="FM110" s="18"/>
      <c r="FN110" s="18"/>
      <c r="FO110" s="18"/>
      <c r="FP110" s="18"/>
      <c r="FQ110" s="18"/>
      <c r="FR110" s="18"/>
      <c r="FS110" s="18"/>
      <c r="FT110" s="18"/>
      <c r="FU110" s="18"/>
      <c r="FV110" s="18"/>
      <c r="FW110" s="18"/>
      <c r="FX110" s="18"/>
      <c r="FY110" s="18"/>
      <c r="FZ110" s="18"/>
      <c r="GA110" s="18"/>
      <c r="GB110" s="18"/>
      <c r="GC110" s="18"/>
      <c r="GD110" s="18"/>
    </row>
    <row r="111" spans="1:186">
      <c r="A111" s="28"/>
      <c r="B111" s="35" t="s">
        <v>129</v>
      </c>
      <c r="C111" s="28"/>
      <c r="D111" s="60"/>
      <c r="E111" s="38">
        <f>SUM(E65:E109)</f>
        <v>29234.25</v>
      </c>
      <c r="F111" s="38">
        <f>SUM(F65:F109)</f>
        <v>55311.958000000013</v>
      </c>
      <c r="G111" s="38">
        <f t="shared" ref="G111:W111" si="82">SUM(G65:G109)</f>
        <v>1243.54</v>
      </c>
      <c r="H111" s="38">
        <f t="shared" si="82"/>
        <v>0</v>
      </c>
      <c r="I111" s="46">
        <f t="shared" si="52"/>
        <v>56555.498000000014</v>
      </c>
      <c r="J111" s="38">
        <f t="shared" si="82"/>
        <v>2188.87</v>
      </c>
      <c r="K111" s="38">
        <f t="shared" si="82"/>
        <v>6</v>
      </c>
      <c r="L111" s="38">
        <f t="shared" si="82"/>
        <v>0</v>
      </c>
      <c r="M111" s="38">
        <f t="shared" si="82"/>
        <v>4900</v>
      </c>
      <c r="N111" s="38">
        <f t="shared" si="82"/>
        <v>0</v>
      </c>
      <c r="O111" s="38">
        <f t="shared" si="82"/>
        <v>0</v>
      </c>
      <c r="P111" s="38">
        <f t="shared" si="82"/>
        <v>343.11</v>
      </c>
      <c r="Q111" s="38">
        <f t="shared" si="82"/>
        <v>0</v>
      </c>
      <c r="R111" s="38">
        <f t="shared" si="82"/>
        <v>0</v>
      </c>
      <c r="S111" s="38">
        <f t="shared" si="82"/>
        <v>0</v>
      </c>
      <c r="T111" s="38">
        <f t="shared" si="82"/>
        <v>942.04</v>
      </c>
      <c r="U111" s="38">
        <f t="shared" si="82"/>
        <v>48175.478000000003</v>
      </c>
      <c r="V111" s="38">
        <f t="shared" si="82"/>
        <v>2495.2294000000006</v>
      </c>
      <c r="W111" s="38">
        <f t="shared" si="82"/>
        <v>34819.711900000009</v>
      </c>
      <c r="X111" s="55"/>
      <c r="Y111" s="55"/>
      <c r="Z111" s="55"/>
      <c r="AA111" s="54"/>
      <c r="AB111" s="44"/>
      <c r="AC111" s="44"/>
      <c r="AD111" s="39"/>
      <c r="AE111" s="28"/>
      <c r="AF111" s="28"/>
      <c r="AU111" s="18"/>
      <c r="AV111" s="18"/>
      <c r="AW111" s="18"/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  <c r="CD111" s="18"/>
      <c r="CE111" s="18"/>
      <c r="CF111" s="18"/>
      <c r="CG111" s="18"/>
      <c r="CH111" s="18"/>
      <c r="CI111" s="18"/>
      <c r="CJ111" s="18"/>
      <c r="CK111" s="18"/>
      <c r="CL111" s="18"/>
      <c r="CM111" s="18"/>
      <c r="CN111" s="18"/>
      <c r="CO111" s="18"/>
      <c r="CP111" s="18"/>
      <c r="CQ111" s="18"/>
      <c r="CR111" s="18"/>
      <c r="CS111" s="18"/>
      <c r="CT111" s="18"/>
      <c r="CU111" s="18"/>
      <c r="CV111" s="18"/>
      <c r="CW111" s="18"/>
      <c r="CX111" s="18"/>
      <c r="CY111" s="18"/>
      <c r="CZ111" s="18"/>
      <c r="DA111" s="18"/>
      <c r="DB111" s="18"/>
      <c r="DC111" s="18"/>
      <c r="DD111" s="18"/>
      <c r="DE111" s="18"/>
      <c r="DF111" s="18"/>
      <c r="DG111" s="18"/>
      <c r="DH111" s="18"/>
      <c r="DI111" s="18"/>
      <c r="DJ111" s="18"/>
      <c r="DK111" s="18"/>
      <c r="DL111" s="18"/>
      <c r="DM111" s="18"/>
      <c r="DN111" s="18"/>
      <c r="DO111" s="18"/>
      <c r="DP111" s="18"/>
      <c r="DQ111" s="18"/>
      <c r="DR111" s="18"/>
      <c r="DS111" s="18"/>
      <c r="DT111" s="18"/>
      <c r="DU111" s="18"/>
      <c r="DV111" s="18"/>
      <c r="DW111" s="18"/>
      <c r="DX111" s="18"/>
      <c r="DY111" s="18"/>
      <c r="DZ111" s="18"/>
      <c r="EA111" s="18"/>
      <c r="EB111" s="18"/>
      <c r="EC111" s="18"/>
      <c r="ED111" s="18"/>
      <c r="EE111" s="18"/>
      <c r="EF111" s="18"/>
      <c r="EG111" s="18"/>
      <c r="EH111" s="18"/>
      <c r="EI111" s="18"/>
      <c r="EJ111" s="18"/>
      <c r="EK111" s="18"/>
      <c r="EL111" s="18"/>
      <c r="EM111" s="18"/>
      <c r="EN111" s="18"/>
      <c r="EO111" s="18"/>
      <c r="EP111" s="18"/>
      <c r="EQ111" s="18"/>
      <c r="ER111" s="18"/>
      <c r="ES111" s="18"/>
      <c r="ET111" s="18"/>
      <c r="EU111" s="18"/>
      <c r="EV111" s="18"/>
      <c r="EW111" s="18"/>
      <c r="EX111" s="18"/>
      <c r="EY111" s="18"/>
      <c r="EZ111" s="18"/>
      <c r="FA111" s="18"/>
      <c r="FB111" s="18"/>
      <c r="FC111" s="18"/>
      <c r="FD111" s="18"/>
      <c r="FE111" s="18"/>
      <c r="FF111" s="18"/>
      <c r="FG111" s="18"/>
      <c r="FH111" s="18"/>
      <c r="FI111" s="18"/>
      <c r="FJ111" s="18"/>
      <c r="FK111" s="18"/>
      <c r="FL111" s="18"/>
      <c r="FM111" s="18"/>
      <c r="FN111" s="18"/>
      <c r="FO111" s="18"/>
      <c r="FP111" s="18"/>
      <c r="FQ111" s="18"/>
      <c r="FR111" s="18"/>
      <c r="FS111" s="18"/>
      <c r="FT111" s="18"/>
      <c r="FU111" s="18"/>
      <c r="FV111" s="18"/>
      <c r="FW111" s="18"/>
      <c r="FX111" s="18"/>
      <c r="FY111" s="18"/>
      <c r="FZ111" s="18"/>
      <c r="GA111" s="18"/>
      <c r="GB111" s="18"/>
      <c r="GC111" s="18"/>
      <c r="GD111" s="18"/>
    </row>
    <row r="112" spans="1:186">
      <c r="B112" s="20"/>
      <c r="AA112" s="14" t="e">
        <f>+#REF!*0.16</f>
        <v>#REF!</v>
      </c>
      <c r="AU112" s="18"/>
      <c r="AV112" s="18"/>
      <c r="AW112" s="18"/>
      <c r="AX112" s="18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18"/>
      <c r="BK112" s="18"/>
      <c r="BL112" s="18"/>
      <c r="BM112" s="18"/>
      <c r="BN112" s="18"/>
      <c r="BO112" s="18"/>
      <c r="BP112" s="18"/>
      <c r="BQ112" s="18"/>
      <c r="BR112" s="18"/>
      <c r="BS112" s="18"/>
      <c r="BT112" s="18"/>
      <c r="BU112" s="18"/>
      <c r="BV112" s="18"/>
      <c r="BW112" s="18"/>
      <c r="BX112" s="18"/>
      <c r="BY112" s="18"/>
      <c r="BZ112" s="18"/>
      <c r="CA112" s="18"/>
      <c r="CB112" s="18"/>
      <c r="CC112" s="18"/>
      <c r="CD112" s="18"/>
      <c r="CE112" s="18"/>
      <c r="CF112" s="18"/>
      <c r="CG112" s="18"/>
      <c r="CH112" s="18"/>
      <c r="CI112" s="18"/>
      <c r="CJ112" s="18"/>
      <c r="CK112" s="18"/>
      <c r="CL112" s="18"/>
      <c r="CM112" s="18"/>
      <c r="CN112" s="18"/>
      <c r="CO112" s="18"/>
      <c r="CP112" s="18"/>
      <c r="CQ112" s="18"/>
      <c r="CR112" s="18"/>
      <c r="CS112" s="18"/>
      <c r="CT112" s="18"/>
      <c r="CU112" s="18"/>
      <c r="CV112" s="18"/>
      <c r="CW112" s="18"/>
      <c r="CX112" s="18"/>
      <c r="CY112" s="18"/>
      <c r="CZ112" s="18"/>
      <c r="DA112" s="18"/>
      <c r="DB112" s="18"/>
      <c r="DC112" s="18"/>
      <c r="DD112" s="18"/>
      <c r="DE112" s="18"/>
      <c r="DF112" s="18"/>
      <c r="DG112" s="18"/>
      <c r="DH112" s="18"/>
      <c r="DI112" s="18"/>
      <c r="DJ112" s="18"/>
      <c r="DK112" s="18"/>
      <c r="DL112" s="18"/>
      <c r="DM112" s="18"/>
      <c r="DN112" s="18"/>
      <c r="DO112" s="18"/>
      <c r="DP112" s="18"/>
      <c r="DQ112" s="18"/>
      <c r="DR112" s="18"/>
      <c r="DS112" s="18"/>
      <c r="DT112" s="18"/>
      <c r="DU112" s="18"/>
      <c r="DV112" s="18"/>
      <c r="DW112" s="18"/>
      <c r="DX112" s="18"/>
      <c r="DY112" s="18"/>
      <c r="DZ112" s="18"/>
      <c r="EA112" s="18"/>
      <c r="EB112" s="18"/>
      <c r="EC112" s="18"/>
      <c r="ED112" s="18"/>
      <c r="EE112" s="18"/>
      <c r="EF112" s="18"/>
      <c r="EG112" s="18"/>
      <c r="EH112" s="18"/>
      <c r="EI112" s="18"/>
      <c r="EJ112" s="18"/>
      <c r="EK112" s="18"/>
      <c r="EL112" s="18"/>
      <c r="EM112" s="18"/>
      <c r="EN112" s="18"/>
      <c r="EO112" s="18"/>
      <c r="EP112" s="18"/>
      <c r="EQ112" s="18"/>
      <c r="ER112" s="18"/>
      <c r="ES112" s="18"/>
      <c r="ET112" s="18"/>
      <c r="EU112" s="18"/>
      <c r="EV112" s="18"/>
      <c r="EW112" s="18"/>
      <c r="EX112" s="18"/>
      <c r="EY112" s="18"/>
      <c r="EZ112" s="18"/>
      <c r="FA112" s="18"/>
      <c r="FB112" s="18"/>
      <c r="FC112" s="18"/>
      <c r="FD112" s="18"/>
      <c r="FE112" s="18"/>
      <c r="FF112" s="18"/>
      <c r="FG112" s="18"/>
      <c r="FH112" s="18"/>
      <c r="FI112" s="18"/>
      <c r="FJ112" s="18"/>
      <c r="FK112" s="18"/>
      <c r="FL112" s="18"/>
      <c r="FM112" s="18"/>
      <c r="FN112" s="18"/>
      <c r="FO112" s="18"/>
      <c r="FP112" s="18"/>
      <c r="FQ112" s="18"/>
      <c r="FR112" s="18"/>
      <c r="FS112" s="18"/>
      <c r="FT112" s="18"/>
      <c r="FU112" s="18"/>
      <c r="FV112" s="18"/>
      <c r="FW112" s="18"/>
      <c r="FX112" s="18"/>
      <c r="FY112" s="18"/>
      <c r="FZ112" s="18"/>
      <c r="GA112" s="18"/>
      <c r="GB112" s="18"/>
      <c r="GC112" s="18"/>
      <c r="GD112" s="18"/>
    </row>
    <row r="113" spans="1:186">
      <c r="AU113" s="18"/>
      <c r="AV113" s="18"/>
      <c r="AW113" s="18"/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8"/>
      <c r="DF113" s="18"/>
      <c r="DG113" s="18"/>
      <c r="DH113" s="18"/>
      <c r="DI113" s="18"/>
      <c r="DJ113" s="18"/>
      <c r="DK113" s="18"/>
      <c r="DL113" s="18"/>
      <c r="DM113" s="18"/>
      <c r="DN113" s="18"/>
      <c r="DO113" s="18"/>
      <c r="DP113" s="18"/>
      <c r="DQ113" s="18"/>
      <c r="DR113" s="18"/>
      <c r="DS113" s="18"/>
      <c r="DT113" s="18"/>
      <c r="DU113" s="18"/>
      <c r="DV113" s="18"/>
      <c r="DW113" s="18"/>
      <c r="DX113" s="18"/>
      <c r="DY113" s="18"/>
      <c r="DZ113" s="18"/>
      <c r="EA113" s="18"/>
      <c r="EB113" s="18"/>
      <c r="EC113" s="18"/>
      <c r="ED113" s="18"/>
      <c r="EE113" s="18"/>
      <c r="EF113" s="18"/>
      <c r="EG113" s="18"/>
      <c r="EH113" s="18"/>
      <c r="EI113" s="18"/>
      <c r="EJ113" s="18"/>
      <c r="EK113" s="18"/>
      <c r="EL113" s="18"/>
      <c r="EM113" s="18"/>
      <c r="EN113" s="18"/>
      <c r="EO113" s="18"/>
      <c r="EP113" s="18"/>
      <c r="EQ113" s="18"/>
      <c r="ER113" s="18"/>
      <c r="ES113" s="18"/>
      <c r="ET113" s="18"/>
      <c r="EU113" s="18"/>
      <c r="EV113" s="18"/>
      <c r="EW113" s="18"/>
      <c r="EX113" s="18"/>
      <c r="EY113" s="18"/>
      <c r="EZ113" s="18"/>
      <c r="FA113" s="18"/>
      <c r="FB113" s="18"/>
      <c r="FC113" s="18"/>
      <c r="FD113" s="18"/>
      <c r="FE113" s="18"/>
      <c r="FF113" s="18"/>
      <c r="FG113" s="18"/>
      <c r="FH113" s="18"/>
      <c r="FI113" s="18"/>
      <c r="FJ113" s="18"/>
      <c r="FK113" s="18"/>
      <c r="FL113" s="18"/>
      <c r="FM113" s="18"/>
      <c r="FN113" s="18"/>
      <c r="FO113" s="18"/>
      <c r="FP113" s="18"/>
      <c r="FQ113" s="18"/>
      <c r="FR113" s="18"/>
      <c r="FS113" s="18"/>
      <c r="FT113" s="18"/>
      <c r="FU113" s="18"/>
      <c r="FV113" s="18"/>
      <c r="FW113" s="18"/>
      <c r="FX113" s="18"/>
      <c r="FY113" s="18"/>
      <c r="FZ113" s="18"/>
      <c r="GA113" s="18"/>
      <c r="GB113" s="18"/>
      <c r="GC113" s="18"/>
      <c r="GD113" s="18"/>
    </row>
    <row r="114" spans="1:186">
      <c r="AU114" s="18"/>
      <c r="AV114" s="18"/>
      <c r="AW114" s="18"/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  <c r="DJ114" s="18"/>
      <c r="DK114" s="18"/>
      <c r="DL114" s="18"/>
      <c r="DM114" s="18"/>
      <c r="DN114" s="18"/>
      <c r="DO114" s="18"/>
      <c r="DP114" s="18"/>
      <c r="DQ114" s="18"/>
      <c r="DR114" s="18"/>
      <c r="DS114" s="18"/>
      <c r="DT114" s="18"/>
      <c r="DU114" s="18"/>
      <c r="DV114" s="18"/>
      <c r="DW114" s="18"/>
      <c r="DX114" s="18"/>
      <c r="DY114" s="18"/>
      <c r="DZ114" s="18"/>
      <c r="EA114" s="18"/>
      <c r="EB114" s="18"/>
      <c r="EC114" s="18"/>
      <c r="ED114" s="18"/>
      <c r="EE114" s="18"/>
      <c r="EF114" s="18"/>
      <c r="EG114" s="18"/>
      <c r="EH114" s="18"/>
      <c r="EI114" s="18"/>
      <c r="EJ114" s="18"/>
      <c r="EK114" s="18"/>
      <c r="EL114" s="18"/>
      <c r="EM114" s="18"/>
      <c r="EN114" s="18"/>
      <c r="EO114" s="18"/>
      <c r="EP114" s="18"/>
      <c r="EQ114" s="18"/>
      <c r="ER114" s="18"/>
      <c r="ES114" s="18"/>
      <c r="ET114" s="18"/>
      <c r="EU114" s="18"/>
      <c r="EV114" s="18"/>
      <c r="EW114" s="18"/>
      <c r="EX114" s="18"/>
      <c r="EY114" s="18"/>
      <c r="EZ114" s="18"/>
      <c r="FA114" s="18"/>
      <c r="FB114" s="18"/>
      <c r="FC114" s="18"/>
      <c r="FD114" s="18"/>
      <c r="FE114" s="18"/>
      <c r="FF114" s="18"/>
      <c r="FG114" s="18"/>
      <c r="FH114" s="18"/>
      <c r="FI114" s="18"/>
      <c r="FJ114" s="18"/>
      <c r="FK114" s="18"/>
      <c r="FL114" s="18"/>
      <c r="FM114" s="18"/>
      <c r="FN114" s="18"/>
      <c r="FO114" s="18"/>
      <c r="FP114" s="18"/>
      <c r="FQ114" s="18"/>
      <c r="FR114" s="18"/>
      <c r="FS114" s="18"/>
      <c r="FT114" s="18"/>
      <c r="FU114" s="18"/>
      <c r="FV114" s="18"/>
      <c r="FW114" s="18"/>
      <c r="FX114" s="18"/>
      <c r="FY114" s="18"/>
      <c r="FZ114" s="18"/>
      <c r="GA114" s="18"/>
      <c r="GB114" s="18"/>
      <c r="GC114" s="18"/>
      <c r="GD114" s="18"/>
    </row>
    <row r="115" spans="1:186">
      <c r="AU115" s="18"/>
      <c r="AV115" s="18"/>
      <c r="AW115" s="18"/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18"/>
      <c r="EG115" s="18"/>
      <c r="EH115" s="18"/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  <c r="ES115" s="18"/>
      <c r="ET115" s="18"/>
      <c r="EU115" s="18"/>
      <c r="EV115" s="18"/>
      <c r="EW115" s="18"/>
      <c r="EX115" s="18"/>
      <c r="EY115" s="18"/>
      <c r="EZ115" s="18"/>
      <c r="FA115" s="18"/>
      <c r="FB115" s="18"/>
      <c r="FC115" s="18"/>
      <c r="FD115" s="18"/>
      <c r="FE115" s="18"/>
      <c r="FF115" s="18"/>
      <c r="FG115" s="18"/>
      <c r="FH115" s="18"/>
      <c r="FI115" s="18"/>
      <c r="FJ115" s="18"/>
      <c r="FK115" s="18"/>
      <c r="FL115" s="18"/>
      <c r="FM115" s="18"/>
      <c r="FN115" s="18"/>
      <c r="FO115" s="18"/>
      <c r="FP115" s="18"/>
      <c r="FQ115" s="18"/>
      <c r="FR115" s="18"/>
      <c r="FS115" s="18"/>
      <c r="FT115" s="18"/>
      <c r="FU115" s="18"/>
      <c r="FV115" s="18"/>
      <c r="FW115" s="18"/>
      <c r="FX115" s="18"/>
      <c r="FY115" s="18"/>
      <c r="FZ115" s="18"/>
      <c r="GA115" s="18"/>
      <c r="GB115" s="18"/>
      <c r="GC115" s="18"/>
      <c r="GD115" s="18"/>
    </row>
    <row r="116" spans="1:186" ht="23.25">
      <c r="A116" s="87" t="s">
        <v>25</v>
      </c>
      <c r="B116" s="87"/>
      <c r="AU116" s="18"/>
      <c r="AV116" s="18"/>
      <c r="AW116" s="18"/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  <c r="ES116" s="18"/>
      <c r="ET116" s="18"/>
      <c r="EU116" s="18"/>
      <c r="EV116" s="18"/>
      <c r="EW116" s="18"/>
      <c r="EX116" s="18"/>
      <c r="EY116" s="18"/>
      <c r="EZ116" s="18"/>
      <c r="FA116" s="18"/>
      <c r="FB116" s="18"/>
      <c r="FC116" s="18"/>
      <c r="FD116" s="18"/>
      <c r="FE116" s="18"/>
      <c r="FF116" s="18"/>
      <c r="FG116" s="18"/>
      <c r="FH116" s="18"/>
      <c r="FI116" s="18"/>
      <c r="FJ116" s="18"/>
      <c r="FK116" s="18"/>
      <c r="FL116" s="18"/>
      <c r="FM116" s="18"/>
      <c r="FN116" s="18"/>
      <c r="FO116" s="18"/>
      <c r="FP116" s="18"/>
      <c r="FQ116" s="18"/>
      <c r="FR116" s="18"/>
      <c r="FS116" s="18"/>
      <c r="FT116" s="18"/>
      <c r="FU116" s="18"/>
      <c r="FV116" s="18"/>
      <c r="FW116" s="18"/>
      <c r="FX116" s="18"/>
      <c r="FY116" s="18"/>
      <c r="FZ116" s="18"/>
      <c r="GA116" s="18"/>
      <c r="GB116" s="18"/>
      <c r="GC116" s="18"/>
      <c r="GD116" s="18"/>
    </row>
    <row r="117" spans="1:186" s="18" customFormat="1" ht="15.75">
      <c r="A117" s="65" t="s">
        <v>40</v>
      </c>
      <c r="B117" s="65" t="s">
        <v>116</v>
      </c>
      <c r="C117" s="65" t="s">
        <v>44</v>
      </c>
      <c r="D117" s="49">
        <v>42199</v>
      </c>
      <c r="E117" s="34">
        <v>1633</v>
      </c>
      <c r="F117" s="34"/>
      <c r="G117" s="34"/>
      <c r="H117" s="34"/>
      <c r="I117" s="46">
        <f t="shared" ref="I117:I122" si="83">SUM(F117:H117)</f>
        <v>0</v>
      </c>
      <c r="J117" s="34"/>
      <c r="K117" s="61"/>
      <c r="L117" s="34"/>
      <c r="M117" s="34">
        <v>150</v>
      </c>
      <c r="N117" s="62"/>
      <c r="O117" s="62"/>
      <c r="P117" s="34"/>
      <c r="Q117" s="32"/>
      <c r="R117" s="63"/>
      <c r="S117" s="33"/>
      <c r="T117" s="58"/>
      <c r="U117" s="46">
        <f t="shared" ref="U117:U122" si="84">+I117-SUM(J117:T117)</f>
        <v>-150</v>
      </c>
      <c r="V117" s="32">
        <v>0</v>
      </c>
      <c r="W117" s="46">
        <v>-150</v>
      </c>
      <c r="X117" s="32"/>
      <c r="Y117" s="32"/>
      <c r="Z117" s="32"/>
      <c r="AA117" s="46"/>
      <c r="AB117" s="53"/>
      <c r="AC117" s="51"/>
      <c r="AD117" s="47"/>
      <c r="AE117" s="33">
        <v>60590405464</v>
      </c>
      <c r="AF117" s="66"/>
    </row>
    <row r="118" spans="1:186">
      <c r="A118" s="65" t="s">
        <v>38</v>
      </c>
      <c r="B118" s="65" t="s">
        <v>107</v>
      </c>
      <c r="C118" s="65" t="s">
        <v>44</v>
      </c>
      <c r="D118" s="49">
        <v>34275</v>
      </c>
      <c r="E118" s="34">
        <v>1633</v>
      </c>
      <c r="F118" s="34"/>
      <c r="G118" s="34"/>
      <c r="H118" s="34"/>
      <c r="I118" s="46">
        <f t="shared" si="83"/>
        <v>0</v>
      </c>
      <c r="J118" s="34"/>
      <c r="K118" s="61"/>
      <c r="L118" s="34"/>
      <c r="M118" s="34"/>
      <c r="N118" s="62"/>
      <c r="O118" s="62"/>
      <c r="P118" s="34"/>
      <c r="Q118" s="32"/>
      <c r="R118" s="32"/>
      <c r="S118" s="33"/>
      <c r="T118" s="33"/>
      <c r="U118" s="46">
        <f t="shared" si="84"/>
        <v>0</v>
      </c>
      <c r="V118" s="32">
        <v>0</v>
      </c>
      <c r="W118" s="46">
        <v>0</v>
      </c>
      <c r="X118" s="55"/>
      <c r="Y118" s="55"/>
      <c r="Z118" s="55"/>
      <c r="AA118" s="54"/>
      <c r="AB118" s="44"/>
      <c r="AC118" s="44"/>
      <c r="AD118" s="39"/>
      <c r="AE118" s="28">
        <v>60590317373</v>
      </c>
      <c r="AF118" s="66"/>
      <c r="AU118" s="18"/>
      <c r="AV118" s="18"/>
      <c r="AW118" s="18"/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  <c r="FG118" s="18"/>
      <c r="FH118" s="18"/>
      <c r="FI118" s="18"/>
      <c r="FJ118" s="18"/>
      <c r="FK118" s="18"/>
      <c r="FL118" s="18"/>
      <c r="FM118" s="18"/>
      <c r="FN118" s="18"/>
      <c r="FO118" s="18"/>
      <c r="FP118" s="18"/>
      <c r="FQ118" s="18"/>
      <c r="FR118" s="18"/>
      <c r="FS118" s="18"/>
      <c r="FT118" s="18"/>
      <c r="FU118" s="18"/>
      <c r="FV118" s="18"/>
      <c r="FW118" s="18"/>
      <c r="FX118" s="18"/>
      <c r="FY118" s="18"/>
      <c r="FZ118" s="18"/>
      <c r="GA118" s="18"/>
      <c r="GB118" s="18"/>
      <c r="GC118" s="18"/>
      <c r="GD118" s="18"/>
    </row>
    <row r="119" spans="1:186">
      <c r="A119" s="65" t="s">
        <v>40</v>
      </c>
      <c r="B119" s="65" t="s">
        <v>127</v>
      </c>
      <c r="C119" s="65" t="s">
        <v>128</v>
      </c>
      <c r="D119" s="49">
        <v>38825</v>
      </c>
      <c r="E119" s="34">
        <v>2100</v>
      </c>
      <c r="F119" s="34"/>
      <c r="G119" s="34"/>
      <c r="H119" s="34"/>
      <c r="I119" s="46">
        <f t="shared" si="83"/>
        <v>0</v>
      </c>
      <c r="J119" s="34"/>
      <c r="K119" s="61"/>
      <c r="L119" s="34"/>
      <c r="M119" s="34"/>
      <c r="N119" s="62"/>
      <c r="O119" s="62"/>
      <c r="P119" s="34"/>
      <c r="Q119" s="32"/>
      <c r="R119" s="32"/>
      <c r="S119" s="33"/>
      <c r="T119" s="33"/>
      <c r="U119" s="46">
        <f t="shared" si="84"/>
        <v>0</v>
      </c>
      <c r="V119" s="32"/>
      <c r="W119" s="46"/>
      <c r="X119" s="55"/>
      <c r="Y119" s="55"/>
      <c r="Z119" s="55"/>
      <c r="AA119" s="54"/>
      <c r="AB119" s="44"/>
      <c r="AC119" s="44"/>
      <c r="AD119" s="39"/>
      <c r="AE119" s="28">
        <v>56708845376</v>
      </c>
      <c r="AF119" s="66"/>
      <c r="AU119" s="18"/>
      <c r="AV119" s="18"/>
      <c r="AW119" s="18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8"/>
      <c r="FT119" s="18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</row>
    <row r="120" spans="1:186">
      <c r="A120" s="65" t="s">
        <v>41</v>
      </c>
      <c r="B120" s="65" t="s">
        <v>132</v>
      </c>
      <c r="C120" s="65" t="s">
        <v>102</v>
      </c>
      <c r="D120" s="49">
        <v>42807</v>
      </c>
      <c r="E120" s="34">
        <v>560.28</v>
      </c>
      <c r="F120" s="34">
        <v>358.875</v>
      </c>
      <c r="G120" s="34"/>
      <c r="H120" s="34"/>
      <c r="I120" s="46">
        <f t="shared" si="83"/>
        <v>358.875</v>
      </c>
      <c r="J120" s="34"/>
      <c r="K120" s="61">
        <v>3</v>
      </c>
      <c r="L120" s="34"/>
      <c r="M120" s="34"/>
      <c r="N120" s="62"/>
      <c r="O120" s="62"/>
      <c r="P120" s="34"/>
      <c r="Q120" s="32"/>
      <c r="R120" s="32"/>
      <c r="S120" s="33"/>
      <c r="T120" s="33"/>
      <c r="U120" s="46">
        <f t="shared" si="84"/>
        <v>355.875</v>
      </c>
      <c r="V120" s="32"/>
      <c r="W120" s="46"/>
      <c r="X120" s="55"/>
      <c r="Y120" s="55"/>
      <c r="Z120" s="55"/>
      <c r="AA120" s="54"/>
      <c r="AB120" s="44"/>
      <c r="AC120" s="44"/>
      <c r="AD120" s="39"/>
      <c r="AE120" s="37" t="s">
        <v>123</v>
      </c>
      <c r="AF120" s="66"/>
      <c r="AU120" s="18"/>
      <c r="AV120" s="18"/>
      <c r="AW120" s="18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</row>
    <row r="121" spans="1:186">
      <c r="A121" s="65" t="s">
        <v>38</v>
      </c>
      <c r="B121" s="65" t="s">
        <v>110</v>
      </c>
      <c r="C121" s="65" t="s">
        <v>109</v>
      </c>
      <c r="D121" s="49">
        <v>42809</v>
      </c>
      <c r="E121" s="34">
        <v>937.5</v>
      </c>
      <c r="F121" s="34"/>
      <c r="G121" s="34"/>
      <c r="H121" s="34"/>
      <c r="I121" s="46">
        <f t="shared" si="83"/>
        <v>0</v>
      </c>
      <c r="J121" s="34">
        <f>166.66</f>
        <v>166.66</v>
      </c>
      <c r="K121" s="61"/>
      <c r="L121" s="34"/>
      <c r="M121" s="34"/>
      <c r="N121" s="62"/>
      <c r="O121" s="62"/>
      <c r="P121" s="34"/>
      <c r="Q121" s="32"/>
      <c r="R121" s="32"/>
      <c r="S121" s="33"/>
      <c r="T121" s="33"/>
      <c r="U121" s="46">
        <f t="shared" si="84"/>
        <v>-166.66</v>
      </c>
      <c r="V121" s="32"/>
      <c r="W121" s="46"/>
      <c r="X121" s="55"/>
      <c r="Y121" s="55"/>
      <c r="Z121" s="55"/>
      <c r="AA121" s="54"/>
      <c r="AB121" s="44"/>
      <c r="AC121" s="44"/>
      <c r="AD121" s="39"/>
      <c r="AE121" s="28">
        <v>60590314454</v>
      </c>
      <c r="AF121" s="66" t="s">
        <v>167</v>
      </c>
      <c r="AU121" s="18"/>
      <c r="AV121" s="18"/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</row>
    <row r="122" spans="1:186">
      <c r="A122" s="65" t="s">
        <v>40</v>
      </c>
      <c r="B122" s="65" t="s">
        <v>185</v>
      </c>
      <c r="C122" s="65" t="s">
        <v>186</v>
      </c>
      <c r="D122" s="49">
        <v>40147</v>
      </c>
      <c r="E122" s="34">
        <v>1900</v>
      </c>
      <c r="F122" s="34"/>
      <c r="G122" s="34"/>
      <c r="H122" s="34"/>
      <c r="I122" s="46">
        <f t="shared" si="83"/>
        <v>0</v>
      </c>
      <c r="J122" s="34"/>
      <c r="K122" s="61"/>
      <c r="L122" s="34"/>
      <c r="M122" s="34"/>
      <c r="N122" s="62"/>
      <c r="O122" s="62"/>
      <c r="P122" s="34"/>
      <c r="Q122" s="32"/>
      <c r="R122" s="32"/>
      <c r="S122" s="33"/>
      <c r="T122" s="33"/>
      <c r="U122" s="46">
        <f t="shared" si="84"/>
        <v>0</v>
      </c>
      <c r="V122" s="32"/>
      <c r="W122" s="46"/>
      <c r="X122" s="55"/>
      <c r="Y122" s="55"/>
      <c r="Z122" s="55"/>
      <c r="AA122" s="54"/>
      <c r="AB122" s="44"/>
      <c r="AC122" s="44"/>
      <c r="AD122" s="39"/>
      <c r="AE122" s="28">
        <v>60590324373</v>
      </c>
      <c r="AF122" s="66"/>
      <c r="AU122" s="18"/>
      <c r="AV122" s="18"/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</row>
    <row r="123" spans="1:186">
      <c r="AU123" s="18"/>
      <c r="AV123" s="18"/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</row>
    <row r="124" spans="1:186">
      <c r="AU124" s="18"/>
      <c r="AV124" s="18"/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</row>
    <row r="125" spans="1:186">
      <c r="AU125" s="18"/>
      <c r="AV125" s="18"/>
      <c r="AW125" s="18"/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</row>
    <row r="126" spans="1:186">
      <c r="A126" s="19" t="s">
        <v>17</v>
      </c>
      <c r="B126" s="13"/>
      <c r="AU126" s="18"/>
      <c r="AV126" s="18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</row>
    <row r="127" spans="1:186">
      <c r="A127" s="19" t="s">
        <v>18</v>
      </c>
      <c r="B127" s="13"/>
      <c r="AU127" s="18"/>
      <c r="AV127" s="18"/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18"/>
      <c r="BK127" s="18"/>
      <c r="BL127" s="18"/>
      <c r="BM127" s="18"/>
      <c r="BN127" s="18"/>
      <c r="BO127" s="18"/>
      <c r="BP127" s="18"/>
      <c r="BQ127" s="18"/>
      <c r="BR127" s="18"/>
      <c r="BS127" s="18"/>
      <c r="BT127" s="18"/>
      <c r="BU127" s="18"/>
      <c r="BV127" s="18"/>
      <c r="BW127" s="18"/>
      <c r="BX127" s="18"/>
      <c r="BY127" s="18"/>
      <c r="BZ127" s="18"/>
      <c r="CA127" s="18"/>
      <c r="CB127" s="18"/>
      <c r="CC127" s="18"/>
      <c r="CD127" s="18"/>
      <c r="CE127" s="18"/>
      <c r="CF127" s="18"/>
      <c r="CG127" s="18"/>
      <c r="CH127" s="18"/>
      <c r="CI127" s="18"/>
      <c r="CJ127" s="18"/>
      <c r="CK127" s="18"/>
      <c r="CL127" s="18"/>
      <c r="CM127" s="18"/>
      <c r="CN127" s="18"/>
      <c r="CO127" s="18"/>
      <c r="CP127" s="18"/>
      <c r="CQ127" s="18"/>
      <c r="CR127" s="18"/>
      <c r="CS127" s="18"/>
      <c r="CT127" s="18"/>
      <c r="CU127" s="18"/>
      <c r="CV127" s="18"/>
      <c r="CW127" s="18"/>
      <c r="CX127" s="18"/>
      <c r="CY127" s="18"/>
      <c r="CZ127" s="18"/>
      <c r="DA127" s="18"/>
      <c r="DB127" s="18"/>
      <c r="DC127" s="18"/>
      <c r="DD127" s="18"/>
      <c r="DE127" s="18"/>
      <c r="DF127" s="18"/>
      <c r="DG127" s="18"/>
      <c r="DH127" s="18"/>
      <c r="DI127" s="18"/>
      <c r="DJ127" s="18"/>
      <c r="DK127" s="18"/>
      <c r="DL127" s="18"/>
      <c r="DM127" s="18"/>
      <c r="DN127" s="18"/>
      <c r="DO127" s="18"/>
      <c r="DP127" s="18"/>
      <c r="DQ127" s="18"/>
      <c r="DR127" s="18"/>
      <c r="DS127" s="18"/>
      <c r="DT127" s="18"/>
      <c r="DU127" s="18"/>
      <c r="DV127" s="18"/>
      <c r="DW127" s="18"/>
      <c r="DX127" s="18"/>
      <c r="DY127" s="18"/>
      <c r="DZ127" s="18"/>
      <c r="EA127" s="18"/>
      <c r="EB127" s="18"/>
      <c r="EC127" s="18"/>
      <c r="ED127" s="18"/>
      <c r="EE127" s="18"/>
      <c r="EF127" s="18"/>
      <c r="EG127" s="18"/>
      <c r="EH127" s="18"/>
      <c r="EI127" s="18"/>
      <c r="EJ127" s="18"/>
      <c r="EK127" s="18"/>
      <c r="EL127" s="18"/>
      <c r="EM127" s="18"/>
      <c r="EN127" s="18"/>
      <c r="EO127" s="18"/>
      <c r="EP127" s="18"/>
      <c r="EQ127" s="18"/>
      <c r="ER127" s="18"/>
      <c r="ES127" s="18"/>
      <c r="ET127" s="18"/>
      <c r="EU127" s="18"/>
      <c r="EV127" s="18"/>
      <c r="EW127" s="18"/>
      <c r="EX127" s="18"/>
      <c r="EY127" s="18"/>
      <c r="EZ127" s="18"/>
      <c r="FA127" s="18"/>
      <c r="FB127" s="18"/>
      <c r="FC127" s="18"/>
      <c r="FD127" s="18"/>
      <c r="FE127" s="18"/>
      <c r="FF127" s="18"/>
      <c r="FG127" s="18"/>
      <c r="FH127" s="18"/>
      <c r="FI127" s="18"/>
      <c r="FJ127" s="18"/>
      <c r="FK127" s="18"/>
      <c r="FL127" s="18"/>
      <c r="FM127" s="18"/>
      <c r="FN127" s="18"/>
      <c r="FO127" s="18"/>
      <c r="FP127" s="18"/>
      <c r="FQ127" s="18"/>
      <c r="FR127" s="18"/>
      <c r="FS127" s="18"/>
      <c r="FT127" s="18"/>
      <c r="FU127" s="18"/>
      <c r="FV127" s="18"/>
      <c r="FW127" s="18"/>
      <c r="FX127" s="18"/>
      <c r="FY127" s="18"/>
      <c r="FZ127" s="18"/>
      <c r="GA127" s="18"/>
      <c r="GB127" s="18"/>
      <c r="GC127" s="18"/>
      <c r="GD127" s="18"/>
    </row>
    <row r="128" spans="1:186">
      <c r="A128" s="19" t="s">
        <v>19</v>
      </c>
      <c r="B128" s="13"/>
      <c r="AU128" s="18"/>
      <c r="AV128" s="18"/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18"/>
      <c r="BK128" s="18"/>
      <c r="BL128" s="18"/>
      <c r="BM128" s="18"/>
      <c r="BN128" s="18"/>
      <c r="BO128" s="18"/>
      <c r="BP128" s="18"/>
      <c r="BQ128" s="18"/>
      <c r="BR128" s="18"/>
      <c r="BS128" s="18"/>
      <c r="BT128" s="18"/>
      <c r="BU128" s="18"/>
      <c r="BV128" s="18"/>
      <c r="BW128" s="18"/>
      <c r="BX128" s="18"/>
      <c r="BY128" s="18"/>
      <c r="BZ128" s="18"/>
      <c r="CA128" s="18"/>
      <c r="CB128" s="18"/>
      <c r="CC128" s="18"/>
      <c r="CD128" s="18"/>
      <c r="CE128" s="18"/>
      <c r="CF128" s="18"/>
      <c r="CG128" s="18"/>
      <c r="CH128" s="18"/>
      <c r="CI128" s="18"/>
      <c r="CJ128" s="18"/>
      <c r="CK128" s="18"/>
      <c r="CL128" s="18"/>
      <c r="CM128" s="18"/>
      <c r="CN128" s="18"/>
      <c r="CO128" s="18"/>
      <c r="CP128" s="18"/>
      <c r="CQ128" s="18"/>
      <c r="CR128" s="18"/>
      <c r="CS128" s="18"/>
      <c r="CT128" s="18"/>
      <c r="CU128" s="18"/>
      <c r="CV128" s="18"/>
      <c r="CW128" s="18"/>
      <c r="CX128" s="18"/>
      <c r="CY128" s="18"/>
      <c r="CZ128" s="18"/>
      <c r="DA128" s="18"/>
      <c r="DB128" s="18"/>
      <c r="DC128" s="18"/>
      <c r="DD128" s="18"/>
      <c r="DE128" s="18"/>
      <c r="DF128" s="18"/>
      <c r="DG128" s="18"/>
      <c r="DH128" s="18"/>
      <c r="DI128" s="18"/>
      <c r="DJ128" s="18"/>
      <c r="DK128" s="18"/>
      <c r="DL128" s="18"/>
      <c r="DM128" s="18"/>
      <c r="DN128" s="18"/>
      <c r="DO128" s="18"/>
      <c r="DP128" s="18"/>
      <c r="DQ128" s="18"/>
      <c r="DR128" s="18"/>
      <c r="DS128" s="18"/>
      <c r="DT128" s="18"/>
      <c r="DU128" s="18"/>
      <c r="DV128" s="18"/>
      <c r="DW128" s="18"/>
      <c r="DX128" s="18"/>
      <c r="DY128" s="18"/>
      <c r="DZ128" s="18"/>
      <c r="EA128" s="18"/>
      <c r="EB128" s="18"/>
      <c r="EC128" s="18"/>
      <c r="ED128" s="18"/>
      <c r="EE128" s="18"/>
      <c r="EF128" s="18"/>
      <c r="EG128" s="18"/>
      <c r="EH128" s="18"/>
      <c r="EI128" s="18"/>
      <c r="EJ128" s="18"/>
      <c r="EK128" s="18"/>
      <c r="EL128" s="18"/>
      <c r="EM128" s="18"/>
      <c r="EN128" s="18"/>
      <c r="EO128" s="18"/>
      <c r="EP128" s="18"/>
      <c r="EQ128" s="18"/>
      <c r="ER128" s="18"/>
      <c r="ES128" s="18"/>
      <c r="ET128" s="18"/>
      <c r="EU128" s="18"/>
      <c r="EV128" s="18"/>
      <c r="EW128" s="18"/>
      <c r="EX128" s="18"/>
      <c r="EY128" s="18"/>
      <c r="EZ128" s="18"/>
      <c r="FA128" s="18"/>
      <c r="FB128" s="18"/>
      <c r="FC128" s="18"/>
      <c r="FD128" s="18"/>
      <c r="FE128" s="18"/>
      <c r="FF128" s="18"/>
      <c r="FG128" s="18"/>
      <c r="FH128" s="18"/>
      <c r="FI128" s="18"/>
      <c r="FJ128" s="18"/>
      <c r="FK128" s="18"/>
      <c r="FL128" s="18"/>
      <c r="FM128" s="18"/>
      <c r="FN128" s="18"/>
      <c r="FO128" s="18"/>
      <c r="FP128" s="18"/>
      <c r="FQ128" s="18"/>
      <c r="FR128" s="18"/>
      <c r="FS128" s="18"/>
      <c r="FT128" s="18"/>
      <c r="FU128" s="18"/>
      <c r="FV128" s="18"/>
      <c r="FW128" s="18"/>
      <c r="FX128" s="18"/>
      <c r="FY128" s="18"/>
      <c r="FZ128" s="18"/>
      <c r="GA128" s="18"/>
      <c r="GB128" s="18"/>
      <c r="GC128" s="18"/>
      <c r="GD128" s="18"/>
    </row>
    <row r="129" spans="1:186">
      <c r="A129" s="19" t="s">
        <v>20</v>
      </c>
      <c r="B129" s="13"/>
      <c r="AU129" s="18"/>
      <c r="AV129" s="18"/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18"/>
      <c r="BK129" s="18"/>
      <c r="BL129" s="18"/>
      <c r="BM129" s="18"/>
      <c r="BN129" s="18"/>
      <c r="BO129" s="18"/>
      <c r="BP129" s="18"/>
      <c r="BQ129" s="18"/>
      <c r="BR129" s="18"/>
      <c r="BS129" s="18"/>
      <c r="BT129" s="18"/>
      <c r="BU129" s="18"/>
      <c r="BV129" s="18"/>
      <c r="BW129" s="18"/>
      <c r="BX129" s="18"/>
      <c r="BY129" s="18"/>
      <c r="BZ129" s="18"/>
      <c r="CA129" s="18"/>
      <c r="CB129" s="18"/>
      <c r="CC129" s="18"/>
      <c r="CD129" s="18"/>
      <c r="CE129" s="18"/>
      <c r="CF129" s="18"/>
      <c r="CG129" s="18"/>
      <c r="CH129" s="18"/>
      <c r="CI129" s="18"/>
      <c r="CJ129" s="18"/>
      <c r="CK129" s="18"/>
      <c r="CL129" s="18"/>
      <c r="CM129" s="18"/>
      <c r="CN129" s="18"/>
      <c r="CO129" s="18"/>
      <c r="CP129" s="18"/>
      <c r="CQ129" s="18"/>
      <c r="CR129" s="18"/>
      <c r="CS129" s="18"/>
      <c r="CT129" s="18"/>
      <c r="CU129" s="18"/>
      <c r="CV129" s="18"/>
      <c r="CW129" s="18"/>
      <c r="CX129" s="18"/>
      <c r="CY129" s="18"/>
      <c r="CZ129" s="18"/>
      <c r="DA129" s="18"/>
      <c r="DB129" s="18"/>
      <c r="DC129" s="18"/>
      <c r="DD129" s="18"/>
      <c r="DE129" s="18"/>
      <c r="DF129" s="18"/>
      <c r="DG129" s="18"/>
      <c r="DH129" s="18"/>
      <c r="DI129" s="18"/>
      <c r="DJ129" s="18"/>
      <c r="DK129" s="18"/>
      <c r="DL129" s="18"/>
      <c r="DM129" s="18"/>
      <c r="DN129" s="18"/>
      <c r="DO129" s="18"/>
      <c r="DP129" s="18"/>
      <c r="DQ129" s="18"/>
      <c r="DR129" s="18"/>
      <c r="DS129" s="18"/>
      <c r="DT129" s="18"/>
      <c r="DU129" s="18"/>
      <c r="DV129" s="18"/>
      <c r="DW129" s="18"/>
      <c r="DX129" s="18"/>
      <c r="DY129" s="18"/>
      <c r="DZ129" s="18"/>
      <c r="EA129" s="18"/>
      <c r="EB129" s="18"/>
      <c r="EC129" s="18"/>
      <c r="ED129" s="18"/>
      <c r="EE129" s="18"/>
      <c r="EF129" s="18"/>
      <c r="EG129" s="18"/>
      <c r="EH129" s="18"/>
      <c r="EI129" s="18"/>
      <c r="EJ129" s="18"/>
      <c r="EK129" s="18"/>
      <c r="EL129" s="18"/>
      <c r="EM129" s="18"/>
      <c r="EN129" s="18"/>
      <c r="EO129" s="18"/>
      <c r="EP129" s="18"/>
      <c r="EQ129" s="18"/>
      <c r="ER129" s="18"/>
      <c r="ES129" s="18"/>
      <c r="ET129" s="18"/>
      <c r="EU129" s="18"/>
      <c r="EV129" s="18"/>
      <c r="EW129" s="18"/>
      <c r="EX129" s="18"/>
      <c r="EY129" s="18"/>
      <c r="EZ129" s="18"/>
      <c r="FA129" s="18"/>
      <c r="FB129" s="18"/>
      <c r="FC129" s="18"/>
      <c r="FD129" s="18"/>
      <c r="FE129" s="18"/>
      <c r="FF129" s="18"/>
      <c r="FG129" s="18"/>
      <c r="FH129" s="18"/>
      <c r="FI129" s="18"/>
      <c r="FJ129" s="18"/>
      <c r="FK129" s="18"/>
      <c r="FL129" s="18"/>
      <c r="FM129" s="18"/>
      <c r="FN129" s="18"/>
      <c r="FO129" s="18"/>
      <c r="FP129" s="18"/>
      <c r="FQ129" s="18"/>
      <c r="FR129" s="18"/>
      <c r="FS129" s="18"/>
      <c r="FT129" s="18"/>
      <c r="FU129" s="18"/>
      <c r="FV129" s="18"/>
      <c r="FW129" s="18"/>
      <c r="FX129" s="18"/>
      <c r="FY129" s="18"/>
      <c r="FZ129" s="18"/>
      <c r="GA129" s="18"/>
      <c r="GB129" s="18"/>
      <c r="GC129" s="18"/>
      <c r="GD129" s="18"/>
    </row>
    <row r="130" spans="1:186">
      <c r="A130" s="19" t="s">
        <v>21</v>
      </c>
      <c r="B130" s="13"/>
      <c r="AU130" s="18"/>
      <c r="AV130" s="18"/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  <c r="BH130" s="18"/>
      <c r="BI130" s="18"/>
      <c r="BJ130" s="18"/>
      <c r="BK130" s="18"/>
      <c r="BL130" s="18"/>
      <c r="BM130" s="18"/>
      <c r="BN130" s="18"/>
      <c r="BO130" s="18"/>
      <c r="BP130" s="18"/>
      <c r="BQ130" s="18"/>
      <c r="BR130" s="18"/>
      <c r="BS130" s="18"/>
      <c r="BT130" s="18"/>
      <c r="BU130" s="18"/>
      <c r="BV130" s="18"/>
      <c r="BW130" s="18"/>
      <c r="BX130" s="18"/>
      <c r="BY130" s="18"/>
      <c r="BZ130" s="18"/>
      <c r="CA130" s="18"/>
      <c r="CB130" s="18"/>
      <c r="CC130" s="18"/>
      <c r="CD130" s="18"/>
      <c r="CE130" s="18"/>
      <c r="CF130" s="18"/>
      <c r="CG130" s="18"/>
      <c r="CH130" s="18"/>
      <c r="CI130" s="18"/>
      <c r="CJ130" s="18"/>
      <c r="CK130" s="18"/>
      <c r="CL130" s="18"/>
      <c r="CM130" s="18"/>
      <c r="CN130" s="18"/>
      <c r="CO130" s="18"/>
      <c r="CP130" s="18"/>
      <c r="CQ130" s="18"/>
      <c r="CR130" s="18"/>
      <c r="CS130" s="18"/>
      <c r="CT130" s="18"/>
      <c r="CU130" s="18"/>
      <c r="CV130" s="18"/>
      <c r="CW130" s="18"/>
      <c r="CX130" s="18"/>
      <c r="CY130" s="18"/>
      <c r="CZ130" s="18"/>
      <c r="DA130" s="18"/>
      <c r="DB130" s="18"/>
      <c r="DC130" s="18"/>
      <c r="DD130" s="18"/>
      <c r="DE130" s="18"/>
      <c r="DF130" s="18"/>
      <c r="DG130" s="18"/>
      <c r="DH130" s="18"/>
      <c r="DI130" s="18"/>
      <c r="DJ130" s="18"/>
      <c r="DK130" s="18"/>
      <c r="DL130" s="18"/>
      <c r="DM130" s="18"/>
      <c r="DN130" s="18"/>
      <c r="DO130" s="18"/>
      <c r="DP130" s="18"/>
      <c r="DQ130" s="18"/>
      <c r="DR130" s="18"/>
      <c r="DS130" s="18"/>
      <c r="DT130" s="18"/>
      <c r="DU130" s="18"/>
      <c r="DV130" s="18"/>
      <c r="DW130" s="18"/>
      <c r="DX130" s="18"/>
      <c r="DY130" s="18"/>
      <c r="DZ130" s="18"/>
      <c r="EA130" s="18"/>
      <c r="EB130" s="18"/>
      <c r="EC130" s="18"/>
      <c r="ED130" s="18"/>
      <c r="EE130" s="18"/>
      <c r="EF130" s="18"/>
      <c r="EG130" s="18"/>
      <c r="EH130" s="18"/>
      <c r="EI130" s="18"/>
      <c r="EJ130" s="18"/>
      <c r="EK130" s="18"/>
      <c r="EL130" s="18"/>
      <c r="EM130" s="18"/>
      <c r="EN130" s="18"/>
      <c r="EO130" s="18"/>
      <c r="EP130" s="18"/>
      <c r="EQ130" s="18"/>
      <c r="ER130" s="18"/>
      <c r="ES130" s="18"/>
      <c r="ET130" s="18"/>
      <c r="EU130" s="18"/>
      <c r="EV130" s="18"/>
      <c r="EW130" s="18"/>
      <c r="EX130" s="18"/>
      <c r="EY130" s="18"/>
      <c r="EZ130" s="18"/>
      <c r="FA130" s="18"/>
      <c r="FB130" s="18"/>
      <c r="FC130" s="18"/>
      <c r="FD130" s="18"/>
      <c r="FE130" s="18"/>
      <c r="FF130" s="18"/>
      <c r="FG130" s="18"/>
      <c r="FH130" s="18"/>
      <c r="FI130" s="18"/>
      <c r="FJ130" s="18"/>
      <c r="FK130" s="18"/>
      <c r="FL130" s="18"/>
      <c r="FM130" s="18"/>
      <c r="FN130" s="18"/>
      <c r="FO130" s="18"/>
      <c r="FP130" s="18"/>
      <c r="FQ130" s="18"/>
      <c r="FR130" s="18"/>
      <c r="FS130" s="18"/>
      <c r="FT130" s="18"/>
      <c r="FU130" s="18"/>
      <c r="FV130" s="18"/>
      <c r="FW130" s="18"/>
      <c r="FX130" s="18"/>
      <c r="FY130" s="18"/>
      <c r="FZ130" s="18"/>
      <c r="GA130" s="18"/>
      <c r="GB130" s="18"/>
      <c r="GC130" s="18"/>
      <c r="GD130" s="18"/>
    </row>
    <row r="131" spans="1:186">
      <c r="A131" s="19" t="s">
        <v>22</v>
      </c>
      <c r="B131" s="13"/>
      <c r="AU131" s="18"/>
      <c r="AV131" s="18"/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  <c r="BH131" s="18"/>
      <c r="BI131" s="18"/>
      <c r="BJ131" s="18"/>
      <c r="BK131" s="18"/>
      <c r="BL131" s="18"/>
      <c r="BM131" s="18"/>
      <c r="BN131" s="18"/>
      <c r="BO131" s="18"/>
      <c r="BP131" s="18"/>
      <c r="BQ131" s="18"/>
      <c r="BR131" s="18"/>
      <c r="BS131" s="18"/>
      <c r="BT131" s="18"/>
      <c r="BU131" s="18"/>
      <c r="BV131" s="18"/>
      <c r="BW131" s="18"/>
      <c r="BX131" s="18"/>
      <c r="BY131" s="18"/>
      <c r="BZ131" s="18"/>
      <c r="CA131" s="18"/>
      <c r="CB131" s="18"/>
      <c r="CC131" s="18"/>
      <c r="CD131" s="18"/>
      <c r="CE131" s="18"/>
      <c r="CF131" s="18"/>
      <c r="CG131" s="18"/>
      <c r="CH131" s="18"/>
      <c r="CI131" s="18"/>
      <c r="CJ131" s="18"/>
      <c r="CK131" s="18"/>
      <c r="CL131" s="18"/>
      <c r="CM131" s="18"/>
      <c r="CN131" s="18"/>
      <c r="CO131" s="18"/>
      <c r="CP131" s="18"/>
      <c r="CQ131" s="18"/>
      <c r="CR131" s="18"/>
      <c r="CS131" s="18"/>
      <c r="CT131" s="18"/>
      <c r="CU131" s="18"/>
      <c r="CV131" s="18"/>
      <c r="CW131" s="18"/>
      <c r="CX131" s="18"/>
      <c r="CY131" s="18"/>
      <c r="CZ131" s="18"/>
      <c r="DA131" s="18"/>
      <c r="DB131" s="18"/>
      <c r="DC131" s="18"/>
      <c r="DD131" s="18"/>
      <c r="DE131" s="18"/>
      <c r="DF131" s="18"/>
      <c r="DG131" s="18"/>
      <c r="DH131" s="18"/>
      <c r="DI131" s="18"/>
      <c r="DJ131" s="18"/>
      <c r="DK131" s="18"/>
      <c r="DL131" s="18"/>
      <c r="DM131" s="18"/>
      <c r="DN131" s="18"/>
      <c r="DO131" s="18"/>
      <c r="DP131" s="18"/>
      <c r="DQ131" s="18"/>
      <c r="DR131" s="18"/>
      <c r="DS131" s="18"/>
      <c r="DT131" s="18"/>
      <c r="DU131" s="18"/>
      <c r="DV131" s="18"/>
      <c r="DW131" s="18"/>
      <c r="DX131" s="18"/>
      <c r="DY131" s="18"/>
      <c r="DZ131" s="18"/>
      <c r="EA131" s="18"/>
      <c r="EB131" s="18"/>
      <c r="EC131" s="18"/>
      <c r="ED131" s="18"/>
      <c r="EE131" s="18"/>
      <c r="EF131" s="18"/>
      <c r="EG131" s="18"/>
      <c r="EH131" s="18"/>
      <c r="EI131" s="18"/>
      <c r="EJ131" s="18"/>
      <c r="EK131" s="18"/>
      <c r="EL131" s="18"/>
      <c r="EM131" s="18"/>
      <c r="EN131" s="18"/>
      <c r="EO131" s="18"/>
      <c r="EP131" s="18"/>
      <c r="EQ131" s="18"/>
      <c r="ER131" s="18"/>
      <c r="ES131" s="18"/>
      <c r="ET131" s="18"/>
      <c r="EU131" s="18"/>
      <c r="EV131" s="18"/>
      <c r="EW131" s="18"/>
      <c r="EX131" s="18"/>
      <c r="EY131" s="18"/>
      <c r="EZ131" s="18"/>
      <c r="FA131" s="18"/>
      <c r="FB131" s="18"/>
      <c r="FC131" s="18"/>
      <c r="FD131" s="18"/>
      <c r="FE131" s="18"/>
      <c r="FF131" s="18"/>
      <c r="FG131" s="18"/>
      <c r="FH131" s="18"/>
      <c r="FI131" s="18"/>
      <c r="FJ131" s="18"/>
      <c r="FK131" s="18"/>
      <c r="FL131" s="18"/>
      <c r="FM131" s="18"/>
      <c r="FN131" s="18"/>
      <c r="FO131" s="18"/>
      <c r="FP131" s="18"/>
      <c r="FQ131" s="18"/>
      <c r="FR131" s="18"/>
      <c r="FS131" s="18"/>
      <c r="FT131" s="18"/>
      <c r="FU131" s="18"/>
      <c r="FV131" s="18"/>
      <c r="FW131" s="18"/>
      <c r="FX131" s="18"/>
      <c r="FY131" s="18"/>
      <c r="FZ131" s="18"/>
      <c r="GA131" s="18"/>
      <c r="GB131" s="18"/>
      <c r="GC131" s="18"/>
      <c r="GD131" s="18"/>
    </row>
    <row r="132" spans="1:186">
      <c r="AU132" s="18"/>
      <c r="AV132" s="18"/>
      <c r="AW132" s="18"/>
      <c r="AX132" s="18"/>
      <c r="AY132" s="18"/>
      <c r="AZ132" s="18"/>
      <c r="BA132" s="18"/>
      <c r="BB132" s="18"/>
      <c r="BC132" s="18"/>
      <c r="BD132" s="18"/>
      <c r="BE132" s="18"/>
      <c r="BF132" s="18"/>
      <c r="BG132" s="18"/>
      <c r="BH132" s="18"/>
      <c r="BI132" s="18"/>
      <c r="BJ132" s="18"/>
      <c r="BK132" s="18"/>
      <c r="BL132" s="18"/>
      <c r="BM132" s="18"/>
      <c r="BN132" s="18"/>
      <c r="BO132" s="18"/>
      <c r="BP132" s="18"/>
      <c r="BQ132" s="18"/>
      <c r="BR132" s="18"/>
      <c r="BS132" s="18"/>
      <c r="BT132" s="18"/>
      <c r="BU132" s="18"/>
      <c r="BV132" s="18"/>
      <c r="BW132" s="18"/>
      <c r="BX132" s="18"/>
      <c r="BY132" s="18"/>
      <c r="BZ132" s="18"/>
      <c r="CA132" s="18"/>
      <c r="CB132" s="18"/>
      <c r="CC132" s="18"/>
      <c r="CD132" s="18"/>
      <c r="CE132" s="18"/>
      <c r="CF132" s="18"/>
      <c r="CG132" s="18"/>
      <c r="CH132" s="18"/>
      <c r="CI132" s="18"/>
      <c r="CJ132" s="18"/>
      <c r="CK132" s="18"/>
      <c r="CL132" s="18"/>
      <c r="CM132" s="18"/>
      <c r="CN132" s="18"/>
      <c r="CO132" s="18"/>
      <c r="CP132" s="18"/>
      <c r="CQ132" s="18"/>
      <c r="CR132" s="18"/>
      <c r="CS132" s="18"/>
      <c r="CT132" s="18"/>
      <c r="CU132" s="18"/>
      <c r="CV132" s="18"/>
      <c r="CW132" s="18"/>
      <c r="CX132" s="18"/>
      <c r="CY132" s="18"/>
      <c r="CZ132" s="18"/>
      <c r="DA132" s="18"/>
      <c r="DB132" s="18"/>
      <c r="DC132" s="18"/>
      <c r="DD132" s="18"/>
      <c r="DE132" s="18"/>
      <c r="DF132" s="18"/>
      <c r="DG132" s="18"/>
      <c r="DH132" s="18"/>
      <c r="DI132" s="18"/>
      <c r="DJ132" s="18"/>
      <c r="DK132" s="18"/>
      <c r="DL132" s="18"/>
      <c r="DM132" s="18"/>
      <c r="DN132" s="18"/>
      <c r="DO132" s="18"/>
      <c r="DP132" s="18"/>
      <c r="DQ132" s="18"/>
      <c r="DR132" s="18"/>
      <c r="DS132" s="18"/>
      <c r="DT132" s="18"/>
      <c r="DU132" s="18"/>
      <c r="DV132" s="18"/>
      <c r="DW132" s="18"/>
      <c r="DX132" s="18"/>
      <c r="DY132" s="18"/>
      <c r="DZ132" s="18"/>
      <c r="EA132" s="18"/>
      <c r="EB132" s="18"/>
      <c r="EC132" s="18"/>
      <c r="ED132" s="18"/>
      <c r="EE132" s="18"/>
      <c r="EF132" s="18"/>
      <c r="EG132" s="18"/>
      <c r="EH132" s="18"/>
      <c r="EI132" s="18"/>
      <c r="EJ132" s="18"/>
      <c r="EK132" s="18"/>
      <c r="EL132" s="18"/>
      <c r="EM132" s="18"/>
      <c r="EN132" s="18"/>
      <c r="EO132" s="18"/>
      <c r="EP132" s="18"/>
      <c r="EQ132" s="18"/>
      <c r="ER132" s="18"/>
      <c r="ES132" s="18"/>
      <c r="ET132" s="18"/>
      <c r="EU132" s="18"/>
      <c r="EV132" s="18"/>
      <c r="EW132" s="18"/>
      <c r="EX132" s="18"/>
      <c r="EY132" s="18"/>
      <c r="EZ132" s="18"/>
      <c r="FA132" s="18"/>
      <c r="FB132" s="18"/>
      <c r="FC132" s="18"/>
      <c r="FD132" s="18"/>
      <c r="FE132" s="18"/>
      <c r="FF132" s="18"/>
      <c r="FG132" s="18"/>
      <c r="FH132" s="18"/>
      <c r="FI132" s="18"/>
      <c r="FJ132" s="18"/>
      <c r="FK132" s="18"/>
      <c r="FL132" s="18"/>
      <c r="FM132" s="18"/>
      <c r="FN132" s="18"/>
      <c r="FO132" s="18"/>
      <c r="FP132" s="18"/>
      <c r="FQ132" s="18"/>
      <c r="FR132" s="18"/>
      <c r="FS132" s="18"/>
      <c r="FT132" s="18"/>
      <c r="FU132" s="18"/>
      <c r="FV132" s="18"/>
      <c r="FW132" s="18"/>
      <c r="FX132" s="18"/>
      <c r="FY132" s="18"/>
      <c r="FZ132" s="18"/>
      <c r="GA132" s="18"/>
      <c r="GB132" s="18"/>
      <c r="GC132" s="18"/>
      <c r="GD132" s="18"/>
    </row>
    <row r="133" spans="1:186">
      <c r="AU133" s="18"/>
      <c r="AV133" s="18"/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18"/>
      <c r="BH133" s="18"/>
      <c r="BI133" s="18"/>
      <c r="BJ133" s="18"/>
      <c r="BK133" s="18"/>
      <c r="BL133" s="18"/>
      <c r="BM133" s="18"/>
      <c r="BN133" s="18"/>
      <c r="BO133" s="18"/>
      <c r="BP133" s="18"/>
      <c r="BQ133" s="18"/>
      <c r="BR133" s="18"/>
      <c r="BS133" s="18"/>
      <c r="BT133" s="18"/>
      <c r="BU133" s="18"/>
      <c r="BV133" s="18"/>
      <c r="BW133" s="18"/>
      <c r="BX133" s="18"/>
      <c r="BY133" s="18"/>
      <c r="BZ133" s="18"/>
      <c r="CA133" s="18"/>
      <c r="CB133" s="18"/>
      <c r="CC133" s="18"/>
      <c r="CD133" s="18"/>
      <c r="CE133" s="18"/>
      <c r="CF133" s="18"/>
      <c r="CG133" s="18"/>
      <c r="CH133" s="18"/>
      <c r="CI133" s="18"/>
      <c r="CJ133" s="18"/>
      <c r="CK133" s="18"/>
      <c r="CL133" s="18"/>
      <c r="CM133" s="18"/>
      <c r="CN133" s="18"/>
      <c r="CO133" s="18"/>
      <c r="CP133" s="18"/>
      <c r="CQ133" s="18"/>
      <c r="CR133" s="18"/>
      <c r="CS133" s="18"/>
      <c r="CT133" s="18"/>
      <c r="CU133" s="18"/>
      <c r="CV133" s="18"/>
      <c r="CW133" s="18"/>
      <c r="CX133" s="18"/>
      <c r="CY133" s="18"/>
      <c r="CZ133" s="18"/>
      <c r="DA133" s="18"/>
      <c r="DB133" s="18"/>
      <c r="DC133" s="18"/>
      <c r="DD133" s="18"/>
      <c r="DE133" s="18"/>
      <c r="DF133" s="18"/>
      <c r="DG133" s="18"/>
      <c r="DH133" s="18"/>
      <c r="DI133" s="18"/>
      <c r="DJ133" s="18"/>
      <c r="DK133" s="18"/>
      <c r="DL133" s="18"/>
      <c r="DM133" s="18"/>
      <c r="DN133" s="18"/>
      <c r="DO133" s="18"/>
      <c r="DP133" s="18"/>
      <c r="DQ133" s="18"/>
      <c r="DR133" s="18"/>
      <c r="DS133" s="18"/>
      <c r="DT133" s="18"/>
      <c r="DU133" s="18"/>
      <c r="DV133" s="18"/>
      <c r="DW133" s="18"/>
      <c r="DX133" s="18"/>
      <c r="DY133" s="18"/>
      <c r="DZ133" s="18"/>
      <c r="EA133" s="18"/>
      <c r="EB133" s="18"/>
      <c r="EC133" s="18"/>
      <c r="ED133" s="18"/>
      <c r="EE133" s="18"/>
      <c r="EF133" s="18"/>
      <c r="EG133" s="18"/>
      <c r="EH133" s="18"/>
      <c r="EI133" s="18"/>
      <c r="EJ133" s="18"/>
      <c r="EK133" s="18"/>
      <c r="EL133" s="18"/>
      <c r="EM133" s="18"/>
      <c r="EN133" s="18"/>
      <c r="EO133" s="18"/>
      <c r="EP133" s="18"/>
      <c r="EQ133" s="18"/>
      <c r="ER133" s="18"/>
      <c r="ES133" s="18"/>
      <c r="ET133" s="18"/>
      <c r="EU133" s="18"/>
      <c r="EV133" s="18"/>
      <c r="EW133" s="18"/>
      <c r="EX133" s="18"/>
      <c r="EY133" s="18"/>
      <c r="EZ133" s="18"/>
      <c r="FA133" s="18"/>
      <c r="FB133" s="18"/>
      <c r="FC133" s="18"/>
      <c r="FD133" s="18"/>
      <c r="FE133" s="18"/>
      <c r="FF133" s="18"/>
      <c r="FG133" s="18"/>
      <c r="FH133" s="18"/>
      <c r="FI133" s="18"/>
      <c r="FJ133" s="18"/>
      <c r="FK133" s="18"/>
      <c r="FL133" s="18"/>
      <c r="FM133" s="18"/>
      <c r="FN133" s="18"/>
      <c r="FO133" s="18"/>
      <c r="FP133" s="18"/>
      <c r="FQ133" s="18"/>
      <c r="FR133" s="18"/>
      <c r="FS133" s="18"/>
      <c r="FT133" s="18"/>
      <c r="FU133" s="18"/>
      <c r="FV133" s="18"/>
      <c r="FW133" s="18"/>
      <c r="FX133" s="18"/>
      <c r="FY133" s="18"/>
      <c r="FZ133" s="18"/>
      <c r="GA133" s="18"/>
      <c r="GB133" s="18"/>
      <c r="GC133" s="18"/>
      <c r="GD133" s="18"/>
    </row>
    <row r="135" spans="1:186">
      <c r="B135" s="17"/>
    </row>
    <row r="136" spans="1:186">
      <c r="B136" s="17"/>
    </row>
    <row r="137" spans="1:186">
      <c r="B137" s="17"/>
    </row>
  </sheetData>
  <sheetProtection selectLockedCells="1" selectUnlockedCells="1"/>
  <autoFilter ref="A5:AF60">
    <filterColumn colId="2"/>
    <filterColumn colId="4"/>
    <filterColumn colId="27" showButton="0"/>
    <sortState ref="A8:AH99">
      <sortCondition ref="B5:B99"/>
    </sortState>
  </autoFilter>
  <mergeCells count="32">
    <mergeCell ref="AF5:AF6"/>
    <mergeCell ref="A64:B64"/>
    <mergeCell ref="AA5:AA6"/>
    <mergeCell ref="AB5:AC5"/>
    <mergeCell ref="AD5:AD6"/>
    <mergeCell ref="AE5:AE6"/>
    <mergeCell ref="T5:T6"/>
    <mergeCell ref="U5:U6"/>
    <mergeCell ref="V5:V6"/>
    <mergeCell ref="W5:W6"/>
    <mergeCell ref="X5:X6"/>
    <mergeCell ref="Y5:Y6"/>
    <mergeCell ref="N5:N6"/>
    <mergeCell ref="O5:O6"/>
    <mergeCell ref="P5:P6"/>
    <mergeCell ref="Q5:Q6"/>
    <mergeCell ref="R5:R6"/>
    <mergeCell ref="S5:S6"/>
    <mergeCell ref="G5:G6"/>
    <mergeCell ref="H5:H6"/>
    <mergeCell ref="I5:I6"/>
    <mergeCell ref="J5:J6"/>
    <mergeCell ref="M5:M6"/>
    <mergeCell ref="K5:K6"/>
    <mergeCell ref="L5:L6"/>
    <mergeCell ref="A116:B116"/>
    <mergeCell ref="F5:F6"/>
    <mergeCell ref="A5:A6"/>
    <mergeCell ref="B5:B6"/>
    <mergeCell ref="C5:C6"/>
    <mergeCell ref="D5:D6"/>
    <mergeCell ref="E5:E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NOMINA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2016-02-12T20:59:22Z</cp:lastPrinted>
  <dcterms:created xsi:type="dcterms:W3CDTF">2015-07-23T15:19:36Z</dcterms:created>
  <dcterms:modified xsi:type="dcterms:W3CDTF">2017-09-15T16:09:24Z</dcterms:modified>
</cp:coreProperties>
</file>