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NOMINA'!$A$5:$AF$6</definedName>
  </definedNames>
  <calcPr calcId="124519"/>
</workbook>
</file>

<file path=xl/calcChain.xml><?xml version="1.0" encoding="utf-8"?>
<calcChain xmlns="http://schemas.openxmlformats.org/spreadsheetml/2006/main">
  <c r="G9" i="4"/>
  <c r="H9" s="1"/>
  <c r="G32"/>
  <c r="H32" s="1"/>
  <c r="G35"/>
  <c r="G38"/>
  <c r="G12"/>
  <c r="G28"/>
  <c r="G26"/>
  <c r="G51"/>
  <c r="H51" s="1"/>
  <c r="G44"/>
  <c r="G45"/>
  <c r="G15"/>
  <c r="H15" s="1"/>
  <c r="G20"/>
  <c r="H20" s="1"/>
  <c r="G14"/>
  <c r="G39"/>
  <c r="G16"/>
  <c r="G34"/>
  <c r="H34" s="1"/>
  <c r="G11"/>
  <c r="G48"/>
  <c r="G36"/>
  <c r="G29"/>
  <c r="G33"/>
  <c r="H33" s="1"/>
  <c r="G8"/>
  <c r="G27"/>
  <c r="G22"/>
  <c r="H22" s="1"/>
  <c r="G37"/>
  <c r="G31"/>
  <c r="G43"/>
  <c r="G21"/>
  <c r="H21" s="1"/>
  <c r="G30"/>
  <c r="G17"/>
  <c r="G24"/>
  <c r="G25"/>
  <c r="H8"/>
  <c r="H10"/>
  <c r="H11"/>
  <c r="H12"/>
  <c r="H13"/>
  <c r="H14"/>
  <c r="H16"/>
  <c r="H17"/>
  <c r="H18"/>
  <c r="H19"/>
  <c r="H23"/>
  <c r="H24"/>
  <c r="H25"/>
  <c r="H26"/>
  <c r="H27"/>
  <c r="H28"/>
  <c r="H29"/>
  <c r="H30"/>
  <c r="H31"/>
  <c r="H35"/>
  <c r="H36"/>
  <c r="H37"/>
  <c r="H38"/>
  <c r="H39"/>
  <c r="H41"/>
  <c r="H42"/>
  <c r="H43"/>
  <c r="H44"/>
  <c r="H45"/>
  <c r="H46"/>
  <c r="H47"/>
  <c r="H48"/>
  <c r="H49"/>
  <c r="H7"/>
  <c r="G7"/>
  <c r="F9"/>
  <c r="F35"/>
  <c r="F38"/>
  <c r="F12"/>
  <c r="F28"/>
  <c r="F26"/>
  <c r="F51"/>
  <c r="F44"/>
  <c r="F45"/>
  <c r="F15"/>
  <c r="F20"/>
  <c r="F14"/>
  <c r="F39"/>
  <c r="F16"/>
  <c r="F50"/>
  <c r="F34"/>
  <c r="F11"/>
  <c r="F48"/>
  <c r="F36"/>
  <c r="F29"/>
  <c r="F33"/>
  <c r="F8"/>
  <c r="F27"/>
  <c r="F22"/>
  <c r="F37"/>
  <c r="F31"/>
  <c r="F40"/>
  <c r="F43"/>
  <c r="F21"/>
  <c r="F30"/>
  <c r="F24"/>
  <c r="F25"/>
  <c r="F7"/>
  <c r="E53" l="1"/>
  <c r="U46" l="1"/>
  <c r="U36" l="1"/>
  <c r="U37"/>
  <c r="U38"/>
  <c r="U29"/>
  <c r="U30"/>
  <c r="U31"/>
  <c r="U22"/>
  <c r="U23" l="1"/>
  <c r="U32" l="1"/>
  <c r="U33"/>
  <c r="U34"/>
  <c r="U35"/>
  <c r="U40"/>
  <c r="U41"/>
  <c r="U42"/>
  <c r="U43"/>
  <c r="U11"/>
  <c r="U12"/>
  <c r="U13"/>
  <c r="U14"/>
  <c r="U15"/>
  <c r="U21" l="1"/>
  <c r="U28" l="1"/>
  <c r="U26"/>
  <c r="U27" l="1"/>
  <c r="U24"/>
  <c r="U25"/>
  <c r="Z30" l="1"/>
  <c r="U19" l="1"/>
  <c r="U17" l="1"/>
  <c r="U8" l="1"/>
  <c r="U9"/>
  <c r="U10"/>
  <c r="U16"/>
  <c r="U18"/>
  <c r="U20"/>
  <c r="U44"/>
  <c r="U45"/>
  <c r="U47"/>
  <c r="U48"/>
  <c r="U49"/>
  <c r="U50"/>
  <c r="U51"/>
  <c r="J39" l="1"/>
  <c r="U39" s="1"/>
  <c r="J53" l="1"/>
  <c r="K53"/>
  <c r="L53"/>
  <c r="M53"/>
  <c r="N53"/>
  <c r="O53"/>
  <c r="P53"/>
  <c r="Q53"/>
  <c r="R53"/>
  <c r="S53"/>
  <c r="T53"/>
  <c r="G53"/>
  <c r="H53"/>
  <c r="F53"/>
  <c r="I53" l="1"/>
  <c r="V35" l="1"/>
  <c r="W35" l="1"/>
  <c r="V47"/>
  <c r="W47" l="1"/>
  <c r="V30" l="1"/>
  <c r="W30" l="1"/>
  <c r="V14" l="1"/>
  <c r="W14" s="1"/>
  <c r="V41" l="1"/>
  <c r="W41" l="1"/>
  <c r="V18" l="1"/>
  <c r="W18" s="1"/>
  <c r="V49"/>
  <c r="W49" s="1"/>
  <c r="Z20" l="1"/>
  <c r="V20" l="1"/>
  <c r="X20"/>
  <c r="AA20" s="1"/>
  <c r="W20" l="1"/>
  <c r="V29" l="1"/>
  <c r="X29"/>
  <c r="Z29"/>
  <c r="AA29" l="1"/>
  <c r="W29"/>
  <c r="AD29" s="1"/>
  <c r="V39" l="1"/>
  <c r="X39"/>
  <c r="Z51"/>
  <c r="Z50"/>
  <c r="Z44"/>
  <c r="Z38"/>
  <c r="Z35"/>
  <c r="Z32"/>
  <c r="Z28"/>
  <c r="Z12"/>
  <c r="Z39" l="1"/>
  <c r="AA39" l="1"/>
  <c r="W39"/>
  <c r="AD39" s="1"/>
  <c r="V38" l="1"/>
  <c r="X38"/>
  <c r="AA38" s="1"/>
  <c r="W38" l="1"/>
  <c r="AD38" s="1"/>
  <c r="V9"/>
  <c r="X9"/>
  <c r="X35"/>
  <c r="AA35" s="1"/>
  <c r="V12"/>
  <c r="X12"/>
  <c r="AA12" s="1"/>
  <c r="V11"/>
  <c r="X11"/>
  <c r="V33"/>
  <c r="X33"/>
  <c r="V8"/>
  <c r="X8"/>
  <c r="V24"/>
  <c r="X24"/>
  <c r="V15"/>
  <c r="X15"/>
  <c r="V32"/>
  <c r="X32"/>
  <c r="AA32" s="1"/>
  <c r="V28"/>
  <c r="X28"/>
  <c r="AA28" s="1"/>
  <c r="V48"/>
  <c r="X48"/>
  <c r="V44"/>
  <c r="X44"/>
  <c r="AA44" s="1"/>
  <c r="V51"/>
  <c r="X51"/>
  <c r="AA51" s="1"/>
  <c r="V43"/>
  <c r="X43"/>
  <c r="V42"/>
  <c r="X42"/>
  <c r="V50"/>
  <c r="X50"/>
  <c r="AA50" s="1"/>
  <c r="V34"/>
  <c r="X34"/>
  <c r="V27"/>
  <c r="X27"/>
  <c r="V25"/>
  <c r="X25"/>
  <c r="V16"/>
  <c r="X16"/>
  <c r="Z25"/>
  <c r="Z15"/>
  <c r="Z11"/>
  <c r="Z27"/>
  <c r="Z24"/>
  <c r="Z9"/>
  <c r="Z16"/>
  <c r="Z8"/>
  <c r="Z33"/>
  <c r="Z34"/>
  <c r="Z48"/>
  <c r="Z42"/>
  <c r="Z43"/>
  <c r="W51" l="1"/>
  <c r="AD51" s="1"/>
  <c r="W28"/>
  <c r="AD28" s="1"/>
  <c r="W50"/>
  <c r="AD50" s="1"/>
  <c r="U7"/>
  <c r="AD20"/>
  <c r="W32"/>
  <c r="AD32" s="1"/>
  <c r="AD35"/>
  <c r="W12"/>
  <c r="AD12" s="1"/>
  <c r="W44"/>
  <c r="AD44" s="1"/>
  <c r="AA16"/>
  <c r="AA48"/>
  <c r="AA43"/>
  <c r="AA25"/>
  <c r="AA24"/>
  <c r="AA27"/>
  <c r="AA11"/>
  <c r="AA8"/>
  <c r="AA33"/>
  <c r="AA15"/>
  <c r="AA9"/>
  <c r="AA34"/>
  <c r="AA42"/>
  <c r="W25"/>
  <c r="AD25" s="1"/>
  <c r="W27"/>
  <c r="AD27" s="1"/>
  <c r="W43"/>
  <c r="AD43" s="1"/>
  <c r="W15"/>
  <c r="AD15" s="1"/>
  <c r="W11"/>
  <c r="AD11" s="1"/>
  <c r="W33"/>
  <c r="AD33" s="1"/>
  <c r="W34"/>
  <c r="AD34" s="1"/>
  <c r="W24"/>
  <c r="AD24" s="1"/>
  <c r="W16"/>
  <c r="AD16" s="1"/>
  <c r="W9"/>
  <c r="AD9" s="1"/>
  <c r="W48"/>
  <c r="AD48" s="1"/>
  <c r="W8"/>
  <c r="AD8" s="1"/>
  <c r="W42"/>
  <c r="AD42" s="1"/>
  <c r="V7" l="1"/>
  <c r="V53" s="1"/>
  <c r="U53"/>
  <c r="W7"/>
  <c r="W53" s="1"/>
  <c r="X7"/>
  <c r="AA7" s="1"/>
  <c r="AA54" s="1"/>
</calcChain>
</file>

<file path=xl/comments1.xml><?xml version="1.0" encoding="utf-8"?>
<comments xmlns="http://schemas.openxmlformats.org/spreadsheetml/2006/main">
  <authors>
    <author>usuario</author>
  </authors>
  <commentList>
    <comment ref="M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<sst xmlns="http://schemas.openxmlformats.org/spreadsheetml/2006/main" count="230" uniqueCount="95">
  <si>
    <t>Puesto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</si>
  <si>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</si>
  <si>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</si>
  <si>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</si>
  <si>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</si>
  <si>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</si>
  <si>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</si>
  <si>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</si>
  <si>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Total Percepciones</t>
  </si>
  <si>
    <t>Descuentos Cta 254</t>
  </si>
  <si>
    <t>Area</t>
  </si>
  <si>
    <t>Nombre</t>
  </si>
  <si>
    <t>SEG GTS MED MAY</t>
  </si>
  <si>
    <t>Pension</t>
  </si>
  <si>
    <t>Total Deduciones</t>
  </si>
  <si>
    <t>CONSULTORES</t>
  </si>
  <si>
    <t>SINDICATO</t>
  </si>
  <si>
    <t>COMISION</t>
  </si>
  <si>
    <t>Servicios Prestados a : QUERETARO MOTORS, SA</t>
  </si>
  <si>
    <t>PEREZ PEREZ ISMAEL</t>
  </si>
  <si>
    <t>VEGA RIVERA ISMAEL</t>
  </si>
  <si>
    <t>HOJALATERIA</t>
  </si>
  <si>
    <t>COSTO</t>
  </si>
  <si>
    <t>HOJALATERO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</si>
  <si>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</si>
  <si>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</si>
  <si>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</si>
  <si>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</si>
  <si>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</si>
  <si>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</si>
  <si>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</si>
  <si>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</si>
  <si>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</si>
  <si>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</si>
  <si>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OLVERA HERNANDEZ JOSE TOMAS</t>
  </si>
  <si>
    <t>VIGUERAS MARTINEZ JUAN CARLOS</t>
  </si>
  <si>
    <t>SANCHEZ RODRIGUEZ FREDY</t>
  </si>
  <si>
    <t>CUOTA SINDICAL 1%</t>
  </si>
  <si>
    <t>FONDO DE AHORRO 4.9%</t>
  </si>
  <si>
    <t>FONSECA GUILLEN JOSE FELIPE</t>
  </si>
  <si>
    <t>HERNANDEZ SILVA EDGAR SAMUEL</t>
  </si>
  <si>
    <t>MARTINEZ LORENZO LUIS ALEJANDRO</t>
  </si>
  <si>
    <t>FECHA DE INICIO</t>
  </si>
  <si>
    <t>CUENTA</t>
  </si>
  <si>
    <t>OBSERVACIONES</t>
  </si>
  <si>
    <t>MARTINEZ GALLEGOS LUIS FERNANDO</t>
  </si>
  <si>
    <t>RESENDIZ CAMPUZANO ISRAEL</t>
  </si>
  <si>
    <t>UNIFORMES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</si>
  <si>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</si>
  <si>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</si>
  <si>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</si>
  <si>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</si>
  <si>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</si>
  <si>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ENRIQUEZ RUBIO FERNANDO</t>
  </si>
  <si>
    <t>FALTAS</t>
  </si>
  <si>
    <t>MATILDE SANTIAGO URIEL</t>
  </si>
  <si>
    <t>VALDEZ MARTINEZ MARTIN</t>
  </si>
  <si>
    <t>AYUDANTE</t>
  </si>
  <si>
    <t>ESTETICAS AYUDANTE</t>
  </si>
  <si>
    <t>TECNICO A</t>
  </si>
  <si>
    <t>TECNICO B</t>
  </si>
  <si>
    <t>HERNANDEZ AGUILAR ROBERTO CARLOS</t>
  </si>
  <si>
    <t>SALAS MARTINEZ OSCAR JESUS</t>
  </si>
  <si>
    <t>DOMINGUEZ GUDIÑO OMAR</t>
  </si>
  <si>
    <t>Ingenieria Fiscal Laboral S.C.</t>
  </si>
  <si>
    <t>TECNICO</t>
  </si>
  <si>
    <t>EN TRAMITE</t>
  </si>
  <si>
    <t>VALDEZ BERNAL JUAN PABLO</t>
  </si>
  <si>
    <t>DESCUENTO CTA 254 POR CONCEPTO DE HERRAMIENTAS</t>
  </si>
  <si>
    <t>TOTAL DE LA NOMINA</t>
  </si>
  <si>
    <t>BAUTISTA RAMIREZ MARIO ALEXIS</t>
  </si>
  <si>
    <t>DE JESUS PADILLA ALFREDO</t>
  </si>
  <si>
    <t>SAUCEDO MAGAÑA VICTOR HUGO</t>
  </si>
  <si>
    <t>GUTIERREZ LARA GEOVANNI</t>
  </si>
  <si>
    <t>HERNANDEZ MARTINEZ EDUARDO RENE</t>
  </si>
  <si>
    <t>XX</t>
  </si>
  <si>
    <t>PUEBLA MARTINEZ JOSE ANDRES</t>
  </si>
  <si>
    <t>JUAREZ MARTINEZ LUIS MIGUEL</t>
  </si>
  <si>
    <t>ROCHA MORENO HUGO ARMANDO</t>
  </si>
  <si>
    <t>LOPEZ MARTINEZ OSCAR</t>
  </si>
  <si>
    <t>LOPEZ PALACIOS LUIS ARTURO</t>
  </si>
  <si>
    <t>MECANICO NOCTURNO</t>
  </si>
  <si>
    <t>RAMIREZ MONTES MISSAEL GUILLERMO</t>
  </si>
  <si>
    <t>TELLEZ GAYTAN DANIEL</t>
  </si>
  <si>
    <t>SUEDO BASE</t>
  </si>
  <si>
    <t>NAVA RUBIO JAVIER (-$461.01)</t>
  </si>
  <si>
    <t>AGUILAR PEREZ MARCOS ARTEMIO</t>
  </si>
  <si>
    <t>MARTINEZ GARCIA JOSE JUAN</t>
  </si>
  <si>
    <t>NIETO GONZALEZ ANGEL RICARDO</t>
  </si>
  <si>
    <t>OLVERA BAUTISTA J DOLORES GILBERTO</t>
  </si>
  <si>
    <t>VEGA GRANADOS JUAN MANUEL</t>
  </si>
  <si>
    <t>DESCUENTO POR PRESTAMO 8/25</t>
  </si>
  <si>
    <t>Periodo Semana 37</t>
  </si>
  <si>
    <t>06/09/17 AL 12/09/17</t>
  </si>
  <si>
    <t>COMISION CORRECTA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</si>
</sst>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4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6" fillId="5" borderId="1" xfId="2" applyFont="1" applyFill="1" applyBorder="1" applyAlignment="1">
      <alignment horizontal="center" wrapText="1"/>
    </xf>
    <xf numFmtId="0" fontId="5" fillId="0" borderId="6" xfId="0" applyFont="1" applyBorder="1"/>
    <xf numFmtId="0" fontId="5" fillId="2" borderId="6" xfId="0" applyFont="1" applyFill="1" applyBorder="1"/>
    <xf numFmtId="43" fontId="5" fillId="0" borderId="6" xfId="2" applyFont="1" applyBorder="1"/>
    <xf numFmtId="43" fontId="5" fillId="2" borderId="6" xfId="2" applyFont="1" applyFill="1" applyBorder="1"/>
    <xf numFmtId="43" fontId="5" fillId="0" borderId="6" xfId="2" applyFont="1" applyFill="1" applyBorder="1" applyAlignment="1">
      <alignment horizontal="center"/>
    </xf>
    <xf numFmtId="0" fontId="5" fillId="0" borderId="6" xfId="0" applyFont="1" applyFill="1" applyBorder="1"/>
    <xf numFmtId="43" fontId="5" fillId="0" borderId="6" xfId="2" applyFont="1" applyFill="1" applyBorder="1"/>
    <xf numFmtId="0" fontId="6" fillId="0" borderId="6" xfId="0" applyFont="1" applyFill="1" applyBorder="1"/>
    <xf numFmtId="43" fontId="6" fillId="0" borderId="6" xfId="2" applyFont="1" applyBorder="1"/>
    <xf numFmtId="43" fontId="1" fillId="0" borderId="6" xfId="2" applyBorder="1"/>
    <xf numFmtId="43" fontId="1" fillId="3" borderId="6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6" xfId="2" applyFont="1" applyBorder="1"/>
    <xf numFmtId="43" fontId="10" fillId="3" borderId="6" xfId="2" applyFont="1" applyFill="1" applyBorder="1"/>
    <xf numFmtId="43" fontId="6" fillId="0" borderId="6" xfId="2" applyFont="1" applyFill="1" applyBorder="1"/>
    <xf numFmtId="43" fontId="11" fillId="0" borderId="6" xfId="2" applyFont="1" applyFill="1" applyBorder="1"/>
    <xf numFmtId="164" fontId="11" fillId="0" borderId="6" xfId="0" applyNumberFormat="1" applyFont="1" applyFill="1" applyBorder="1"/>
    <xf numFmtId="14" fontId="5" fillId="0" borderId="6" xfId="0" applyNumberFormat="1" applyFont="1" applyFill="1" applyBorder="1" applyAlignment="1"/>
    <xf numFmtId="0" fontId="11" fillId="0" borderId="6" xfId="0" applyFont="1" applyFill="1" applyBorder="1" applyAlignment="1">
      <alignment wrapText="1"/>
    </xf>
    <xf numFmtId="4" fontId="11" fillId="0" borderId="6" xfId="0" applyNumberFormat="1" applyFont="1" applyFill="1" applyBorder="1" applyAlignment="1">
      <alignment wrapText="1"/>
    </xf>
    <xf numFmtId="43" fontId="6" fillId="7" borderId="6" xfId="2" applyFont="1" applyFill="1" applyBorder="1"/>
    <xf numFmtId="43" fontId="5" fillId="7" borderId="6" xfId="2" applyFont="1" applyFill="1" applyBorder="1" applyAlignment="1">
      <alignment horizontal="center"/>
    </xf>
    <xf numFmtId="0" fontId="11" fillId="0" borderId="6" xfId="0" applyFont="1" applyFill="1" applyBorder="1"/>
    <xf numFmtId="4" fontId="11" fillId="0" borderId="6" xfId="0" applyNumberFormat="1" applyFont="1" applyFill="1" applyBorder="1"/>
    <xf numFmtId="43" fontId="5" fillId="0" borderId="6" xfId="0" applyNumberFormat="1" applyFont="1" applyFill="1" applyBorder="1"/>
    <xf numFmtId="14" fontId="5" fillId="0" borderId="6" xfId="0" applyNumberFormat="1" applyFont="1" applyBorder="1"/>
    <xf numFmtId="0" fontId="6" fillId="0" borderId="6" xfId="2" applyNumberFormat="1" applyFont="1" applyFill="1" applyBorder="1" applyAlignment="1">
      <alignment horizontal="center"/>
    </xf>
    <xf numFmtId="43" fontId="6" fillId="0" borderId="6" xfId="2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43" fontId="6" fillId="5" borderId="8" xfId="2" applyFont="1" applyFill="1" applyBorder="1" applyAlignment="1">
      <alignment horizontal="center" vertical="center" wrapText="1"/>
    </xf>
    <xf numFmtId="43" fontId="6" fillId="5" borderId="7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8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60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G50" sqref="G50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35" hidden="1" customWidth="1"/>
    <col min="29" max="29" width="12.7109375" style="3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186" s="7" customFormat="1">
      <c r="A1" s="2" t="s">
        <v>64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34"/>
      <c r="AC1" s="34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186" s="7" customFormat="1">
      <c r="A2" s="8" t="s">
        <v>18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34"/>
      <c r="AC2" s="34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186" s="7" customFormat="1">
      <c r="A3" s="10" t="s">
        <v>92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34"/>
      <c r="AC3" s="34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186" s="12" customFormat="1">
      <c r="A4" s="12" t="s">
        <v>93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35"/>
      <c r="AC4" s="3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186" s="12" customFormat="1" ht="28.5" customHeight="1">
      <c r="A5" s="69" t="s">
        <v>10</v>
      </c>
      <c r="B5" s="69" t="s">
        <v>11</v>
      </c>
      <c r="C5" s="69" t="s">
        <v>0</v>
      </c>
      <c r="D5" s="71" t="s">
        <v>42</v>
      </c>
      <c r="E5" s="71" t="s">
        <v>84</v>
      </c>
      <c r="F5" s="64" t="s">
        <v>17</v>
      </c>
      <c r="G5" s="63" t="s">
        <v>94</v>
      </c>
      <c r="H5" s="63" t="s">
        <v>27</v>
      </c>
      <c r="I5" s="63" t="s">
        <v>8</v>
      </c>
      <c r="J5" s="63" t="s">
        <v>9</v>
      </c>
      <c r="K5" s="64" t="s">
        <v>54</v>
      </c>
      <c r="L5" s="64" t="s">
        <v>47</v>
      </c>
      <c r="M5" s="65" t="s">
        <v>25</v>
      </c>
      <c r="N5" s="65" t="s">
        <v>38</v>
      </c>
      <c r="O5" s="65" t="s">
        <v>37</v>
      </c>
      <c r="P5" s="65" t="s">
        <v>26</v>
      </c>
      <c r="Q5" s="63" t="s">
        <v>5</v>
      </c>
      <c r="R5" s="63" t="s">
        <v>13</v>
      </c>
      <c r="S5" s="63" t="s">
        <v>12</v>
      </c>
      <c r="T5" s="63" t="s">
        <v>7</v>
      </c>
      <c r="U5" s="63" t="s">
        <v>14</v>
      </c>
      <c r="V5" s="58" t="s">
        <v>2</v>
      </c>
      <c r="W5" s="58" t="s">
        <v>6</v>
      </c>
      <c r="X5" s="58" t="s">
        <v>1</v>
      </c>
      <c r="Y5" s="58" t="s">
        <v>3</v>
      </c>
      <c r="Z5" s="22"/>
      <c r="AA5" s="58" t="s">
        <v>4</v>
      </c>
      <c r="AB5" s="60" t="s">
        <v>48</v>
      </c>
      <c r="AC5" s="61"/>
      <c r="AD5" s="62" t="s">
        <v>27</v>
      </c>
      <c r="AE5" s="57" t="s">
        <v>43</v>
      </c>
      <c r="AF5" s="57" t="s">
        <v>44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186" s="55" customFormat="1" ht="39" customHeight="1">
      <c r="A6" s="70"/>
      <c r="B6" s="70"/>
      <c r="C6" s="70"/>
      <c r="D6" s="72"/>
      <c r="E6" s="72"/>
      <c r="F6" s="68"/>
      <c r="G6" s="64"/>
      <c r="H6" s="64"/>
      <c r="I6" s="64"/>
      <c r="J6" s="64"/>
      <c r="K6" s="67"/>
      <c r="L6" s="67"/>
      <c r="M6" s="66"/>
      <c r="N6" s="66"/>
      <c r="O6" s="66"/>
      <c r="P6" s="66"/>
      <c r="Q6" s="64"/>
      <c r="R6" s="64"/>
      <c r="S6" s="64"/>
      <c r="T6" s="64"/>
      <c r="U6" s="64"/>
      <c r="V6" s="59"/>
      <c r="W6" s="59"/>
      <c r="X6" s="59"/>
      <c r="Y6" s="59"/>
      <c r="Z6" s="52"/>
      <c r="AA6" s="59"/>
      <c r="AB6" s="53" t="s">
        <v>15</v>
      </c>
      <c r="AC6" s="53" t="s">
        <v>16</v>
      </c>
      <c r="AD6" s="62"/>
      <c r="AE6" s="57"/>
      <c r="AF6" s="57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</row>
    <row r="7" spans="1:186">
      <c r="A7" s="28" t="s">
        <v>22</v>
      </c>
      <c r="B7" s="28" t="s">
        <v>86</v>
      </c>
      <c r="C7" s="24" t="s">
        <v>60</v>
      </c>
      <c r="D7" s="41">
        <v>41142</v>
      </c>
      <c r="E7" s="29">
        <v>667.87</v>
      </c>
      <c r="F7" s="29">
        <f>1462.345+5.571</f>
        <v>1467.9159999999999</v>
      </c>
      <c r="G7" s="26">
        <f>1462.345+5.571</f>
        <v>1467.9159999999999</v>
      </c>
      <c r="H7" s="26">
        <f>+G7-F7</f>
        <v>0</v>
      </c>
      <c r="I7" s="38"/>
      <c r="J7" s="29">
        <v>134.66999999999999</v>
      </c>
      <c r="K7" s="50"/>
      <c r="L7" s="29"/>
      <c r="M7" s="29"/>
      <c r="N7" s="51" t="s">
        <v>75</v>
      </c>
      <c r="O7" s="51" t="s">
        <v>75</v>
      </c>
      <c r="P7" s="29"/>
      <c r="Q7" s="27"/>
      <c r="R7" s="27"/>
      <c r="S7" s="28"/>
      <c r="T7" s="28"/>
      <c r="U7" s="38">
        <f>+I7-SUM(J7:T7)</f>
        <v>-134.66999999999999</v>
      </c>
      <c r="V7" s="27">
        <f>+U7*0.05</f>
        <v>-6.7334999999999994</v>
      </c>
      <c r="W7" s="38">
        <f>+U7-Q7-T7</f>
        <v>-134.66999999999999</v>
      </c>
      <c r="X7" s="45">
        <f>IF(U7&lt;3000,U7*0.1,0)</f>
        <v>-13.466999999999999</v>
      </c>
      <c r="Y7" s="45">
        <v>0</v>
      </c>
      <c r="Z7" s="45"/>
      <c r="AA7" s="44">
        <f>+U7+X7+Y7</f>
        <v>-148.137</v>
      </c>
      <c r="AB7" s="37"/>
      <c r="AC7" s="37"/>
      <c r="AD7" s="33"/>
      <c r="AE7" s="30">
        <v>56708845760</v>
      </c>
      <c r="AF7" s="30" t="s">
        <v>68</v>
      </c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</row>
    <row r="8" spans="1:186" s="18" customFormat="1">
      <c r="A8" s="28" t="s">
        <v>22</v>
      </c>
      <c r="B8" s="28" t="s">
        <v>31</v>
      </c>
      <c r="C8" s="28" t="s">
        <v>60</v>
      </c>
      <c r="D8" s="40">
        <v>41381</v>
      </c>
      <c r="E8" s="29">
        <v>627.13</v>
      </c>
      <c r="F8" s="29">
        <f>5108.524+2.599</f>
        <v>5111.1230000000005</v>
      </c>
      <c r="G8" s="29">
        <f>5108.524+2.599</f>
        <v>5111.1230000000005</v>
      </c>
      <c r="H8" s="26">
        <f t="shared" ref="H8:H51" si="0">+G8-F8</f>
        <v>0</v>
      </c>
      <c r="I8" s="38"/>
      <c r="J8" s="29"/>
      <c r="K8" s="50"/>
      <c r="L8" s="29"/>
      <c r="M8" s="29"/>
      <c r="N8" s="51" t="s">
        <v>75</v>
      </c>
      <c r="O8" s="51" t="s">
        <v>75</v>
      </c>
      <c r="P8" s="29"/>
      <c r="Q8" s="27"/>
      <c r="R8" s="27"/>
      <c r="S8" s="28"/>
      <c r="T8" s="28"/>
      <c r="U8" s="38">
        <f t="shared" ref="U8:U51" si="1">+I8-SUM(J8:T8)</f>
        <v>0</v>
      </c>
      <c r="V8" s="27">
        <f t="shared" ref="V8:V16" si="2">IF(I8&gt;2250,I8*0.1,0)</f>
        <v>0</v>
      </c>
      <c r="W8" s="38">
        <f t="shared" ref="W8:W16" si="3">+U8-V8</f>
        <v>0</v>
      </c>
      <c r="X8" s="27">
        <f t="shared" ref="X8:X16" si="4">IF(I8&lt;2250,I8*0.1,0)</f>
        <v>0</v>
      </c>
      <c r="Y8" s="27">
        <v>10.23</v>
      </c>
      <c r="Z8" s="27" t="str">
        <f t="shared" ref="Z8:Z16" si="5">+N8</f>
        <v>XX</v>
      </c>
      <c r="AA8" s="38" t="e">
        <f t="shared" ref="AA8:AA16" si="6">+I8+X8+Y8+Z8</f>
        <v>#VALUE!</v>
      </c>
      <c r="AB8" s="42"/>
      <c r="AC8" s="43"/>
      <c r="AD8" s="39">
        <f t="shared" ref="AD8:AD11" si="7">+AB8+AC8-W8</f>
        <v>0</v>
      </c>
      <c r="AE8" s="30">
        <v>56708845774</v>
      </c>
      <c r="AF8" s="30"/>
    </row>
    <row r="9" spans="1:186" s="18" customFormat="1">
      <c r="A9" s="28" t="s">
        <v>22</v>
      </c>
      <c r="B9" s="28" t="s">
        <v>52</v>
      </c>
      <c r="C9" s="28" t="s">
        <v>60</v>
      </c>
      <c r="D9" s="40">
        <v>41740</v>
      </c>
      <c r="E9" s="29">
        <v>627.13</v>
      </c>
      <c r="F9" s="29">
        <f>660.781+2.599</f>
        <v>663.38</v>
      </c>
      <c r="G9" s="29">
        <f>660.781+2.599</f>
        <v>663.38</v>
      </c>
      <c r="H9" s="26">
        <f t="shared" si="0"/>
        <v>0</v>
      </c>
      <c r="I9" s="38"/>
      <c r="J9" s="29">
        <v>275.38</v>
      </c>
      <c r="K9" s="50"/>
      <c r="L9" s="29"/>
      <c r="M9" s="27">
        <v>300</v>
      </c>
      <c r="N9" s="51" t="s">
        <v>75</v>
      </c>
      <c r="O9" s="51" t="s">
        <v>75</v>
      </c>
      <c r="P9" s="29"/>
      <c r="Q9" s="27"/>
      <c r="R9" s="27"/>
      <c r="S9" s="28"/>
      <c r="T9" s="28"/>
      <c r="U9" s="38">
        <f t="shared" si="1"/>
        <v>-575.38</v>
      </c>
      <c r="V9" s="27">
        <f t="shared" si="2"/>
        <v>0</v>
      </c>
      <c r="W9" s="38">
        <f t="shared" si="3"/>
        <v>-575.38</v>
      </c>
      <c r="X9" s="27">
        <f t="shared" si="4"/>
        <v>0</v>
      </c>
      <c r="Y9" s="27">
        <v>10.23</v>
      </c>
      <c r="Z9" s="27" t="str">
        <f t="shared" si="5"/>
        <v>XX</v>
      </c>
      <c r="AA9" s="38" t="e">
        <f t="shared" si="6"/>
        <v>#VALUE!</v>
      </c>
      <c r="AB9" s="42"/>
      <c r="AC9" s="43"/>
      <c r="AD9" s="39">
        <f t="shared" si="7"/>
        <v>575.38</v>
      </c>
      <c r="AE9" s="30">
        <v>56708845788</v>
      </c>
      <c r="AF9" s="30" t="s">
        <v>68</v>
      </c>
    </row>
    <row r="10" spans="1:186" s="18" customFormat="1">
      <c r="A10" s="28" t="s">
        <v>22</v>
      </c>
      <c r="B10" s="28" t="s">
        <v>70</v>
      </c>
      <c r="C10" s="28" t="s">
        <v>57</v>
      </c>
      <c r="D10" s="40">
        <v>42779</v>
      </c>
      <c r="E10" s="29">
        <v>560.28</v>
      </c>
      <c r="F10" s="29">
        <v>697.60199999999998</v>
      </c>
      <c r="G10" s="29">
        <v>697.60199999999998</v>
      </c>
      <c r="H10" s="26">
        <f t="shared" si="0"/>
        <v>0</v>
      </c>
      <c r="I10" s="38"/>
      <c r="J10" s="29"/>
      <c r="K10" s="50"/>
      <c r="L10" s="29"/>
      <c r="M10" s="29"/>
      <c r="N10" s="51" t="s">
        <v>75</v>
      </c>
      <c r="O10" s="51" t="s">
        <v>75</v>
      </c>
      <c r="P10" s="29"/>
      <c r="Q10" s="27"/>
      <c r="R10" s="27"/>
      <c r="S10" s="28"/>
      <c r="T10" s="28"/>
      <c r="U10" s="38">
        <f t="shared" si="1"/>
        <v>0</v>
      </c>
      <c r="V10" s="27"/>
      <c r="W10" s="38"/>
      <c r="X10" s="27"/>
      <c r="Y10" s="27"/>
      <c r="Z10" s="27"/>
      <c r="AA10" s="38"/>
      <c r="AB10" s="42"/>
      <c r="AC10" s="43"/>
      <c r="AD10" s="39"/>
      <c r="AE10" s="30">
        <v>60589582591</v>
      </c>
      <c r="AF10" s="30"/>
    </row>
    <row r="11" spans="1:186" s="18" customFormat="1">
      <c r="A11" s="28" t="s">
        <v>22</v>
      </c>
      <c r="B11" s="28" t="s">
        <v>32</v>
      </c>
      <c r="C11" s="28" t="s">
        <v>24</v>
      </c>
      <c r="D11" s="40">
        <v>41227</v>
      </c>
      <c r="E11" s="29">
        <v>560.28</v>
      </c>
      <c r="F11" s="29">
        <f>2291.8+13.099</f>
        <v>2304.8990000000003</v>
      </c>
      <c r="G11" s="29">
        <f>2291.8+13.099</f>
        <v>2304.8990000000003</v>
      </c>
      <c r="H11" s="26">
        <f t="shared" si="0"/>
        <v>0</v>
      </c>
      <c r="I11" s="38"/>
      <c r="J11" s="29"/>
      <c r="K11" s="50"/>
      <c r="L11" s="29"/>
      <c r="M11" s="27">
        <v>700</v>
      </c>
      <c r="N11" s="51" t="s">
        <v>75</v>
      </c>
      <c r="O11" s="51" t="s">
        <v>75</v>
      </c>
      <c r="P11" s="29"/>
      <c r="Q11" s="27"/>
      <c r="R11" s="27"/>
      <c r="S11" s="28"/>
      <c r="T11" s="28"/>
      <c r="U11" s="38">
        <f t="shared" si="1"/>
        <v>-700</v>
      </c>
      <c r="V11" s="27">
        <f t="shared" si="2"/>
        <v>0</v>
      </c>
      <c r="W11" s="38">
        <f t="shared" si="3"/>
        <v>-700</v>
      </c>
      <c r="X11" s="27">
        <f t="shared" si="4"/>
        <v>0</v>
      </c>
      <c r="Y11" s="27">
        <v>10.23</v>
      </c>
      <c r="Z11" s="27" t="str">
        <f t="shared" si="5"/>
        <v>XX</v>
      </c>
      <c r="AA11" s="38" t="e">
        <f t="shared" si="6"/>
        <v>#VALUE!</v>
      </c>
      <c r="AB11" s="42"/>
      <c r="AC11" s="43"/>
      <c r="AD11" s="39">
        <f t="shared" si="7"/>
        <v>700</v>
      </c>
      <c r="AE11" s="30">
        <v>56708845791</v>
      </c>
      <c r="AF11" s="30"/>
    </row>
    <row r="12" spans="1:186" s="18" customFormat="1">
      <c r="A12" s="28" t="s">
        <v>21</v>
      </c>
      <c r="B12" s="28" t="s">
        <v>49</v>
      </c>
      <c r="C12" s="28" t="s">
        <v>57</v>
      </c>
      <c r="D12" s="40">
        <v>42338</v>
      </c>
      <c r="E12" s="29">
        <v>739.2</v>
      </c>
      <c r="F12" s="29">
        <f>74.76+2.972</f>
        <v>77.731999999999999</v>
      </c>
      <c r="G12" s="29">
        <f>2250.81+7.428</f>
        <v>2258.2379999999998</v>
      </c>
      <c r="H12" s="26">
        <f t="shared" si="0"/>
        <v>2180.5059999999999</v>
      </c>
      <c r="I12" s="38"/>
      <c r="J12" s="29"/>
      <c r="K12" s="50"/>
      <c r="L12" s="29"/>
      <c r="M12" s="29"/>
      <c r="N12" s="51"/>
      <c r="O12" s="51"/>
      <c r="P12" s="29"/>
      <c r="Q12" s="27"/>
      <c r="R12" s="27"/>
      <c r="S12" s="28"/>
      <c r="T12" s="28"/>
      <c r="U12" s="38">
        <f t="shared" si="1"/>
        <v>0</v>
      </c>
      <c r="V12" s="27">
        <f t="shared" si="2"/>
        <v>0</v>
      </c>
      <c r="W12" s="38">
        <f t="shared" si="3"/>
        <v>0</v>
      </c>
      <c r="X12" s="27">
        <f t="shared" si="4"/>
        <v>0</v>
      </c>
      <c r="Y12" s="27">
        <v>10.23</v>
      </c>
      <c r="Z12" s="27">
        <f t="shared" si="5"/>
        <v>0</v>
      </c>
      <c r="AA12" s="38">
        <f t="shared" si="6"/>
        <v>10.23</v>
      </c>
      <c r="AB12" s="42"/>
      <c r="AC12" s="43"/>
      <c r="AD12" s="39">
        <f>+AB12+AC12-W12</f>
        <v>0</v>
      </c>
      <c r="AE12" s="30">
        <v>56708881872</v>
      </c>
      <c r="AF12" s="30"/>
    </row>
    <row r="13" spans="1:186" s="18" customFormat="1">
      <c r="A13" s="28" t="s">
        <v>22</v>
      </c>
      <c r="B13" s="28" t="s">
        <v>71</v>
      </c>
      <c r="C13" s="28" t="s">
        <v>57</v>
      </c>
      <c r="D13" s="40">
        <v>42807</v>
      </c>
      <c r="E13" s="29">
        <v>560.28</v>
      </c>
      <c r="F13" s="29">
        <v>542.58299999999997</v>
      </c>
      <c r="G13" s="29">
        <v>542.58299999999997</v>
      </c>
      <c r="H13" s="26">
        <f t="shared" si="0"/>
        <v>0</v>
      </c>
      <c r="I13" s="38"/>
      <c r="J13" s="29"/>
      <c r="K13" s="50"/>
      <c r="L13" s="29"/>
      <c r="M13" s="29"/>
      <c r="N13" s="51" t="s">
        <v>75</v>
      </c>
      <c r="O13" s="51" t="s">
        <v>75</v>
      </c>
      <c r="P13" s="29"/>
      <c r="Q13" s="27"/>
      <c r="R13" s="27"/>
      <c r="S13" s="28"/>
      <c r="T13" s="28"/>
      <c r="U13" s="38">
        <f t="shared" si="1"/>
        <v>0</v>
      </c>
      <c r="V13" s="27"/>
      <c r="W13" s="38"/>
      <c r="X13" s="27"/>
      <c r="Y13" s="27"/>
      <c r="Z13" s="27"/>
      <c r="AA13" s="38"/>
      <c r="AB13" s="42"/>
      <c r="AC13" s="43"/>
      <c r="AD13" s="39"/>
      <c r="AE13" s="30">
        <v>60589642468</v>
      </c>
      <c r="AF13" s="30"/>
    </row>
    <row r="14" spans="1:186" s="18" customFormat="1">
      <c r="A14" s="28" t="s">
        <v>21</v>
      </c>
      <c r="B14" s="28" t="s">
        <v>63</v>
      </c>
      <c r="C14" s="28" t="s">
        <v>23</v>
      </c>
      <c r="D14" s="40">
        <v>42681</v>
      </c>
      <c r="E14" s="29"/>
      <c r="F14" s="29">
        <f>1625.214+7.428</f>
        <v>1632.6420000000001</v>
      </c>
      <c r="G14" s="29">
        <f>2822.188+13.099</f>
        <v>2835.2870000000003</v>
      </c>
      <c r="H14" s="26">
        <f t="shared" si="0"/>
        <v>1202.6450000000002</v>
      </c>
      <c r="I14" s="38"/>
      <c r="J14" s="29"/>
      <c r="K14" s="50"/>
      <c r="L14" s="29"/>
      <c r="M14" s="29">
        <v>150</v>
      </c>
      <c r="N14" s="51"/>
      <c r="O14" s="51"/>
      <c r="P14" s="29"/>
      <c r="Q14" s="27"/>
      <c r="R14" s="27"/>
      <c r="S14" s="28"/>
      <c r="T14" s="28"/>
      <c r="U14" s="38">
        <f t="shared" si="1"/>
        <v>-150</v>
      </c>
      <c r="V14" s="27">
        <f t="shared" ref="V14" si="8">IF(I14&gt;2250,I14*0.1,0)</f>
        <v>0</v>
      </c>
      <c r="W14" s="38">
        <f t="shared" ref="W14" si="9">+U14-V14</f>
        <v>-150</v>
      </c>
      <c r="X14" s="27"/>
      <c r="Y14" s="27"/>
      <c r="Z14" s="27"/>
      <c r="AA14" s="38"/>
      <c r="AB14" s="42"/>
      <c r="AC14" s="43"/>
      <c r="AD14" s="39"/>
      <c r="AE14" s="30">
        <v>56710773131</v>
      </c>
      <c r="AF14" s="30"/>
    </row>
    <row r="15" spans="1:186" s="18" customFormat="1">
      <c r="A15" s="28" t="s">
        <v>22</v>
      </c>
      <c r="B15" s="28" t="s">
        <v>53</v>
      </c>
      <c r="C15" s="28" t="s">
        <v>60</v>
      </c>
      <c r="D15" s="40">
        <v>41227</v>
      </c>
      <c r="E15" s="29">
        <v>627.13</v>
      </c>
      <c r="F15" s="29">
        <f>1158.467+2.599</f>
        <v>1161.066</v>
      </c>
      <c r="G15" s="29">
        <f>1605.967+2.599</f>
        <v>1608.566</v>
      </c>
      <c r="H15" s="26">
        <f t="shared" si="0"/>
        <v>447.5</v>
      </c>
      <c r="I15" s="38"/>
      <c r="J15" s="29">
        <v>199.21</v>
      </c>
      <c r="K15" s="50"/>
      <c r="L15" s="29"/>
      <c r="M15" s="27">
        <v>500</v>
      </c>
      <c r="N15" s="51" t="s">
        <v>75</v>
      </c>
      <c r="O15" s="51" t="s">
        <v>75</v>
      </c>
      <c r="P15" s="29"/>
      <c r="Q15" s="27"/>
      <c r="R15" s="27"/>
      <c r="S15" s="28"/>
      <c r="T15" s="28"/>
      <c r="U15" s="38">
        <f t="shared" si="1"/>
        <v>-699.21</v>
      </c>
      <c r="V15" s="27">
        <f t="shared" si="2"/>
        <v>0</v>
      </c>
      <c r="W15" s="38">
        <f t="shared" si="3"/>
        <v>-699.21</v>
      </c>
      <c r="X15" s="27">
        <f t="shared" si="4"/>
        <v>0</v>
      </c>
      <c r="Y15" s="27">
        <v>10.23</v>
      </c>
      <c r="Z15" s="27" t="str">
        <f t="shared" si="5"/>
        <v>XX</v>
      </c>
      <c r="AA15" s="38" t="e">
        <f t="shared" si="6"/>
        <v>#VALUE!</v>
      </c>
      <c r="AB15" s="42"/>
      <c r="AC15" s="43"/>
      <c r="AD15" s="39">
        <f>+AB15+AC15-W15</f>
        <v>699.21</v>
      </c>
      <c r="AE15" s="30">
        <v>56708845820</v>
      </c>
      <c r="AF15" s="30" t="s">
        <v>68</v>
      </c>
    </row>
    <row r="16" spans="1:186" s="18" customFormat="1">
      <c r="A16" s="28" t="s">
        <v>22</v>
      </c>
      <c r="B16" s="28" t="s">
        <v>39</v>
      </c>
      <c r="C16" s="28" t="s">
        <v>60</v>
      </c>
      <c r="D16" s="40">
        <v>41227</v>
      </c>
      <c r="E16" s="29">
        <v>627.13</v>
      </c>
      <c r="F16" s="29">
        <f>3059.82+2.972</f>
        <v>3062.7920000000004</v>
      </c>
      <c r="G16" s="29">
        <f>4976.88+2.972</f>
        <v>4979.8519999999999</v>
      </c>
      <c r="H16" s="26">
        <f t="shared" si="0"/>
        <v>1917.0599999999995</v>
      </c>
      <c r="I16" s="38"/>
      <c r="J16" s="29"/>
      <c r="K16" s="50"/>
      <c r="L16" s="29"/>
      <c r="M16" s="29">
        <v>1000</v>
      </c>
      <c r="N16" s="51" t="s">
        <v>75</v>
      </c>
      <c r="O16" s="51" t="s">
        <v>75</v>
      </c>
      <c r="P16" s="29"/>
      <c r="Q16" s="27"/>
      <c r="R16" s="27"/>
      <c r="S16" s="28"/>
      <c r="T16" s="28"/>
      <c r="U16" s="38">
        <f t="shared" si="1"/>
        <v>-1000</v>
      </c>
      <c r="V16" s="27">
        <f t="shared" si="2"/>
        <v>0</v>
      </c>
      <c r="W16" s="38">
        <f t="shared" si="3"/>
        <v>-1000</v>
      </c>
      <c r="X16" s="27">
        <f t="shared" si="4"/>
        <v>0</v>
      </c>
      <c r="Y16" s="27">
        <v>10.23</v>
      </c>
      <c r="Z16" s="27" t="str">
        <f t="shared" si="5"/>
        <v>XX</v>
      </c>
      <c r="AA16" s="38" t="e">
        <f t="shared" si="6"/>
        <v>#VALUE!</v>
      </c>
      <c r="AB16" s="42"/>
      <c r="AC16" s="43"/>
      <c r="AD16" s="39">
        <f>+AB16+AC16-W16</f>
        <v>1000</v>
      </c>
      <c r="AE16" s="30">
        <v>56708845834</v>
      </c>
      <c r="AF16" s="30"/>
    </row>
    <row r="17" spans="1:32" s="18" customFormat="1">
      <c r="A17" s="28" t="s">
        <v>22</v>
      </c>
      <c r="B17" s="28" t="s">
        <v>73</v>
      </c>
      <c r="C17" s="28" t="s">
        <v>65</v>
      </c>
      <c r="D17" s="40">
        <v>42842</v>
      </c>
      <c r="E17" s="29">
        <v>560.28</v>
      </c>
      <c r="F17" s="29"/>
      <c r="G17" s="29">
        <f>3152.638+5.571</f>
        <v>3158.2089999999998</v>
      </c>
      <c r="H17" s="26">
        <f t="shared" si="0"/>
        <v>3158.2089999999998</v>
      </c>
      <c r="I17" s="38"/>
      <c r="J17" s="29"/>
      <c r="K17" s="50"/>
      <c r="L17" s="29"/>
      <c r="M17" s="29"/>
      <c r="N17" s="51" t="s">
        <v>75</v>
      </c>
      <c r="O17" s="51" t="s">
        <v>75</v>
      </c>
      <c r="P17" s="29"/>
      <c r="Q17" s="27"/>
      <c r="R17" s="27"/>
      <c r="S17" s="28"/>
      <c r="T17" s="28"/>
      <c r="U17" s="38">
        <f t="shared" si="1"/>
        <v>0</v>
      </c>
      <c r="V17" s="27"/>
      <c r="W17" s="38"/>
      <c r="X17" s="27"/>
      <c r="Y17" s="27"/>
      <c r="Z17" s="27"/>
      <c r="AA17" s="38"/>
      <c r="AB17" s="42"/>
      <c r="AC17" s="43"/>
      <c r="AD17" s="39"/>
      <c r="AE17" s="30">
        <v>60590100738</v>
      </c>
      <c r="AF17" s="30"/>
    </row>
    <row r="18" spans="1:32" s="18" customFormat="1">
      <c r="A18" s="28" t="s">
        <v>21</v>
      </c>
      <c r="B18" s="28" t="s">
        <v>61</v>
      </c>
      <c r="C18" s="28" t="s">
        <v>65</v>
      </c>
      <c r="D18" s="40">
        <v>42604</v>
      </c>
      <c r="E18" s="29">
        <v>560.28</v>
      </c>
      <c r="F18" s="29">
        <v>325.505</v>
      </c>
      <c r="G18" s="29">
        <v>325.505</v>
      </c>
      <c r="H18" s="26">
        <f t="shared" si="0"/>
        <v>0</v>
      </c>
      <c r="I18" s="38"/>
      <c r="J18" s="29"/>
      <c r="K18" s="50"/>
      <c r="L18" s="29"/>
      <c r="M18" s="29"/>
      <c r="N18" s="51" t="s">
        <v>75</v>
      </c>
      <c r="O18" s="51" t="s">
        <v>75</v>
      </c>
      <c r="P18" s="29"/>
      <c r="Q18" s="27"/>
      <c r="R18" s="27"/>
      <c r="S18" s="28"/>
      <c r="T18" s="28"/>
      <c r="U18" s="38">
        <f t="shared" si="1"/>
        <v>0</v>
      </c>
      <c r="V18" s="27">
        <f t="shared" ref="V18" si="10">IF(I18&gt;2250,I18*0.1,0)</f>
        <v>0</v>
      </c>
      <c r="W18" s="38">
        <f t="shared" ref="W18" si="11">+U18-V18</f>
        <v>0</v>
      </c>
      <c r="X18" s="27"/>
      <c r="Y18" s="27"/>
      <c r="Z18" s="27"/>
      <c r="AA18" s="38"/>
      <c r="AB18" s="42"/>
      <c r="AC18" s="43"/>
      <c r="AD18" s="39"/>
      <c r="AE18" s="30">
        <v>56708845848</v>
      </c>
      <c r="AF18" s="30"/>
    </row>
    <row r="19" spans="1:32" s="18" customFormat="1">
      <c r="A19" s="28" t="s">
        <v>22</v>
      </c>
      <c r="B19" s="28" t="s">
        <v>74</v>
      </c>
      <c r="C19" s="28" t="s">
        <v>57</v>
      </c>
      <c r="D19" s="40">
        <v>42864</v>
      </c>
      <c r="E19" s="29">
        <v>560.28</v>
      </c>
      <c r="F19" s="29">
        <v>346.49900000000002</v>
      </c>
      <c r="G19" s="29">
        <v>346.49900000000002</v>
      </c>
      <c r="H19" s="26">
        <f t="shared" si="0"/>
        <v>0</v>
      </c>
      <c r="I19" s="38"/>
      <c r="J19" s="29"/>
      <c r="K19" s="50"/>
      <c r="L19" s="29"/>
      <c r="M19" s="29"/>
      <c r="N19" s="51" t="s">
        <v>75</v>
      </c>
      <c r="O19" s="51" t="s">
        <v>75</v>
      </c>
      <c r="P19" s="29"/>
      <c r="Q19" s="27"/>
      <c r="R19" s="27"/>
      <c r="S19" s="28"/>
      <c r="T19" s="28"/>
      <c r="U19" s="38">
        <f t="shared" si="1"/>
        <v>0</v>
      </c>
      <c r="V19" s="27"/>
      <c r="W19" s="38"/>
      <c r="X19" s="27"/>
      <c r="Y19" s="27"/>
      <c r="Z19" s="27"/>
      <c r="AA19" s="38"/>
      <c r="AB19" s="42"/>
      <c r="AC19" s="43"/>
      <c r="AD19" s="39"/>
      <c r="AE19" s="30" t="s">
        <v>66</v>
      </c>
      <c r="AF19" s="30"/>
    </row>
    <row r="20" spans="1:32" s="18" customFormat="1">
      <c r="A20" s="28" t="s">
        <v>21</v>
      </c>
      <c r="B20" s="28" t="s">
        <v>40</v>
      </c>
      <c r="C20" s="28" t="s">
        <v>23</v>
      </c>
      <c r="D20" s="40">
        <v>42319</v>
      </c>
      <c r="E20" s="29">
        <v>739.2</v>
      </c>
      <c r="F20" s="29">
        <f>785.76+3.714</f>
        <v>789.47400000000005</v>
      </c>
      <c r="G20" s="29">
        <f>2264.298+13.099</f>
        <v>2277.3969999999999</v>
      </c>
      <c r="H20" s="26">
        <f t="shared" si="0"/>
        <v>1487.9229999999998</v>
      </c>
      <c r="I20" s="38"/>
      <c r="J20" s="29"/>
      <c r="K20" s="50"/>
      <c r="L20" s="29"/>
      <c r="M20" s="29"/>
      <c r="N20" s="51"/>
      <c r="O20" s="51"/>
      <c r="P20" s="29"/>
      <c r="Q20" s="27"/>
      <c r="R20" s="27"/>
      <c r="S20" s="28"/>
      <c r="T20" s="28"/>
      <c r="U20" s="38">
        <f t="shared" si="1"/>
        <v>0</v>
      </c>
      <c r="V20" s="27">
        <f t="shared" ref="V20:V48" si="12">IF(I20&gt;2250,I20*0.1,0)</f>
        <v>0</v>
      </c>
      <c r="W20" s="38">
        <f t="shared" ref="W20:W48" si="13">+U20-V20</f>
        <v>0</v>
      </c>
      <c r="X20" s="27">
        <f t="shared" ref="X20:X48" si="14">IF(I20&lt;2250,I20*0.1,0)</f>
        <v>0</v>
      </c>
      <c r="Y20" s="27">
        <v>19.23</v>
      </c>
      <c r="Z20" s="27">
        <f t="shared" ref="Z20:Z48" si="15">+N20</f>
        <v>0</v>
      </c>
      <c r="AA20" s="38">
        <f t="shared" ref="AA20:AA48" si="16">+I20+X20+Y20+Z20</f>
        <v>19.23</v>
      </c>
      <c r="AB20" s="42"/>
      <c r="AC20" s="43"/>
      <c r="AD20" s="39">
        <f>+AB20+AC20-W20</f>
        <v>0</v>
      </c>
      <c r="AE20" s="30">
        <v>56708881901</v>
      </c>
      <c r="AF20" s="30"/>
    </row>
    <row r="21" spans="1:32" s="18" customFormat="1">
      <c r="A21" s="28" t="s">
        <v>21</v>
      </c>
      <c r="B21" s="28" t="s">
        <v>77</v>
      </c>
      <c r="C21" s="28" t="s">
        <v>23</v>
      </c>
      <c r="D21" s="40">
        <v>42884</v>
      </c>
      <c r="E21" s="29">
        <v>739.27</v>
      </c>
      <c r="F21" s="29">
        <f>996.978+2.972</f>
        <v>999.94999999999993</v>
      </c>
      <c r="G21" s="29">
        <f>3922.23+7.428</f>
        <v>3929.6579999999999</v>
      </c>
      <c r="H21" s="26">
        <f t="shared" si="0"/>
        <v>2929.7080000000001</v>
      </c>
      <c r="I21" s="38"/>
      <c r="J21" s="29"/>
      <c r="K21" s="50"/>
      <c r="L21" s="29"/>
      <c r="M21" s="29"/>
      <c r="N21" s="51"/>
      <c r="O21" s="51"/>
      <c r="P21" s="29"/>
      <c r="Q21" s="27"/>
      <c r="R21" s="27"/>
      <c r="S21" s="28"/>
      <c r="T21" s="28"/>
      <c r="U21" s="38">
        <f t="shared" si="1"/>
        <v>0</v>
      </c>
      <c r="V21" s="27"/>
      <c r="W21" s="38"/>
      <c r="X21" s="27"/>
      <c r="Y21" s="27"/>
      <c r="Z21" s="27"/>
      <c r="AA21" s="38"/>
      <c r="AB21" s="42"/>
      <c r="AC21" s="43"/>
      <c r="AD21" s="39"/>
      <c r="AE21" s="30">
        <v>60592118015</v>
      </c>
      <c r="AF21" s="30"/>
    </row>
    <row r="22" spans="1:32" s="18" customFormat="1">
      <c r="A22" s="28" t="s">
        <v>21</v>
      </c>
      <c r="B22" s="28" t="s">
        <v>79</v>
      </c>
      <c r="C22" s="28" t="s">
        <v>24</v>
      </c>
      <c r="D22" s="40">
        <v>42916</v>
      </c>
      <c r="E22" s="29">
        <v>739.2</v>
      </c>
      <c r="F22" s="29">
        <f>317.725+2.599</f>
        <v>320.32400000000001</v>
      </c>
      <c r="G22" s="29">
        <f>1633.375+5.571</f>
        <v>1638.9459999999999</v>
      </c>
      <c r="H22" s="26">
        <f t="shared" si="0"/>
        <v>1318.6219999999998</v>
      </c>
      <c r="I22" s="38"/>
      <c r="J22" s="29"/>
      <c r="K22" s="50"/>
      <c r="L22" s="29"/>
      <c r="M22" s="29"/>
      <c r="N22" s="51"/>
      <c r="O22" s="51"/>
      <c r="P22" s="29"/>
      <c r="Q22" s="27"/>
      <c r="R22" s="27"/>
      <c r="S22" s="28"/>
      <c r="T22" s="56">
        <v>198.87</v>
      </c>
      <c r="U22" s="38">
        <f t="shared" si="1"/>
        <v>-198.87</v>
      </c>
      <c r="V22" s="27"/>
      <c r="W22" s="38"/>
      <c r="X22" s="27"/>
      <c r="Y22" s="27"/>
      <c r="Z22" s="27"/>
      <c r="AA22" s="38"/>
      <c r="AB22" s="42"/>
      <c r="AC22" s="43"/>
      <c r="AD22" s="39"/>
      <c r="AE22" s="30">
        <v>60592515217</v>
      </c>
      <c r="AF22" s="30"/>
    </row>
    <row r="23" spans="1:32" s="18" customFormat="1">
      <c r="A23" s="28" t="s">
        <v>22</v>
      </c>
      <c r="B23" s="28" t="s">
        <v>80</v>
      </c>
      <c r="C23" s="28" t="s">
        <v>24</v>
      </c>
      <c r="D23" s="40">
        <v>42912</v>
      </c>
      <c r="E23" s="29">
        <v>739.2</v>
      </c>
      <c r="F23" s="29">
        <v>1160.8800000000001</v>
      </c>
      <c r="G23" s="29">
        <v>1160.8800000000001</v>
      </c>
      <c r="H23" s="26">
        <f t="shared" si="0"/>
        <v>0</v>
      </c>
      <c r="I23" s="38"/>
      <c r="J23" s="29"/>
      <c r="K23" s="50"/>
      <c r="L23" s="29"/>
      <c r="M23" s="29"/>
      <c r="N23" s="51"/>
      <c r="O23" s="51"/>
      <c r="P23" s="29"/>
      <c r="Q23" s="27"/>
      <c r="R23" s="27"/>
      <c r="S23" s="28"/>
      <c r="T23" s="28"/>
      <c r="U23" s="38">
        <f t="shared" si="1"/>
        <v>0</v>
      </c>
      <c r="V23" s="27"/>
      <c r="W23" s="38"/>
      <c r="X23" s="27"/>
      <c r="Y23" s="27"/>
      <c r="Z23" s="27"/>
      <c r="AA23" s="38"/>
      <c r="AB23" s="42"/>
      <c r="AC23" s="43"/>
      <c r="AD23" s="39"/>
      <c r="AE23" s="30">
        <v>56686168111</v>
      </c>
      <c r="AF23" s="30"/>
    </row>
    <row r="24" spans="1:32" s="18" customFormat="1">
      <c r="A24" s="28" t="s">
        <v>22</v>
      </c>
      <c r="B24" s="28" t="s">
        <v>28</v>
      </c>
      <c r="C24" s="28" t="s">
        <v>65</v>
      </c>
      <c r="D24" s="40">
        <v>41981</v>
      </c>
      <c r="E24" s="29">
        <v>506.28</v>
      </c>
      <c r="F24" s="29">
        <f>1685.973+2.599</f>
        <v>1688.5719999999999</v>
      </c>
      <c r="G24" s="29">
        <f>1685.973+2.599</f>
        <v>1688.5719999999999</v>
      </c>
      <c r="H24" s="26">
        <f t="shared" si="0"/>
        <v>0</v>
      </c>
      <c r="I24" s="38"/>
      <c r="J24" s="29">
        <v>200</v>
      </c>
      <c r="K24" s="50"/>
      <c r="L24" s="29"/>
      <c r="M24" s="29">
        <v>300</v>
      </c>
      <c r="N24" s="51" t="s">
        <v>75</v>
      </c>
      <c r="O24" s="51" t="s">
        <v>75</v>
      </c>
      <c r="P24" s="29"/>
      <c r="Q24" s="27"/>
      <c r="R24" s="27"/>
      <c r="S24" s="28"/>
      <c r="T24" s="28"/>
      <c r="U24" s="38">
        <f t="shared" si="1"/>
        <v>-500</v>
      </c>
      <c r="V24" s="27">
        <f t="shared" si="12"/>
        <v>0</v>
      </c>
      <c r="W24" s="38">
        <f t="shared" si="13"/>
        <v>-500</v>
      </c>
      <c r="X24" s="27">
        <f t="shared" si="14"/>
        <v>0</v>
      </c>
      <c r="Y24" s="27">
        <v>10.23</v>
      </c>
      <c r="Z24" s="27" t="str">
        <f t="shared" si="15"/>
        <v>XX</v>
      </c>
      <c r="AA24" s="38" t="e">
        <f t="shared" si="16"/>
        <v>#VALUE!</v>
      </c>
      <c r="AB24" s="42"/>
      <c r="AC24" s="43"/>
      <c r="AD24" s="39">
        <f t="shared" ref="AD24:AD48" si="17">+AB24+AC24-W24</f>
        <v>500</v>
      </c>
      <c r="AE24" s="30">
        <v>56708845851</v>
      </c>
      <c r="AF24" s="30" t="s">
        <v>91</v>
      </c>
    </row>
    <row r="25" spans="1:32" s="18" customFormat="1">
      <c r="A25" s="28" t="s">
        <v>22</v>
      </c>
      <c r="B25" s="28" t="s">
        <v>45</v>
      </c>
      <c r="C25" s="28" t="s">
        <v>60</v>
      </c>
      <c r="D25" s="40">
        <v>41284</v>
      </c>
      <c r="E25" s="29">
        <v>627.13</v>
      </c>
      <c r="F25" s="29">
        <f>1859.358+2.599</f>
        <v>1861.9569999999999</v>
      </c>
      <c r="G25" s="29">
        <f>1859.358+2.599</f>
        <v>1861.9569999999999</v>
      </c>
      <c r="H25" s="26">
        <f t="shared" si="0"/>
        <v>0</v>
      </c>
      <c r="I25" s="38"/>
      <c r="J25" s="29">
        <v>246.63</v>
      </c>
      <c r="K25" s="50"/>
      <c r="L25" s="29"/>
      <c r="M25" s="29"/>
      <c r="N25" s="51" t="s">
        <v>75</v>
      </c>
      <c r="O25" s="51" t="s">
        <v>75</v>
      </c>
      <c r="P25" s="29"/>
      <c r="Q25" s="27"/>
      <c r="R25" s="27"/>
      <c r="S25" s="28"/>
      <c r="T25" s="28"/>
      <c r="U25" s="38">
        <f t="shared" si="1"/>
        <v>-246.63</v>
      </c>
      <c r="V25" s="27">
        <f t="shared" si="12"/>
        <v>0</v>
      </c>
      <c r="W25" s="38">
        <f t="shared" si="13"/>
        <v>-246.63</v>
      </c>
      <c r="X25" s="27">
        <f t="shared" si="14"/>
        <v>0</v>
      </c>
      <c r="Y25" s="27">
        <v>10.23</v>
      </c>
      <c r="Z25" s="27" t="str">
        <f t="shared" si="15"/>
        <v>XX</v>
      </c>
      <c r="AA25" s="38" t="e">
        <f t="shared" si="16"/>
        <v>#VALUE!</v>
      </c>
      <c r="AB25" s="42"/>
      <c r="AC25" s="43"/>
      <c r="AD25" s="39">
        <f t="shared" si="17"/>
        <v>246.63</v>
      </c>
      <c r="AE25" s="30">
        <v>56708881915</v>
      </c>
      <c r="AF25" s="30" t="s">
        <v>68</v>
      </c>
    </row>
    <row r="26" spans="1:32" s="18" customFormat="1">
      <c r="A26" s="28" t="s">
        <v>21</v>
      </c>
      <c r="B26" s="28" t="s">
        <v>87</v>
      </c>
      <c r="C26" s="28" t="s">
        <v>23</v>
      </c>
      <c r="D26" s="40">
        <v>42823</v>
      </c>
      <c r="E26" s="29">
        <v>560.28</v>
      </c>
      <c r="F26" s="29">
        <f>589.32+3.714</f>
        <v>593.03400000000011</v>
      </c>
      <c r="G26" s="29">
        <f>4544.312+13.099</f>
        <v>4557.4110000000001</v>
      </c>
      <c r="H26" s="26">
        <f t="shared" si="0"/>
        <v>3964.377</v>
      </c>
      <c r="I26" s="38"/>
      <c r="J26" s="29"/>
      <c r="K26" s="50"/>
      <c r="L26" s="29"/>
      <c r="M26" s="29"/>
      <c r="N26" s="51"/>
      <c r="O26" s="51"/>
      <c r="P26" s="29"/>
      <c r="Q26" s="27"/>
      <c r="R26" s="27"/>
      <c r="S26" s="28"/>
      <c r="T26" s="28"/>
      <c r="U26" s="38">
        <f t="shared" si="1"/>
        <v>0</v>
      </c>
      <c r="V26" s="27"/>
      <c r="W26" s="38"/>
      <c r="X26" s="27"/>
      <c r="Y26" s="27"/>
      <c r="Z26" s="27"/>
      <c r="AA26" s="38"/>
      <c r="AB26" s="42"/>
      <c r="AC26" s="43"/>
      <c r="AD26" s="39"/>
      <c r="AE26" s="30">
        <v>60589704184</v>
      </c>
      <c r="AF26" s="30"/>
    </row>
    <row r="27" spans="1:32" s="18" customFormat="1">
      <c r="A27" s="28" t="s">
        <v>22</v>
      </c>
      <c r="B27" s="28" t="s">
        <v>30</v>
      </c>
      <c r="C27" s="28" t="s">
        <v>60</v>
      </c>
      <c r="D27" s="40">
        <v>41227</v>
      </c>
      <c r="E27" s="29">
        <v>627.13</v>
      </c>
      <c r="F27" s="29">
        <f>1900.976+2.972</f>
        <v>1903.9480000000001</v>
      </c>
      <c r="G27" s="29">
        <f>1900.976+2.972</f>
        <v>1903.9480000000001</v>
      </c>
      <c r="H27" s="26">
        <f t="shared" si="0"/>
        <v>0</v>
      </c>
      <c r="I27" s="38"/>
      <c r="J27" s="29"/>
      <c r="K27" s="50"/>
      <c r="L27" s="29"/>
      <c r="M27" s="29"/>
      <c r="N27" s="51" t="s">
        <v>75</v>
      </c>
      <c r="O27" s="51" t="s">
        <v>75</v>
      </c>
      <c r="P27" s="29"/>
      <c r="Q27" s="27"/>
      <c r="R27" s="27"/>
      <c r="S27" s="28"/>
      <c r="T27" s="28"/>
      <c r="U27" s="38">
        <f t="shared" si="1"/>
        <v>0</v>
      </c>
      <c r="V27" s="27">
        <f t="shared" si="12"/>
        <v>0</v>
      </c>
      <c r="W27" s="38">
        <f t="shared" si="13"/>
        <v>0</v>
      </c>
      <c r="X27" s="27">
        <f t="shared" si="14"/>
        <v>0</v>
      </c>
      <c r="Y27" s="27">
        <v>10.23</v>
      </c>
      <c r="Z27" s="27" t="str">
        <f t="shared" si="15"/>
        <v>XX</v>
      </c>
      <c r="AA27" s="38" t="e">
        <f t="shared" si="16"/>
        <v>#VALUE!</v>
      </c>
      <c r="AB27" s="42"/>
      <c r="AC27" s="43"/>
      <c r="AD27" s="39">
        <f t="shared" si="17"/>
        <v>0</v>
      </c>
      <c r="AE27" s="30">
        <v>56708845865</v>
      </c>
      <c r="AF27" s="30"/>
    </row>
    <row r="28" spans="1:32" s="18" customFormat="1">
      <c r="A28" s="28" t="s">
        <v>21</v>
      </c>
      <c r="B28" s="28" t="s">
        <v>41</v>
      </c>
      <c r="C28" s="28" t="s">
        <v>23</v>
      </c>
      <c r="D28" s="40">
        <v>41493</v>
      </c>
      <c r="E28" s="29">
        <v>739.2</v>
      </c>
      <c r="F28" s="29">
        <f>1211.38+3.714</f>
        <v>1215.0940000000001</v>
      </c>
      <c r="G28" s="29">
        <f>3673.428+13.099</f>
        <v>3686.527</v>
      </c>
      <c r="H28" s="26">
        <f t="shared" si="0"/>
        <v>2471.433</v>
      </c>
      <c r="I28" s="38"/>
      <c r="J28" s="29"/>
      <c r="K28" s="50"/>
      <c r="L28" s="29"/>
      <c r="M28" s="29"/>
      <c r="N28" s="51"/>
      <c r="O28" s="51"/>
      <c r="P28" s="29"/>
      <c r="Q28" s="27"/>
      <c r="R28" s="27"/>
      <c r="S28" s="28"/>
      <c r="T28" s="28"/>
      <c r="U28" s="38">
        <f t="shared" si="1"/>
        <v>0</v>
      </c>
      <c r="V28" s="27">
        <f t="shared" si="12"/>
        <v>0</v>
      </c>
      <c r="W28" s="38">
        <f t="shared" si="13"/>
        <v>0</v>
      </c>
      <c r="X28" s="27">
        <f t="shared" si="14"/>
        <v>0</v>
      </c>
      <c r="Y28" s="27">
        <v>10.23</v>
      </c>
      <c r="Z28" s="27">
        <f t="shared" si="15"/>
        <v>0</v>
      </c>
      <c r="AA28" s="38">
        <f t="shared" si="16"/>
        <v>10.23</v>
      </c>
      <c r="AB28" s="42"/>
      <c r="AC28" s="43"/>
      <c r="AD28" s="39">
        <f t="shared" si="17"/>
        <v>0</v>
      </c>
      <c r="AE28" s="30">
        <v>56708845879</v>
      </c>
      <c r="AF28" s="30"/>
    </row>
    <row r="29" spans="1:32" s="18" customFormat="1">
      <c r="A29" s="28" t="s">
        <v>22</v>
      </c>
      <c r="B29" s="28" t="s">
        <v>55</v>
      </c>
      <c r="C29" s="28" t="s">
        <v>65</v>
      </c>
      <c r="D29" s="40">
        <v>42493</v>
      </c>
      <c r="E29" s="29">
        <v>506.28</v>
      </c>
      <c r="F29" s="29">
        <f>207.176+2.599</f>
        <v>209.77499999999998</v>
      </c>
      <c r="G29" s="29">
        <f>207.176+2.599</f>
        <v>209.77499999999998</v>
      </c>
      <c r="H29" s="26">
        <f t="shared" si="0"/>
        <v>0</v>
      </c>
      <c r="I29" s="38"/>
      <c r="J29" s="29"/>
      <c r="K29" s="50"/>
      <c r="L29" s="29"/>
      <c r="M29" s="29"/>
      <c r="N29" s="51" t="s">
        <v>75</v>
      </c>
      <c r="O29" s="51" t="s">
        <v>75</v>
      </c>
      <c r="P29" s="29"/>
      <c r="Q29" s="27"/>
      <c r="R29" s="27"/>
      <c r="S29" s="28"/>
      <c r="T29" s="28"/>
      <c r="U29" s="38">
        <f t="shared" si="1"/>
        <v>0</v>
      </c>
      <c r="V29" s="27">
        <f t="shared" si="12"/>
        <v>0</v>
      </c>
      <c r="W29" s="38">
        <f t="shared" si="13"/>
        <v>0</v>
      </c>
      <c r="X29" s="27">
        <f t="shared" si="14"/>
        <v>0</v>
      </c>
      <c r="Y29" s="27">
        <v>10.23</v>
      </c>
      <c r="Z29" s="27" t="str">
        <f t="shared" si="15"/>
        <v>XX</v>
      </c>
      <c r="AA29" s="38" t="e">
        <f t="shared" si="16"/>
        <v>#VALUE!</v>
      </c>
      <c r="AB29" s="42"/>
      <c r="AC29" s="43"/>
      <c r="AD29" s="39">
        <f t="shared" si="17"/>
        <v>0</v>
      </c>
      <c r="AE29" s="30">
        <v>56708845882</v>
      </c>
      <c r="AF29" s="30"/>
    </row>
    <row r="30" spans="1:32" s="18" customFormat="1">
      <c r="A30" s="28" t="s">
        <v>21</v>
      </c>
      <c r="B30" s="28" t="s">
        <v>85</v>
      </c>
      <c r="C30" s="28" t="s">
        <v>57</v>
      </c>
      <c r="D30" s="40">
        <v>42716</v>
      </c>
      <c r="E30" s="29">
        <v>1200.01</v>
      </c>
      <c r="F30" s="29">
        <f>775.07+2.599-461.01</f>
        <v>316.65900000000011</v>
      </c>
      <c r="G30" s="29">
        <f>3734.835+5.571-461.01</f>
        <v>3279.3959999999997</v>
      </c>
      <c r="H30" s="26">
        <f t="shared" si="0"/>
        <v>2962.7369999999996</v>
      </c>
      <c r="I30" s="38"/>
      <c r="J30" s="29"/>
      <c r="K30" s="50"/>
      <c r="L30" s="29"/>
      <c r="M30" s="29"/>
      <c r="N30" s="51"/>
      <c r="O30" s="51"/>
      <c r="P30" s="29"/>
      <c r="Q30" s="27"/>
      <c r="R30" s="27"/>
      <c r="S30" s="28"/>
      <c r="T30" s="28">
        <v>301.08999999999997</v>
      </c>
      <c r="U30" s="38">
        <f t="shared" si="1"/>
        <v>-301.08999999999997</v>
      </c>
      <c r="V30" s="27">
        <f t="shared" ref="V30" si="18">IF(I30&gt;2250,I30*0.1,0)</f>
        <v>0</v>
      </c>
      <c r="W30" s="38">
        <f t="shared" ref="W30" si="19">+U30-V30</f>
        <v>-301.08999999999997</v>
      </c>
      <c r="X30" s="27"/>
      <c r="Y30" s="27"/>
      <c r="Z30" s="27">
        <f t="shared" si="15"/>
        <v>0</v>
      </c>
      <c r="AA30" s="38"/>
      <c r="AB30" s="42"/>
      <c r="AC30" s="43"/>
      <c r="AD30" s="39"/>
      <c r="AE30" s="30">
        <v>60589845501</v>
      </c>
      <c r="AF30" s="30"/>
    </row>
    <row r="31" spans="1:32" s="18" customFormat="1">
      <c r="A31" s="28" t="s">
        <v>21</v>
      </c>
      <c r="B31" s="28" t="s">
        <v>88</v>
      </c>
      <c r="C31" s="28" t="s">
        <v>23</v>
      </c>
      <c r="D31" s="40">
        <v>42909</v>
      </c>
      <c r="E31" s="29">
        <v>738.99</v>
      </c>
      <c r="F31" s="29">
        <f>895+2.599</f>
        <v>897.59900000000005</v>
      </c>
      <c r="G31" s="29">
        <f>2796.875+5.571</f>
        <v>2802.4459999999999</v>
      </c>
      <c r="H31" s="26">
        <f t="shared" si="0"/>
        <v>1904.8469999999998</v>
      </c>
      <c r="I31" s="38"/>
      <c r="J31" s="29"/>
      <c r="K31" s="50"/>
      <c r="L31" s="29"/>
      <c r="M31" s="29"/>
      <c r="N31" s="51"/>
      <c r="O31" s="51"/>
      <c r="P31" s="29"/>
      <c r="Q31" s="27"/>
      <c r="R31" s="27"/>
      <c r="S31" s="28"/>
      <c r="T31" s="48"/>
      <c r="U31" s="38">
        <f t="shared" si="1"/>
        <v>0</v>
      </c>
      <c r="V31" s="27"/>
      <c r="W31" s="38"/>
      <c r="X31" s="27"/>
      <c r="Y31" s="27"/>
      <c r="Z31" s="27"/>
      <c r="AA31" s="38"/>
      <c r="AB31" s="42"/>
      <c r="AC31" s="42"/>
      <c r="AD31" s="39"/>
      <c r="AE31" s="30">
        <v>60592420864</v>
      </c>
      <c r="AF31" s="30"/>
    </row>
    <row r="32" spans="1:32" s="18" customFormat="1">
      <c r="A32" s="28" t="s">
        <v>21</v>
      </c>
      <c r="B32" s="28" t="s">
        <v>89</v>
      </c>
      <c r="C32" s="28" t="s">
        <v>23</v>
      </c>
      <c r="D32" s="40">
        <v>42170</v>
      </c>
      <c r="E32" s="29">
        <v>739.2</v>
      </c>
      <c r="F32" s="29"/>
      <c r="G32" s="29">
        <f>3365.672+13.099</f>
        <v>3378.7710000000002</v>
      </c>
      <c r="H32" s="26">
        <f t="shared" si="0"/>
        <v>3378.7710000000002</v>
      </c>
      <c r="I32" s="38"/>
      <c r="J32" s="50"/>
      <c r="K32" s="50"/>
      <c r="L32" s="29"/>
      <c r="M32" s="29"/>
      <c r="N32" s="51"/>
      <c r="O32" s="51"/>
      <c r="P32" s="29"/>
      <c r="Q32" s="27"/>
      <c r="R32" s="27"/>
      <c r="S32" s="28"/>
      <c r="T32" s="28"/>
      <c r="U32" s="38">
        <f t="shared" si="1"/>
        <v>0</v>
      </c>
      <c r="V32" s="27">
        <f t="shared" si="12"/>
        <v>0</v>
      </c>
      <c r="W32" s="38">
        <f t="shared" si="13"/>
        <v>0</v>
      </c>
      <c r="X32" s="27">
        <f t="shared" si="14"/>
        <v>0</v>
      </c>
      <c r="Y32" s="27">
        <v>10.23</v>
      </c>
      <c r="Z32" s="27">
        <f t="shared" si="15"/>
        <v>0</v>
      </c>
      <c r="AA32" s="38">
        <f t="shared" si="16"/>
        <v>10.23</v>
      </c>
      <c r="AB32" s="42"/>
      <c r="AC32" s="43"/>
      <c r="AD32" s="39">
        <f t="shared" si="17"/>
        <v>0</v>
      </c>
      <c r="AE32" s="30">
        <v>56708881929</v>
      </c>
      <c r="AF32" s="30"/>
    </row>
    <row r="33" spans="1:32" s="18" customFormat="1">
      <c r="A33" s="28" t="s">
        <v>22</v>
      </c>
      <c r="B33" s="28" t="s">
        <v>34</v>
      </c>
      <c r="C33" s="28" t="s">
        <v>59</v>
      </c>
      <c r="D33" s="40">
        <v>36868</v>
      </c>
      <c r="E33" s="29">
        <v>627.13</v>
      </c>
      <c r="F33" s="29">
        <f>187.833+3.714</f>
        <v>191.547</v>
      </c>
      <c r="G33" s="29">
        <f>2101.908+13.099</f>
        <v>2115.0070000000001</v>
      </c>
      <c r="H33" s="26">
        <f t="shared" si="0"/>
        <v>1923.46</v>
      </c>
      <c r="I33" s="38"/>
      <c r="J33" s="29">
        <v>236.31</v>
      </c>
      <c r="K33" s="50"/>
      <c r="L33" s="29"/>
      <c r="M33" s="29"/>
      <c r="N33" s="51" t="s">
        <v>75</v>
      </c>
      <c r="O33" s="51" t="s">
        <v>75</v>
      </c>
      <c r="P33" s="29"/>
      <c r="Q33" s="27"/>
      <c r="R33" s="27"/>
      <c r="S33" s="28"/>
      <c r="T33" s="28"/>
      <c r="U33" s="38">
        <f t="shared" si="1"/>
        <v>-236.31</v>
      </c>
      <c r="V33" s="27">
        <f t="shared" si="12"/>
        <v>0</v>
      </c>
      <c r="W33" s="38">
        <f t="shared" si="13"/>
        <v>-236.31</v>
      </c>
      <c r="X33" s="27">
        <f t="shared" si="14"/>
        <v>0</v>
      </c>
      <c r="Y33" s="27">
        <v>10.23</v>
      </c>
      <c r="Z33" s="27" t="str">
        <f t="shared" si="15"/>
        <v>XX</v>
      </c>
      <c r="AA33" s="38" t="e">
        <f t="shared" si="16"/>
        <v>#VALUE!</v>
      </c>
      <c r="AB33" s="42"/>
      <c r="AC33" s="42"/>
      <c r="AD33" s="39">
        <f t="shared" si="17"/>
        <v>236.31</v>
      </c>
      <c r="AE33" s="30">
        <v>56708845911</v>
      </c>
      <c r="AF33" s="30" t="s">
        <v>68</v>
      </c>
    </row>
    <row r="34" spans="1:32" s="18" customFormat="1">
      <c r="A34" s="28" t="s">
        <v>22</v>
      </c>
      <c r="B34" s="28" t="s">
        <v>33</v>
      </c>
      <c r="C34" s="28" t="s">
        <v>58</v>
      </c>
      <c r="D34" s="40">
        <v>41949</v>
      </c>
      <c r="E34" s="29">
        <v>560.28</v>
      </c>
      <c r="F34" s="29">
        <f>1602+7.428</f>
        <v>1609.4280000000001</v>
      </c>
      <c r="G34" s="29">
        <f>1602+7.428</f>
        <v>1609.4280000000001</v>
      </c>
      <c r="H34" s="26">
        <f t="shared" si="0"/>
        <v>0</v>
      </c>
      <c r="I34" s="38"/>
      <c r="J34" s="29"/>
      <c r="K34" s="50"/>
      <c r="L34" s="29"/>
      <c r="M34" s="29">
        <v>500</v>
      </c>
      <c r="N34" s="51" t="s">
        <v>75</v>
      </c>
      <c r="O34" s="51" t="s">
        <v>75</v>
      </c>
      <c r="P34" s="29"/>
      <c r="Q34" s="27"/>
      <c r="R34" s="27"/>
      <c r="S34" s="28"/>
      <c r="T34" s="28"/>
      <c r="U34" s="38">
        <f t="shared" si="1"/>
        <v>-500</v>
      </c>
      <c r="V34" s="27">
        <f t="shared" si="12"/>
        <v>0</v>
      </c>
      <c r="W34" s="38">
        <f t="shared" si="13"/>
        <v>-500</v>
      </c>
      <c r="X34" s="27">
        <f t="shared" si="14"/>
        <v>0</v>
      </c>
      <c r="Y34" s="27">
        <v>10.23</v>
      </c>
      <c r="Z34" s="27" t="str">
        <f t="shared" si="15"/>
        <v>XX</v>
      </c>
      <c r="AA34" s="38" t="e">
        <f t="shared" si="16"/>
        <v>#VALUE!</v>
      </c>
      <c r="AB34" s="42"/>
      <c r="AC34" s="43"/>
      <c r="AD34" s="39">
        <f t="shared" si="17"/>
        <v>500</v>
      </c>
      <c r="AE34" s="30">
        <v>56708845925</v>
      </c>
      <c r="AF34" s="28"/>
    </row>
    <row r="35" spans="1:32" s="18" customFormat="1">
      <c r="A35" s="28" t="s">
        <v>21</v>
      </c>
      <c r="B35" s="28" t="s">
        <v>19</v>
      </c>
      <c r="C35" s="28" t="s">
        <v>23</v>
      </c>
      <c r="D35" s="40">
        <v>42129</v>
      </c>
      <c r="E35" s="29">
        <v>739.2</v>
      </c>
      <c r="F35" s="29">
        <f>770.045+3.714</f>
        <v>773.75900000000001</v>
      </c>
      <c r="G35" s="29">
        <f>4721.108+13.099</f>
        <v>4734.2070000000003</v>
      </c>
      <c r="H35" s="26">
        <f t="shared" si="0"/>
        <v>3960.4480000000003</v>
      </c>
      <c r="I35" s="38"/>
      <c r="J35" s="29"/>
      <c r="K35" s="50"/>
      <c r="L35" s="29"/>
      <c r="M35" s="29"/>
      <c r="N35" s="51"/>
      <c r="O35" s="51"/>
      <c r="P35" s="29"/>
      <c r="Q35" s="27"/>
      <c r="R35" s="27"/>
      <c r="S35" s="28"/>
      <c r="T35" s="28"/>
      <c r="U35" s="38">
        <f t="shared" si="1"/>
        <v>0</v>
      </c>
      <c r="V35" s="27">
        <f t="shared" ref="V35" si="20">IF(I35&gt;2250,I35*0.1,0)</f>
        <v>0</v>
      </c>
      <c r="W35" s="38">
        <f t="shared" ref="W35" si="21">+U35-V35</f>
        <v>0</v>
      </c>
      <c r="X35" s="27">
        <f t="shared" si="14"/>
        <v>0</v>
      </c>
      <c r="Y35" s="27">
        <v>10.23</v>
      </c>
      <c r="Z35" s="27">
        <f t="shared" si="15"/>
        <v>0</v>
      </c>
      <c r="AA35" s="38">
        <f t="shared" si="16"/>
        <v>10.23</v>
      </c>
      <c r="AB35" s="42"/>
      <c r="AC35" s="43"/>
      <c r="AD35" s="39">
        <f t="shared" si="17"/>
        <v>0</v>
      </c>
      <c r="AE35" s="30">
        <v>56708845939</v>
      </c>
      <c r="AF35" s="30"/>
    </row>
    <row r="36" spans="1:32" s="18" customFormat="1">
      <c r="A36" s="28" t="s">
        <v>21</v>
      </c>
      <c r="B36" s="28" t="s">
        <v>76</v>
      </c>
      <c r="C36" s="28" t="s">
        <v>23</v>
      </c>
      <c r="D36" s="40">
        <v>42815</v>
      </c>
      <c r="E36" s="29">
        <v>560.28</v>
      </c>
      <c r="F36" s="29">
        <f>267+2.972</f>
        <v>269.97199999999998</v>
      </c>
      <c r="G36" s="29">
        <f>2087.94+7.428</f>
        <v>2095.3679999999999</v>
      </c>
      <c r="H36" s="26">
        <f t="shared" si="0"/>
        <v>1825.396</v>
      </c>
      <c r="I36" s="38"/>
      <c r="J36" s="29"/>
      <c r="K36" s="50"/>
      <c r="L36" s="29"/>
      <c r="M36" s="29"/>
      <c r="N36" s="51"/>
      <c r="O36" s="51"/>
      <c r="P36" s="29"/>
      <c r="Q36" s="27"/>
      <c r="R36" s="27"/>
      <c r="S36" s="28"/>
      <c r="T36" s="28"/>
      <c r="U36" s="38">
        <f t="shared" si="1"/>
        <v>0</v>
      </c>
      <c r="V36" s="27"/>
      <c r="W36" s="38"/>
      <c r="X36" s="27"/>
      <c r="Y36" s="27"/>
      <c r="Z36" s="27"/>
      <c r="AA36" s="38"/>
      <c r="AB36" s="42"/>
      <c r="AC36" s="43"/>
      <c r="AD36" s="39"/>
      <c r="AE36" s="30">
        <v>60589426888</v>
      </c>
      <c r="AF36" s="30"/>
    </row>
    <row r="37" spans="1:32" s="18" customFormat="1">
      <c r="A37" s="28" t="s">
        <v>22</v>
      </c>
      <c r="B37" s="28" t="s">
        <v>82</v>
      </c>
      <c r="C37" s="28" t="s">
        <v>81</v>
      </c>
      <c r="D37" s="40">
        <v>42912</v>
      </c>
      <c r="E37" s="29">
        <v>627.05999999999995</v>
      </c>
      <c r="F37" s="29">
        <f>914.988+2.599</f>
        <v>917.5870000000001</v>
      </c>
      <c r="G37" s="29">
        <f>914.988+2.599</f>
        <v>917.5870000000001</v>
      </c>
      <c r="H37" s="26">
        <f t="shared" si="0"/>
        <v>0</v>
      </c>
      <c r="I37" s="38"/>
      <c r="J37" s="29"/>
      <c r="K37" s="50"/>
      <c r="L37" s="29"/>
      <c r="M37" s="29"/>
      <c r="N37" s="51"/>
      <c r="O37" s="51"/>
      <c r="P37" s="29"/>
      <c r="Q37" s="27"/>
      <c r="R37" s="27"/>
      <c r="S37" s="28"/>
      <c r="T37" s="28"/>
      <c r="U37" s="38">
        <f t="shared" si="1"/>
        <v>0</v>
      </c>
      <c r="V37" s="27"/>
      <c r="W37" s="38"/>
      <c r="X37" s="27"/>
      <c r="Y37" s="27"/>
      <c r="Z37" s="27"/>
      <c r="AA37" s="38"/>
      <c r="AB37" s="42"/>
      <c r="AC37" s="43"/>
      <c r="AD37" s="39"/>
      <c r="AE37" s="30">
        <v>60592585699</v>
      </c>
      <c r="AF37" s="30"/>
    </row>
    <row r="38" spans="1:32" s="18" customFormat="1">
      <c r="A38" s="28" t="s">
        <v>21</v>
      </c>
      <c r="B38" s="28" t="s">
        <v>46</v>
      </c>
      <c r="C38" s="28" t="s">
        <v>57</v>
      </c>
      <c r="D38" s="40">
        <v>42422</v>
      </c>
      <c r="E38" s="29">
        <v>739.2</v>
      </c>
      <c r="F38" s="29">
        <f>327.4+3.714</f>
        <v>331.11399999999998</v>
      </c>
      <c r="G38" s="29">
        <f>4852.068+13.099</f>
        <v>4865.1670000000004</v>
      </c>
      <c r="H38" s="26">
        <f t="shared" si="0"/>
        <v>4534.0530000000008</v>
      </c>
      <c r="I38" s="38"/>
      <c r="J38" s="29"/>
      <c r="K38" s="50"/>
      <c r="L38" s="29"/>
      <c r="M38" s="29"/>
      <c r="N38" s="51"/>
      <c r="O38" s="51"/>
      <c r="P38" s="29"/>
      <c r="Q38" s="27"/>
      <c r="R38" s="27"/>
      <c r="S38" s="28"/>
      <c r="T38" s="28"/>
      <c r="U38" s="38">
        <f t="shared" si="1"/>
        <v>0</v>
      </c>
      <c r="V38" s="27">
        <f t="shared" ref="V38" si="22">IF(I38&gt;2250,I38*0.1,0)</f>
        <v>0</v>
      </c>
      <c r="W38" s="38">
        <f t="shared" ref="W38" si="23">+U38-V38</f>
        <v>0</v>
      </c>
      <c r="X38" s="27">
        <f t="shared" si="14"/>
        <v>0</v>
      </c>
      <c r="Y38" s="27">
        <v>10.23</v>
      </c>
      <c r="Z38" s="27">
        <f t="shared" si="15"/>
        <v>0</v>
      </c>
      <c r="AA38" s="38">
        <f t="shared" si="16"/>
        <v>10.23</v>
      </c>
      <c r="AB38" s="42"/>
      <c r="AC38" s="43"/>
      <c r="AD38" s="39">
        <f t="shared" si="17"/>
        <v>0</v>
      </c>
      <c r="AE38" s="30">
        <v>56708845942</v>
      </c>
      <c r="AF38" s="30"/>
    </row>
    <row r="39" spans="1:32" s="18" customFormat="1">
      <c r="A39" s="28" t="s">
        <v>22</v>
      </c>
      <c r="B39" s="28" t="s">
        <v>50</v>
      </c>
      <c r="C39" s="28" t="s">
        <v>60</v>
      </c>
      <c r="D39" s="40">
        <v>41227</v>
      </c>
      <c r="E39" s="29">
        <v>627.13</v>
      </c>
      <c r="F39" s="29">
        <f>2674.269+2.599</f>
        <v>2676.8679999999999</v>
      </c>
      <c r="G39" s="29">
        <f>2674.269+2.599</f>
        <v>2676.8679999999999</v>
      </c>
      <c r="H39" s="26">
        <f t="shared" si="0"/>
        <v>0</v>
      </c>
      <c r="I39" s="38"/>
      <c r="J39" s="29">
        <f>209.76</f>
        <v>209.76</v>
      </c>
      <c r="K39" s="50"/>
      <c r="L39" s="29"/>
      <c r="M39" s="29">
        <v>400</v>
      </c>
      <c r="N39" s="51" t="s">
        <v>75</v>
      </c>
      <c r="O39" s="51" t="s">
        <v>75</v>
      </c>
      <c r="P39" s="29"/>
      <c r="Q39" s="27"/>
      <c r="R39" s="27"/>
      <c r="S39" s="28"/>
      <c r="T39" s="28"/>
      <c r="U39" s="38">
        <f t="shared" si="1"/>
        <v>-609.76</v>
      </c>
      <c r="V39" s="27">
        <f t="shared" si="12"/>
        <v>0</v>
      </c>
      <c r="W39" s="38">
        <f t="shared" si="13"/>
        <v>-609.76</v>
      </c>
      <c r="X39" s="27">
        <f t="shared" si="14"/>
        <v>0</v>
      </c>
      <c r="Y39" s="27">
        <v>10.23</v>
      </c>
      <c r="Z39" s="27" t="str">
        <f t="shared" si="15"/>
        <v>XX</v>
      </c>
      <c r="AA39" s="38" t="e">
        <f t="shared" si="16"/>
        <v>#VALUE!</v>
      </c>
      <c r="AB39" s="42"/>
      <c r="AC39" s="42"/>
      <c r="AD39" s="39">
        <f t="shared" si="17"/>
        <v>609.76</v>
      </c>
      <c r="AE39" s="30">
        <v>56708881946</v>
      </c>
      <c r="AF39" s="30" t="s">
        <v>68</v>
      </c>
    </row>
    <row r="40" spans="1:32" s="18" customFormat="1">
      <c r="A40" s="28" t="s">
        <v>21</v>
      </c>
      <c r="B40" s="28" t="s">
        <v>78</v>
      </c>
      <c r="C40" s="28" t="s">
        <v>23</v>
      </c>
      <c r="D40" s="40">
        <v>42907</v>
      </c>
      <c r="E40" s="29">
        <v>738.99</v>
      </c>
      <c r="F40" s="29">
        <f>2864+5.571</f>
        <v>2869.5709999999999</v>
      </c>
      <c r="G40" s="29"/>
      <c r="H40" s="26"/>
      <c r="I40" s="38"/>
      <c r="J40" s="29"/>
      <c r="K40" s="50"/>
      <c r="L40" s="29"/>
      <c r="M40" s="29"/>
      <c r="N40" s="51"/>
      <c r="O40" s="51"/>
      <c r="P40" s="29"/>
      <c r="Q40" s="27"/>
      <c r="R40" s="27"/>
      <c r="S40" s="28"/>
      <c r="T40" s="48"/>
      <c r="U40" s="38">
        <f t="shared" si="1"/>
        <v>0</v>
      </c>
      <c r="V40" s="27"/>
      <c r="W40" s="38"/>
      <c r="X40" s="27"/>
      <c r="Y40" s="27"/>
      <c r="Z40" s="27"/>
      <c r="AA40" s="38"/>
      <c r="AB40" s="42"/>
      <c r="AC40" s="42"/>
      <c r="AD40" s="39"/>
      <c r="AE40" s="30">
        <v>60592492890</v>
      </c>
      <c r="AF40" s="30"/>
    </row>
    <row r="41" spans="1:32" s="18" customFormat="1">
      <c r="A41" s="28" t="s">
        <v>22</v>
      </c>
      <c r="B41" s="28" t="s">
        <v>62</v>
      </c>
      <c r="C41" s="28" t="s">
        <v>57</v>
      </c>
      <c r="D41" s="40">
        <v>42635</v>
      </c>
      <c r="E41" s="29">
        <v>560.28</v>
      </c>
      <c r="F41" s="29">
        <v>385.8</v>
      </c>
      <c r="G41" s="29">
        <v>1500</v>
      </c>
      <c r="H41" s="26">
        <f t="shared" si="0"/>
        <v>1114.2</v>
      </c>
      <c r="I41" s="38"/>
      <c r="J41" s="29"/>
      <c r="K41" s="50"/>
      <c r="L41" s="29"/>
      <c r="M41" s="29"/>
      <c r="N41" s="51" t="s">
        <v>75</v>
      </c>
      <c r="O41" s="51" t="s">
        <v>75</v>
      </c>
      <c r="P41" s="29"/>
      <c r="Q41" s="27"/>
      <c r="R41" s="27"/>
      <c r="S41" s="28"/>
      <c r="T41" s="28"/>
      <c r="U41" s="38">
        <f t="shared" si="1"/>
        <v>0</v>
      </c>
      <c r="V41" s="27">
        <f t="shared" ref="V41" si="24">IF(I41&gt;2250,I41*0.1,0)</f>
        <v>0</v>
      </c>
      <c r="W41" s="38">
        <f t="shared" ref="W41" si="25">+U41-V41</f>
        <v>0</v>
      </c>
      <c r="X41" s="27"/>
      <c r="Y41" s="27"/>
      <c r="Z41" s="27"/>
      <c r="AA41" s="38"/>
      <c r="AB41" s="42"/>
      <c r="AC41" s="42"/>
      <c r="AD41" s="39"/>
      <c r="AE41" s="30">
        <v>56708881608</v>
      </c>
      <c r="AF41" s="28"/>
    </row>
    <row r="42" spans="1:32" s="18" customFormat="1">
      <c r="A42" s="28" t="s">
        <v>22</v>
      </c>
      <c r="B42" s="28" t="s">
        <v>51</v>
      </c>
      <c r="C42" s="28" t="s">
        <v>60</v>
      </c>
      <c r="D42" s="40">
        <v>41703</v>
      </c>
      <c r="E42" s="29">
        <v>623.35</v>
      </c>
      <c r="F42" s="29">
        <v>1101.0909999999999</v>
      </c>
      <c r="G42" s="29">
        <v>1101.0909999999999</v>
      </c>
      <c r="H42" s="26">
        <f t="shared" si="0"/>
        <v>0</v>
      </c>
      <c r="I42" s="38"/>
      <c r="J42" s="29"/>
      <c r="K42" s="50"/>
      <c r="L42" s="29"/>
      <c r="M42" s="29"/>
      <c r="N42" s="51" t="s">
        <v>75</v>
      </c>
      <c r="O42" s="51" t="s">
        <v>75</v>
      </c>
      <c r="P42" s="29"/>
      <c r="Q42" s="27"/>
      <c r="R42" s="27"/>
      <c r="S42" s="28"/>
      <c r="T42" s="28"/>
      <c r="U42" s="38">
        <f t="shared" si="1"/>
        <v>0</v>
      </c>
      <c r="V42" s="27">
        <f t="shared" si="12"/>
        <v>0</v>
      </c>
      <c r="W42" s="38">
        <f t="shared" si="13"/>
        <v>0</v>
      </c>
      <c r="X42" s="27">
        <f t="shared" si="14"/>
        <v>0</v>
      </c>
      <c r="Y42" s="27">
        <v>10.23</v>
      </c>
      <c r="Z42" s="27" t="str">
        <f t="shared" si="15"/>
        <v>XX</v>
      </c>
      <c r="AA42" s="38" t="e">
        <f t="shared" si="16"/>
        <v>#VALUE!</v>
      </c>
      <c r="AB42" s="42"/>
      <c r="AC42" s="42"/>
      <c r="AD42" s="39">
        <f t="shared" si="17"/>
        <v>0</v>
      </c>
      <c r="AE42" s="30">
        <v>56708845973</v>
      </c>
      <c r="AF42" s="28"/>
    </row>
    <row r="43" spans="1:32" s="18" customFormat="1">
      <c r="A43" s="28" t="s">
        <v>22</v>
      </c>
      <c r="B43" s="28" t="s">
        <v>29</v>
      </c>
      <c r="C43" s="28" t="s">
        <v>60</v>
      </c>
      <c r="D43" s="40">
        <v>41291</v>
      </c>
      <c r="E43" s="29">
        <v>627.13</v>
      </c>
      <c r="F43" s="29">
        <f>2756.937+2.599</f>
        <v>2759.5360000000001</v>
      </c>
      <c r="G43" s="29">
        <f>3025.024+2.599</f>
        <v>3027.623</v>
      </c>
      <c r="H43" s="26">
        <f t="shared" si="0"/>
        <v>268.08699999999999</v>
      </c>
      <c r="I43" s="38"/>
      <c r="J43" s="29">
        <v>216.71</v>
      </c>
      <c r="K43" s="50"/>
      <c r="L43" s="29"/>
      <c r="M43" s="29">
        <v>200</v>
      </c>
      <c r="N43" s="51" t="s">
        <v>75</v>
      </c>
      <c r="O43" s="51" t="s">
        <v>75</v>
      </c>
      <c r="P43" s="29">
        <v>343.11</v>
      </c>
      <c r="Q43" s="27"/>
      <c r="R43" s="27"/>
      <c r="S43" s="28"/>
      <c r="T43" s="28"/>
      <c r="U43" s="38">
        <f t="shared" si="1"/>
        <v>-759.82</v>
      </c>
      <c r="V43" s="27">
        <f t="shared" si="12"/>
        <v>0</v>
      </c>
      <c r="W43" s="38">
        <f t="shared" si="13"/>
        <v>-759.82</v>
      </c>
      <c r="X43" s="27">
        <f t="shared" si="14"/>
        <v>0</v>
      </c>
      <c r="Y43" s="27">
        <v>10.23</v>
      </c>
      <c r="Z43" s="27" t="str">
        <f t="shared" si="15"/>
        <v>XX</v>
      </c>
      <c r="AA43" s="38" t="e">
        <f t="shared" si="16"/>
        <v>#VALUE!</v>
      </c>
      <c r="AB43" s="42"/>
      <c r="AC43" s="42"/>
      <c r="AD43" s="39">
        <f t="shared" si="17"/>
        <v>759.82</v>
      </c>
      <c r="AE43" s="30">
        <v>56708881963</v>
      </c>
      <c r="AF43" s="30" t="s">
        <v>68</v>
      </c>
    </row>
    <row r="44" spans="1:32" s="18" customFormat="1">
      <c r="A44" s="28" t="s">
        <v>21</v>
      </c>
      <c r="B44" s="28" t="s">
        <v>36</v>
      </c>
      <c r="C44" s="28" t="s">
        <v>23</v>
      </c>
      <c r="D44" s="40">
        <v>41666</v>
      </c>
      <c r="E44" s="29">
        <v>739.2</v>
      </c>
      <c r="F44" s="29">
        <f>2509.8+7.428</f>
        <v>2517.2280000000001</v>
      </c>
      <c r="G44" s="29">
        <f>2509.8+7.428</f>
        <v>2517.2280000000001</v>
      </c>
      <c r="H44" s="26">
        <f t="shared" si="0"/>
        <v>0</v>
      </c>
      <c r="I44" s="38"/>
      <c r="J44" s="29"/>
      <c r="K44" s="50"/>
      <c r="L44" s="29"/>
      <c r="M44" s="29">
        <v>200</v>
      </c>
      <c r="N44" s="51"/>
      <c r="O44" s="51"/>
      <c r="P44" s="29"/>
      <c r="Q44" s="27"/>
      <c r="R44" s="27"/>
      <c r="S44" s="28"/>
      <c r="T44" s="28">
        <v>442.08</v>
      </c>
      <c r="U44" s="38">
        <f t="shared" si="1"/>
        <v>-642.07999999999993</v>
      </c>
      <c r="V44" s="27">
        <f t="shared" si="12"/>
        <v>0</v>
      </c>
      <c r="W44" s="38">
        <f t="shared" si="13"/>
        <v>-642.07999999999993</v>
      </c>
      <c r="X44" s="27">
        <f t="shared" si="14"/>
        <v>0</v>
      </c>
      <c r="Y44" s="27">
        <v>10.23</v>
      </c>
      <c r="Z44" s="27">
        <f t="shared" si="15"/>
        <v>0</v>
      </c>
      <c r="AA44" s="38">
        <f t="shared" si="16"/>
        <v>10.23</v>
      </c>
      <c r="AB44" s="42"/>
      <c r="AC44" s="43"/>
      <c r="AD44" s="39">
        <f t="shared" si="17"/>
        <v>642.07999999999993</v>
      </c>
      <c r="AE44" s="30">
        <v>56708845990</v>
      </c>
      <c r="AF44" s="28"/>
    </row>
    <row r="45" spans="1:32" s="18" customFormat="1">
      <c r="A45" s="28" t="s">
        <v>21</v>
      </c>
      <c r="B45" s="28" t="s">
        <v>72</v>
      </c>
      <c r="C45" s="28" t="s">
        <v>23</v>
      </c>
      <c r="D45" s="40">
        <v>42809</v>
      </c>
      <c r="E45" s="29">
        <v>560.28</v>
      </c>
      <c r="F45" s="29">
        <f>1506.04+7.428</f>
        <v>1513.4680000000001</v>
      </c>
      <c r="G45" s="29">
        <f>4996.124+13.099</f>
        <v>5009.223</v>
      </c>
      <c r="H45" s="26">
        <f t="shared" si="0"/>
        <v>3495.7550000000001</v>
      </c>
      <c r="I45" s="38"/>
      <c r="J45" s="29"/>
      <c r="K45" s="50"/>
      <c r="L45" s="29"/>
      <c r="M45" s="29"/>
      <c r="N45" s="51"/>
      <c r="O45" s="51"/>
      <c r="P45" s="29"/>
      <c r="Q45" s="27"/>
      <c r="R45" s="27"/>
      <c r="S45" s="28"/>
      <c r="T45" s="28"/>
      <c r="U45" s="38">
        <f t="shared" si="1"/>
        <v>0</v>
      </c>
      <c r="V45" s="27"/>
      <c r="W45" s="38"/>
      <c r="X45" s="27"/>
      <c r="Y45" s="27"/>
      <c r="Z45" s="27"/>
      <c r="AA45" s="38"/>
      <c r="AB45" s="42"/>
      <c r="AC45" s="43"/>
      <c r="AD45" s="39"/>
      <c r="AE45" s="30">
        <v>60589597089</v>
      </c>
      <c r="AF45" s="30"/>
    </row>
    <row r="46" spans="1:32" s="18" customFormat="1">
      <c r="A46" s="28" t="s">
        <v>21</v>
      </c>
      <c r="B46" s="28" t="s">
        <v>83</v>
      </c>
      <c r="C46" s="28" t="s">
        <v>23</v>
      </c>
      <c r="D46" s="40">
        <v>42923</v>
      </c>
      <c r="E46" s="29">
        <v>1200.01</v>
      </c>
      <c r="F46" s="29">
        <v>0</v>
      </c>
      <c r="G46" s="29">
        <v>1000</v>
      </c>
      <c r="H46" s="26">
        <f t="shared" si="0"/>
        <v>1000</v>
      </c>
      <c r="I46" s="38"/>
      <c r="J46" s="29"/>
      <c r="K46" s="50"/>
      <c r="L46" s="29"/>
      <c r="M46" s="29"/>
      <c r="N46" s="51"/>
      <c r="O46" s="51"/>
      <c r="P46" s="29"/>
      <c r="Q46" s="27"/>
      <c r="R46" s="27"/>
      <c r="S46" s="28"/>
      <c r="T46" s="28"/>
      <c r="U46" s="38">
        <f t="shared" si="1"/>
        <v>0</v>
      </c>
      <c r="V46" s="27"/>
      <c r="W46" s="38"/>
      <c r="X46" s="27"/>
      <c r="Y46" s="27"/>
      <c r="Z46" s="27"/>
      <c r="AA46" s="38"/>
      <c r="AB46" s="42"/>
      <c r="AC46" s="43"/>
      <c r="AD46" s="39"/>
      <c r="AE46" s="30">
        <v>56708881977</v>
      </c>
      <c r="AF46" s="30"/>
    </row>
    <row r="47" spans="1:32" s="18" customFormat="1">
      <c r="A47" s="28" t="s">
        <v>22</v>
      </c>
      <c r="B47" s="28" t="s">
        <v>67</v>
      </c>
      <c r="C47" s="28" t="s">
        <v>57</v>
      </c>
      <c r="D47" s="40">
        <v>42752</v>
      </c>
      <c r="E47" s="29">
        <v>560.28</v>
      </c>
      <c r="F47" s="29">
        <v>431.25599999999997</v>
      </c>
      <c r="G47" s="29">
        <v>431.25599999999997</v>
      </c>
      <c r="H47" s="26">
        <f t="shared" si="0"/>
        <v>0</v>
      </c>
      <c r="I47" s="38"/>
      <c r="J47" s="29"/>
      <c r="K47" s="50"/>
      <c r="L47" s="29"/>
      <c r="M47" s="29"/>
      <c r="N47" s="51" t="s">
        <v>75</v>
      </c>
      <c r="O47" s="51" t="s">
        <v>75</v>
      </c>
      <c r="P47" s="29"/>
      <c r="Q47" s="27"/>
      <c r="R47" s="27"/>
      <c r="S47" s="28"/>
      <c r="T47" s="28"/>
      <c r="U47" s="38">
        <f t="shared" si="1"/>
        <v>0</v>
      </c>
      <c r="V47" s="27">
        <f t="shared" ref="V47" si="26">IF(I47&gt;2250,I47*0.1,0)</f>
        <v>0</v>
      </c>
      <c r="W47" s="38">
        <f t="shared" ref="W47" si="27">+U47-V47</f>
        <v>0</v>
      </c>
      <c r="X47" s="27"/>
      <c r="Y47" s="27"/>
      <c r="Z47" s="27"/>
      <c r="AA47" s="38"/>
      <c r="AB47" s="42"/>
      <c r="AC47" s="43"/>
      <c r="AD47" s="39"/>
      <c r="AE47" s="30">
        <v>60589634536</v>
      </c>
      <c r="AF47" s="30"/>
    </row>
    <row r="48" spans="1:32" s="18" customFormat="1">
      <c r="A48" s="28" t="s">
        <v>22</v>
      </c>
      <c r="B48" s="28" t="s">
        <v>56</v>
      </c>
      <c r="C48" s="28" t="s">
        <v>59</v>
      </c>
      <c r="D48" s="40">
        <v>29733</v>
      </c>
      <c r="E48" s="29">
        <v>627.13</v>
      </c>
      <c r="F48" s="29">
        <f>3184.472+3.714</f>
        <v>3188.1860000000001</v>
      </c>
      <c r="G48" s="29">
        <f>3184.472+3.714</f>
        <v>3188.1860000000001</v>
      </c>
      <c r="H48" s="26">
        <f t="shared" si="0"/>
        <v>0</v>
      </c>
      <c r="I48" s="38"/>
      <c r="J48" s="29">
        <v>470.2</v>
      </c>
      <c r="K48" s="50"/>
      <c r="L48" s="29"/>
      <c r="M48" s="29">
        <v>150</v>
      </c>
      <c r="N48" s="51" t="s">
        <v>75</v>
      </c>
      <c r="O48" s="51" t="s">
        <v>75</v>
      </c>
      <c r="P48" s="29"/>
      <c r="Q48" s="27"/>
      <c r="R48" s="27"/>
      <c r="S48" s="28"/>
      <c r="T48" s="28"/>
      <c r="U48" s="38">
        <f t="shared" si="1"/>
        <v>-620.20000000000005</v>
      </c>
      <c r="V48" s="27">
        <f t="shared" si="12"/>
        <v>0</v>
      </c>
      <c r="W48" s="38">
        <f t="shared" si="13"/>
        <v>-620.20000000000005</v>
      </c>
      <c r="X48" s="27">
        <f t="shared" si="14"/>
        <v>0</v>
      </c>
      <c r="Y48" s="27">
        <v>10.23</v>
      </c>
      <c r="Z48" s="27" t="str">
        <f t="shared" si="15"/>
        <v>XX</v>
      </c>
      <c r="AA48" s="38" t="e">
        <f t="shared" si="16"/>
        <v>#VALUE!</v>
      </c>
      <c r="AB48" s="42"/>
      <c r="AC48" s="43"/>
      <c r="AD48" s="39">
        <f t="shared" si="17"/>
        <v>620.20000000000005</v>
      </c>
      <c r="AE48" s="30">
        <v>60589747903</v>
      </c>
      <c r="AF48" s="30" t="s">
        <v>68</v>
      </c>
    </row>
    <row r="49" spans="1:186" s="18" customFormat="1">
      <c r="A49" s="28" t="s">
        <v>21</v>
      </c>
      <c r="B49" s="28" t="s">
        <v>90</v>
      </c>
      <c r="C49" s="28" t="s">
        <v>65</v>
      </c>
      <c r="D49" s="40">
        <v>42604</v>
      </c>
      <c r="E49" s="29">
        <v>560.28</v>
      </c>
      <c r="F49" s="29">
        <v>256.875</v>
      </c>
      <c r="G49" s="29">
        <v>256.875</v>
      </c>
      <c r="H49" s="26">
        <f t="shared" si="0"/>
        <v>0</v>
      </c>
      <c r="I49" s="38"/>
      <c r="J49" s="29"/>
      <c r="K49" s="50"/>
      <c r="L49" s="29"/>
      <c r="M49" s="29"/>
      <c r="N49" s="51" t="s">
        <v>75</v>
      </c>
      <c r="O49" s="51" t="s">
        <v>75</v>
      </c>
      <c r="P49" s="29"/>
      <c r="Q49" s="27"/>
      <c r="R49" s="27"/>
      <c r="S49" s="28"/>
      <c r="T49" s="28"/>
      <c r="U49" s="38">
        <f t="shared" si="1"/>
        <v>0</v>
      </c>
      <c r="V49" s="27">
        <f t="shared" ref="V49" si="28">IF(I49&gt;2250,I49*0.1,0)</f>
        <v>0</v>
      </c>
      <c r="W49" s="38">
        <f t="shared" ref="W49" si="29">+U49-V49</f>
        <v>0</v>
      </c>
      <c r="X49" s="27"/>
      <c r="Y49" s="27"/>
      <c r="Z49" s="27"/>
      <c r="AA49" s="38"/>
      <c r="AB49" s="42"/>
      <c r="AC49" s="47"/>
      <c r="AD49" s="39"/>
      <c r="AE49" s="30">
        <v>60590218306</v>
      </c>
      <c r="AF49" s="28"/>
    </row>
    <row r="50" spans="1:186" s="18" customFormat="1">
      <c r="A50" s="28" t="s">
        <v>21</v>
      </c>
      <c r="B50" s="28" t="s">
        <v>20</v>
      </c>
      <c r="C50" s="28" t="s">
        <v>23</v>
      </c>
      <c r="D50" s="40">
        <v>42361</v>
      </c>
      <c r="E50" s="29">
        <v>739.2</v>
      </c>
      <c r="F50" s="29">
        <f>1495.2+7.428</f>
        <v>1502.6280000000002</v>
      </c>
      <c r="G50" s="29"/>
      <c r="H50" s="26"/>
      <c r="I50" s="38"/>
      <c r="J50" s="29"/>
      <c r="K50" s="50"/>
      <c r="L50" s="29"/>
      <c r="M50" s="29"/>
      <c r="N50" s="51"/>
      <c r="O50" s="51"/>
      <c r="P50" s="29"/>
      <c r="Q50" s="27"/>
      <c r="R50" s="27"/>
      <c r="S50" s="28"/>
      <c r="T50" s="28"/>
      <c r="U50" s="38">
        <f t="shared" si="1"/>
        <v>0</v>
      </c>
      <c r="V50" s="27">
        <f>IF(I50&gt;2250,I50*0.1,0)</f>
        <v>0</v>
      </c>
      <c r="W50" s="38">
        <f>+U50-V50</f>
        <v>0</v>
      </c>
      <c r="X50" s="27">
        <f>IF(I50&lt;2250,I50*0.1,0)</f>
        <v>0</v>
      </c>
      <c r="Y50" s="27">
        <v>10.23</v>
      </c>
      <c r="Z50" s="27">
        <f>+N50</f>
        <v>0</v>
      </c>
      <c r="AA50" s="38">
        <f>+I50+X50+Y50+Z50</f>
        <v>10.23</v>
      </c>
      <c r="AB50" s="42"/>
      <c r="AC50" s="46"/>
      <c r="AD50" s="39">
        <f>+AB50+AC50-W50</f>
        <v>0</v>
      </c>
      <c r="AE50" s="30">
        <v>56708846047</v>
      </c>
      <c r="AF50" s="30"/>
    </row>
    <row r="51" spans="1:186" s="18" customFormat="1">
      <c r="A51" s="28" t="s">
        <v>21</v>
      </c>
      <c r="B51" s="28" t="s">
        <v>35</v>
      </c>
      <c r="C51" s="28" t="s">
        <v>23</v>
      </c>
      <c r="D51" s="40">
        <v>41549</v>
      </c>
      <c r="E51" s="29">
        <v>739.2</v>
      </c>
      <c r="F51" s="29">
        <f>2651.94+13.099</f>
        <v>2665.0390000000002</v>
      </c>
      <c r="G51" s="29">
        <f>4806.232+13.099</f>
        <v>4819.3310000000001</v>
      </c>
      <c r="H51" s="26">
        <f t="shared" si="0"/>
        <v>2154.2919999999999</v>
      </c>
      <c r="I51" s="38"/>
      <c r="J51" s="29"/>
      <c r="K51" s="50"/>
      <c r="L51" s="29"/>
      <c r="M51" s="29">
        <v>500</v>
      </c>
      <c r="N51" s="51"/>
      <c r="O51" s="51"/>
      <c r="P51" s="29"/>
      <c r="Q51" s="27"/>
      <c r="R51" s="27"/>
      <c r="S51" s="28"/>
      <c r="T51" s="28"/>
      <c r="U51" s="38">
        <f t="shared" si="1"/>
        <v>-500</v>
      </c>
      <c r="V51" s="27">
        <f>IF(I51&gt;2250,I51*0.1,0)</f>
        <v>0</v>
      </c>
      <c r="W51" s="38">
        <f>+U51-V51</f>
        <v>-500</v>
      </c>
      <c r="X51" s="27">
        <f>IF(I51&lt;2250,I51*0.1,0)</f>
        <v>0</v>
      </c>
      <c r="Y51" s="27">
        <v>10.23</v>
      </c>
      <c r="Z51" s="27">
        <f>+N51</f>
        <v>0</v>
      </c>
      <c r="AA51" s="38">
        <f>+I51+X51+Y51+Z51</f>
        <v>10.23</v>
      </c>
      <c r="AB51" s="42"/>
      <c r="AC51" s="43"/>
      <c r="AD51" s="39">
        <f>+AB51+AC51-W51</f>
        <v>500</v>
      </c>
      <c r="AE51" s="30">
        <v>56708846050</v>
      </c>
      <c r="AF51" s="30"/>
    </row>
    <row r="52" spans="1:186">
      <c r="A52" s="23"/>
      <c r="B52" s="28"/>
      <c r="C52" s="23"/>
      <c r="D52" s="49"/>
      <c r="E52" s="49"/>
      <c r="F52" s="25"/>
      <c r="G52" s="25"/>
      <c r="H52" s="25"/>
      <c r="I52" s="38"/>
      <c r="J52" s="29"/>
      <c r="K52" s="29"/>
      <c r="L52" s="29"/>
      <c r="M52" s="29"/>
      <c r="N52" s="29"/>
      <c r="O52" s="29"/>
      <c r="P52" s="29"/>
      <c r="Q52" s="27"/>
      <c r="R52" s="27"/>
      <c r="S52" s="27"/>
      <c r="T52" s="27"/>
      <c r="U52" s="38"/>
      <c r="V52" s="27"/>
      <c r="W52" s="38"/>
      <c r="X52" s="45"/>
      <c r="Y52" s="45"/>
      <c r="Z52" s="45"/>
      <c r="AA52" s="44"/>
      <c r="AB52" s="36"/>
      <c r="AC52" s="36"/>
      <c r="AD52" s="32"/>
      <c r="AE52" s="23"/>
      <c r="AF52" s="23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</row>
    <row r="53" spans="1:186">
      <c r="A53" s="23"/>
      <c r="B53" s="30" t="s">
        <v>69</v>
      </c>
      <c r="C53" s="23"/>
      <c r="D53" s="49"/>
      <c r="E53" s="31">
        <f>SUM(E7:E51)</f>
        <v>29234.25</v>
      </c>
      <c r="F53" s="31">
        <f>SUM(F7:F51)</f>
        <v>55311.958000000013</v>
      </c>
      <c r="G53" s="31">
        <f t="shared" ref="G53:W53" si="30">SUM(G7:G51)</f>
        <v>100539.78800000002</v>
      </c>
      <c r="H53" s="31">
        <f t="shared" si="30"/>
        <v>49600.028999999995</v>
      </c>
      <c r="I53" s="38">
        <f t="shared" ref="I8:I53" si="31">SUM(F53:H53)</f>
        <v>205451.77500000002</v>
      </c>
      <c r="J53" s="31">
        <f t="shared" si="30"/>
        <v>2188.87</v>
      </c>
      <c r="K53" s="31">
        <f t="shared" si="30"/>
        <v>0</v>
      </c>
      <c r="L53" s="31">
        <f t="shared" si="30"/>
        <v>0</v>
      </c>
      <c r="M53" s="31">
        <f t="shared" si="30"/>
        <v>4900</v>
      </c>
      <c r="N53" s="31">
        <f t="shared" si="30"/>
        <v>0</v>
      </c>
      <c r="O53" s="31">
        <f t="shared" si="30"/>
        <v>0</v>
      </c>
      <c r="P53" s="31">
        <f t="shared" si="30"/>
        <v>343.11</v>
      </c>
      <c r="Q53" s="31">
        <f t="shared" si="30"/>
        <v>0</v>
      </c>
      <c r="R53" s="31">
        <f t="shared" si="30"/>
        <v>0</v>
      </c>
      <c r="S53" s="31">
        <f t="shared" si="30"/>
        <v>0</v>
      </c>
      <c r="T53" s="31">
        <f t="shared" si="30"/>
        <v>942.04</v>
      </c>
      <c r="U53" s="31">
        <f t="shared" si="30"/>
        <v>-8374.02</v>
      </c>
      <c r="V53" s="31">
        <f t="shared" si="30"/>
        <v>-6.7334999999999994</v>
      </c>
      <c r="W53" s="31">
        <f t="shared" si="30"/>
        <v>-8175.1500000000005</v>
      </c>
      <c r="X53" s="45"/>
      <c r="Y53" s="45"/>
      <c r="Z53" s="45"/>
      <c r="AA53" s="44"/>
      <c r="AB53" s="36"/>
      <c r="AC53" s="36"/>
      <c r="AD53" s="32"/>
      <c r="AE53" s="23"/>
      <c r="AF53" s="23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</row>
    <row r="54" spans="1:186">
      <c r="B54" s="20"/>
      <c r="AA54" s="14" t="e">
        <f>+#REF!*0.16</f>
        <v>#REF!</v>
      </c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</row>
    <row r="55" spans="1:186"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</row>
    <row r="56" spans="1:186"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</row>
    <row r="58" spans="1:186">
      <c r="B58" s="17"/>
    </row>
    <row r="59" spans="1:186">
      <c r="B59" s="17"/>
    </row>
    <row r="60" spans="1:186">
      <c r="B60" s="17"/>
    </row>
  </sheetData>
  <sheetProtection selectLockedCells="1" selectUnlockedCells="1"/>
  <autoFilter ref="A5:AF6">
    <filterColumn colId="2"/>
    <filterColumn colId="4"/>
    <filterColumn colId="27" showButton="0"/>
    <sortState ref="A8:AH99">
      <sortCondition ref="B5:B99"/>
    </sortState>
  </autoFilter>
  <mergeCells count="30"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2017-09-14T23:48:24Z</dcterms:modified>
</cp:coreProperties>
</file>