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NOMINA'!$A$5:$AF$62</definedName>
  </definedNames>
  <calcPr calcId="124519"/>
</workbook>
</file>

<file path=xl/calcChain.xml><?xml version="1.0" encoding="utf-8"?>
<calcChain xmlns="http://schemas.openxmlformats.org/spreadsheetml/2006/main">
  <c r="J108" i="4"/>
  <c r="F92"/>
  <c r="F95"/>
  <c r="F98"/>
  <c r="F72"/>
  <c r="F88"/>
  <c r="F86"/>
  <c r="F111"/>
  <c r="F104"/>
  <c r="F105"/>
  <c r="F75"/>
  <c r="F80"/>
  <c r="F99"/>
  <c r="F76"/>
  <c r="F110"/>
  <c r="F94"/>
  <c r="F71"/>
  <c r="F108"/>
  <c r="F96"/>
  <c r="F89"/>
  <c r="F93"/>
  <c r="F68"/>
  <c r="F87"/>
  <c r="F82"/>
  <c r="F97"/>
  <c r="F91"/>
  <c r="F100"/>
  <c r="F103"/>
  <c r="F81"/>
  <c r="F90"/>
  <c r="F77"/>
  <c r="F84"/>
  <c r="F85"/>
  <c r="F67"/>
  <c r="E113"/>
  <c r="E64" l="1"/>
  <c r="P64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7"/>
  <c r="I106" l="1"/>
  <c r="U106" s="1"/>
  <c r="I96" l="1"/>
  <c r="U96" s="1"/>
  <c r="I97"/>
  <c r="U97" s="1"/>
  <c r="I98"/>
  <c r="U98" s="1"/>
  <c r="I99"/>
  <c r="I89"/>
  <c r="U89" s="1"/>
  <c r="I90"/>
  <c r="U90" s="1"/>
  <c r="I91"/>
  <c r="U91" s="1"/>
  <c r="I82"/>
  <c r="U82" s="1"/>
  <c r="I83" l="1"/>
  <c r="U83" s="1"/>
  <c r="U41" l="1"/>
  <c r="U42"/>
  <c r="U43"/>
  <c r="U44"/>
  <c r="U45"/>
  <c r="U46"/>
  <c r="U47"/>
  <c r="U48"/>
  <c r="U49"/>
  <c r="U14"/>
  <c r="U15"/>
  <c r="U16"/>
  <c r="U17"/>
  <c r="U18"/>
  <c r="U20"/>
  <c r="U21"/>
  <c r="U22"/>
  <c r="U23"/>
  <c r="U24"/>
  <c r="U25"/>
  <c r="U26"/>
  <c r="U28"/>
  <c r="I92"/>
  <c r="U92" s="1"/>
  <c r="I93"/>
  <c r="U93" s="1"/>
  <c r="I94"/>
  <c r="U94" s="1"/>
  <c r="I95"/>
  <c r="U95" s="1"/>
  <c r="I100"/>
  <c r="U100" s="1"/>
  <c r="I101"/>
  <c r="U101" s="1"/>
  <c r="I102"/>
  <c r="U102" s="1"/>
  <c r="I103"/>
  <c r="U103" s="1"/>
  <c r="I71"/>
  <c r="U71" s="1"/>
  <c r="I72"/>
  <c r="U72" s="1"/>
  <c r="I73"/>
  <c r="U73" s="1"/>
  <c r="I74"/>
  <c r="U74" s="1"/>
  <c r="I75"/>
  <c r="U75" s="1"/>
  <c r="U13" l="1"/>
  <c r="I81"/>
  <c r="U81" s="1"/>
  <c r="I88" l="1"/>
  <c r="U88" s="1"/>
  <c r="I86"/>
  <c r="U86" s="1"/>
  <c r="I87" l="1"/>
  <c r="U87" s="1"/>
  <c r="I84"/>
  <c r="U84" s="1"/>
  <c r="I85"/>
  <c r="U85" s="1"/>
  <c r="T64"/>
  <c r="Z90" l="1"/>
  <c r="X26"/>
  <c r="V26" l="1"/>
  <c r="I79" l="1"/>
  <c r="U79" s="1"/>
  <c r="Q64" l="1"/>
  <c r="U37" l="1"/>
  <c r="U55" l="1"/>
  <c r="I77" l="1"/>
  <c r="U77" s="1"/>
  <c r="I123" l="1"/>
  <c r="U123" s="1"/>
  <c r="I119"/>
  <c r="U119" s="1"/>
  <c r="I120"/>
  <c r="U120" s="1"/>
  <c r="I121"/>
  <c r="U121" s="1"/>
  <c r="I122"/>
  <c r="U122" s="1"/>
  <c r="I68"/>
  <c r="U68" s="1"/>
  <c r="I69"/>
  <c r="U69" s="1"/>
  <c r="I70"/>
  <c r="U70" s="1"/>
  <c r="I76"/>
  <c r="U76" s="1"/>
  <c r="I78"/>
  <c r="U78" s="1"/>
  <c r="I80"/>
  <c r="U80" s="1"/>
  <c r="U36"/>
  <c r="I104"/>
  <c r="U104" s="1"/>
  <c r="I105"/>
  <c r="U105" s="1"/>
  <c r="I107"/>
  <c r="U107" s="1"/>
  <c r="I108"/>
  <c r="U108" s="1"/>
  <c r="I109"/>
  <c r="U109" s="1"/>
  <c r="I110"/>
  <c r="U110" s="1"/>
  <c r="I111"/>
  <c r="U111" s="1"/>
  <c r="I112"/>
  <c r="U29"/>
  <c r="U38"/>
  <c r="U39"/>
  <c r="F64" l="1"/>
  <c r="J99" l="1"/>
  <c r="U99" s="1"/>
  <c r="J113" l="1"/>
  <c r="K113"/>
  <c r="L113"/>
  <c r="M113"/>
  <c r="N113"/>
  <c r="O113"/>
  <c r="P113"/>
  <c r="Q113"/>
  <c r="R113"/>
  <c r="S113"/>
  <c r="T113"/>
  <c r="G113"/>
  <c r="H113"/>
  <c r="F113"/>
  <c r="I113" l="1"/>
  <c r="V95" l="1"/>
  <c r="W36"/>
  <c r="X36"/>
  <c r="AA36" s="1"/>
  <c r="V36"/>
  <c r="W95" l="1"/>
  <c r="V107"/>
  <c r="W107" l="1"/>
  <c r="V44" l="1"/>
  <c r="L64"/>
  <c r="W44" l="1"/>
  <c r="V9"/>
  <c r="U9" l="1"/>
  <c r="W9" s="1"/>
  <c r="V90" l="1"/>
  <c r="W90" l="1"/>
  <c r="U10"/>
  <c r="V10" l="1"/>
  <c r="W10" s="1"/>
  <c r="V61" l="1"/>
  <c r="U61" l="1"/>
  <c r="W61" s="1"/>
  <c r="V39"/>
  <c r="W39" l="1"/>
  <c r="V28" l="1"/>
  <c r="W28" l="1"/>
  <c r="V74" l="1"/>
  <c r="W74" s="1"/>
  <c r="V38" l="1"/>
  <c r="W38" s="1"/>
  <c r="V22"/>
  <c r="W22" l="1"/>
  <c r="V49"/>
  <c r="W49" l="1"/>
  <c r="V101"/>
  <c r="W101" l="1"/>
  <c r="V62" l="1"/>
  <c r="U62" l="1"/>
  <c r="W62" s="1"/>
  <c r="U52" l="1"/>
  <c r="V52" l="1"/>
  <c r="W52" s="1"/>
  <c r="X52"/>
  <c r="V78" l="1"/>
  <c r="W78" s="1"/>
  <c r="V109"/>
  <c r="W109" s="1"/>
  <c r="V60" l="1"/>
  <c r="U60" l="1"/>
  <c r="W60" s="1"/>
  <c r="X34" l="1"/>
  <c r="Z34"/>
  <c r="U56"/>
  <c r="Z56"/>
  <c r="AA34" l="1"/>
  <c r="U34"/>
  <c r="V34"/>
  <c r="X56"/>
  <c r="AA56" s="1"/>
  <c r="V56"/>
  <c r="W56" s="1"/>
  <c r="Z24"/>
  <c r="W34" l="1"/>
  <c r="X24"/>
  <c r="AA24" s="1"/>
  <c r="V24"/>
  <c r="W24" l="1"/>
  <c r="AD24" s="1"/>
  <c r="Z45" l="1"/>
  <c r="X45" l="1"/>
  <c r="AA45" s="1"/>
  <c r="V45"/>
  <c r="W45" s="1"/>
  <c r="Z21" l="1"/>
  <c r="Z23"/>
  <c r="Z25"/>
  <c r="Z80"/>
  <c r="Z29"/>
  <c r="Z30"/>
  <c r="X21" l="1"/>
  <c r="AA21" s="1"/>
  <c r="V21"/>
  <c r="W21" s="1"/>
  <c r="X30" l="1"/>
  <c r="AA30" s="1"/>
  <c r="U30"/>
  <c r="V30"/>
  <c r="W30" l="1"/>
  <c r="V80" l="1"/>
  <c r="X80"/>
  <c r="AA80" s="1"/>
  <c r="W80" l="1"/>
  <c r="Z59" l="1"/>
  <c r="Z42"/>
  <c r="X25" l="1"/>
  <c r="AA25" s="1"/>
  <c r="V25"/>
  <c r="U59"/>
  <c r="X59"/>
  <c r="AA59" s="1"/>
  <c r="V42"/>
  <c r="X42"/>
  <c r="AA42" s="1"/>
  <c r="V59"/>
  <c r="Z47"/>
  <c r="X47"/>
  <c r="W25" l="1"/>
  <c r="AD25" s="1"/>
  <c r="W59"/>
  <c r="W42"/>
  <c r="AA47"/>
  <c r="V47"/>
  <c r="W47" l="1"/>
  <c r="AD59" l="1"/>
  <c r="AD42" l="1"/>
  <c r="Z53"/>
  <c r="V89" l="1"/>
  <c r="X89"/>
  <c r="Z89"/>
  <c r="AA89" l="1"/>
  <c r="W89"/>
  <c r="AD89" s="1"/>
  <c r="Z18" l="1"/>
  <c r="V18" l="1"/>
  <c r="X18"/>
  <c r="AA18" s="1"/>
  <c r="W18" l="1"/>
  <c r="AD18" l="1"/>
  <c r="Z46" l="1"/>
  <c r="Z54" l="1"/>
  <c r="X54" l="1"/>
  <c r="V54" l="1"/>
  <c r="U54"/>
  <c r="AA54"/>
  <c r="W54" l="1"/>
  <c r="AD54" s="1"/>
  <c r="V99" l="1"/>
  <c r="X99"/>
  <c r="Z111"/>
  <c r="Z110"/>
  <c r="Z104"/>
  <c r="Z51"/>
  <c r="Z50"/>
  <c r="Z98"/>
  <c r="Z95"/>
  <c r="Z92"/>
  <c r="Z35"/>
  <c r="Z88"/>
  <c r="Z33"/>
  <c r="Z31"/>
  <c r="Z17"/>
  <c r="Z72"/>
  <c r="Z16"/>
  <c r="Z15"/>
  <c r="Z12"/>
  <c r="Z11"/>
  <c r="Z8"/>
  <c r="Z7"/>
  <c r="Z99" l="1"/>
  <c r="AA99" l="1"/>
  <c r="W99"/>
  <c r="AD99" s="1"/>
  <c r="V98" l="1"/>
  <c r="X98"/>
  <c r="AA98" s="1"/>
  <c r="Y64"/>
  <c r="I67"/>
  <c r="AC64"/>
  <c r="AB64"/>
  <c r="J64"/>
  <c r="H64"/>
  <c r="G64"/>
  <c r="X53"/>
  <c r="W98" l="1"/>
  <c r="AD98" s="1"/>
  <c r="V29"/>
  <c r="X29"/>
  <c r="AA29" s="1"/>
  <c r="V33"/>
  <c r="X33"/>
  <c r="V16"/>
  <c r="X16"/>
  <c r="V31"/>
  <c r="X31"/>
  <c r="V35"/>
  <c r="X35"/>
  <c r="V8"/>
  <c r="X8"/>
  <c r="AA8" s="1"/>
  <c r="V11"/>
  <c r="X11"/>
  <c r="AA11" s="1"/>
  <c r="V15"/>
  <c r="X15"/>
  <c r="AA15" s="1"/>
  <c r="V69"/>
  <c r="X69"/>
  <c r="X95"/>
  <c r="AA95" s="1"/>
  <c r="V72"/>
  <c r="X72"/>
  <c r="AA72" s="1"/>
  <c r="V71"/>
  <c r="X71"/>
  <c r="V93"/>
  <c r="X93"/>
  <c r="V68"/>
  <c r="X68"/>
  <c r="V84"/>
  <c r="X84"/>
  <c r="V75"/>
  <c r="X75"/>
  <c r="V92"/>
  <c r="X92"/>
  <c r="AA92" s="1"/>
  <c r="V88"/>
  <c r="X88"/>
  <c r="AA88" s="1"/>
  <c r="V51"/>
  <c r="X51"/>
  <c r="V108"/>
  <c r="X108"/>
  <c r="V104"/>
  <c r="X104"/>
  <c r="AA104" s="1"/>
  <c r="V111"/>
  <c r="X111"/>
  <c r="AA111" s="1"/>
  <c r="V50"/>
  <c r="X50"/>
  <c r="AA50" s="1"/>
  <c r="V103"/>
  <c r="X103"/>
  <c r="V102"/>
  <c r="X102"/>
  <c r="V110"/>
  <c r="X110"/>
  <c r="AA110" s="1"/>
  <c r="X46"/>
  <c r="AA46" s="1"/>
  <c r="V94"/>
  <c r="X94"/>
  <c r="V87"/>
  <c r="X87"/>
  <c r="V85"/>
  <c r="X85"/>
  <c r="V76"/>
  <c r="X76"/>
  <c r="V53"/>
  <c r="V46"/>
  <c r="R64"/>
  <c r="Z85"/>
  <c r="AA53"/>
  <c r="Z75"/>
  <c r="S64"/>
  <c r="Z71"/>
  <c r="U11"/>
  <c r="Z87"/>
  <c r="Z84"/>
  <c r="U8"/>
  <c r="Z69"/>
  <c r="Z76"/>
  <c r="Z68"/>
  <c r="AD47"/>
  <c r="Z93"/>
  <c r="Z94"/>
  <c r="Z108"/>
  <c r="U50"/>
  <c r="Z102"/>
  <c r="Z103"/>
  <c r="U53"/>
  <c r="X23" l="1"/>
  <c r="AA23" s="1"/>
  <c r="V23"/>
  <c r="W29"/>
  <c r="W111"/>
  <c r="AD111" s="1"/>
  <c r="W88"/>
  <c r="AD88" s="1"/>
  <c r="V17"/>
  <c r="X17"/>
  <c r="AA17" s="1"/>
  <c r="X12"/>
  <c r="AA12" s="1"/>
  <c r="V7"/>
  <c r="X7"/>
  <c r="AA7" s="1"/>
  <c r="W110"/>
  <c r="AD110" s="1"/>
  <c r="U67"/>
  <c r="W46"/>
  <c r="AD46" s="1"/>
  <c r="U12"/>
  <c r="V12"/>
  <c r="AD80"/>
  <c r="W92"/>
  <c r="AD92" s="1"/>
  <c r="W15"/>
  <c r="AD15" s="1"/>
  <c r="W8"/>
  <c r="AD8" s="1"/>
  <c r="AD95"/>
  <c r="W72"/>
  <c r="AD72" s="1"/>
  <c r="W104"/>
  <c r="AD104" s="1"/>
  <c r="W50"/>
  <c r="AD50" s="1"/>
  <c r="W11"/>
  <c r="AD11" s="1"/>
  <c r="W53"/>
  <c r="AD53" s="1"/>
  <c r="AA76"/>
  <c r="AA108"/>
  <c r="AA103"/>
  <c r="AA85"/>
  <c r="AA84"/>
  <c r="AA87"/>
  <c r="AA71"/>
  <c r="AA68"/>
  <c r="AA93"/>
  <c r="AA75"/>
  <c r="AA69"/>
  <c r="AA94"/>
  <c r="AA102"/>
  <c r="Z64"/>
  <c r="W85"/>
  <c r="AD85" s="1"/>
  <c r="W87"/>
  <c r="AD87" s="1"/>
  <c r="W103"/>
  <c r="AD103" s="1"/>
  <c r="W75"/>
  <c r="AD75" s="1"/>
  <c r="U31"/>
  <c r="AA31"/>
  <c r="AA16"/>
  <c r="AA51"/>
  <c r="U33"/>
  <c r="AA33"/>
  <c r="U35"/>
  <c r="AA35"/>
  <c r="W71"/>
  <c r="AD71" s="1"/>
  <c r="W93"/>
  <c r="AD93" s="1"/>
  <c r="W94"/>
  <c r="AD94" s="1"/>
  <c r="W84"/>
  <c r="AD84" s="1"/>
  <c r="W76"/>
  <c r="AD76" s="1"/>
  <c r="W69"/>
  <c r="AD69" s="1"/>
  <c r="M64"/>
  <c r="W108"/>
  <c r="AD108" s="1"/>
  <c r="N64"/>
  <c r="O64"/>
  <c r="U7"/>
  <c r="U51"/>
  <c r="W68"/>
  <c r="AD68" s="1"/>
  <c r="W102"/>
  <c r="AD102" s="1"/>
  <c r="V67" l="1"/>
  <c r="V113" s="1"/>
  <c r="U113"/>
  <c r="W23"/>
  <c r="AD23" s="1"/>
  <c r="W17"/>
  <c r="AD17" s="1"/>
  <c r="W67"/>
  <c r="W113" s="1"/>
  <c r="X67"/>
  <c r="AA67" s="1"/>
  <c r="AA114" s="1"/>
  <c r="W12"/>
  <c r="AD12" s="1"/>
  <c r="AD29"/>
  <c r="W16"/>
  <c r="AD16" s="1"/>
  <c r="W33"/>
  <c r="W31"/>
  <c r="AD31" s="1"/>
  <c r="W51"/>
  <c r="AD51" s="1"/>
  <c r="W35"/>
  <c r="AD35" s="1"/>
  <c r="W7"/>
  <c r="AD7" s="1"/>
  <c r="I64" l="1"/>
  <c r="X64"/>
  <c r="V64"/>
  <c r="U64" l="1"/>
  <c r="AA64"/>
  <c r="W64" l="1"/>
  <c r="AD64"/>
  <c r="AA65"/>
  <c r="AA66" s="1"/>
</calcChain>
</file>

<file path=xl/comments1.xml><?xml version="1.0" encoding="utf-8"?>
<comments xmlns="http://schemas.openxmlformats.org/spreadsheetml/2006/main">
  <authors>
    <author>usuario</author>
  </authors>
  <commentList>
    <comment ref="M69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300</t>
        </r>
      </text>
    </comment>
  </commentList>
</comments>
</file>

<file path=xl/sharedStrings.xml><?xml version="1.0" encoding="utf-8"?>
<sst xmlns="http://schemas.openxmlformats.org/spreadsheetml/2006/main" count="439" uniqueCount="193">
  <si>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</si>
  <si>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</si>
  <si>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</si>
  <si>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</si>
  <si>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</si>
  <si>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</si>
  <si>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</si>
  <si>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</si>
  <si>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</si>
  <si>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</si>
  <si>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</si>
  <si>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</si>
  <si>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</si>
  <si>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</si>
  <si>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</si>
  <si>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</si>
  <si>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</si>
  <si>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</si>
  <si>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</si>
  <si>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</si>
  <si>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</si>
  <si>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</si>
  <si>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</si>
  <si>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</si>
  <si>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</si>
  <si>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</si>
  <si>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</si>
  <si>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</si>
  <si>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</si>
  <si>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</si>
  <si>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</si>
  <si>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</si>
  <si>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</si>
  <si>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</si>
  <si>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</si>
  <si>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</si>
  <si>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</si>
  <si>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</si>
  <si>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</si>
  <si>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</si>
  <si>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</si>
  <si>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</si>
  <si>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</si>
  <si>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</si>
  <si>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</si>
  <si>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</si>
  <si>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</si>
  <si>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</si>
  <si>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</si>
  <si>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</si>
  <si>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</si>
  <si>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</si>
  <si>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</si>
  <si>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</si>
  <si>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</si>
  <si>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</si>
  <si>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</si>
  <si>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</si>
  <si>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</si>
  <si>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</si>
  <si>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</si>
  <si>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</si>
  <si>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</si>
  <si>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</si>
  <si>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</si>
  <si>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</si>
  <si>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</si>
  <si>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</si>
  <si>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</si>
  <si>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</si>
  <si>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</si>
  <si>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</si>
  <si>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</si>
  <si>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ADMON VENTAS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</si>
  <si>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</si>
  <si>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</si>
  <si>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</si>
  <si>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</si>
  <si>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</si>
  <si>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</si>
  <si>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</si>
  <si>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</si>
  <si>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 xml:space="preserve">AGUILAR PEREZ MARCOS ARTEMIO </t>
  </si>
  <si>
    <t>MORALES SANCHEZ ANGEL</t>
  </si>
  <si>
    <t>SERENO CUELLAR JUVENAL</t>
  </si>
  <si>
    <t>DISPERSION</t>
  </si>
  <si>
    <t>CORTEZ OVANDO FAUSTINO ALI</t>
  </si>
  <si>
    <t>OLVERA BAUTISTA J. DOLORES GILBERTO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</si>
  <si>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</si>
  <si>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</si>
  <si>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</si>
  <si>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</si>
  <si>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</si>
  <si>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</si>
  <si>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</si>
  <si>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</si>
  <si>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</si>
  <si>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</si>
  <si>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</si>
  <si>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</si>
  <si>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</si>
  <si>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</si>
  <si>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</si>
  <si>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</si>
  <si>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</si>
  <si>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</si>
  <si>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</si>
  <si>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</si>
  <si>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</si>
  <si>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</si>
  <si>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</si>
  <si>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</si>
  <si>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</si>
  <si>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</si>
  <si>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</si>
  <si>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</si>
  <si>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</si>
  <si>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</si>
  <si>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</si>
  <si>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</si>
  <si>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</si>
  <si>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</si>
  <si>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</si>
  <si>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</si>
  <si>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MUÑOZ RODRIGUEZ CONRADO ISRAEL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</si>
  <si>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</si>
  <si>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</si>
  <si>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</si>
  <si>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</si>
  <si>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</si>
  <si>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</si>
  <si>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</si>
  <si>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TECNICO</t>
  </si>
  <si>
    <t>ALVIZAR ORGANISTA EDUARDO</t>
  </si>
  <si>
    <t>EN TRAMITE</t>
  </si>
  <si>
    <t>AGUILAR HERNANDEZ CARLA CECILIA</t>
  </si>
  <si>
    <t>RAMIREZ MOYA NESTOR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</si>
  <si>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</si>
  <si>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</si>
  <si>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</si>
  <si>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</si>
  <si>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</si>
  <si>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</si>
  <si>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</si>
  <si>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</si>
  <si>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</si>
  <si>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</si>
  <si>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</si>
  <si>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</si>
  <si>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 xml:space="preserve">MARTINEZ GARCIA JOSE JUAN </t>
  </si>
  <si>
    <t>HURTADO PAJARO JOSE EDUARDO</t>
  </si>
  <si>
    <t xml:space="preserve">TORRES IBARRA LUIS GERARDO </t>
  </si>
  <si>
    <t>GUTIERREZ LARA GEOVANNI</t>
  </si>
  <si>
    <t>SOLANO PEREZ JOSE ANTONIO</t>
  </si>
  <si>
    <t>HERNANDEZ MARTINEZ EDUARDO RENE</t>
  </si>
  <si>
    <t>HERNANDEZ SOLIS GUMECINDO</t>
  </si>
  <si>
    <t>XX</t>
  </si>
  <si>
    <t>PUEBLA MARTINEZ JOSE ANDRES</t>
  </si>
  <si>
    <t>JUAREZ MARTINEZ LUIS MIGUEL</t>
  </si>
  <si>
    <t>BERDEJA LEON FRANCISCO GERARDO</t>
  </si>
  <si>
    <t>PADILLA RUIZ JOSE ANTONIO</t>
  </si>
  <si>
    <t>INCAPACIDAD 7 DIAS</t>
  </si>
  <si>
    <t>FLORES VENTURA PAULINA SOLEDAD</t>
  </si>
  <si>
    <t>COACH DE VENTAS SEM</t>
  </si>
  <si>
    <t xml:space="preserve">NIETO GONZALEZ ANGEL RICARDO </t>
  </si>
  <si>
    <t>ROCHA MORENO HUGO ARMANDO</t>
  </si>
  <si>
    <t>RIVERO MAGOS JESSICA LILIANA</t>
  </si>
  <si>
    <t>QUINTANILLA INFANTE LUIS FERNANDO</t>
  </si>
  <si>
    <t>BOCANEGRA PEGUERO MARIA GUADALUPE</t>
  </si>
  <si>
    <t>CONTAC CENTER</t>
  </si>
  <si>
    <t>X</t>
  </si>
  <si>
    <t>LOPEZ MARTINEZ OSCAR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</si>
  <si>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</si>
  <si>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</si>
  <si>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</si>
  <si>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</si>
  <si>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</si>
  <si>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DURAN GUERRA VICTOR MANUEL</t>
  </si>
  <si>
    <t>LANDAVERDE GARCIA JUAN</t>
  </si>
  <si>
    <t>MORENO VALERA NORMA</t>
  </si>
  <si>
    <t>TELLEZ GAYTAN DANIEL</t>
  </si>
  <si>
    <t>ONTIVEROS PLIEGO LUIS GERARDO</t>
  </si>
  <si>
    <t>SUEDO BASE</t>
  </si>
  <si>
    <t>EFECTIVO</t>
  </si>
  <si>
    <t>NAVA RUBIO JAVIER (-$461.01)</t>
  </si>
  <si>
    <t>DESCUENTO CTA 254 POR PRESTAMO 3/12</t>
  </si>
  <si>
    <t>Periodo Semana 31</t>
  </si>
  <si>
    <t>26/07/17 AL 01/08/17</t>
  </si>
  <si>
    <t>DESCUENTO POR PRESTAMO 6/25</t>
  </si>
  <si>
    <t>DESCUENTO CTA 254 POR CONCEPTO DE TRAJES 19/24</t>
  </si>
  <si>
    <t>DESCUENTO CTA 254 POR LAVADO DE AUTO</t>
  </si>
  <si>
    <t>BAJA</t>
  </si>
  <si>
    <t>PAGAR 9 HORAS EXTRAS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</si>
</sst>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43" fontId="1" fillId="0" borderId="0" xfId="2"/>
    <xf numFmtId="0" fontId="4" fillId="0" borderId="0" xfId="3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43" fontId="5" fillId="0" borderId="0" xfId="2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15" fontId="4" fillId="0" borderId="0" xfId="3" applyNumberFormat="1" applyFont="1" applyFill="1" applyAlignment="1" applyProtection="1">
      <alignment horizontal="left"/>
    </xf>
    <xf numFmtId="15" fontId="4" fillId="0" borderId="0" xfId="3" applyNumberFormat="1" applyFont="1" applyFill="1" applyAlignment="1" applyProtection="1">
      <alignment horizontal="center"/>
    </xf>
    <xf numFmtId="0" fontId="6" fillId="0" borderId="0" xfId="0" applyFont="1"/>
    <xf numFmtId="43" fontId="5" fillId="0" borderId="0" xfId="2" applyFont="1"/>
    <xf numFmtId="43" fontId="6" fillId="0" borderId="0" xfId="2" applyFont="1"/>
    <xf numFmtId="43" fontId="5" fillId="0" borderId="0" xfId="2" applyFont="1" applyFill="1"/>
    <xf numFmtId="0" fontId="6" fillId="0" borderId="0" xfId="0" applyFont="1" applyFill="1"/>
    <xf numFmtId="0" fontId="5" fillId="0" borderId="1" xfId="0" applyFont="1" applyBorder="1"/>
    <xf numFmtId="0" fontId="5" fillId="0" borderId="0" xfId="0" applyFont="1" applyFill="1"/>
    <xf numFmtId="0" fontId="5" fillId="0" borderId="0" xfId="0" applyFont="1"/>
    <xf numFmtId="0" fontId="8" fillId="0" borderId="0" xfId="0" applyFont="1"/>
    <xf numFmtId="43" fontId="1" fillId="0" borderId="0" xfId="2" applyProtection="1"/>
    <xf numFmtId="43" fontId="1" fillId="0" borderId="0" xfId="2" applyFill="1"/>
    <xf numFmtId="43" fontId="6" fillId="5" borderId="1" xfId="2" applyFont="1" applyFill="1" applyBorder="1" applyAlignment="1">
      <alignment horizontal="center" wrapText="1"/>
    </xf>
    <xf numFmtId="0" fontId="6" fillId="0" borderId="6" xfId="0" applyFont="1" applyFill="1" applyBorder="1"/>
    <xf numFmtId="0" fontId="5" fillId="0" borderId="8" xfId="0" applyFont="1" applyFill="1" applyBorder="1"/>
    <xf numFmtId="43" fontId="5" fillId="0" borderId="8" xfId="2" applyFont="1" applyFill="1" applyBorder="1"/>
    <xf numFmtId="43" fontId="6" fillId="0" borderId="8" xfId="2" applyFont="1" applyFill="1" applyBorder="1"/>
    <xf numFmtId="0" fontId="5" fillId="0" borderId="7" xfId="0" applyFont="1" applyBorder="1"/>
    <xf numFmtId="0" fontId="5" fillId="2" borderId="7" xfId="0" applyFont="1" applyFill="1" applyBorder="1"/>
    <xf numFmtId="43" fontId="5" fillId="0" borderId="7" xfId="2" applyFont="1" applyBorder="1"/>
    <xf numFmtId="43" fontId="5" fillId="2" borderId="7" xfId="2" applyFont="1" applyFill="1" applyBorder="1"/>
    <xf numFmtId="43" fontId="5" fillId="0" borderId="7" xfId="2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7" xfId="2" applyFont="1" applyFill="1" applyBorder="1"/>
    <xf numFmtId="0" fontId="6" fillId="0" borderId="7" xfId="0" applyFont="1" applyFill="1" applyBorder="1"/>
    <xf numFmtId="43" fontId="5" fillId="0" borderId="8" xfId="2" applyFont="1" applyFill="1" applyBorder="1" applyAlignment="1">
      <alignment horizontal="center"/>
    </xf>
    <xf numFmtId="0" fontId="6" fillId="0" borderId="7" xfId="0" applyFont="1" applyBorder="1"/>
    <xf numFmtId="43" fontId="6" fillId="0" borderId="7" xfId="2" applyFont="1" applyBorder="1"/>
    <xf numFmtId="43" fontId="1" fillId="0" borderId="7" xfId="2" applyBorder="1"/>
    <xf numFmtId="43" fontId="1" fillId="3" borderId="7" xfId="2" applyFill="1" applyBorder="1"/>
    <xf numFmtId="43" fontId="10" fillId="0" borderId="0" xfId="2" applyFont="1" applyProtection="1"/>
    <xf numFmtId="43" fontId="10" fillId="0" borderId="0" xfId="2" applyFont="1"/>
    <xf numFmtId="43" fontId="10" fillId="0" borderId="0" xfId="2" applyFont="1" applyFill="1"/>
    <xf numFmtId="43" fontId="10" fillId="0" borderId="7" xfId="2" applyFont="1" applyBorder="1"/>
    <xf numFmtId="43" fontId="10" fillId="3" borderId="7" xfId="2" applyFont="1" applyFill="1" applyBorder="1"/>
    <xf numFmtId="43" fontId="6" fillId="0" borderId="7" xfId="2" applyFont="1" applyFill="1" applyBorder="1"/>
    <xf numFmtId="43" fontId="11" fillId="0" borderId="7" xfId="2" applyFont="1" applyFill="1" applyBorder="1"/>
    <xf numFmtId="2" fontId="5" fillId="0" borderId="7" xfId="0" applyNumberFormat="1" applyFont="1" applyFill="1" applyBorder="1"/>
    <xf numFmtId="43" fontId="11" fillId="8" borderId="7" xfId="2" applyFont="1" applyFill="1" applyBorder="1"/>
    <xf numFmtId="164" fontId="11" fillId="0" borderId="7" xfId="0" applyNumberFormat="1" applyFont="1" applyFill="1" applyBorder="1"/>
    <xf numFmtId="14" fontId="5" fillId="0" borderId="7" xfId="0" applyNumberFormat="1" applyFont="1" applyFill="1" applyBorder="1" applyAlignment="1"/>
    <xf numFmtId="0" fontId="11" fillId="0" borderId="7" xfId="0" applyFont="1" applyFill="1" applyBorder="1" applyAlignment="1">
      <alignment wrapText="1"/>
    </xf>
    <xf numFmtId="4" fontId="11" fillId="0" borderId="7" xfId="0" applyNumberFormat="1" applyFont="1" applyFill="1" applyBorder="1" applyAlignment="1">
      <alignment wrapText="1"/>
    </xf>
    <xf numFmtId="0" fontId="12" fillId="0" borderId="7" xfId="0" applyFont="1" applyFill="1" applyBorder="1"/>
    <xf numFmtId="43" fontId="6" fillId="7" borderId="7" xfId="2" applyFont="1" applyFill="1" applyBorder="1"/>
    <xf numFmtId="43" fontId="5" fillId="7" borderId="7" xfId="2" applyFont="1" applyFill="1" applyBorder="1" applyAlignment="1">
      <alignment horizontal="center"/>
    </xf>
    <xf numFmtId="0" fontId="11" fillId="0" borderId="7" xfId="0" applyFont="1" applyFill="1" applyBorder="1"/>
    <xf numFmtId="4" fontId="11" fillId="0" borderId="7" xfId="0" applyNumberFormat="1" applyFont="1" applyFill="1" applyBorder="1"/>
    <xf numFmtId="4" fontId="5" fillId="0" borderId="7" xfId="0" applyNumberFormat="1" applyFont="1" applyFill="1" applyBorder="1"/>
    <xf numFmtId="43" fontId="5" fillId="0" borderId="7" xfId="0" applyNumberFormat="1" applyFont="1" applyFill="1" applyBorder="1"/>
    <xf numFmtId="14" fontId="5" fillId="0" borderId="7" xfId="0" applyNumberFormat="1" applyFont="1" applyBorder="1"/>
    <xf numFmtId="0" fontId="6" fillId="0" borderId="7" xfId="2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14" fillId="0" borderId="7" xfId="2" applyFont="1" applyFill="1" applyBorder="1"/>
    <xf numFmtId="0" fontId="5" fillId="7" borderId="7" xfId="0" applyFont="1" applyFill="1" applyBorder="1"/>
    <xf numFmtId="164" fontId="11" fillId="7" borderId="7" xfId="0" applyNumberFormat="1" applyFont="1" applyFill="1" applyBorder="1"/>
    <xf numFmtId="0" fontId="6" fillId="7" borderId="7" xfId="0" applyFont="1" applyFill="1" applyBorder="1" applyAlignment="1">
      <alignment wrapText="1"/>
    </xf>
    <xf numFmtId="9" fontId="13" fillId="0" borderId="7" xfId="2" applyNumberFormat="1" applyFont="1" applyFill="1" applyBorder="1" applyAlignment="1">
      <alignment horizontal="center"/>
    </xf>
    <xf numFmtId="43" fontId="6" fillId="5" borderId="2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9" borderId="7" xfId="0" applyFont="1" applyFill="1" applyBorder="1"/>
    <xf numFmtId="43" fontId="5" fillId="7" borderId="7" xfId="2" applyFont="1" applyFill="1" applyBorder="1"/>
    <xf numFmtId="0" fontId="6" fillId="7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10" borderId="7" xfId="0" applyFont="1" applyFill="1" applyBorder="1"/>
    <xf numFmtId="164" fontId="11" fillId="10" borderId="7" xfId="0" applyNumberFormat="1" applyFont="1" applyFill="1" applyBorder="1"/>
    <xf numFmtId="43" fontId="5" fillId="10" borderId="7" xfId="2" applyFont="1" applyFill="1" applyBorder="1"/>
    <xf numFmtId="43" fontId="6" fillId="10" borderId="7" xfId="2" applyFont="1" applyFill="1" applyBorder="1"/>
    <xf numFmtId="0" fontId="6" fillId="10" borderId="7" xfId="2" applyNumberFormat="1" applyFont="1" applyFill="1" applyBorder="1" applyAlignment="1">
      <alignment horizontal="center"/>
    </xf>
    <xf numFmtId="43" fontId="6" fillId="10" borderId="7" xfId="2" applyFont="1" applyFill="1" applyBorder="1" applyAlignment="1">
      <alignment horizontal="center"/>
    </xf>
    <xf numFmtId="43" fontId="5" fillId="10" borderId="7" xfId="2" applyFont="1" applyFill="1" applyBorder="1" applyAlignment="1">
      <alignment horizontal="center"/>
    </xf>
    <xf numFmtId="0" fontId="11" fillId="10" borderId="7" xfId="0" applyFont="1" applyFill="1" applyBorder="1" applyAlignment="1">
      <alignment wrapText="1"/>
    </xf>
    <xf numFmtId="4" fontId="11" fillId="10" borderId="7" xfId="0" applyNumberFormat="1" applyFont="1" applyFill="1" applyBorder="1" applyAlignment="1">
      <alignment wrapText="1"/>
    </xf>
    <xf numFmtId="43" fontId="11" fillId="10" borderId="7" xfId="2" applyFont="1" applyFill="1" applyBorder="1"/>
    <xf numFmtId="0" fontId="6" fillId="10" borderId="7" xfId="0" applyFont="1" applyFill="1" applyBorder="1"/>
    <xf numFmtId="0" fontId="5" fillId="10" borderId="0" xfId="0" applyFont="1" applyFill="1"/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3" fontId="6" fillId="5" borderId="1" xfId="2" applyFont="1" applyFill="1" applyBorder="1" applyAlignment="1">
      <alignment horizontal="center" wrapText="1"/>
    </xf>
    <xf numFmtId="43" fontId="6" fillId="5" borderId="2" xfId="2" applyFont="1" applyFill="1" applyBorder="1" applyAlignment="1">
      <alignment horizontal="center" wrapText="1"/>
    </xf>
    <xf numFmtId="43" fontId="9" fillId="5" borderId="3" xfId="2" applyFont="1" applyFill="1" applyBorder="1" applyAlignment="1">
      <alignment horizontal="center" wrapText="1"/>
    </xf>
    <xf numFmtId="43" fontId="9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6" fillId="5" borderId="1" xfId="2" applyFont="1" applyFill="1" applyBorder="1" applyAlignment="1">
      <alignment horizontal="center" vertical="center" wrapText="1"/>
    </xf>
    <xf numFmtId="43" fontId="6" fillId="5" borderId="2" xfId="2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3" fontId="6" fillId="5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43" fontId="6" fillId="5" borderId="8" xfId="2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3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2" hidden="1" customWidth="1"/>
    <col min="29" max="29" width="12.7109375" style="42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130</v>
      </c>
      <c r="B1" s="2"/>
      <c r="C1" s="3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1"/>
      <c r="AC1" s="41"/>
      <c r="AD1" s="21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9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1"/>
      <c r="AC2" s="41"/>
      <c r="AD2" s="2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186</v>
      </c>
      <c r="B3" s="10"/>
      <c r="C3" s="11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1"/>
      <c r="AC3" s="41"/>
      <c r="AD3" s="2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187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2"/>
      <c r="AC4" s="42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04" t="s">
        <v>13</v>
      </c>
      <c r="B5" s="104" t="s">
        <v>14</v>
      </c>
      <c r="C5" s="104" t="s">
        <v>0</v>
      </c>
      <c r="D5" s="106" t="s">
        <v>72</v>
      </c>
      <c r="E5" s="106" t="s">
        <v>182</v>
      </c>
      <c r="F5" s="98" t="s">
        <v>32</v>
      </c>
      <c r="G5" s="97" t="s">
        <v>9</v>
      </c>
      <c r="H5" s="97" t="s">
        <v>10</v>
      </c>
      <c r="I5" s="97" t="s">
        <v>11</v>
      </c>
      <c r="J5" s="97" t="s">
        <v>12</v>
      </c>
      <c r="K5" s="98" t="s">
        <v>102</v>
      </c>
      <c r="L5" s="98" t="s">
        <v>80</v>
      </c>
      <c r="M5" s="99" t="s">
        <v>47</v>
      </c>
      <c r="N5" s="99" t="s">
        <v>61</v>
      </c>
      <c r="O5" s="99" t="s">
        <v>60</v>
      </c>
      <c r="P5" s="99" t="s">
        <v>48</v>
      </c>
      <c r="Q5" s="97" t="s">
        <v>6</v>
      </c>
      <c r="R5" s="97" t="s">
        <v>16</v>
      </c>
      <c r="S5" s="97" t="s">
        <v>15</v>
      </c>
      <c r="T5" s="97" t="s">
        <v>8</v>
      </c>
      <c r="U5" s="97" t="s">
        <v>23</v>
      </c>
      <c r="V5" s="92" t="s">
        <v>3</v>
      </c>
      <c r="W5" s="92" t="s">
        <v>7</v>
      </c>
      <c r="X5" s="92" t="s">
        <v>2</v>
      </c>
      <c r="Y5" s="92" t="s">
        <v>4</v>
      </c>
      <c r="Z5" s="23"/>
      <c r="AA5" s="92" t="s">
        <v>5</v>
      </c>
      <c r="AB5" s="94" t="s">
        <v>85</v>
      </c>
      <c r="AC5" s="95"/>
      <c r="AD5" s="96" t="s">
        <v>49</v>
      </c>
      <c r="AE5" s="90" t="s">
        <v>75</v>
      </c>
      <c r="AF5" s="90" t="s">
        <v>76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3" customFormat="1" ht="39" customHeight="1">
      <c r="A6" s="105"/>
      <c r="B6" s="105"/>
      <c r="C6" s="105"/>
      <c r="D6" s="107"/>
      <c r="E6" s="107"/>
      <c r="F6" s="103"/>
      <c r="G6" s="98"/>
      <c r="H6" s="98"/>
      <c r="I6" s="98"/>
      <c r="J6" s="98"/>
      <c r="K6" s="101"/>
      <c r="L6" s="101"/>
      <c r="M6" s="100"/>
      <c r="N6" s="100"/>
      <c r="O6" s="100"/>
      <c r="P6" s="100"/>
      <c r="Q6" s="98"/>
      <c r="R6" s="98"/>
      <c r="S6" s="98"/>
      <c r="T6" s="98"/>
      <c r="U6" s="98"/>
      <c r="V6" s="93"/>
      <c r="W6" s="93"/>
      <c r="X6" s="93"/>
      <c r="Y6" s="93"/>
      <c r="Z6" s="70"/>
      <c r="AA6" s="93"/>
      <c r="AB6" s="71" t="s">
        <v>24</v>
      </c>
      <c r="AC6" s="71" t="s">
        <v>25</v>
      </c>
      <c r="AD6" s="96"/>
      <c r="AE6" s="90"/>
      <c r="AF6" s="90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</row>
    <row r="7" spans="1:46" s="18" customFormat="1">
      <c r="A7" s="74" t="s">
        <v>38</v>
      </c>
      <c r="B7" s="33" t="s">
        <v>68</v>
      </c>
      <c r="C7" s="33" t="s">
        <v>29</v>
      </c>
      <c r="D7" s="50">
        <v>42062</v>
      </c>
      <c r="E7" s="34">
        <v>1166.27</v>
      </c>
      <c r="F7" s="34">
        <v>1639.82</v>
      </c>
      <c r="G7" s="34"/>
      <c r="H7" s="34"/>
      <c r="I7" s="46">
        <f>SUM(F7:H7)</f>
        <v>1639.82</v>
      </c>
      <c r="J7" s="34"/>
      <c r="K7" s="62"/>
      <c r="L7" s="34"/>
      <c r="M7" s="34"/>
      <c r="N7" s="63"/>
      <c r="O7" s="63"/>
      <c r="P7" s="34"/>
      <c r="Q7" s="32"/>
      <c r="R7" s="32"/>
      <c r="S7" s="33"/>
      <c r="T7" s="33"/>
      <c r="U7" s="46">
        <f t="shared" ref="U7:U29" si="0">+I7-SUM(J7:T7)</f>
        <v>1639.82</v>
      </c>
      <c r="V7" s="32">
        <f t="shared" ref="V7:V24" si="1">IF(I7&gt;2250,I7*0.1,0)</f>
        <v>0</v>
      </c>
      <c r="W7" s="46">
        <f t="shared" ref="W7:W24" si="2">+U7-V7</f>
        <v>1639.82</v>
      </c>
      <c r="X7" s="32">
        <f t="shared" ref="X7:X24" si="3">IF(I7&lt;2250,I7*0.1,0)</f>
        <v>163.982</v>
      </c>
      <c r="Y7" s="32">
        <v>10.23</v>
      </c>
      <c r="Z7" s="32">
        <f t="shared" ref="Z7:Z24" si="4">+N7</f>
        <v>0</v>
      </c>
      <c r="AA7" s="46">
        <f t="shared" ref="AA7:AA24" si="5">+I7+X7+Y7+Z7</f>
        <v>1814.0319999999999</v>
      </c>
      <c r="AB7" s="52"/>
      <c r="AC7" s="53"/>
      <c r="AD7" s="47">
        <f t="shared" ref="AD7:AD12" si="6">+AB7+AC7-W7</f>
        <v>-1639.82</v>
      </c>
      <c r="AE7" s="35">
        <v>56708844887</v>
      </c>
      <c r="AF7" s="33"/>
    </row>
    <row r="8" spans="1:46" s="89" customFormat="1">
      <c r="A8" s="78" t="s">
        <v>28</v>
      </c>
      <c r="B8" s="78" t="s">
        <v>63</v>
      </c>
      <c r="C8" s="78" t="s">
        <v>31</v>
      </c>
      <c r="D8" s="79">
        <v>41797</v>
      </c>
      <c r="E8" s="80">
        <v>4666.6899999999996</v>
      </c>
      <c r="F8" s="80"/>
      <c r="G8" s="80"/>
      <c r="H8" s="80"/>
      <c r="I8" s="81">
        <f t="shared" ref="I8:I62" si="7">SUM(F8:H8)</f>
        <v>0</v>
      </c>
      <c r="J8" s="80"/>
      <c r="K8" s="82"/>
      <c r="L8" s="82"/>
      <c r="M8" s="80"/>
      <c r="N8" s="83"/>
      <c r="O8" s="83"/>
      <c r="P8" s="80"/>
      <c r="Q8" s="84"/>
      <c r="R8" s="84"/>
      <c r="S8" s="78"/>
      <c r="T8" s="78"/>
      <c r="U8" s="81">
        <f>+I8-SUM(J8:T8)</f>
        <v>0</v>
      </c>
      <c r="V8" s="84">
        <f>IF(I8&gt;2250,I8*0.1,0)</f>
        <v>0</v>
      </c>
      <c r="W8" s="81">
        <f>+U8-V8</f>
        <v>0</v>
      </c>
      <c r="X8" s="84">
        <f>IF(I8&lt;2250,I8*0.1,0)</f>
        <v>0</v>
      </c>
      <c r="Y8" s="84">
        <v>10.23</v>
      </c>
      <c r="Z8" s="84">
        <f>+N8</f>
        <v>0</v>
      </c>
      <c r="AA8" s="81">
        <f>+I8+X8+Y8+Z8</f>
        <v>10.23</v>
      </c>
      <c r="AB8" s="85"/>
      <c r="AC8" s="86"/>
      <c r="AD8" s="87">
        <f>+AB8+AC8-W8</f>
        <v>0</v>
      </c>
      <c r="AE8" s="88">
        <v>56708844890</v>
      </c>
      <c r="AF8" s="88" t="s">
        <v>191</v>
      </c>
    </row>
    <row r="9" spans="1:46" s="18" customFormat="1">
      <c r="A9" s="74" t="s">
        <v>38</v>
      </c>
      <c r="B9" s="33" t="s">
        <v>135</v>
      </c>
      <c r="C9" s="33" t="s">
        <v>29</v>
      </c>
      <c r="D9" s="50">
        <v>42725</v>
      </c>
      <c r="E9" s="34">
        <v>1166.27</v>
      </c>
      <c r="F9" s="34">
        <v>1788.33</v>
      </c>
      <c r="G9" s="34"/>
      <c r="H9" s="34"/>
      <c r="I9" s="46">
        <f t="shared" si="7"/>
        <v>1788.33</v>
      </c>
      <c r="J9" s="34"/>
      <c r="K9" s="62"/>
      <c r="L9" s="62"/>
      <c r="M9" s="34"/>
      <c r="N9" s="63"/>
      <c r="O9" s="63"/>
      <c r="P9" s="34"/>
      <c r="Q9" s="32"/>
      <c r="R9" s="32"/>
      <c r="S9" s="33"/>
      <c r="T9" s="33"/>
      <c r="U9" s="46">
        <f t="shared" ref="U9" si="8">+I9-SUM(J9:T9)</f>
        <v>1788.33</v>
      </c>
      <c r="V9" s="32">
        <f t="shared" ref="V9" si="9">IF(I9&gt;2250,I9*0.1,0)</f>
        <v>0</v>
      </c>
      <c r="W9" s="46">
        <f t="shared" ref="W9" si="10">+U9-V9</f>
        <v>1788.33</v>
      </c>
      <c r="X9" s="32"/>
      <c r="Y9" s="32"/>
      <c r="Z9" s="32"/>
      <c r="AA9" s="46"/>
      <c r="AB9" s="52"/>
      <c r="AC9" s="53"/>
      <c r="AD9" s="47"/>
      <c r="AE9" s="35">
        <v>56708519619</v>
      </c>
      <c r="AF9" s="35"/>
    </row>
    <row r="10" spans="1:46" s="18" customFormat="1">
      <c r="A10" s="74" t="s">
        <v>38</v>
      </c>
      <c r="B10" s="33" t="s">
        <v>133</v>
      </c>
      <c r="C10" s="33" t="s">
        <v>99</v>
      </c>
      <c r="D10" s="50">
        <v>42718</v>
      </c>
      <c r="E10" s="34">
        <v>1633.38</v>
      </c>
      <c r="F10" s="34">
        <v>6134.8</v>
      </c>
      <c r="G10" s="34"/>
      <c r="H10" s="34"/>
      <c r="I10" s="46">
        <f t="shared" si="7"/>
        <v>6134.8</v>
      </c>
      <c r="J10" s="34"/>
      <c r="K10" s="62"/>
      <c r="L10" s="62"/>
      <c r="M10" s="34"/>
      <c r="N10" s="63"/>
      <c r="O10" s="63"/>
      <c r="P10" s="34"/>
      <c r="Q10" s="32"/>
      <c r="R10" s="32"/>
      <c r="S10" s="33"/>
      <c r="T10" s="33">
        <v>1900</v>
      </c>
      <c r="U10" s="46">
        <f t="shared" ref="U10" si="11">+I10-SUM(J10:T10)</f>
        <v>4234.8</v>
      </c>
      <c r="V10" s="32">
        <f t="shared" ref="V10" si="12">IF(I10&gt;2250,I10*0.1,0)</f>
        <v>613.48</v>
      </c>
      <c r="W10" s="46">
        <f t="shared" ref="W10" si="13">+U10-V10</f>
        <v>3621.32</v>
      </c>
      <c r="X10" s="32"/>
      <c r="Y10" s="32"/>
      <c r="Z10" s="32"/>
      <c r="AA10" s="46"/>
      <c r="AB10" s="52"/>
      <c r="AC10" s="53"/>
      <c r="AD10" s="47"/>
      <c r="AE10" s="35">
        <v>60590124291</v>
      </c>
      <c r="AF10" s="33"/>
    </row>
    <row r="11" spans="1:46" s="18" customFormat="1">
      <c r="A11" s="74" t="s">
        <v>28</v>
      </c>
      <c r="B11" s="33" t="s">
        <v>36</v>
      </c>
      <c r="C11" s="33" t="s">
        <v>31</v>
      </c>
      <c r="D11" s="50">
        <v>39508</v>
      </c>
      <c r="E11" s="34">
        <v>4666.6899999999996</v>
      </c>
      <c r="F11" s="34"/>
      <c r="G11" s="34"/>
      <c r="H11" s="34"/>
      <c r="I11" s="46">
        <f t="shared" si="7"/>
        <v>0</v>
      </c>
      <c r="J11" s="34">
        <v>413.79</v>
      </c>
      <c r="K11" s="62"/>
      <c r="L11" s="34"/>
      <c r="M11" s="34"/>
      <c r="N11" s="63"/>
      <c r="O11" s="63"/>
      <c r="P11" s="34"/>
      <c r="Q11" s="32"/>
      <c r="R11" s="32"/>
      <c r="S11" s="33"/>
      <c r="T11" s="33"/>
      <c r="U11" s="46">
        <f t="shared" si="0"/>
        <v>-413.79</v>
      </c>
      <c r="V11" s="32">
        <f t="shared" si="1"/>
        <v>0</v>
      </c>
      <c r="W11" s="46">
        <f t="shared" si="2"/>
        <v>-413.79</v>
      </c>
      <c r="X11" s="32">
        <f t="shared" si="3"/>
        <v>0</v>
      </c>
      <c r="Y11" s="32">
        <v>10.23</v>
      </c>
      <c r="Z11" s="32">
        <f t="shared" si="4"/>
        <v>0</v>
      </c>
      <c r="AA11" s="46">
        <f t="shared" si="5"/>
        <v>10.23</v>
      </c>
      <c r="AB11" s="52"/>
      <c r="AC11" s="53"/>
      <c r="AD11" s="47">
        <f t="shared" si="6"/>
        <v>413.79</v>
      </c>
      <c r="AE11" s="35">
        <v>56708881292</v>
      </c>
      <c r="AF11" s="35" t="s">
        <v>189</v>
      </c>
    </row>
    <row r="12" spans="1:46" s="18" customFormat="1">
      <c r="A12" s="74" t="s">
        <v>28</v>
      </c>
      <c r="B12" s="33" t="s">
        <v>64</v>
      </c>
      <c r="C12" s="33" t="s">
        <v>30</v>
      </c>
      <c r="D12" s="50">
        <v>42383</v>
      </c>
      <c r="E12" s="34">
        <v>1026.69</v>
      </c>
      <c r="F12" s="34">
        <v>1476.01</v>
      </c>
      <c r="G12" s="34"/>
      <c r="H12" s="34"/>
      <c r="I12" s="46">
        <f t="shared" si="7"/>
        <v>1476.01</v>
      </c>
      <c r="J12" s="34"/>
      <c r="K12" s="62"/>
      <c r="L12" s="34"/>
      <c r="M12" s="34"/>
      <c r="N12" s="63"/>
      <c r="O12" s="63"/>
      <c r="P12" s="34"/>
      <c r="Q12" s="32"/>
      <c r="R12" s="32"/>
      <c r="S12" s="33"/>
      <c r="T12" s="33">
        <v>352.56</v>
      </c>
      <c r="U12" s="46">
        <f t="shared" si="0"/>
        <v>1123.45</v>
      </c>
      <c r="V12" s="32">
        <f t="shared" si="1"/>
        <v>0</v>
      </c>
      <c r="W12" s="46">
        <f t="shared" si="2"/>
        <v>1123.45</v>
      </c>
      <c r="X12" s="32">
        <f t="shared" si="3"/>
        <v>147.601</v>
      </c>
      <c r="Y12" s="32">
        <v>10.23</v>
      </c>
      <c r="Z12" s="32">
        <f t="shared" si="4"/>
        <v>0</v>
      </c>
      <c r="AA12" s="46">
        <f t="shared" si="5"/>
        <v>1633.8409999999999</v>
      </c>
      <c r="AB12" s="52"/>
      <c r="AC12" s="53"/>
      <c r="AD12" s="47">
        <f t="shared" si="6"/>
        <v>-1123.45</v>
      </c>
      <c r="AE12" s="35">
        <v>56708881304</v>
      </c>
      <c r="AF12" s="33"/>
    </row>
    <row r="13" spans="1:46" s="18" customFormat="1" ht="15.75">
      <c r="A13" s="74" t="s">
        <v>28</v>
      </c>
      <c r="B13" s="33" t="s">
        <v>159</v>
      </c>
      <c r="C13" s="33" t="s">
        <v>30</v>
      </c>
      <c r="D13" s="50">
        <v>42878</v>
      </c>
      <c r="E13" s="34">
        <v>1026.69</v>
      </c>
      <c r="F13" s="34"/>
      <c r="G13" s="34"/>
      <c r="H13" s="34"/>
      <c r="I13" s="46">
        <f t="shared" si="7"/>
        <v>0</v>
      </c>
      <c r="J13" s="34"/>
      <c r="K13" s="62"/>
      <c r="L13" s="34"/>
      <c r="M13" s="34"/>
      <c r="N13" s="63"/>
      <c r="O13" s="63"/>
      <c r="P13" s="34"/>
      <c r="Q13" s="32"/>
      <c r="R13" s="69">
        <v>0.3</v>
      </c>
      <c r="S13" s="33"/>
      <c r="T13" s="33">
        <v>600</v>
      </c>
      <c r="U13" s="46">
        <f t="shared" si="0"/>
        <v>-600.29999999999995</v>
      </c>
      <c r="V13" s="32"/>
      <c r="W13" s="46"/>
      <c r="X13" s="32"/>
      <c r="Y13" s="32"/>
      <c r="Z13" s="32"/>
      <c r="AA13" s="46"/>
      <c r="AB13" s="52"/>
      <c r="AC13" s="53"/>
      <c r="AD13" s="47"/>
      <c r="AE13" s="35">
        <v>53917427816</v>
      </c>
      <c r="AF13" s="33"/>
    </row>
    <row r="14" spans="1:46" s="18" customFormat="1" ht="15.75">
      <c r="A14" s="74" t="s">
        <v>28</v>
      </c>
      <c r="B14" s="33" t="s">
        <v>168</v>
      </c>
      <c r="C14" s="33" t="s">
        <v>169</v>
      </c>
      <c r="D14" s="50">
        <v>42908</v>
      </c>
      <c r="E14" s="34">
        <v>1499.96</v>
      </c>
      <c r="F14" s="34"/>
      <c r="G14" s="34"/>
      <c r="H14" s="34"/>
      <c r="I14" s="46">
        <f t="shared" si="7"/>
        <v>0</v>
      </c>
      <c r="J14" s="34"/>
      <c r="K14" s="62"/>
      <c r="L14" s="34"/>
      <c r="M14" s="34"/>
      <c r="N14" s="63"/>
      <c r="O14" s="63"/>
      <c r="P14" s="34"/>
      <c r="Q14" s="32"/>
      <c r="R14" s="69"/>
      <c r="S14" s="33"/>
      <c r="T14" s="33"/>
      <c r="U14" s="46">
        <f t="shared" si="0"/>
        <v>0</v>
      </c>
      <c r="V14" s="32"/>
      <c r="W14" s="46"/>
      <c r="X14" s="32"/>
      <c r="Y14" s="32"/>
      <c r="Z14" s="32"/>
      <c r="AA14" s="46"/>
      <c r="AB14" s="52"/>
      <c r="AC14" s="53"/>
      <c r="AD14" s="47"/>
      <c r="AE14" s="35">
        <v>60592545278</v>
      </c>
      <c r="AF14" s="33"/>
    </row>
    <row r="15" spans="1:46" s="18" customFormat="1">
      <c r="A15" s="74" t="s">
        <v>28</v>
      </c>
      <c r="B15" s="33" t="s">
        <v>78</v>
      </c>
      <c r="C15" s="33" t="s">
        <v>31</v>
      </c>
      <c r="D15" s="50">
        <v>39699</v>
      </c>
      <c r="E15" s="34">
        <v>4666.6899999999996</v>
      </c>
      <c r="F15" s="34"/>
      <c r="G15" s="34"/>
      <c r="H15" s="34">
        <v>9197.58</v>
      </c>
      <c r="I15" s="46">
        <f t="shared" si="7"/>
        <v>9197.58</v>
      </c>
      <c r="J15" s="34">
        <v>413.79</v>
      </c>
      <c r="K15" s="62"/>
      <c r="L15" s="34"/>
      <c r="M15" s="34">
        <v>1000</v>
      </c>
      <c r="N15" s="63"/>
      <c r="O15" s="63"/>
      <c r="P15" s="34"/>
      <c r="Q15" s="32">
        <v>2000</v>
      </c>
      <c r="R15" s="32"/>
      <c r="S15" s="33"/>
      <c r="T15" s="33"/>
      <c r="U15" s="46">
        <f t="shared" si="0"/>
        <v>5783.79</v>
      </c>
      <c r="V15" s="32">
        <f t="shared" si="1"/>
        <v>919.75800000000004</v>
      </c>
      <c r="W15" s="46">
        <f t="shared" si="2"/>
        <v>4864.0320000000002</v>
      </c>
      <c r="X15" s="32">
        <f t="shared" si="3"/>
        <v>0</v>
      </c>
      <c r="Y15" s="32">
        <v>10.23</v>
      </c>
      <c r="Z15" s="32">
        <f t="shared" si="4"/>
        <v>0</v>
      </c>
      <c r="AA15" s="46">
        <f t="shared" si="5"/>
        <v>9207.81</v>
      </c>
      <c r="AB15" s="52"/>
      <c r="AC15" s="53"/>
      <c r="AD15" s="47">
        <f t="shared" ref="AD15:AD16" si="14">+AB15+AC15-W15</f>
        <v>-4864.0320000000002</v>
      </c>
      <c r="AE15" s="35">
        <v>56708881349</v>
      </c>
      <c r="AF15" s="35" t="s">
        <v>189</v>
      </c>
    </row>
    <row r="16" spans="1:46" s="18" customFormat="1">
      <c r="A16" s="74" t="s">
        <v>27</v>
      </c>
      <c r="B16" s="33" t="s">
        <v>71</v>
      </c>
      <c r="C16" s="33" t="s">
        <v>45</v>
      </c>
      <c r="D16" s="50">
        <v>42332</v>
      </c>
      <c r="E16" s="34">
        <v>1026.69</v>
      </c>
      <c r="F16" s="34"/>
      <c r="G16" s="34"/>
      <c r="H16" s="34"/>
      <c r="I16" s="46">
        <f t="shared" si="7"/>
        <v>0</v>
      </c>
      <c r="J16" s="34"/>
      <c r="K16" s="62"/>
      <c r="L16" s="34"/>
      <c r="M16" s="34"/>
      <c r="N16" s="63"/>
      <c r="O16" s="63"/>
      <c r="P16" s="34"/>
      <c r="Q16" s="32"/>
      <c r="R16" s="32"/>
      <c r="S16" s="33"/>
      <c r="T16" s="33">
        <v>590.30999999999995</v>
      </c>
      <c r="U16" s="46">
        <f t="shared" si="0"/>
        <v>-590.30999999999995</v>
      </c>
      <c r="V16" s="32">
        <f t="shared" si="1"/>
        <v>0</v>
      </c>
      <c r="W16" s="46">
        <f t="shared" si="2"/>
        <v>-590.30999999999995</v>
      </c>
      <c r="X16" s="32">
        <f t="shared" si="3"/>
        <v>0</v>
      </c>
      <c r="Y16" s="32">
        <v>10.23</v>
      </c>
      <c r="Z16" s="32">
        <f t="shared" si="4"/>
        <v>0</v>
      </c>
      <c r="AA16" s="46">
        <f t="shared" si="5"/>
        <v>10.23</v>
      </c>
      <c r="AB16" s="52"/>
      <c r="AC16" s="53"/>
      <c r="AD16" s="47">
        <f t="shared" si="14"/>
        <v>590.30999999999995</v>
      </c>
      <c r="AE16" s="35">
        <v>56708844947</v>
      </c>
      <c r="AF16" s="35"/>
    </row>
    <row r="17" spans="1:32" s="18" customFormat="1" ht="15.75">
      <c r="A17" s="74" t="s">
        <v>73</v>
      </c>
      <c r="B17" s="33" t="s">
        <v>56</v>
      </c>
      <c r="C17" s="33" t="s">
        <v>44</v>
      </c>
      <c r="D17" s="50">
        <v>42205</v>
      </c>
      <c r="E17" s="34">
        <v>1869</v>
      </c>
      <c r="F17" s="65"/>
      <c r="G17" s="34"/>
      <c r="H17" s="34"/>
      <c r="I17" s="46">
        <f t="shared" si="7"/>
        <v>0</v>
      </c>
      <c r="J17" s="34"/>
      <c r="K17" s="62"/>
      <c r="L17" s="34"/>
      <c r="M17" s="34">
        <v>300</v>
      </c>
      <c r="N17" s="63"/>
      <c r="O17" s="63"/>
      <c r="P17" s="34"/>
      <c r="Q17" s="32"/>
      <c r="R17" s="69">
        <v>0.3</v>
      </c>
      <c r="S17" s="33"/>
      <c r="T17" s="33"/>
      <c r="U17" s="46">
        <f t="shared" si="0"/>
        <v>-300.3</v>
      </c>
      <c r="V17" s="32">
        <f t="shared" si="1"/>
        <v>0</v>
      </c>
      <c r="W17" s="46">
        <f t="shared" si="2"/>
        <v>-300.3</v>
      </c>
      <c r="X17" s="32">
        <f t="shared" si="3"/>
        <v>0</v>
      </c>
      <c r="Y17" s="32">
        <v>10.23</v>
      </c>
      <c r="Z17" s="32">
        <f t="shared" si="4"/>
        <v>0</v>
      </c>
      <c r="AA17" s="46">
        <f t="shared" si="5"/>
        <v>10.23</v>
      </c>
      <c r="AB17" s="52"/>
      <c r="AC17" s="52"/>
      <c r="AD17" s="47">
        <f t="shared" ref="AD17" si="15">+AB17+AC17-W17</f>
        <v>300.3</v>
      </c>
      <c r="AE17" s="35">
        <v>56708844950</v>
      </c>
      <c r="AF17" s="33"/>
    </row>
    <row r="18" spans="1:32" s="18" customFormat="1">
      <c r="A18" s="74" t="s">
        <v>73</v>
      </c>
      <c r="B18" s="33" t="s">
        <v>93</v>
      </c>
      <c r="C18" s="33" t="s">
        <v>44</v>
      </c>
      <c r="D18" s="50">
        <v>42476</v>
      </c>
      <c r="E18" s="34">
        <v>1869</v>
      </c>
      <c r="F18" s="65">
        <v>1050</v>
      </c>
      <c r="G18" s="34"/>
      <c r="H18" s="34"/>
      <c r="I18" s="46">
        <f t="shared" si="7"/>
        <v>1050</v>
      </c>
      <c r="J18" s="34"/>
      <c r="K18" s="62"/>
      <c r="L18" s="34"/>
      <c r="M18" s="34"/>
      <c r="N18" s="63"/>
      <c r="O18" s="63"/>
      <c r="P18" s="34"/>
      <c r="Q18" s="32"/>
      <c r="R18" s="32"/>
      <c r="S18" s="33"/>
      <c r="T18" s="33"/>
      <c r="U18" s="46">
        <f t="shared" si="0"/>
        <v>1050</v>
      </c>
      <c r="V18" s="33">
        <f t="shared" ref="V18" si="16">IF(I18&gt;2250,I18*0.1,0)</f>
        <v>0</v>
      </c>
      <c r="W18" s="33">
        <f t="shared" ref="W18" si="17">+U18-V18</f>
        <v>1050</v>
      </c>
      <c r="X18" s="32">
        <f t="shared" si="3"/>
        <v>105</v>
      </c>
      <c r="Y18" s="32">
        <v>10.23</v>
      </c>
      <c r="Z18" s="32">
        <f t="shared" si="4"/>
        <v>0</v>
      </c>
      <c r="AA18" s="46">
        <f t="shared" si="5"/>
        <v>1165.23</v>
      </c>
      <c r="AB18" s="52"/>
      <c r="AC18" s="52"/>
      <c r="AD18" s="47" t="e">
        <f>+AB18+AC18-#REF!</f>
        <v>#REF!</v>
      </c>
      <c r="AE18" s="35">
        <v>56708844964</v>
      </c>
      <c r="AF18" s="35" t="s">
        <v>192</v>
      </c>
    </row>
    <row r="19" spans="1:32" s="18" customFormat="1">
      <c r="A19" s="74" t="s">
        <v>28</v>
      </c>
      <c r="B19" s="33" t="s">
        <v>177</v>
      </c>
      <c r="C19" s="33" t="s">
        <v>30</v>
      </c>
      <c r="D19" s="50">
        <v>42916</v>
      </c>
      <c r="E19" s="34">
        <v>1026.69</v>
      </c>
      <c r="F19" s="34"/>
      <c r="G19" s="34"/>
      <c r="H19" s="34"/>
      <c r="I19" s="46">
        <f t="shared" si="7"/>
        <v>0</v>
      </c>
      <c r="J19" s="34"/>
      <c r="K19" s="62"/>
      <c r="L19" s="34"/>
      <c r="M19" s="34"/>
      <c r="N19" s="63"/>
      <c r="O19" s="63"/>
      <c r="P19" s="34"/>
      <c r="Q19" s="32"/>
      <c r="R19" s="32"/>
      <c r="S19" s="33"/>
      <c r="T19" s="33">
        <v>470.86</v>
      </c>
      <c r="U19" s="46"/>
      <c r="V19" s="33"/>
      <c r="W19" s="33"/>
      <c r="X19" s="32"/>
      <c r="Y19" s="32"/>
      <c r="Z19" s="32"/>
      <c r="AA19" s="46"/>
      <c r="AB19" s="52"/>
      <c r="AC19" s="52"/>
      <c r="AD19" s="47"/>
      <c r="AE19" s="35">
        <v>60592609882</v>
      </c>
      <c r="AF19" s="35"/>
    </row>
    <row r="20" spans="1:32" s="18" customFormat="1">
      <c r="A20" s="74" t="s">
        <v>28</v>
      </c>
      <c r="B20" s="33" t="s">
        <v>162</v>
      </c>
      <c r="C20" s="33" t="s">
        <v>30</v>
      </c>
      <c r="D20" s="50">
        <v>42899</v>
      </c>
      <c r="E20" s="34">
        <v>1026.69</v>
      </c>
      <c r="F20" s="34"/>
      <c r="G20" s="34"/>
      <c r="H20" s="34"/>
      <c r="I20" s="46">
        <f t="shared" si="7"/>
        <v>0</v>
      </c>
      <c r="J20" s="34"/>
      <c r="K20" s="62"/>
      <c r="L20" s="34"/>
      <c r="M20" s="34"/>
      <c r="N20" s="63"/>
      <c r="O20" s="63"/>
      <c r="P20" s="34"/>
      <c r="Q20" s="32"/>
      <c r="R20" s="32"/>
      <c r="S20" s="33"/>
      <c r="T20" s="33"/>
      <c r="U20" s="46">
        <f t="shared" si="0"/>
        <v>0</v>
      </c>
      <c r="V20" s="33"/>
      <c r="W20" s="33"/>
      <c r="X20" s="32"/>
      <c r="Y20" s="32"/>
      <c r="Z20" s="32"/>
      <c r="AA20" s="46"/>
      <c r="AB20" s="52"/>
      <c r="AC20" s="52"/>
      <c r="AD20" s="47"/>
      <c r="AE20" s="35">
        <v>60592030048</v>
      </c>
      <c r="AF20" s="35"/>
    </row>
    <row r="21" spans="1:32" s="18" customFormat="1">
      <c r="A21" s="74" t="s">
        <v>38</v>
      </c>
      <c r="B21" s="33" t="s">
        <v>100</v>
      </c>
      <c r="C21" s="33" t="s">
        <v>99</v>
      </c>
      <c r="D21" s="50">
        <v>42514</v>
      </c>
      <c r="E21" s="34">
        <v>1166.27</v>
      </c>
      <c r="F21" s="34">
        <v>3351.76</v>
      </c>
      <c r="G21" s="34"/>
      <c r="H21" s="34"/>
      <c r="I21" s="46">
        <f t="shared" si="7"/>
        <v>3351.76</v>
      </c>
      <c r="J21" s="34"/>
      <c r="K21" s="62"/>
      <c r="L21" s="34"/>
      <c r="M21" s="34"/>
      <c r="N21" s="63"/>
      <c r="O21" s="63"/>
      <c r="P21" s="34"/>
      <c r="Q21" s="32"/>
      <c r="R21" s="32"/>
      <c r="S21" s="33"/>
      <c r="T21" s="33"/>
      <c r="U21" s="46">
        <f t="shared" si="0"/>
        <v>3351.76</v>
      </c>
      <c r="V21" s="33">
        <f t="shared" si="1"/>
        <v>335.17600000000004</v>
      </c>
      <c r="W21" s="33">
        <f t="shared" si="2"/>
        <v>3016.5840000000003</v>
      </c>
      <c r="X21" s="32">
        <f t="shared" si="3"/>
        <v>0</v>
      </c>
      <c r="Y21" s="32">
        <v>11.23</v>
      </c>
      <c r="Z21" s="32">
        <f t="shared" si="4"/>
        <v>0</v>
      </c>
      <c r="AA21" s="46">
        <f t="shared" si="5"/>
        <v>3362.9900000000002</v>
      </c>
      <c r="AB21" s="52"/>
      <c r="AC21" s="52"/>
      <c r="AD21" s="47"/>
      <c r="AE21" s="35">
        <v>56708844978</v>
      </c>
      <c r="AF21" s="35"/>
    </row>
    <row r="22" spans="1:32" s="18" customFormat="1">
      <c r="A22" s="74" t="s">
        <v>28</v>
      </c>
      <c r="B22" s="33" t="s">
        <v>122</v>
      </c>
      <c r="C22" s="33" t="s">
        <v>123</v>
      </c>
      <c r="D22" s="50">
        <v>41359</v>
      </c>
      <c r="E22" s="34">
        <v>4666.6899999999996</v>
      </c>
      <c r="F22" s="34"/>
      <c r="G22" s="34"/>
      <c r="H22" s="34"/>
      <c r="I22" s="46">
        <f t="shared" si="7"/>
        <v>0</v>
      </c>
      <c r="J22" s="34">
        <v>413.79</v>
      </c>
      <c r="K22" s="62"/>
      <c r="L22" s="34"/>
      <c r="M22" s="34"/>
      <c r="N22" s="63"/>
      <c r="O22" s="63"/>
      <c r="P22" s="34"/>
      <c r="Q22" s="32"/>
      <c r="R22" s="32"/>
      <c r="S22" s="33"/>
      <c r="T22" s="33"/>
      <c r="U22" s="46">
        <f t="shared" si="0"/>
        <v>-413.79</v>
      </c>
      <c r="V22" s="33">
        <f t="shared" ref="V22" si="18">IF(I22&gt;2250,I22*0.1,0)</f>
        <v>0</v>
      </c>
      <c r="W22" s="33">
        <f t="shared" ref="W22" si="19">+U22-V22</f>
        <v>-413.79</v>
      </c>
      <c r="X22" s="32"/>
      <c r="Y22" s="32"/>
      <c r="Z22" s="32"/>
      <c r="AA22" s="46"/>
      <c r="AB22" s="52"/>
      <c r="AC22" s="52"/>
      <c r="AD22" s="47"/>
      <c r="AE22" s="35">
        <v>56708881383</v>
      </c>
      <c r="AF22" s="35" t="s">
        <v>189</v>
      </c>
    </row>
    <row r="23" spans="1:32" s="18" customFormat="1">
      <c r="A23" s="74" t="s">
        <v>28</v>
      </c>
      <c r="B23" s="33" t="s">
        <v>92</v>
      </c>
      <c r="C23" s="33" t="s">
        <v>30</v>
      </c>
      <c r="D23" s="50">
        <v>42413</v>
      </c>
      <c r="E23" s="34">
        <v>1026.69</v>
      </c>
      <c r="F23" s="34"/>
      <c r="G23" s="34"/>
      <c r="H23" s="34"/>
      <c r="I23" s="46">
        <f t="shared" si="7"/>
        <v>0</v>
      </c>
      <c r="J23" s="34"/>
      <c r="K23" s="62">
        <v>1</v>
      </c>
      <c r="L23" s="34"/>
      <c r="M23" s="34"/>
      <c r="N23" s="63"/>
      <c r="O23" s="63"/>
      <c r="P23" s="34"/>
      <c r="Q23" s="32"/>
      <c r="R23" s="32"/>
      <c r="S23" s="33"/>
      <c r="T23" s="33"/>
      <c r="U23" s="46">
        <f t="shared" si="0"/>
        <v>-1</v>
      </c>
      <c r="V23" s="33">
        <f t="shared" si="1"/>
        <v>0</v>
      </c>
      <c r="W23" s="33">
        <f t="shared" si="2"/>
        <v>-1</v>
      </c>
      <c r="X23" s="32">
        <f t="shared" si="3"/>
        <v>0</v>
      </c>
      <c r="Y23" s="32">
        <v>13.23</v>
      </c>
      <c r="Z23" s="32">
        <f t="shared" si="4"/>
        <v>0</v>
      </c>
      <c r="AA23" s="46">
        <f t="shared" si="5"/>
        <v>13.23</v>
      </c>
      <c r="AB23" s="52"/>
      <c r="AC23" s="52"/>
      <c r="AD23" s="47">
        <f>+AB23+AC23-W23</f>
        <v>1</v>
      </c>
      <c r="AE23" s="35">
        <v>60590329504</v>
      </c>
      <c r="AF23" s="35"/>
    </row>
    <row r="24" spans="1:32" s="18" customFormat="1">
      <c r="A24" s="74" t="s">
        <v>28</v>
      </c>
      <c r="B24" s="33" t="s">
        <v>103</v>
      </c>
      <c r="C24" s="33" t="s">
        <v>30</v>
      </c>
      <c r="D24" s="50">
        <v>42532</v>
      </c>
      <c r="E24" s="34">
        <v>1026.69</v>
      </c>
      <c r="F24" s="34"/>
      <c r="G24" s="34"/>
      <c r="H24" s="34"/>
      <c r="I24" s="46">
        <f t="shared" si="7"/>
        <v>0</v>
      </c>
      <c r="J24" s="34"/>
      <c r="K24" s="62"/>
      <c r="L24" s="34"/>
      <c r="M24" s="34"/>
      <c r="N24" s="63"/>
      <c r="O24" s="63"/>
      <c r="P24" s="34"/>
      <c r="Q24" s="32"/>
      <c r="R24" s="32"/>
      <c r="S24" s="33"/>
      <c r="T24" s="33"/>
      <c r="U24" s="46">
        <f t="shared" si="0"/>
        <v>0</v>
      </c>
      <c r="V24" s="33">
        <f t="shared" si="1"/>
        <v>0</v>
      </c>
      <c r="W24" s="33">
        <f t="shared" si="2"/>
        <v>0</v>
      </c>
      <c r="X24" s="32">
        <f t="shared" si="3"/>
        <v>0</v>
      </c>
      <c r="Y24" s="32">
        <v>13.23</v>
      </c>
      <c r="Z24" s="32">
        <f t="shared" si="4"/>
        <v>0</v>
      </c>
      <c r="AA24" s="46">
        <f t="shared" si="5"/>
        <v>13.23</v>
      </c>
      <c r="AB24" s="52"/>
      <c r="AC24" s="52"/>
      <c r="AD24" s="47">
        <f>+AB24+AC24-W24</f>
        <v>0</v>
      </c>
      <c r="AE24" s="35">
        <v>56708881426</v>
      </c>
      <c r="AF24" s="35"/>
    </row>
    <row r="25" spans="1:32" s="18" customFormat="1">
      <c r="A25" s="74" t="s">
        <v>28</v>
      </c>
      <c r="B25" s="33" t="s">
        <v>98</v>
      </c>
      <c r="C25" s="33" t="s">
        <v>111</v>
      </c>
      <c r="D25" s="50">
        <v>42480</v>
      </c>
      <c r="E25" s="34">
        <v>2800</v>
      </c>
      <c r="F25" s="34"/>
      <c r="G25" s="34"/>
      <c r="H25" s="34"/>
      <c r="I25" s="46">
        <f t="shared" si="7"/>
        <v>0</v>
      </c>
      <c r="J25" s="34"/>
      <c r="K25" s="62"/>
      <c r="L25" s="34"/>
      <c r="M25" s="34"/>
      <c r="N25" s="63"/>
      <c r="O25" s="63"/>
      <c r="P25" s="34"/>
      <c r="Q25" s="32"/>
      <c r="R25" s="32"/>
      <c r="S25" s="33"/>
      <c r="T25" s="33"/>
      <c r="U25" s="46">
        <f t="shared" si="0"/>
        <v>0</v>
      </c>
      <c r="V25" s="33">
        <f t="shared" ref="V25:V42" si="20">IF(I25&gt;2250,I25*0.1,0)</f>
        <v>0</v>
      </c>
      <c r="W25" s="33">
        <f t="shared" ref="W25:W42" si="21">+U25-V25</f>
        <v>0</v>
      </c>
      <c r="X25" s="32">
        <f t="shared" ref="X25:X42" si="22">IF(I25&lt;2250,I25*0.1,0)</f>
        <v>0</v>
      </c>
      <c r="Y25" s="32">
        <v>17.23</v>
      </c>
      <c r="Z25" s="32">
        <f t="shared" ref="Z25:Z42" si="23">+N25</f>
        <v>0</v>
      </c>
      <c r="AA25" s="46">
        <f t="shared" ref="AA25:AA42" si="24">+I25+X25+Y25+Z25</f>
        <v>17.23</v>
      </c>
      <c r="AB25" s="52"/>
      <c r="AC25" s="52"/>
      <c r="AD25" s="47">
        <f>+AB25+AC25-W25</f>
        <v>0</v>
      </c>
      <c r="AE25" s="35">
        <v>56708845010</v>
      </c>
      <c r="AF25" s="35"/>
    </row>
    <row r="26" spans="1:32" s="18" customFormat="1">
      <c r="A26" s="74" t="s">
        <v>40</v>
      </c>
      <c r="B26" s="33" t="s">
        <v>148</v>
      </c>
      <c r="C26" s="33" t="s">
        <v>44</v>
      </c>
      <c r="D26" s="50">
        <v>42826</v>
      </c>
      <c r="E26" s="34">
        <v>1633.31</v>
      </c>
      <c r="F26" s="34"/>
      <c r="G26" s="34"/>
      <c r="H26" s="34"/>
      <c r="I26" s="46">
        <f t="shared" si="7"/>
        <v>0</v>
      </c>
      <c r="J26" s="34"/>
      <c r="K26" s="62"/>
      <c r="L26" s="34"/>
      <c r="M26" s="34"/>
      <c r="N26" s="63"/>
      <c r="O26" s="63"/>
      <c r="P26" s="34"/>
      <c r="Q26" s="32"/>
      <c r="R26" s="32"/>
      <c r="S26" s="33"/>
      <c r="T26" s="33"/>
      <c r="U26" s="46">
        <f t="shared" si="0"/>
        <v>0</v>
      </c>
      <c r="V26" s="33">
        <f t="shared" si="20"/>
        <v>0</v>
      </c>
      <c r="W26" s="33"/>
      <c r="X26" s="32">
        <f t="shared" si="22"/>
        <v>0</v>
      </c>
      <c r="Y26" s="32"/>
      <c r="Z26" s="32"/>
      <c r="AA26" s="46"/>
      <c r="AB26" s="52"/>
      <c r="AC26" s="52"/>
      <c r="AD26" s="47"/>
      <c r="AE26" s="35">
        <v>60590035118</v>
      </c>
      <c r="AF26" s="35"/>
    </row>
    <row r="27" spans="1:32" s="18" customFormat="1">
      <c r="A27" s="74" t="s">
        <v>27</v>
      </c>
      <c r="B27" s="33" t="s">
        <v>176</v>
      </c>
      <c r="C27" s="33" t="s">
        <v>45</v>
      </c>
      <c r="D27" s="50">
        <v>42916</v>
      </c>
      <c r="E27" s="34">
        <v>1026.69</v>
      </c>
      <c r="F27" s="34"/>
      <c r="G27" s="34"/>
      <c r="H27" s="34"/>
      <c r="I27" s="46">
        <f t="shared" si="7"/>
        <v>0</v>
      </c>
      <c r="J27" s="34"/>
      <c r="K27" s="62"/>
      <c r="L27" s="34"/>
      <c r="M27" s="34"/>
      <c r="N27" s="63"/>
      <c r="O27" s="63"/>
      <c r="P27" s="34"/>
      <c r="Q27" s="32"/>
      <c r="R27" s="32"/>
      <c r="S27" s="33"/>
      <c r="T27" s="33">
        <v>649.46</v>
      </c>
      <c r="U27" s="46"/>
      <c r="V27" s="33"/>
      <c r="W27" s="33"/>
      <c r="X27" s="32"/>
      <c r="Y27" s="32"/>
      <c r="Z27" s="32"/>
      <c r="AA27" s="46"/>
      <c r="AB27" s="52"/>
      <c r="AC27" s="52"/>
      <c r="AD27" s="47"/>
      <c r="AE27" s="35">
        <v>60584074827</v>
      </c>
      <c r="AF27" s="35"/>
    </row>
    <row r="28" spans="1:32" s="18" customFormat="1">
      <c r="A28" s="74" t="s">
        <v>28</v>
      </c>
      <c r="B28" s="33" t="s">
        <v>127</v>
      </c>
      <c r="C28" s="33" t="s">
        <v>30</v>
      </c>
      <c r="D28" s="50">
        <v>42415</v>
      </c>
      <c r="E28" s="34">
        <v>1026.69</v>
      </c>
      <c r="F28" s="34">
        <v>5132.07</v>
      </c>
      <c r="G28" s="34"/>
      <c r="H28" s="34"/>
      <c r="I28" s="46">
        <f t="shared" si="7"/>
        <v>5132.07</v>
      </c>
      <c r="J28" s="34"/>
      <c r="K28" s="62"/>
      <c r="L28" s="34"/>
      <c r="M28" s="34"/>
      <c r="N28" s="63"/>
      <c r="O28" s="63"/>
      <c r="P28" s="34"/>
      <c r="Q28" s="32"/>
      <c r="R28" s="32"/>
      <c r="S28" s="33"/>
      <c r="T28" s="33"/>
      <c r="U28" s="46">
        <f t="shared" si="0"/>
        <v>5132.07</v>
      </c>
      <c r="V28" s="33">
        <f t="shared" ref="V28" si="25">IF(I28&gt;2250,I28*0.1,0)</f>
        <v>513.20699999999999</v>
      </c>
      <c r="W28" s="33">
        <f t="shared" ref="W28" si="26">+U28-V28</f>
        <v>4618.8629999999994</v>
      </c>
      <c r="X28" s="32"/>
      <c r="Y28" s="32"/>
      <c r="Z28" s="32"/>
      <c r="AA28" s="46"/>
      <c r="AB28" s="52"/>
      <c r="AC28" s="52"/>
      <c r="AD28" s="47"/>
      <c r="AE28" s="35">
        <v>56708881656</v>
      </c>
      <c r="AF28" s="35"/>
    </row>
    <row r="29" spans="1:32" s="18" customFormat="1">
      <c r="A29" s="74" t="s">
        <v>28</v>
      </c>
      <c r="B29" s="33" t="s">
        <v>155</v>
      </c>
      <c r="C29" s="33" t="s">
        <v>30</v>
      </c>
      <c r="D29" s="50">
        <v>41463</v>
      </c>
      <c r="E29" s="34">
        <v>1026.69</v>
      </c>
      <c r="F29" s="34"/>
      <c r="G29" s="34"/>
      <c r="H29" s="34"/>
      <c r="I29" s="46">
        <f t="shared" si="7"/>
        <v>0</v>
      </c>
      <c r="J29" s="34"/>
      <c r="K29" s="62"/>
      <c r="L29" s="34"/>
      <c r="M29" s="34"/>
      <c r="N29" s="63"/>
      <c r="O29" s="63"/>
      <c r="P29" s="34"/>
      <c r="Q29" s="32"/>
      <c r="R29" s="32"/>
      <c r="S29" s="33"/>
      <c r="T29" s="33"/>
      <c r="U29" s="46">
        <f t="shared" si="0"/>
        <v>0</v>
      </c>
      <c r="V29" s="33">
        <f t="shared" si="20"/>
        <v>0</v>
      </c>
      <c r="W29" s="33">
        <f t="shared" si="21"/>
        <v>0</v>
      </c>
      <c r="X29" s="32">
        <f t="shared" si="22"/>
        <v>0</v>
      </c>
      <c r="Y29" s="32">
        <v>20.23</v>
      </c>
      <c r="Z29" s="32">
        <f t="shared" si="23"/>
        <v>0</v>
      </c>
      <c r="AA29" s="46">
        <f t="shared" si="24"/>
        <v>20.23</v>
      </c>
      <c r="AB29" s="52"/>
      <c r="AC29" s="52"/>
      <c r="AD29" s="47">
        <f>+AB29+AC29-W29</f>
        <v>0</v>
      </c>
      <c r="AE29" s="35">
        <v>56708881457</v>
      </c>
      <c r="AF29" s="35"/>
    </row>
    <row r="30" spans="1:32" s="18" customFormat="1">
      <c r="A30" s="74" t="s">
        <v>26</v>
      </c>
      <c r="B30" s="33" t="s">
        <v>150</v>
      </c>
      <c r="C30" s="33" t="s">
        <v>99</v>
      </c>
      <c r="D30" s="50">
        <v>40618</v>
      </c>
      <c r="E30" s="34">
        <v>1633.31</v>
      </c>
      <c r="F30" s="34">
        <v>4734.08</v>
      </c>
      <c r="G30" s="34"/>
      <c r="H30" s="34"/>
      <c r="I30" s="46">
        <f t="shared" si="7"/>
        <v>4734.08</v>
      </c>
      <c r="J30" s="34"/>
      <c r="K30" s="62"/>
      <c r="L30" s="34"/>
      <c r="M30" s="34"/>
      <c r="N30" s="63"/>
      <c r="O30" s="63"/>
      <c r="P30" s="34"/>
      <c r="Q30" s="32"/>
      <c r="R30" s="32"/>
      <c r="S30" s="33"/>
      <c r="T30" s="33"/>
      <c r="U30" s="46">
        <f t="shared" ref="U30:U35" si="27">+I30-SUM(J30:T30)</f>
        <v>4734.08</v>
      </c>
      <c r="V30" s="33">
        <f t="shared" si="20"/>
        <v>473.40800000000002</v>
      </c>
      <c r="W30" s="33">
        <f t="shared" si="21"/>
        <v>4260.6719999999996</v>
      </c>
      <c r="X30" s="32">
        <f t="shared" si="22"/>
        <v>0</v>
      </c>
      <c r="Y30" s="32">
        <v>21.23</v>
      </c>
      <c r="Z30" s="32">
        <f t="shared" si="23"/>
        <v>0</v>
      </c>
      <c r="AA30" s="46">
        <f t="shared" si="24"/>
        <v>4755.3099999999995</v>
      </c>
      <c r="AB30" s="52"/>
      <c r="AC30" s="52"/>
      <c r="AD30" s="47"/>
      <c r="AE30" s="35">
        <v>56708845038</v>
      </c>
      <c r="AF30" s="35"/>
    </row>
    <row r="31" spans="1:32" s="18" customFormat="1">
      <c r="A31" s="74" t="s">
        <v>28</v>
      </c>
      <c r="B31" s="33" t="s">
        <v>91</v>
      </c>
      <c r="C31" s="33" t="s">
        <v>30</v>
      </c>
      <c r="D31" s="50">
        <v>42296</v>
      </c>
      <c r="E31" s="34">
        <v>1026.69</v>
      </c>
      <c r="F31" s="34"/>
      <c r="G31" s="34"/>
      <c r="H31" s="34"/>
      <c r="I31" s="46">
        <f t="shared" si="7"/>
        <v>0</v>
      </c>
      <c r="J31" s="34"/>
      <c r="K31" s="62">
        <v>1</v>
      </c>
      <c r="L31" s="34"/>
      <c r="M31" s="34"/>
      <c r="N31" s="63"/>
      <c r="O31" s="63"/>
      <c r="P31" s="34"/>
      <c r="Q31" s="32"/>
      <c r="R31" s="32"/>
      <c r="S31" s="33"/>
      <c r="T31" s="33">
        <v>676.93</v>
      </c>
      <c r="U31" s="46">
        <f t="shared" si="27"/>
        <v>-677.93</v>
      </c>
      <c r="V31" s="33">
        <f t="shared" si="20"/>
        <v>0</v>
      </c>
      <c r="W31" s="33">
        <f t="shared" si="21"/>
        <v>-677.93</v>
      </c>
      <c r="X31" s="32">
        <f t="shared" si="22"/>
        <v>0</v>
      </c>
      <c r="Y31" s="32">
        <v>10.23</v>
      </c>
      <c r="Z31" s="32">
        <f t="shared" si="23"/>
        <v>0</v>
      </c>
      <c r="AA31" s="46">
        <f t="shared" si="24"/>
        <v>10.23</v>
      </c>
      <c r="AB31" s="52"/>
      <c r="AC31" s="52"/>
      <c r="AD31" s="47">
        <f>+AB31+AC31-W31</f>
        <v>677.93</v>
      </c>
      <c r="AE31" s="35">
        <v>56708881460</v>
      </c>
      <c r="AF31" s="35"/>
    </row>
    <row r="32" spans="1:32" s="18" customFormat="1">
      <c r="A32" s="74" t="s">
        <v>27</v>
      </c>
      <c r="B32" s="33" t="s">
        <v>178</v>
      </c>
      <c r="C32" s="33" t="s">
        <v>45</v>
      </c>
      <c r="D32" s="50">
        <v>42916</v>
      </c>
      <c r="E32" s="34">
        <v>1026.69</v>
      </c>
      <c r="F32" s="34"/>
      <c r="G32" s="34"/>
      <c r="H32" s="34"/>
      <c r="I32" s="46">
        <f t="shared" si="7"/>
        <v>0</v>
      </c>
      <c r="J32" s="34"/>
      <c r="K32" s="62"/>
      <c r="L32" s="34"/>
      <c r="M32" s="34"/>
      <c r="N32" s="63"/>
      <c r="O32" s="63"/>
      <c r="P32" s="34"/>
      <c r="Q32" s="32"/>
      <c r="R32" s="32"/>
      <c r="S32" s="33"/>
      <c r="T32" s="33"/>
      <c r="U32" s="46"/>
      <c r="V32" s="33"/>
      <c r="W32" s="33"/>
      <c r="X32" s="32"/>
      <c r="Y32" s="32"/>
      <c r="Z32" s="32"/>
      <c r="AA32" s="46"/>
      <c r="AB32" s="52"/>
      <c r="AC32" s="52"/>
      <c r="AD32" s="47"/>
      <c r="AE32" s="35">
        <v>60592636121</v>
      </c>
      <c r="AF32" s="35"/>
    </row>
    <row r="33" spans="1:32" s="89" customFormat="1">
      <c r="A33" s="78" t="s">
        <v>28</v>
      </c>
      <c r="B33" s="78" t="s">
        <v>74</v>
      </c>
      <c r="C33" s="78" t="s">
        <v>30</v>
      </c>
      <c r="D33" s="79">
        <v>42304</v>
      </c>
      <c r="E33" s="80">
        <v>1026.69</v>
      </c>
      <c r="F33" s="80"/>
      <c r="G33" s="80"/>
      <c r="H33" s="80"/>
      <c r="I33" s="81">
        <f t="shared" si="7"/>
        <v>0</v>
      </c>
      <c r="J33" s="80"/>
      <c r="K33" s="82"/>
      <c r="L33" s="80"/>
      <c r="M33" s="80"/>
      <c r="N33" s="83"/>
      <c r="O33" s="83"/>
      <c r="P33" s="80"/>
      <c r="Q33" s="84"/>
      <c r="R33" s="84"/>
      <c r="S33" s="78"/>
      <c r="T33" s="78"/>
      <c r="U33" s="81">
        <f t="shared" si="27"/>
        <v>0</v>
      </c>
      <c r="V33" s="84">
        <f t="shared" si="20"/>
        <v>0</v>
      </c>
      <c r="W33" s="81">
        <f t="shared" si="21"/>
        <v>0</v>
      </c>
      <c r="X33" s="84">
        <f t="shared" si="22"/>
        <v>0</v>
      </c>
      <c r="Y33" s="84">
        <v>10.23</v>
      </c>
      <c r="Z33" s="84">
        <f t="shared" si="23"/>
        <v>0</v>
      </c>
      <c r="AA33" s="81">
        <f t="shared" si="24"/>
        <v>10.23</v>
      </c>
      <c r="AB33" s="87"/>
      <c r="AC33" s="87"/>
      <c r="AD33" s="87"/>
      <c r="AE33" s="88">
        <v>56708845069</v>
      </c>
      <c r="AF33" s="88" t="s">
        <v>191</v>
      </c>
    </row>
    <row r="34" spans="1:32" s="18" customFormat="1">
      <c r="A34" s="74" t="s">
        <v>27</v>
      </c>
      <c r="B34" s="33" t="s">
        <v>106</v>
      </c>
      <c r="C34" s="33" t="s">
        <v>45</v>
      </c>
      <c r="D34" s="50">
        <v>42576</v>
      </c>
      <c r="E34" s="34">
        <v>1026.69</v>
      </c>
      <c r="F34" s="34"/>
      <c r="G34" s="34"/>
      <c r="H34" s="34"/>
      <c r="I34" s="46">
        <f t="shared" si="7"/>
        <v>0</v>
      </c>
      <c r="J34" s="34"/>
      <c r="K34" s="62"/>
      <c r="L34" s="34"/>
      <c r="M34" s="34"/>
      <c r="N34" s="63"/>
      <c r="O34" s="63"/>
      <c r="P34" s="34"/>
      <c r="Q34" s="32"/>
      <c r="R34" s="32"/>
      <c r="S34" s="33"/>
      <c r="T34" s="33"/>
      <c r="U34" s="46">
        <f t="shared" si="27"/>
        <v>0</v>
      </c>
      <c r="V34" s="32">
        <f t="shared" si="20"/>
        <v>0</v>
      </c>
      <c r="W34" s="46">
        <f t="shared" si="21"/>
        <v>0</v>
      </c>
      <c r="X34" s="32">
        <f t="shared" si="22"/>
        <v>0</v>
      </c>
      <c r="Y34" s="32">
        <v>11.23</v>
      </c>
      <c r="Z34" s="32">
        <f t="shared" si="23"/>
        <v>0</v>
      </c>
      <c r="AA34" s="46">
        <f t="shared" si="24"/>
        <v>11.23</v>
      </c>
      <c r="AB34" s="49"/>
      <c r="AC34" s="49"/>
      <c r="AD34" s="49"/>
      <c r="AE34" s="35">
        <v>56708845072</v>
      </c>
      <c r="AF34" s="35"/>
    </row>
    <row r="35" spans="1:32" s="18" customFormat="1">
      <c r="A35" s="74" t="s">
        <v>28</v>
      </c>
      <c r="B35" s="33" t="s">
        <v>94</v>
      </c>
      <c r="C35" s="33" t="s">
        <v>30</v>
      </c>
      <c r="D35" s="50">
        <v>37834</v>
      </c>
      <c r="E35" s="34">
        <v>1026.69</v>
      </c>
      <c r="F35" s="34"/>
      <c r="G35" s="34"/>
      <c r="H35" s="34">
        <v>13114.08</v>
      </c>
      <c r="I35" s="46">
        <f t="shared" si="7"/>
        <v>13114.08</v>
      </c>
      <c r="J35" s="34"/>
      <c r="K35" s="62"/>
      <c r="L35" s="34"/>
      <c r="M35" s="34"/>
      <c r="N35" s="63"/>
      <c r="O35" s="63"/>
      <c r="P35" s="34"/>
      <c r="Q35" s="32"/>
      <c r="R35" s="32"/>
      <c r="S35" s="33"/>
      <c r="T35" s="33"/>
      <c r="U35" s="46">
        <f t="shared" si="27"/>
        <v>13114.08</v>
      </c>
      <c r="V35" s="32">
        <f t="shared" si="20"/>
        <v>1311.4080000000001</v>
      </c>
      <c r="W35" s="46">
        <f t="shared" si="21"/>
        <v>11802.672</v>
      </c>
      <c r="X35" s="32">
        <f t="shared" si="22"/>
        <v>0</v>
      </c>
      <c r="Y35" s="32">
        <v>10.23</v>
      </c>
      <c r="Z35" s="32">
        <f t="shared" si="23"/>
        <v>0</v>
      </c>
      <c r="AA35" s="46">
        <f t="shared" si="24"/>
        <v>13124.31</v>
      </c>
      <c r="AB35" s="52"/>
      <c r="AC35" s="53"/>
      <c r="AD35" s="47">
        <f t="shared" ref="AD35" si="28">+AB35+AC35-W35</f>
        <v>-11802.672</v>
      </c>
      <c r="AE35" s="35">
        <v>56708881503</v>
      </c>
      <c r="AF35" s="35"/>
    </row>
    <row r="36" spans="1:32" s="18" customFormat="1">
      <c r="A36" s="74" t="s">
        <v>28</v>
      </c>
      <c r="B36" s="33" t="s">
        <v>83</v>
      </c>
      <c r="C36" s="33" t="s">
        <v>44</v>
      </c>
      <c r="D36" s="50">
        <v>40813</v>
      </c>
      <c r="E36" s="34">
        <v>1869</v>
      </c>
      <c r="F36" s="65"/>
      <c r="G36" s="34"/>
      <c r="H36" s="34"/>
      <c r="I36" s="46">
        <f t="shared" si="7"/>
        <v>0</v>
      </c>
      <c r="J36" s="34"/>
      <c r="K36" s="62"/>
      <c r="L36" s="34"/>
      <c r="M36" s="34"/>
      <c r="N36" s="63"/>
      <c r="O36" s="63"/>
      <c r="P36" s="34"/>
      <c r="Q36" s="32"/>
      <c r="R36" s="32"/>
      <c r="S36" s="48"/>
      <c r="T36" s="48"/>
      <c r="U36" s="46">
        <f t="shared" ref="U36:U49" si="29">+I36-SUM(J36:T36)</f>
        <v>0</v>
      </c>
      <c r="V36" s="32">
        <f t="shared" ref="V36" si="30">+U36*0.05</f>
        <v>0</v>
      </c>
      <c r="W36" s="46">
        <f t="shared" ref="W36" si="31">+U36-Q36-T36</f>
        <v>0</v>
      </c>
      <c r="X36" s="32">
        <f t="shared" ref="X36" si="32">IF(U36&lt;3000,U36*0.1,0)</f>
        <v>0</v>
      </c>
      <c r="Y36" s="32"/>
      <c r="Z36" s="32"/>
      <c r="AA36" s="46">
        <f t="shared" ref="AA36" si="33">+U36+X36+Y36</f>
        <v>0</v>
      </c>
      <c r="AB36" s="52"/>
      <c r="AC36" s="53"/>
      <c r="AD36" s="47"/>
      <c r="AE36" s="35">
        <v>60589552237</v>
      </c>
      <c r="AF36" s="35" t="s">
        <v>192</v>
      </c>
    </row>
    <row r="37" spans="1:32" s="18" customFormat="1">
      <c r="A37" s="74" t="s">
        <v>27</v>
      </c>
      <c r="B37" s="33" t="s">
        <v>179</v>
      </c>
      <c r="C37" s="33" t="s">
        <v>30</v>
      </c>
      <c r="D37" s="50">
        <v>42852</v>
      </c>
      <c r="E37" s="34">
        <v>1026.69</v>
      </c>
      <c r="F37" s="34"/>
      <c r="G37" s="34"/>
      <c r="H37" s="34"/>
      <c r="I37" s="46">
        <f t="shared" si="7"/>
        <v>0</v>
      </c>
      <c r="J37" s="34"/>
      <c r="K37" s="62"/>
      <c r="L37" s="34"/>
      <c r="M37" s="34"/>
      <c r="N37" s="63"/>
      <c r="O37" s="63"/>
      <c r="P37" s="34"/>
      <c r="Q37" s="32"/>
      <c r="R37" s="32"/>
      <c r="S37" s="48"/>
      <c r="T37" s="48"/>
      <c r="U37" s="46">
        <f t="shared" si="29"/>
        <v>0</v>
      </c>
      <c r="V37" s="32"/>
      <c r="W37" s="46"/>
      <c r="X37" s="32"/>
      <c r="Y37" s="32"/>
      <c r="Z37" s="32"/>
      <c r="AA37" s="46"/>
      <c r="AB37" s="52"/>
      <c r="AC37" s="53"/>
      <c r="AD37" s="47"/>
      <c r="AE37" s="35">
        <v>60590678030</v>
      </c>
      <c r="AF37" s="35"/>
    </row>
    <row r="38" spans="1:32" s="18" customFormat="1">
      <c r="A38" s="74" t="s">
        <v>28</v>
      </c>
      <c r="B38" s="33" t="s">
        <v>124</v>
      </c>
      <c r="C38" s="33" t="s">
        <v>30</v>
      </c>
      <c r="D38" s="50">
        <v>42648</v>
      </c>
      <c r="E38" s="34">
        <v>1026.69</v>
      </c>
      <c r="F38" s="34"/>
      <c r="G38" s="34"/>
      <c r="H38" s="34"/>
      <c r="I38" s="46">
        <f t="shared" si="7"/>
        <v>0</v>
      </c>
      <c r="J38" s="34"/>
      <c r="K38" s="62">
        <v>1</v>
      </c>
      <c r="L38" s="34"/>
      <c r="M38" s="34"/>
      <c r="N38" s="63"/>
      <c r="O38" s="63"/>
      <c r="P38" s="34"/>
      <c r="Q38" s="32"/>
      <c r="R38" s="32"/>
      <c r="S38" s="48"/>
      <c r="T38" s="48"/>
      <c r="U38" s="46">
        <f t="shared" si="29"/>
        <v>-1</v>
      </c>
      <c r="V38" s="32">
        <f t="shared" ref="V38" si="34">IF(I38&gt;2250,I38*0.1,0)</f>
        <v>0</v>
      </c>
      <c r="W38" s="46">
        <f t="shared" ref="W38" si="35">+U38-V38</f>
        <v>-1</v>
      </c>
      <c r="X38" s="32"/>
      <c r="Y38" s="32"/>
      <c r="Z38" s="32"/>
      <c r="AA38" s="46"/>
      <c r="AB38" s="52"/>
      <c r="AC38" s="53"/>
      <c r="AD38" s="47"/>
      <c r="AE38" s="35">
        <v>56708845115</v>
      </c>
      <c r="AF38" s="35"/>
    </row>
    <row r="39" spans="1:32" s="18" customFormat="1">
      <c r="A39" s="74" t="s">
        <v>27</v>
      </c>
      <c r="B39" s="33" t="s">
        <v>128</v>
      </c>
      <c r="C39" s="33" t="s">
        <v>163</v>
      </c>
      <c r="D39" s="50">
        <v>42644</v>
      </c>
      <c r="E39" s="34">
        <v>1633.38</v>
      </c>
      <c r="F39" s="34">
        <v>927.38</v>
      </c>
      <c r="G39" s="34"/>
      <c r="H39" s="34"/>
      <c r="I39" s="46">
        <f t="shared" si="7"/>
        <v>927.38</v>
      </c>
      <c r="J39" s="34"/>
      <c r="K39" s="62"/>
      <c r="L39" s="34"/>
      <c r="M39" s="34"/>
      <c r="N39" s="63"/>
      <c r="O39" s="63"/>
      <c r="P39" s="34"/>
      <c r="Q39" s="32"/>
      <c r="R39" s="32"/>
      <c r="S39" s="48"/>
      <c r="T39" s="48"/>
      <c r="U39" s="46">
        <f t="shared" si="29"/>
        <v>927.38</v>
      </c>
      <c r="V39" s="32">
        <f t="shared" ref="V39" si="36">IF(I39&gt;2250,I39*0.1,0)</f>
        <v>0</v>
      </c>
      <c r="W39" s="46">
        <f t="shared" ref="W39" si="37">+U39-V39</f>
        <v>927.38</v>
      </c>
      <c r="X39" s="32"/>
      <c r="Y39" s="32"/>
      <c r="Z39" s="32"/>
      <c r="AA39" s="46"/>
      <c r="AB39" s="52"/>
      <c r="AC39" s="53"/>
      <c r="AD39" s="47"/>
      <c r="AE39" s="35">
        <v>56708845530</v>
      </c>
      <c r="AF39" s="35"/>
    </row>
    <row r="40" spans="1:32" s="18" customFormat="1">
      <c r="A40" s="74" t="s">
        <v>28</v>
      </c>
      <c r="B40" s="33" t="s">
        <v>181</v>
      </c>
      <c r="C40" s="33" t="s">
        <v>30</v>
      </c>
      <c r="D40" s="50">
        <v>42921</v>
      </c>
      <c r="E40" s="34">
        <v>1022.56</v>
      </c>
      <c r="F40" s="34"/>
      <c r="G40" s="34"/>
      <c r="H40" s="34"/>
      <c r="I40" s="46">
        <f t="shared" si="7"/>
        <v>0</v>
      </c>
      <c r="J40" s="34"/>
      <c r="K40" s="62"/>
      <c r="L40" s="34"/>
      <c r="M40" s="34"/>
      <c r="N40" s="63"/>
      <c r="O40" s="63"/>
      <c r="P40" s="34"/>
      <c r="Q40" s="32"/>
      <c r="R40" s="32"/>
      <c r="S40" s="33"/>
      <c r="T40" s="33"/>
      <c r="U40" s="46"/>
      <c r="V40" s="32"/>
      <c r="W40" s="46"/>
      <c r="X40" s="32"/>
      <c r="Y40" s="32"/>
      <c r="Z40" s="32"/>
      <c r="AA40" s="46"/>
      <c r="AB40" s="52"/>
      <c r="AC40" s="53"/>
      <c r="AD40" s="47"/>
      <c r="AE40" s="35">
        <v>56708881702</v>
      </c>
      <c r="AF40" s="33"/>
    </row>
    <row r="41" spans="1:32" s="18" customFormat="1">
      <c r="A41" s="74" t="s">
        <v>40</v>
      </c>
      <c r="B41" s="33" t="s">
        <v>160</v>
      </c>
      <c r="C41" s="33" t="s">
        <v>44</v>
      </c>
      <c r="D41" s="50">
        <v>42891</v>
      </c>
      <c r="E41" s="34">
        <v>1633.31</v>
      </c>
      <c r="F41" s="34"/>
      <c r="G41" s="34"/>
      <c r="H41" s="34"/>
      <c r="I41" s="46">
        <f t="shared" si="7"/>
        <v>0</v>
      </c>
      <c r="J41" s="34"/>
      <c r="K41" s="62"/>
      <c r="L41" s="34"/>
      <c r="M41" s="34"/>
      <c r="N41" s="63"/>
      <c r="O41" s="63"/>
      <c r="P41" s="34"/>
      <c r="Q41" s="32"/>
      <c r="R41" s="32"/>
      <c r="S41" s="33"/>
      <c r="T41" s="33"/>
      <c r="U41" s="46">
        <f t="shared" si="29"/>
        <v>0</v>
      </c>
      <c r="V41" s="32"/>
      <c r="W41" s="46"/>
      <c r="X41" s="32"/>
      <c r="Y41" s="32"/>
      <c r="Z41" s="32"/>
      <c r="AA41" s="46"/>
      <c r="AB41" s="52"/>
      <c r="AC41" s="53"/>
      <c r="AD41" s="47"/>
      <c r="AE41" s="35">
        <v>60590340221</v>
      </c>
      <c r="AF41" s="33"/>
    </row>
    <row r="42" spans="1:32" s="18" customFormat="1">
      <c r="A42" s="74" t="s">
        <v>38</v>
      </c>
      <c r="B42" s="33" t="s">
        <v>97</v>
      </c>
      <c r="C42" s="33" t="s">
        <v>29</v>
      </c>
      <c r="D42" s="50">
        <v>42506</v>
      </c>
      <c r="E42" s="34">
        <v>1166.27</v>
      </c>
      <c r="F42" s="34">
        <v>2465.98</v>
      </c>
      <c r="G42" s="34"/>
      <c r="H42" s="34"/>
      <c r="I42" s="46">
        <f t="shared" si="7"/>
        <v>2465.98</v>
      </c>
      <c r="J42" s="34"/>
      <c r="K42" s="62"/>
      <c r="L42" s="34"/>
      <c r="M42" s="34"/>
      <c r="N42" s="63"/>
      <c r="O42" s="63"/>
      <c r="P42" s="34"/>
      <c r="Q42" s="32"/>
      <c r="R42" s="32"/>
      <c r="S42" s="33"/>
      <c r="T42" s="33"/>
      <c r="U42" s="46">
        <f t="shared" si="29"/>
        <v>2465.98</v>
      </c>
      <c r="V42" s="32">
        <f t="shared" si="20"/>
        <v>246.59800000000001</v>
      </c>
      <c r="W42" s="46">
        <f t="shared" si="21"/>
        <v>2219.3820000000001</v>
      </c>
      <c r="X42" s="32">
        <f t="shared" si="22"/>
        <v>0</v>
      </c>
      <c r="Y42" s="32">
        <v>10.23</v>
      </c>
      <c r="Z42" s="32">
        <f t="shared" si="23"/>
        <v>0</v>
      </c>
      <c r="AA42" s="46">
        <f t="shared" si="24"/>
        <v>2476.21</v>
      </c>
      <c r="AB42" s="52"/>
      <c r="AC42" s="52"/>
      <c r="AD42" s="47">
        <f t="shared" ref="AD42" si="38">+AB42+AC42-W42</f>
        <v>-2219.3820000000001</v>
      </c>
      <c r="AE42" s="35">
        <v>56708881551</v>
      </c>
      <c r="AF42" s="35"/>
    </row>
    <row r="43" spans="1:32" s="18" customFormat="1">
      <c r="A43" s="74" t="s">
        <v>28</v>
      </c>
      <c r="B43" s="33" t="s">
        <v>167</v>
      </c>
      <c r="C43" s="33" t="s">
        <v>30</v>
      </c>
      <c r="D43" s="50">
        <v>42907</v>
      </c>
      <c r="E43" s="34">
        <v>1022.56</v>
      </c>
      <c r="F43" s="34"/>
      <c r="G43" s="34"/>
      <c r="H43" s="34"/>
      <c r="I43" s="46">
        <f t="shared" si="7"/>
        <v>0</v>
      </c>
      <c r="J43" s="34"/>
      <c r="K43" s="62"/>
      <c r="L43" s="34"/>
      <c r="M43" s="34"/>
      <c r="N43" s="63"/>
      <c r="O43" s="63"/>
      <c r="P43" s="34"/>
      <c r="Q43" s="32"/>
      <c r="R43" s="32"/>
      <c r="S43" s="33"/>
      <c r="T43" s="33"/>
      <c r="U43" s="46">
        <f t="shared" si="29"/>
        <v>0</v>
      </c>
      <c r="V43" s="32"/>
      <c r="W43" s="46"/>
      <c r="X43" s="32"/>
      <c r="Y43" s="32"/>
      <c r="Z43" s="32"/>
      <c r="AA43" s="46"/>
      <c r="AB43" s="52"/>
      <c r="AC43" s="52"/>
      <c r="AD43" s="47"/>
      <c r="AE43" s="35">
        <v>60592337307</v>
      </c>
      <c r="AF43" s="35"/>
    </row>
    <row r="44" spans="1:32" s="18" customFormat="1">
      <c r="A44" s="74" t="s">
        <v>28</v>
      </c>
      <c r="B44" s="33" t="s">
        <v>136</v>
      </c>
      <c r="C44" s="33" t="s">
        <v>30</v>
      </c>
      <c r="D44" s="50">
        <v>42730</v>
      </c>
      <c r="E44" s="34">
        <v>1026.69</v>
      </c>
      <c r="F44" s="34"/>
      <c r="G44" s="34"/>
      <c r="H44" s="34"/>
      <c r="I44" s="46">
        <f t="shared" si="7"/>
        <v>0</v>
      </c>
      <c r="J44" s="34"/>
      <c r="K44" s="62"/>
      <c r="L44" s="34"/>
      <c r="M44" s="34"/>
      <c r="N44" s="63"/>
      <c r="O44" s="63"/>
      <c r="P44" s="34"/>
      <c r="Q44" s="32"/>
      <c r="R44" s="32"/>
      <c r="S44" s="33"/>
      <c r="T44" s="33"/>
      <c r="U44" s="46">
        <f t="shared" si="29"/>
        <v>0</v>
      </c>
      <c r="V44" s="32">
        <f t="shared" ref="V44" si="39">IF(I44&gt;2250,I44*0.1,0)</f>
        <v>0</v>
      </c>
      <c r="W44" s="46">
        <f t="shared" ref="W44" si="40">+U44-V44</f>
        <v>0</v>
      </c>
      <c r="X44" s="32"/>
      <c r="Y44" s="32"/>
      <c r="Z44" s="32"/>
      <c r="AA44" s="46"/>
      <c r="AB44" s="52"/>
      <c r="AC44" s="52"/>
      <c r="AD44" s="47"/>
      <c r="AE44" s="35">
        <v>60589669043</v>
      </c>
      <c r="AF44" s="35"/>
    </row>
    <row r="45" spans="1:32" s="18" customFormat="1">
      <c r="A45" s="74" t="s">
        <v>28</v>
      </c>
      <c r="B45" s="33" t="s">
        <v>101</v>
      </c>
      <c r="C45" s="33" t="s">
        <v>30</v>
      </c>
      <c r="D45" s="50">
        <v>42522</v>
      </c>
      <c r="E45" s="34">
        <v>1026.69</v>
      </c>
      <c r="F45" s="34">
        <v>2104.2600000000002</v>
      </c>
      <c r="G45" s="34"/>
      <c r="H45" s="34"/>
      <c r="I45" s="46">
        <f t="shared" si="7"/>
        <v>2104.2600000000002</v>
      </c>
      <c r="J45" s="34"/>
      <c r="K45" s="62">
        <v>2</v>
      </c>
      <c r="L45" s="34"/>
      <c r="M45" s="34"/>
      <c r="N45" s="63"/>
      <c r="O45" s="63"/>
      <c r="P45" s="34"/>
      <c r="Q45" s="32">
        <v>1500</v>
      </c>
      <c r="R45" s="32"/>
      <c r="S45" s="33"/>
      <c r="T45" s="33"/>
      <c r="U45" s="46">
        <f t="shared" si="29"/>
        <v>602.26000000000022</v>
      </c>
      <c r="V45" s="32">
        <f t="shared" ref="V45:V51" si="41">IF(I45&gt;2250,I45*0.1,0)</f>
        <v>0</v>
      </c>
      <c r="W45" s="46">
        <f t="shared" ref="W45:W60" si="42">+U45-V45</f>
        <v>602.26000000000022</v>
      </c>
      <c r="X45" s="32">
        <f t="shared" ref="X45:X59" si="43">IF(I45&lt;2250,I45*0.1,0)</f>
        <v>210.42600000000004</v>
      </c>
      <c r="Y45" s="32">
        <v>10.23</v>
      </c>
      <c r="Z45" s="32">
        <f t="shared" ref="Z45:Z59" si="44">+N45</f>
        <v>0</v>
      </c>
      <c r="AA45" s="46">
        <f t="shared" ref="AA45:AA59" si="45">+I45+X45+Y45+Z45</f>
        <v>2324.9160000000002</v>
      </c>
      <c r="AB45" s="52"/>
      <c r="AC45" s="52"/>
      <c r="AD45" s="47"/>
      <c r="AE45" s="35">
        <v>56708845237</v>
      </c>
      <c r="AF45" s="35"/>
    </row>
    <row r="46" spans="1:32" s="18" customFormat="1">
      <c r="A46" s="74" t="s">
        <v>28</v>
      </c>
      <c r="B46" s="33" t="s">
        <v>62</v>
      </c>
      <c r="C46" s="33" t="s">
        <v>30</v>
      </c>
      <c r="D46" s="50">
        <v>42396</v>
      </c>
      <c r="E46" s="34">
        <v>1026.69</v>
      </c>
      <c r="F46" s="34"/>
      <c r="G46" s="34"/>
      <c r="H46" s="34"/>
      <c r="I46" s="46">
        <f t="shared" si="7"/>
        <v>0</v>
      </c>
      <c r="J46" s="34"/>
      <c r="K46" s="62"/>
      <c r="L46" s="34"/>
      <c r="M46" s="34"/>
      <c r="N46" s="63"/>
      <c r="O46" s="63"/>
      <c r="P46" s="34"/>
      <c r="Q46" s="32" t="s">
        <v>170</v>
      </c>
      <c r="R46" s="32"/>
      <c r="S46" s="33"/>
      <c r="T46" s="33">
        <v>520</v>
      </c>
      <c r="U46" s="46">
        <f t="shared" si="29"/>
        <v>-520</v>
      </c>
      <c r="V46" s="32">
        <f t="shared" si="41"/>
        <v>0</v>
      </c>
      <c r="W46" s="46">
        <f t="shared" si="42"/>
        <v>-520</v>
      </c>
      <c r="X46" s="32">
        <f t="shared" si="43"/>
        <v>0</v>
      </c>
      <c r="Y46" s="32">
        <v>10.23</v>
      </c>
      <c r="Z46" s="32">
        <f t="shared" si="44"/>
        <v>0</v>
      </c>
      <c r="AA46" s="46">
        <f t="shared" si="45"/>
        <v>10.23</v>
      </c>
      <c r="AB46" s="52"/>
      <c r="AC46" s="52"/>
      <c r="AD46" s="47">
        <f t="shared" ref="AD46:AD51" si="46">+AB46+AC46-W46</f>
        <v>520</v>
      </c>
      <c r="AE46" s="35">
        <v>56708881579</v>
      </c>
      <c r="AF46" s="35"/>
    </row>
    <row r="47" spans="1:32" s="18" customFormat="1">
      <c r="A47" s="74" t="s">
        <v>38</v>
      </c>
      <c r="B47" s="33" t="s">
        <v>70</v>
      </c>
      <c r="C47" s="33" t="s">
        <v>44</v>
      </c>
      <c r="D47" s="50">
        <v>42321</v>
      </c>
      <c r="E47" s="34">
        <v>1869</v>
      </c>
      <c r="F47" s="65"/>
      <c r="G47" s="34"/>
      <c r="H47" s="34"/>
      <c r="I47" s="46">
        <f t="shared" si="7"/>
        <v>0</v>
      </c>
      <c r="J47" s="34"/>
      <c r="K47" s="62"/>
      <c r="L47" s="34"/>
      <c r="M47" s="34"/>
      <c r="N47" s="63"/>
      <c r="O47" s="63"/>
      <c r="P47" s="34"/>
      <c r="Q47" s="32"/>
      <c r="R47" s="32"/>
      <c r="S47" s="33"/>
      <c r="T47" s="33"/>
      <c r="U47" s="46">
        <f t="shared" si="29"/>
        <v>0</v>
      </c>
      <c r="V47" s="32">
        <f t="shared" si="41"/>
        <v>0</v>
      </c>
      <c r="W47" s="46">
        <f t="shared" si="42"/>
        <v>0</v>
      </c>
      <c r="X47" s="32">
        <f t="shared" si="43"/>
        <v>0</v>
      </c>
      <c r="Y47" s="32">
        <v>10.23</v>
      </c>
      <c r="Z47" s="32">
        <f t="shared" si="44"/>
        <v>0</v>
      </c>
      <c r="AA47" s="46">
        <f t="shared" si="45"/>
        <v>10.23</v>
      </c>
      <c r="AB47" s="52"/>
      <c r="AC47" s="53"/>
      <c r="AD47" s="47">
        <f t="shared" si="46"/>
        <v>0</v>
      </c>
      <c r="AE47" s="35">
        <v>56708845240</v>
      </c>
      <c r="AF47" s="33"/>
    </row>
    <row r="48" spans="1:32" s="18" customFormat="1">
      <c r="A48" s="74" t="s">
        <v>27</v>
      </c>
      <c r="B48" s="33" t="s">
        <v>166</v>
      </c>
      <c r="C48" s="33" t="s">
        <v>117</v>
      </c>
      <c r="D48" s="50">
        <v>42908</v>
      </c>
      <c r="E48" s="34">
        <v>1516.69</v>
      </c>
      <c r="F48" s="34"/>
      <c r="G48" s="34"/>
      <c r="H48" s="34"/>
      <c r="I48" s="46">
        <f t="shared" si="7"/>
        <v>0</v>
      </c>
      <c r="J48" s="34">
        <v>100</v>
      </c>
      <c r="K48" s="62"/>
      <c r="L48" s="34"/>
      <c r="M48" s="34"/>
      <c r="N48" s="63"/>
      <c r="O48" s="63"/>
      <c r="P48" s="34"/>
      <c r="Q48" s="32"/>
      <c r="R48" s="32"/>
      <c r="S48" s="33"/>
      <c r="T48" s="33"/>
      <c r="U48" s="46">
        <f t="shared" si="29"/>
        <v>-100</v>
      </c>
      <c r="V48" s="32"/>
      <c r="W48" s="46"/>
      <c r="X48" s="32"/>
      <c r="Y48" s="32"/>
      <c r="Z48" s="32"/>
      <c r="AA48" s="46"/>
      <c r="AB48" s="52"/>
      <c r="AC48" s="52"/>
      <c r="AD48" s="47"/>
      <c r="AE48" s="35">
        <v>56707771884</v>
      </c>
      <c r="AF48" s="35" t="s">
        <v>190</v>
      </c>
    </row>
    <row r="49" spans="1:186" s="18" customFormat="1">
      <c r="A49" s="74" t="s">
        <v>38</v>
      </c>
      <c r="B49" s="33" t="s">
        <v>121</v>
      </c>
      <c r="C49" s="33" t="s">
        <v>29</v>
      </c>
      <c r="D49" s="50">
        <v>42646</v>
      </c>
      <c r="E49" s="34">
        <v>1166.27</v>
      </c>
      <c r="F49" s="34">
        <v>1401.51</v>
      </c>
      <c r="G49" s="34"/>
      <c r="H49" s="34"/>
      <c r="I49" s="46">
        <f t="shared" si="7"/>
        <v>1401.51</v>
      </c>
      <c r="J49" s="34"/>
      <c r="K49" s="62">
        <v>2</v>
      </c>
      <c r="L49" s="34"/>
      <c r="M49" s="34"/>
      <c r="N49" s="63"/>
      <c r="O49" s="63"/>
      <c r="P49" s="34"/>
      <c r="Q49" s="32"/>
      <c r="R49" s="32"/>
      <c r="S49" s="33"/>
      <c r="T49" s="33"/>
      <c r="U49" s="46">
        <f t="shared" si="29"/>
        <v>1399.51</v>
      </c>
      <c r="V49" s="32">
        <f t="shared" ref="V49" si="47">IF(I49&gt;2250,I49*0.1,0)</f>
        <v>0</v>
      </c>
      <c r="W49" s="46">
        <f t="shared" ref="W49" si="48">+U49-V49</f>
        <v>1399.51</v>
      </c>
      <c r="X49" s="32"/>
      <c r="Y49" s="32"/>
      <c r="Z49" s="32"/>
      <c r="AA49" s="46"/>
      <c r="AB49" s="52"/>
      <c r="AC49" s="53"/>
      <c r="AD49" s="47"/>
      <c r="AE49" s="35">
        <v>56708881582</v>
      </c>
      <c r="AF49" s="35"/>
    </row>
    <row r="50" spans="1:186" s="18" customFormat="1">
      <c r="A50" s="74" t="s">
        <v>38</v>
      </c>
      <c r="B50" s="33" t="s">
        <v>69</v>
      </c>
      <c r="C50" s="33" t="s">
        <v>29</v>
      </c>
      <c r="D50" s="50">
        <v>42065</v>
      </c>
      <c r="E50" s="34">
        <v>1166.27</v>
      </c>
      <c r="F50" s="34">
        <v>3074.81</v>
      </c>
      <c r="G50" s="34"/>
      <c r="H50" s="34"/>
      <c r="I50" s="46">
        <f t="shared" si="7"/>
        <v>3074.81</v>
      </c>
      <c r="J50" s="34"/>
      <c r="K50" s="62"/>
      <c r="L50" s="34"/>
      <c r="M50" s="34"/>
      <c r="N50" s="63"/>
      <c r="O50" s="63"/>
      <c r="P50" s="34"/>
      <c r="Q50" s="32"/>
      <c r="R50" s="32"/>
      <c r="S50" s="33"/>
      <c r="T50" s="33"/>
      <c r="U50" s="46">
        <f t="shared" ref="U50:U60" si="49">+I50-SUM(J50:T50)</f>
        <v>3074.81</v>
      </c>
      <c r="V50" s="32">
        <f t="shared" si="41"/>
        <v>307.48099999999999</v>
      </c>
      <c r="W50" s="46">
        <f t="shared" si="42"/>
        <v>2767.3289999999997</v>
      </c>
      <c r="X50" s="32">
        <f t="shared" si="43"/>
        <v>0</v>
      </c>
      <c r="Y50" s="32">
        <v>10.23</v>
      </c>
      <c r="Z50" s="32">
        <f t="shared" si="44"/>
        <v>0</v>
      </c>
      <c r="AA50" s="46">
        <f t="shared" si="45"/>
        <v>3085.04</v>
      </c>
      <c r="AB50" s="52"/>
      <c r="AC50" s="53"/>
      <c r="AD50" s="47">
        <f t="shared" si="46"/>
        <v>-2767.3289999999997</v>
      </c>
      <c r="AE50" s="35">
        <v>56708845254</v>
      </c>
      <c r="AF50" s="35"/>
    </row>
    <row r="51" spans="1:186" s="18" customFormat="1">
      <c r="A51" s="74" t="s">
        <v>28</v>
      </c>
      <c r="B51" s="33" t="s">
        <v>37</v>
      </c>
      <c r="C51" s="33" t="s">
        <v>30</v>
      </c>
      <c r="D51" s="50">
        <v>41218</v>
      </c>
      <c r="E51" s="34">
        <v>1026.69</v>
      </c>
      <c r="F51" s="34"/>
      <c r="G51" s="34"/>
      <c r="H51" s="34"/>
      <c r="I51" s="46">
        <f t="shared" si="7"/>
        <v>0</v>
      </c>
      <c r="J51" s="34"/>
      <c r="K51" s="62"/>
      <c r="L51" s="34"/>
      <c r="M51" s="34"/>
      <c r="N51" s="63"/>
      <c r="O51" s="63"/>
      <c r="P51" s="34"/>
      <c r="Q51" s="32">
        <v>500</v>
      </c>
      <c r="R51" s="32"/>
      <c r="S51" s="33"/>
      <c r="T51" s="33"/>
      <c r="U51" s="46">
        <f t="shared" si="49"/>
        <v>-500</v>
      </c>
      <c r="V51" s="32">
        <f t="shared" si="41"/>
        <v>0</v>
      </c>
      <c r="W51" s="46">
        <f t="shared" si="42"/>
        <v>-500</v>
      </c>
      <c r="X51" s="32">
        <f t="shared" si="43"/>
        <v>0</v>
      </c>
      <c r="Y51" s="32">
        <v>10.23</v>
      </c>
      <c r="Z51" s="32">
        <f t="shared" si="44"/>
        <v>0</v>
      </c>
      <c r="AA51" s="46">
        <f t="shared" si="45"/>
        <v>10.23</v>
      </c>
      <c r="AB51" s="52"/>
      <c r="AC51" s="53"/>
      <c r="AD51" s="47">
        <f t="shared" si="46"/>
        <v>500</v>
      </c>
      <c r="AE51" s="35">
        <v>56708881596</v>
      </c>
      <c r="AF51" s="33"/>
    </row>
    <row r="52" spans="1:186" s="18" customFormat="1">
      <c r="A52" s="74" t="s">
        <v>26</v>
      </c>
      <c r="B52" s="33" t="s">
        <v>119</v>
      </c>
      <c r="C52" s="33" t="s">
        <v>117</v>
      </c>
      <c r="D52" s="50">
        <v>42241</v>
      </c>
      <c r="E52" s="34">
        <v>1250.02</v>
      </c>
      <c r="F52" s="34"/>
      <c r="G52" s="34"/>
      <c r="H52" s="34"/>
      <c r="I52" s="46">
        <f t="shared" si="7"/>
        <v>0</v>
      </c>
      <c r="J52" s="34"/>
      <c r="K52" s="62"/>
      <c r="L52" s="34"/>
      <c r="M52" s="34"/>
      <c r="N52" s="63"/>
      <c r="O52" s="63"/>
      <c r="P52" s="34"/>
      <c r="Q52" s="32"/>
      <c r="R52" s="32"/>
      <c r="S52" s="33"/>
      <c r="T52" s="33"/>
      <c r="U52" s="46">
        <f t="shared" ref="U52" si="50">+I52-SUM(J52:T52)</f>
        <v>0</v>
      </c>
      <c r="V52" s="32">
        <f t="shared" ref="V52" si="51">IF(I52&gt;2250,I52*0.1,0)</f>
        <v>0</v>
      </c>
      <c r="W52" s="46">
        <f t="shared" ref="W52" si="52">+U52-V52</f>
        <v>0</v>
      </c>
      <c r="X52" s="32">
        <f t="shared" si="43"/>
        <v>0</v>
      </c>
      <c r="Y52" s="32"/>
      <c r="Z52" s="32"/>
      <c r="AA52" s="46"/>
      <c r="AB52" s="52"/>
      <c r="AC52" s="53"/>
      <c r="AD52" s="47"/>
      <c r="AE52" s="35">
        <v>56708845268</v>
      </c>
      <c r="AF52" s="35"/>
    </row>
    <row r="53" spans="1:186" s="18" customFormat="1">
      <c r="A53" s="74" t="s">
        <v>40</v>
      </c>
      <c r="B53" s="33" t="s">
        <v>84</v>
      </c>
      <c r="C53" s="33" t="s">
        <v>44</v>
      </c>
      <c r="D53" s="50">
        <v>42333</v>
      </c>
      <c r="E53" s="34">
        <v>1869</v>
      </c>
      <c r="F53" s="65">
        <v>200</v>
      </c>
      <c r="G53" s="34"/>
      <c r="H53" s="34"/>
      <c r="I53" s="46">
        <f t="shared" si="7"/>
        <v>200</v>
      </c>
      <c r="J53" s="34"/>
      <c r="K53" s="62"/>
      <c r="L53" s="34"/>
      <c r="M53" s="34"/>
      <c r="N53" s="63"/>
      <c r="O53" s="63"/>
      <c r="P53" s="34"/>
      <c r="Q53" s="32"/>
      <c r="R53" s="32"/>
      <c r="S53" s="33"/>
      <c r="T53" s="33">
        <v>349.79</v>
      </c>
      <c r="U53" s="46">
        <f t="shared" si="49"/>
        <v>-149.79000000000002</v>
      </c>
      <c r="V53" s="32">
        <f t="shared" ref="V53:V60" si="53">IF(I53&gt;2250,I53*0.1,0)</f>
        <v>0</v>
      </c>
      <c r="W53" s="46">
        <f t="shared" si="42"/>
        <v>-149.79000000000002</v>
      </c>
      <c r="X53" s="32">
        <f t="shared" si="43"/>
        <v>20</v>
      </c>
      <c r="Y53" s="32">
        <v>10.23</v>
      </c>
      <c r="Z53" s="32">
        <f t="shared" si="44"/>
        <v>0</v>
      </c>
      <c r="AA53" s="46">
        <f t="shared" si="45"/>
        <v>230.23</v>
      </c>
      <c r="AB53" s="52"/>
      <c r="AC53" s="53"/>
      <c r="AD53" s="47">
        <f>+AB53+AC53-W53</f>
        <v>149.79000000000002</v>
      </c>
      <c r="AE53" s="35">
        <v>60589939521</v>
      </c>
      <c r="AF53" s="35" t="s">
        <v>192</v>
      </c>
    </row>
    <row r="54" spans="1:186" s="18" customFormat="1">
      <c r="A54" s="74" t="s">
        <v>28</v>
      </c>
      <c r="B54" s="33" t="s">
        <v>107</v>
      </c>
      <c r="C54" s="33" t="s">
        <v>30</v>
      </c>
      <c r="D54" s="50">
        <v>42459</v>
      </c>
      <c r="E54" s="34">
        <v>1026.69</v>
      </c>
      <c r="F54" s="34"/>
      <c r="G54" s="34">
        <v>1396.63</v>
      </c>
      <c r="H54" s="34">
        <v>3724.36</v>
      </c>
      <c r="I54" s="46">
        <f t="shared" si="7"/>
        <v>5120.99</v>
      </c>
      <c r="J54" s="34"/>
      <c r="K54" s="62"/>
      <c r="L54" s="34"/>
      <c r="M54" s="34"/>
      <c r="N54" s="63"/>
      <c r="O54" s="63"/>
      <c r="P54" s="34"/>
      <c r="Q54" s="32"/>
      <c r="R54" s="32"/>
      <c r="S54" s="33"/>
      <c r="T54" s="33"/>
      <c r="U54" s="46">
        <f t="shared" si="49"/>
        <v>5120.99</v>
      </c>
      <c r="V54" s="32">
        <f t="shared" si="53"/>
        <v>512.09900000000005</v>
      </c>
      <c r="W54" s="46">
        <f t="shared" si="42"/>
        <v>4608.8909999999996</v>
      </c>
      <c r="X54" s="32">
        <f t="shared" si="43"/>
        <v>0</v>
      </c>
      <c r="Y54" s="32">
        <v>10.23</v>
      </c>
      <c r="Z54" s="32">
        <f t="shared" si="44"/>
        <v>0</v>
      </c>
      <c r="AA54" s="46">
        <f t="shared" si="45"/>
        <v>5131.2199999999993</v>
      </c>
      <c r="AB54" s="57"/>
      <c r="AC54" s="53"/>
      <c r="AD54" s="47">
        <f>+AB54+AC54-W54</f>
        <v>-4608.8909999999996</v>
      </c>
      <c r="AE54" s="35">
        <v>60589627948</v>
      </c>
      <c r="AF54" s="35"/>
    </row>
    <row r="55" spans="1:186" s="18" customFormat="1">
      <c r="A55" s="74" t="s">
        <v>26</v>
      </c>
      <c r="B55" s="33" t="s">
        <v>153</v>
      </c>
      <c r="C55" s="33" t="s">
        <v>29</v>
      </c>
      <c r="D55" s="50">
        <v>42849</v>
      </c>
      <c r="E55" s="34">
        <v>1166.27</v>
      </c>
      <c r="F55" s="34">
        <v>2024.59</v>
      </c>
      <c r="G55" s="34"/>
      <c r="H55" s="34"/>
      <c r="I55" s="46">
        <f t="shared" si="7"/>
        <v>2024.59</v>
      </c>
      <c r="J55" s="34"/>
      <c r="K55" s="62"/>
      <c r="L55" s="34"/>
      <c r="M55" s="34"/>
      <c r="N55" s="63"/>
      <c r="O55" s="63"/>
      <c r="P55" s="34"/>
      <c r="Q55" s="32"/>
      <c r="R55" s="32"/>
      <c r="S55" s="33"/>
      <c r="T55" s="33"/>
      <c r="U55" s="46">
        <f t="shared" si="49"/>
        <v>2024.59</v>
      </c>
      <c r="V55" s="32"/>
      <c r="W55" s="46"/>
      <c r="X55" s="32"/>
      <c r="Y55" s="32"/>
      <c r="Z55" s="32"/>
      <c r="AA55" s="46"/>
      <c r="AB55" s="57"/>
      <c r="AC55" s="53"/>
      <c r="AD55" s="47"/>
      <c r="AE55" s="35">
        <v>60590412629</v>
      </c>
      <c r="AF55" s="35"/>
    </row>
    <row r="56" spans="1:186" s="18" customFormat="1">
      <c r="A56" s="74" t="s">
        <v>26</v>
      </c>
      <c r="B56" s="33" t="s">
        <v>104</v>
      </c>
      <c r="C56" s="33" t="s">
        <v>43</v>
      </c>
      <c r="D56" s="50">
        <v>42566</v>
      </c>
      <c r="E56" s="34">
        <v>933.31</v>
      </c>
      <c r="F56" s="34">
        <v>2400</v>
      </c>
      <c r="G56" s="34"/>
      <c r="H56" s="34"/>
      <c r="I56" s="46">
        <f t="shared" si="7"/>
        <v>2400</v>
      </c>
      <c r="J56" s="34"/>
      <c r="K56" s="62">
        <v>1</v>
      </c>
      <c r="L56" s="34"/>
      <c r="M56" s="34"/>
      <c r="N56" s="63"/>
      <c r="O56" s="63"/>
      <c r="P56" s="34"/>
      <c r="Q56" s="32"/>
      <c r="R56" s="32"/>
      <c r="S56" s="33"/>
      <c r="T56" s="33"/>
      <c r="U56" s="46">
        <f t="shared" si="49"/>
        <v>2399</v>
      </c>
      <c r="V56" s="32">
        <f t="shared" si="53"/>
        <v>240</v>
      </c>
      <c r="W56" s="46">
        <f t="shared" si="42"/>
        <v>2159</v>
      </c>
      <c r="X56" s="32">
        <f t="shared" si="43"/>
        <v>0</v>
      </c>
      <c r="Y56" s="32">
        <v>21.23</v>
      </c>
      <c r="Z56" s="32">
        <f t="shared" si="44"/>
        <v>0</v>
      </c>
      <c r="AA56" s="46">
        <f t="shared" si="45"/>
        <v>2421.23</v>
      </c>
      <c r="AB56" s="57"/>
      <c r="AC56" s="53"/>
      <c r="AD56" s="47"/>
      <c r="AE56" s="35">
        <v>56708845709</v>
      </c>
      <c r="AF56" s="35"/>
    </row>
    <row r="57" spans="1:186" s="18" customFormat="1">
      <c r="A57" s="74" t="s">
        <v>27</v>
      </c>
      <c r="B57" s="33" t="s">
        <v>175</v>
      </c>
      <c r="C57" s="33" t="s">
        <v>45</v>
      </c>
      <c r="D57" s="50">
        <v>42916</v>
      </c>
      <c r="E57" s="34">
        <v>1026.69</v>
      </c>
      <c r="F57" s="34"/>
      <c r="G57" s="34"/>
      <c r="H57" s="34"/>
      <c r="I57" s="46">
        <f t="shared" si="7"/>
        <v>0</v>
      </c>
      <c r="J57" s="34"/>
      <c r="K57" s="62"/>
      <c r="L57" s="34"/>
      <c r="M57" s="34"/>
      <c r="N57" s="63"/>
      <c r="O57" s="63"/>
      <c r="P57" s="34"/>
      <c r="Q57" s="32"/>
      <c r="R57" s="32"/>
      <c r="S57" s="33"/>
      <c r="T57" s="33"/>
      <c r="U57" s="46"/>
      <c r="V57" s="32"/>
      <c r="W57" s="46"/>
      <c r="X57" s="32"/>
      <c r="Y57" s="32"/>
      <c r="Z57" s="32"/>
      <c r="AA57" s="46"/>
      <c r="AB57" s="57"/>
      <c r="AC57" s="58"/>
      <c r="AD57" s="47"/>
      <c r="AE57" s="35">
        <v>60592631462</v>
      </c>
      <c r="AF57" s="35"/>
    </row>
    <row r="58" spans="1:186" s="18" customFormat="1">
      <c r="A58" s="74" t="s">
        <v>28</v>
      </c>
      <c r="B58" s="33" t="s">
        <v>151</v>
      </c>
      <c r="C58" s="33" t="s">
        <v>30</v>
      </c>
      <c r="D58" s="50">
        <v>42842</v>
      </c>
      <c r="E58" s="34">
        <v>1026.69</v>
      </c>
      <c r="F58" s="34"/>
      <c r="G58" s="34"/>
      <c r="H58" s="34"/>
      <c r="I58" s="46">
        <f t="shared" si="7"/>
        <v>0</v>
      </c>
      <c r="J58" s="34"/>
      <c r="K58" s="62"/>
      <c r="L58" s="34"/>
      <c r="M58" s="34"/>
      <c r="N58" s="63"/>
      <c r="O58" s="63"/>
      <c r="P58" s="34"/>
      <c r="Q58" s="32"/>
      <c r="R58" s="32"/>
      <c r="S58" s="33"/>
      <c r="T58" s="33"/>
      <c r="U58" s="46"/>
      <c r="V58" s="32"/>
      <c r="W58" s="46"/>
      <c r="X58" s="32"/>
      <c r="Y58" s="32"/>
      <c r="Z58" s="32"/>
      <c r="AA58" s="46"/>
      <c r="AB58" s="57"/>
      <c r="AC58" s="58"/>
      <c r="AD58" s="47"/>
      <c r="AE58" s="35">
        <v>60590199370</v>
      </c>
      <c r="AF58" s="35"/>
    </row>
    <row r="59" spans="1:186" s="18" customFormat="1">
      <c r="A59" s="74" t="s">
        <v>28</v>
      </c>
      <c r="B59" s="33" t="s">
        <v>96</v>
      </c>
      <c r="C59" s="33" t="s">
        <v>30</v>
      </c>
      <c r="D59" s="50">
        <v>42506</v>
      </c>
      <c r="E59" s="34">
        <v>1026.69</v>
      </c>
      <c r="F59" s="34">
        <v>1831.92</v>
      </c>
      <c r="G59" s="34"/>
      <c r="H59" s="34"/>
      <c r="I59" s="46">
        <f t="shared" si="7"/>
        <v>1831.92</v>
      </c>
      <c r="J59" s="34"/>
      <c r="K59" s="62"/>
      <c r="L59" s="34"/>
      <c r="M59" s="34"/>
      <c r="N59" s="63"/>
      <c r="O59" s="63"/>
      <c r="P59" s="34"/>
      <c r="Q59" s="32">
        <v>205</v>
      </c>
      <c r="R59" s="32"/>
      <c r="S59" s="33"/>
      <c r="T59" s="60">
        <v>205.28</v>
      </c>
      <c r="U59" s="46">
        <f t="shared" si="49"/>
        <v>1421.64</v>
      </c>
      <c r="V59" s="32">
        <f t="shared" si="53"/>
        <v>0</v>
      </c>
      <c r="W59" s="46">
        <f t="shared" si="42"/>
        <v>1421.64</v>
      </c>
      <c r="X59" s="32">
        <f t="shared" si="43"/>
        <v>183.19200000000001</v>
      </c>
      <c r="Y59" s="32">
        <v>10.23</v>
      </c>
      <c r="Z59" s="32">
        <f t="shared" si="44"/>
        <v>0</v>
      </c>
      <c r="AA59" s="46">
        <f t="shared" si="45"/>
        <v>2025.3420000000001</v>
      </c>
      <c r="AB59" s="57"/>
      <c r="AC59" s="57"/>
      <c r="AD59" s="47">
        <f t="shared" ref="AD59" si="54">+AB59+AC59-W59</f>
        <v>-1421.64</v>
      </c>
      <c r="AE59" s="35">
        <v>1179675078</v>
      </c>
      <c r="AF59" s="35"/>
      <c r="AG59" s="18" t="s">
        <v>147</v>
      </c>
    </row>
    <row r="60" spans="1:186" s="18" customFormat="1">
      <c r="A60" s="74" t="s">
        <v>26</v>
      </c>
      <c r="B60" s="33" t="s">
        <v>142</v>
      </c>
      <c r="C60" s="33" t="s">
        <v>43</v>
      </c>
      <c r="D60" s="50">
        <v>42597</v>
      </c>
      <c r="E60" s="34">
        <v>933.31</v>
      </c>
      <c r="F60" s="34">
        <v>2070</v>
      </c>
      <c r="G60" s="34"/>
      <c r="H60" s="34"/>
      <c r="I60" s="46">
        <f t="shared" si="7"/>
        <v>2070</v>
      </c>
      <c r="J60" s="34"/>
      <c r="K60" s="62">
        <v>1</v>
      </c>
      <c r="L60" s="34"/>
      <c r="M60" s="34"/>
      <c r="N60" s="63"/>
      <c r="O60" s="63"/>
      <c r="P60" s="34"/>
      <c r="Q60" s="32"/>
      <c r="R60" s="32"/>
      <c r="S60" s="33"/>
      <c r="T60" s="60"/>
      <c r="U60" s="46">
        <f t="shared" si="49"/>
        <v>2069</v>
      </c>
      <c r="V60" s="32">
        <f t="shared" si="53"/>
        <v>0</v>
      </c>
      <c r="W60" s="46">
        <f t="shared" si="42"/>
        <v>2069</v>
      </c>
      <c r="X60" s="32"/>
      <c r="Y60" s="32"/>
      <c r="Z60" s="32"/>
      <c r="AA60" s="46"/>
      <c r="AB60" s="57"/>
      <c r="AC60" s="57"/>
      <c r="AD60" s="47"/>
      <c r="AE60" s="35" t="s">
        <v>183</v>
      </c>
      <c r="AF60" s="35"/>
    </row>
    <row r="61" spans="1:186" s="18" customFormat="1">
      <c r="A61" s="74" t="s">
        <v>38</v>
      </c>
      <c r="B61" s="33" t="s">
        <v>129</v>
      </c>
      <c r="C61" s="33" t="s">
        <v>29</v>
      </c>
      <c r="D61" s="50">
        <v>42696</v>
      </c>
      <c r="E61" s="34">
        <v>1166.27</v>
      </c>
      <c r="F61" s="34">
        <v>2441.96</v>
      </c>
      <c r="G61" s="34"/>
      <c r="H61" s="34"/>
      <c r="I61" s="46">
        <f t="shared" si="7"/>
        <v>2441.96</v>
      </c>
      <c r="J61" s="34"/>
      <c r="K61" s="62">
        <v>2</v>
      </c>
      <c r="L61" s="34"/>
      <c r="M61" s="34"/>
      <c r="N61" s="63"/>
      <c r="O61" s="63"/>
      <c r="P61" s="34"/>
      <c r="Q61" s="32"/>
      <c r="R61" s="32"/>
      <c r="S61" s="33"/>
      <c r="T61" s="60"/>
      <c r="U61" s="46">
        <f t="shared" ref="U61" si="55">+I61-SUM(J61:T61)</f>
        <v>2439.96</v>
      </c>
      <c r="V61" s="32">
        <f t="shared" ref="V61" si="56">IF(I61&gt;2250,I61*0.1,0)</f>
        <v>244.19600000000003</v>
      </c>
      <c r="W61" s="46">
        <f t="shared" ref="W61" si="57">+U61-V61</f>
        <v>2195.7640000000001</v>
      </c>
      <c r="X61" s="32"/>
      <c r="Y61" s="32"/>
      <c r="Z61" s="32"/>
      <c r="AA61" s="46"/>
      <c r="AB61" s="57"/>
      <c r="AC61" s="57"/>
      <c r="AD61" s="47"/>
      <c r="AE61" s="35">
        <v>56710784605</v>
      </c>
      <c r="AF61" s="35"/>
    </row>
    <row r="62" spans="1:186" s="18" customFormat="1">
      <c r="A62" s="74" t="s">
        <v>28</v>
      </c>
      <c r="B62" s="33" t="s">
        <v>131</v>
      </c>
      <c r="C62" s="33" t="s">
        <v>30</v>
      </c>
      <c r="D62" s="50">
        <v>42632</v>
      </c>
      <c r="E62" s="34">
        <v>1026.69</v>
      </c>
      <c r="F62" s="34"/>
      <c r="G62" s="34"/>
      <c r="H62" s="34"/>
      <c r="I62" s="46">
        <f t="shared" si="7"/>
        <v>0</v>
      </c>
      <c r="J62" s="34"/>
      <c r="K62" s="62"/>
      <c r="L62" s="34"/>
      <c r="M62" s="34"/>
      <c r="N62" s="63"/>
      <c r="O62" s="63"/>
      <c r="P62" s="34"/>
      <c r="Q62" s="32">
        <v>500</v>
      </c>
      <c r="R62" s="32"/>
      <c r="S62" s="33"/>
      <c r="T62" s="60"/>
      <c r="U62" s="46">
        <f t="shared" ref="U62" si="58">+I62-SUM(J62:T62)</f>
        <v>-500</v>
      </c>
      <c r="V62" s="32">
        <f t="shared" ref="V62" si="59">IF(I62&gt;2250,I62*0.1,0)</f>
        <v>0</v>
      </c>
      <c r="W62" s="46">
        <f t="shared" ref="W62" si="60">+U62-V62</f>
        <v>-500</v>
      </c>
      <c r="X62" s="32"/>
      <c r="Y62" s="32"/>
      <c r="Z62" s="32"/>
      <c r="AA62" s="46"/>
      <c r="AB62" s="57"/>
      <c r="AC62" s="57"/>
      <c r="AD62" s="47"/>
      <c r="AE62" s="35">
        <v>60589620126</v>
      </c>
      <c r="AF62" s="35"/>
    </row>
    <row r="63" spans="1:186" s="18" customFormat="1">
      <c r="A63" s="24"/>
      <c r="B63" s="25"/>
      <c r="C63" s="25"/>
      <c r="D63" s="25"/>
      <c r="E63" s="25"/>
      <c r="F63" s="26"/>
      <c r="G63" s="26"/>
      <c r="H63" s="26"/>
      <c r="I63" s="27"/>
      <c r="J63" s="26"/>
      <c r="K63" s="26"/>
      <c r="L63" s="26"/>
      <c r="M63" s="26"/>
      <c r="N63" s="26"/>
      <c r="O63" s="26"/>
      <c r="P63" s="26"/>
      <c r="Q63" s="36"/>
      <c r="R63" s="36"/>
      <c r="S63" s="36"/>
      <c r="T63" s="36"/>
      <c r="U63" s="27"/>
      <c r="V63" s="36"/>
      <c r="W63" s="27"/>
      <c r="X63" s="36"/>
      <c r="Y63" s="36"/>
      <c r="Z63" s="36"/>
      <c r="AA63" s="27"/>
      <c r="AB63" s="43"/>
      <c r="AC63" s="43"/>
      <c r="AD63" s="22"/>
    </row>
    <row r="64" spans="1:186">
      <c r="B64" s="37" t="s">
        <v>1</v>
      </c>
      <c r="C64" s="37"/>
      <c r="D64" s="37"/>
      <c r="E64" s="38">
        <f t="shared" ref="E64:J64" si="61">SUM(E7:E63)</f>
        <v>83180.960000000036</v>
      </c>
      <c r="F64" s="38">
        <f t="shared" si="61"/>
        <v>46249.279999999999</v>
      </c>
      <c r="G64" s="38">
        <f t="shared" si="61"/>
        <v>1396.63</v>
      </c>
      <c r="H64" s="38">
        <f t="shared" si="61"/>
        <v>26036.02</v>
      </c>
      <c r="I64" s="38">
        <f t="shared" si="61"/>
        <v>73681.930000000008</v>
      </c>
      <c r="J64" s="38">
        <f t="shared" si="61"/>
        <v>1341.3700000000001</v>
      </c>
      <c r="K64" s="38"/>
      <c r="L64" s="38">
        <f t="shared" ref="L64:AD64" si="62">SUM(L7:L63)</f>
        <v>0</v>
      </c>
      <c r="M64" s="38">
        <f t="shared" si="62"/>
        <v>1300</v>
      </c>
      <c r="N64" s="38">
        <f t="shared" si="62"/>
        <v>0</v>
      </c>
      <c r="O64" s="38">
        <f t="shared" si="62"/>
        <v>0</v>
      </c>
      <c r="P64" s="38">
        <f t="shared" si="62"/>
        <v>0</v>
      </c>
      <c r="Q64" s="38">
        <f t="shared" si="62"/>
        <v>4705</v>
      </c>
      <c r="R64" s="38">
        <f t="shared" si="62"/>
        <v>0.6</v>
      </c>
      <c r="S64" s="38">
        <f t="shared" si="62"/>
        <v>0</v>
      </c>
      <c r="T64" s="38">
        <f t="shared" si="62"/>
        <v>6315.1900000000005</v>
      </c>
      <c r="U64" s="38">
        <f t="shared" si="62"/>
        <v>61129.09</v>
      </c>
      <c r="V64" s="38">
        <f t="shared" si="62"/>
        <v>5716.8109999999997</v>
      </c>
      <c r="W64" s="38">
        <f t="shared" si="62"/>
        <v>54087.988999999994</v>
      </c>
      <c r="X64" s="38">
        <f t="shared" si="62"/>
        <v>830.20100000000002</v>
      </c>
      <c r="Y64" s="38">
        <f t="shared" si="62"/>
        <v>333.44000000000005</v>
      </c>
      <c r="Z64" s="38">
        <f t="shared" si="62"/>
        <v>0</v>
      </c>
      <c r="AA64" s="38">
        <f t="shared" si="62"/>
        <v>52924.931000000011</v>
      </c>
      <c r="AB64" s="44">
        <f t="shared" si="62"/>
        <v>0</v>
      </c>
      <c r="AC64" s="44">
        <f t="shared" si="62"/>
        <v>0</v>
      </c>
      <c r="AD64" s="39" t="e">
        <f t="shared" si="62"/>
        <v>#REF!</v>
      </c>
      <c r="AE64" s="28"/>
      <c r="AF64" s="2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</row>
    <row r="65" spans="1:186">
      <c r="AA65" s="14">
        <f>AA64*0.16</f>
        <v>8467.9889600000024</v>
      </c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</row>
    <row r="66" spans="1:186">
      <c r="A66" s="91" t="s">
        <v>81</v>
      </c>
      <c r="B66" s="91"/>
      <c r="C66" s="28"/>
      <c r="D66" s="28"/>
      <c r="E66" s="28"/>
      <c r="F66" s="30"/>
      <c r="G66" s="30"/>
      <c r="H66" s="30"/>
      <c r="I66" s="38"/>
      <c r="J66" s="30"/>
      <c r="K66" s="30"/>
      <c r="L66" s="30"/>
      <c r="M66" s="34"/>
      <c r="N66" s="34"/>
      <c r="O66" s="34"/>
      <c r="P66" s="34"/>
      <c r="Q66" s="30"/>
      <c r="R66" s="30"/>
      <c r="S66" s="30"/>
      <c r="T66" s="30"/>
      <c r="U66" s="38"/>
      <c r="V66" s="30"/>
      <c r="W66" s="38"/>
      <c r="X66" s="30"/>
      <c r="Y66" s="30"/>
      <c r="Z66" s="30"/>
      <c r="AA66" s="38">
        <f>+AA64+AA65</f>
        <v>61392.919960000014</v>
      </c>
      <c r="AB66" s="44"/>
      <c r="AC66" s="44"/>
      <c r="AD66" s="39"/>
      <c r="AE66" s="28"/>
      <c r="AF66" s="2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</row>
    <row r="67" spans="1:186">
      <c r="A67" s="33" t="s">
        <v>41</v>
      </c>
      <c r="B67" s="33" t="s">
        <v>82</v>
      </c>
      <c r="C67" s="29" t="s">
        <v>113</v>
      </c>
      <c r="D67" s="51">
        <v>41142</v>
      </c>
      <c r="E67" s="34">
        <v>667.87</v>
      </c>
      <c r="F67" s="34">
        <f>2594.605+5.571+323.006</f>
        <v>2923.1819999999998</v>
      </c>
      <c r="G67" s="31"/>
      <c r="H67" s="31">
        <v>2037.4</v>
      </c>
      <c r="I67" s="46">
        <f>SUM(F67:H67)</f>
        <v>4960.5820000000003</v>
      </c>
      <c r="J67" s="34">
        <v>134.66999999999999</v>
      </c>
      <c r="K67" s="62"/>
      <c r="L67" s="34"/>
      <c r="M67" s="34"/>
      <c r="N67" s="63" t="s">
        <v>156</v>
      </c>
      <c r="O67" s="63" t="s">
        <v>156</v>
      </c>
      <c r="P67" s="34"/>
      <c r="Q67" s="32"/>
      <c r="R67" s="32"/>
      <c r="S67" s="33"/>
      <c r="T67" s="33"/>
      <c r="U67" s="46">
        <f>+I67-SUM(J67:T67)</f>
        <v>4825.9120000000003</v>
      </c>
      <c r="V67" s="32">
        <f>+U67*0.05</f>
        <v>241.29560000000004</v>
      </c>
      <c r="W67" s="46">
        <f>+U67-Q67-T67</f>
        <v>4825.9120000000003</v>
      </c>
      <c r="X67" s="56">
        <f>IF(U67&lt;3000,U67*0.1,0)</f>
        <v>0</v>
      </c>
      <c r="Y67" s="56">
        <v>0</v>
      </c>
      <c r="Z67" s="56"/>
      <c r="AA67" s="55">
        <f>+U67+X67+Y67</f>
        <v>4825.9120000000003</v>
      </c>
      <c r="AB67" s="45"/>
      <c r="AC67" s="45"/>
      <c r="AD67" s="40"/>
      <c r="AE67" s="35">
        <v>56708845760</v>
      </c>
      <c r="AF67" s="35" t="s">
        <v>138</v>
      </c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</row>
    <row r="68" spans="1:186" s="18" customFormat="1">
      <c r="A68" s="33" t="s">
        <v>41</v>
      </c>
      <c r="B68" s="33" t="s">
        <v>53</v>
      </c>
      <c r="C68" s="33" t="s">
        <v>113</v>
      </c>
      <c r="D68" s="50">
        <v>41381</v>
      </c>
      <c r="E68" s="34">
        <v>627.13</v>
      </c>
      <c r="F68" s="34">
        <f>5986.655+2.599+49.744</f>
        <v>6038.9979999999996</v>
      </c>
      <c r="G68" s="34"/>
      <c r="H68" s="34"/>
      <c r="I68" s="46">
        <f t="shared" ref="I68:I113" si="63">SUM(F68:H68)</f>
        <v>6038.9979999999996</v>
      </c>
      <c r="J68" s="34"/>
      <c r="K68" s="62"/>
      <c r="L68" s="34"/>
      <c r="M68" s="34"/>
      <c r="N68" s="63" t="s">
        <v>156</v>
      </c>
      <c r="O68" s="63" t="s">
        <v>156</v>
      </c>
      <c r="P68" s="34"/>
      <c r="Q68" s="32"/>
      <c r="R68" s="32"/>
      <c r="S68" s="33"/>
      <c r="T68" s="33"/>
      <c r="U68" s="46">
        <f t="shared" ref="U68:U111" si="64">+I68-SUM(J68:T68)</f>
        <v>6038.9979999999996</v>
      </c>
      <c r="V68" s="32">
        <f t="shared" ref="V68:V76" si="65">IF(I68&gt;2250,I68*0.1,0)</f>
        <v>603.89980000000003</v>
      </c>
      <c r="W68" s="46">
        <f t="shared" ref="W68:W76" si="66">+U68-V68</f>
        <v>5435.0981999999995</v>
      </c>
      <c r="X68" s="32">
        <f t="shared" ref="X68:X76" si="67">IF(I68&lt;2250,I68*0.1,0)</f>
        <v>0</v>
      </c>
      <c r="Y68" s="32">
        <v>10.23</v>
      </c>
      <c r="Z68" s="32" t="str">
        <f t="shared" ref="Z68:Z76" si="68">+N68</f>
        <v>XX</v>
      </c>
      <c r="AA68" s="46" t="e">
        <f t="shared" ref="AA68:AA76" si="69">+I68+X68+Y68+Z68</f>
        <v>#VALUE!</v>
      </c>
      <c r="AB68" s="52"/>
      <c r="AC68" s="53"/>
      <c r="AD68" s="47">
        <f t="shared" ref="AD68:AD71" si="70">+AB68+AC68-W68</f>
        <v>-5435.0981999999995</v>
      </c>
      <c r="AE68" s="35">
        <v>56708845774</v>
      </c>
      <c r="AF68" s="35"/>
    </row>
    <row r="69" spans="1:186" s="18" customFormat="1">
      <c r="A69" s="33" t="s">
        <v>41</v>
      </c>
      <c r="B69" s="33" t="s">
        <v>90</v>
      </c>
      <c r="C69" s="33" t="s">
        <v>113</v>
      </c>
      <c r="D69" s="50">
        <v>41740</v>
      </c>
      <c r="E69" s="34">
        <v>627.13</v>
      </c>
      <c r="F69" s="34"/>
      <c r="G69" s="34"/>
      <c r="H69" s="34"/>
      <c r="I69" s="46">
        <f t="shared" si="63"/>
        <v>0</v>
      </c>
      <c r="J69" s="34">
        <v>275.38</v>
      </c>
      <c r="K69" s="62"/>
      <c r="L69" s="34"/>
      <c r="M69" s="32" t="s">
        <v>170</v>
      </c>
      <c r="N69" s="63" t="s">
        <v>156</v>
      </c>
      <c r="O69" s="63" t="s">
        <v>156</v>
      </c>
      <c r="P69" s="34"/>
      <c r="Q69" s="32"/>
      <c r="R69" s="32"/>
      <c r="S69" s="33"/>
      <c r="T69" s="33"/>
      <c r="U69" s="46">
        <f t="shared" si="64"/>
        <v>-275.38</v>
      </c>
      <c r="V69" s="32">
        <f t="shared" si="65"/>
        <v>0</v>
      </c>
      <c r="W69" s="46">
        <f t="shared" si="66"/>
        <v>-275.38</v>
      </c>
      <c r="X69" s="32">
        <f t="shared" si="67"/>
        <v>0</v>
      </c>
      <c r="Y69" s="32">
        <v>10.23</v>
      </c>
      <c r="Z69" s="32" t="str">
        <f t="shared" si="68"/>
        <v>XX</v>
      </c>
      <c r="AA69" s="46" t="e">
        <f t="shared" si="69"/>
        <v>#VALUE!</v>
      </c>
      <c r="AB69" s="52"/>
      <c r="AC69" s="53"/>
      <c r="AD69" s="47">
        <f t="shared" si="70"/>
        <v>275.38</v>
      </c>
      <c r="AE69" s="35">
        <v>56708845788</v>
      </c>
      <c r="AF69" s="35" t="s">
        <v>138</v>
      </c>
    </row>
    <row r="70" spans="1:186" s="18" customFormat="1">
      <c r="A70" s="33" t="s">
        <v>41</v>
      </c>
      <c r="B70" s="33" t="s">
        <v>143</v>
      </c>
      <c r="C70" s="33" t="s">
        <v>109</v>
      </c>
      <c r="D70" s="50">
        <v>42779</v>
      </c>
      <c r="E70" s="34">
        <v>560.28</v>
      </c>
      <c r="F70" s="34">
        <v>1079</v>
      </c>
      <c r="G70" s="34"/>
      <c r="H70" s="34"/>
      <c r="I70" s="46">
        <f t="shared" si="63"/>
        <v>1079</v>
      </c>
      <c r="J70" s="34"/>
      <c r="K70" s="62"/>
      <c r="L70" s="34"/>
      <c r="M70" s="34"/>
      <c r="N70" s="63" t="s">
        <v>156</v>
      </c>
      <c r="O70" s="63" t="s">
        <v>156</v>
      </c>
      <c r="P70" s="34"/>
      <c r="Q70" s="32"/>
      <c r="R70" s="32"/>
      <c r="S70" s="33"/>
      <c r="T70" s="33"/>
      <c r="U70" s="46">
        <f t="shared" si="64"/>
        <v>1079</v>
      </c>
      <c r="V70" s="32"/>
      <c r="W70" s="46"/>
      <c r="X70" s="32"/>
      <c r="Y70" s="32"/>
      <c r="Z70" s="32"/>
      <c r="AA70" s="46"/>
      <c r="AB70" s="52"/>
      <c r="AC70" s="53"/>
      <c r="AD70" s="47"/>
      <c r="AE70" s="35">
        <v>60589582591</v>
      </c>
      <c r="AF70" s="35"/>
    </row>
    <row r="71" spans="1:186" s="18" customFormat="1">
      <c r="A71" s="33" t="s">
        <v>41</v>
      </c>
      <c r="B71" s="33" t="s">
        <v>54</v>
      </c>
      <c r="C71" s="33" t="s">
        <v>46</v>
      </c>
      <c r="D71" s="50">
        <v>41227</v>
      </c>
      <c r="E71" s="34">
        <v>560.28</v>
      </c>
      <c r="F71" s="34">
        <f>2553.72+13.099</f>
        <v>2566.819</v>
      </c>
      <c r="G71" s="34"/>
      <c r="H71" s="34"/>
      <c r="I71" s="46">
        <f t="shared" si="63"/>
        <v>2566.819</v>
      </c>
      <c r="J71" s="34"/>
      <c r="K71" s="62"/>
      <c r="L71" s="34"/>
      <c r="M71" s="32">
        <v>700</v>
      </c>
      <c r="N71" s="63" t="s">
        <v>156</v>
      </c>
      <c r="O71" s="63" t="s">
        <v>156</v>
      </c>
      <c r="P71" s="34"/>
      <c r="Q71" s="32"/>
      <c r="R71" s="32"/>
      <c r="S71" s="33"/>
      <c r="T71" s="33"/>
      <c r="U71" s="46">
        <f t="shared" si="64"/>
        <v>1866.819</v>
      </c>
      <c r="V71" s="32">
        <f t="shared" si="65"/>
        <v>256.68189999999998</v>
      </c>
      <c r="W71" s="46">
        <f t="shared" si="66"/>
        <v>1610.1370999999999</v>
      </c>
      <c r="X71" s="32">
        <f t="shared" si="67"/>
        <v>0</v>
      </c>
      <c r="Y71" s="32">
        <v>10.23</v>
      </c>
      <c r="Z71" s="32" t="str">
        <f t="shared" si="68"/>
        <v>XX</v>
      </c>
      <c r="AA71" s="46" t="e">
        <f t="shared" si="69"/>
        <v>#VALUE!</v>
      </c>
      <c r="AB71" s="52"/>
      <c r="AC71" s="53"/>
      <c r="AD71" s="47">
        <f t="shared" si="70"/>
        <v>-1610.1370999999999</v>
      </c>
      <c r="AE71" s="35">
        <v>56708845791</v>
      </c>
      <c r="AF71" s="35"/>
    </row>
    <row r="72" spans="1:186" s="18" customFormat="1">
      <c r="A72" s="33" t="s">
        <v>39</v>
      </c>
      <c r="B72" s="33" t="s">
        <v>86</v>
      </c>
      <c r="C72" s="33" t="s">
        <v>109</v>
      </c>
      <c r="D72" s="50">
        <v>42338</v>
      </c>
      <c r="E72" s="34">
        <v>739.2</v>
      </c>
      <c r="F72" s="34">
        <f>1975.8+7.428+274.836</f>
        <v>2258.0640000000003</v>
      </c>
      <c r="G72" s="34"/>
      <c r="H72" s="34"/>
      <c r="I72" s="46">
        <f t="shared" si="63"/>
        <v>2258.0640000000003</v>
      </c>
      <c r="J72" s="34"/>
      <c r="K72" s="62"/>
      <c r="L72" s="34"/>
      <c r="M72" s="34"/>
      <c r="N72" s="63"/>
      <c r="O72" s="63"/>
      <c r="P72" s="34"/>
      <c r="Q72" s="32"/>
      <c r="R72" s="32"/>
      <c r="S72" s="33"/>
      <c r="T72" s="33"/>
      <c r="U72" s="46">
        <f t="shared" si="64"/>
        <v>2258.0640000000003</v>
      </c>
      <c r="V72" s="32">
        <f t="shared" si="65"/>
        <v>225.80640000000005</v>
      </c>
      <c r="W72" s="46">
        <f t="shared" si="66"/>
        <v>2032.2576000000004</v>
      </c>
      <c r="X72" s="32">
        <f t="shared" si="67"/>
        <v>0</v>
      </c>
      <c r="Y72" s="32">
        <v>10.23</v>
      </c>
      <c r="Z72" s="32">
        <f t="shared" si="68"/>
        <v>0</v>
      </c>
      <c r="AA72" s="46">
        <f t="shared" si="69"/>
        <v>2268.2940000000003</v>
      </c>
      <c r="AB72" s="52"/>
      <c r="AC72" s="53"/>
      <c r="AD72" s="47">
        <f>+AB72+AC72-W72</f>
        <v>-2032.2576000000004</v>
      </c>
      <c r="AE72" s="35">
        <v>56708881872</v>
      </c>
      <c r="AF72" s="35"/>
    </row>
    <row r="73" spans="1:186" s="18" customFormat="1">
      <c r="A73" s="33" t="s">
        <v>41</v>
      </c>
      <c r="B73" s="33" t="s">
        <v>145</v>
      </c>
      <c r="C73" s="33" t="s">
        <v>109</v>
      </c>
      <c r="D73" s="50">
        <v>42807</v>
      </c>
      <c r="E73" s="34">
        <v>560.28</v>
      </c>
      <c r="F73" s="34">
        <v>600.35400000000004</v>
      </c>
      <c r="G73" s="34"/>
      <c r="H73" s="34"/>
      <c r="I73" s="46">
        <f t="shared" si="63"/>
        <v>600.35400000000004</v>
      </c>
      <c r="J73" s="34"/>
      <c r="K73" s="62"/>
      <c r="L73" s="34"/>
      <c r="M73" s="34"/>
      <c r="N73" s="63" t="s">
        <v>156</v>
      </c>
      <c r="O73" s="63" t="s">
        <v>156</v>
      </c>
      <c r="P73" s="34"/>
      <c r="Q73" s="32"/>
      <c r="R73" s="32"/>
      <c r="S73" s="33"/>
      <c r="T73" s="33"/>
      <c r="U73" s="46">
        <f t="shared" si="64"/>
        <v>600.35400000000004</v>
      </c>
      <c r="V73" s="32"/>
      <c r="W73" s="46"/>
      <c r="X73" s="32"/>
      <c r="Y73" s="32"/>
      <c r="Z73" s="32"/>
      <c r="AA73" s="46"/>
      <c r="AB73" s="52"/>
      <c r="AC73" s="53"/>
      <c r="AD73" s="47"/>
      <c r="AE73" s="35">
        <v>60589642468</v>
      </c>
      <c r="AF73" s="35"/>
    </row>
    <row r="74" spans="1:186" s="18" customFormat="1">
      <c r="A74" s="66" t="s">
        <v>39</v>
      </c>
      <c r="B74" s="66" t="s">
        <v>126</v>
      </c>
      <c r="C74" s="66" t="s">
        <v>42</v>
      </c>
      <c r="D74" s="67">
        <v>42681</v>
      </c>
      <c r="E74" s="75"/>
      <c r="F74" s="75"/>
      <c r="G74" s="75"/>
      <c r="H74" s="75"/>
      <c r="I74" s="46">
        <f t="shared" si="63"/>
        <v>0</v>
      </c>
      <c r="J74" s="34"/>
      <c r="K74" s="62"/>
      <c r="L74" s="34"/>
      <c r="M74" s="32" t="s">
        <v>170</v>
      </c>
      <c r="N74" s="63"/>
      <c r="O74" s="63"/>
      <c r="P74" s="34"/>
      <c r="Q74" s="32"/>
      <c r="R74" s="32"/>
      <c r="S74" s="33"/>
      <c r="T74" s="33"/>
      <c r="U74" s="46">
        <f t="shared" si="64"/>
        <v>0</v>
      </c>
      <c r="V74" s="32">
        <f t="shared" ref="V74" si="71">IF(I74&gt;2250,I74*0.1,0)</f>
        <v>0</v>
      </c>
      <c r="W74" s="46">
        <f t="shared" ref="W74" si="72">+U74-V74</f>
        <v>0</v>
      </c>
      <c r="X74" s="32"/>
      <c r="Y74" s="32"/>
      <c r="Z74" s="32"/>
      <c r="AA74" s="46"/>
      <c r="AB74" s="52"/>
      <c r="AC74" s="53"/>
      <c r="AD74" s="47"/>
      <c r="AE74" s="76">
        <v>56710773131</v>
      </c>
      <c r="AF74" s="76" t="s">
        <v>161</v>
      </c>
    </row>
    <row r="75" spans="1:186" s="18" customFormat="1">
      <c r="A75" s="33" t="s">
        <v>41</v>
      </c>
      <c r="B75" s="33" t="s">
        <v>95</v>
      </c>
      <c r="C75" s="33" t="s">
        <v>113</v>
      </c>
      <c r="D75" s="50">
        <v>41227</v>
      </c>
      <c r="E75" s="34">
        <v>627.13</v>
      </c>
      <c r="F75" s="34">
        <f>2861.556+2.599</f>
        <v>2864.1550000000002</v>
      </c>
      <c r="G75" s="34"/>
      <c r="H75" s="34"/>
      <c r="I75" s="46">
        <f t="shared" si="63"/>
        <v>2864.1550000000002</v>
      </c>
      <c r="J75" s="34">
        <v>199.21</v>
      </c>
      <c r="K75" s="62"/>
      <c r="L75" s="34"/>
      <c r="M75" s="32">
        <v>500</v>
      </c>
      <c r="N75" s="63" t="s">
        <v>156</v>
      </c>
      <c r="O75" s="63" t="s">
        <v>156</v>
      </c>
      <c r="P75" s="34"/>
      <c r="Q75" s="32"/>
      <c r="R75" s="32"/>
      <c r="S75" s="33"/>
      <c r="T75" s="33"/>
      <c r="U75" s="46">
        <f t="shared" si="64"/>
        <v>2164.9450000000002</v>
      </c>
      <c r="V75" s="32">
        <f t="shared" si="65"/>
        <v>286.41550000000001</v>
      </c>
      <c r="W75" s="46">
        <f t="shared" si="66"/>
        <v>1878.5295000000001</v>
      </c>
      <c r="X75" s="32">
        <f t="shared" si="67"/>
        <v>0</v>
      </c>
      <c r="Y75" s="32">
        <v>10.23</v>
      </c>
      <c r="Z75" s="32" t="str">
        <f t="shared" si="68"/>
        <v>XX</v>
      </c>
      <c r="AA75" s="46" t="e">
        <f t="shared" si="69"/>
        <v>#VALUE!</v>
      </c>
      <c r="AB75" s="52"/>
      <c r="AC75" s="53"/>
      <c r="AD75" s="47">
        <f>+AB75+AC75-W75</f>
        <v>-1878.5295000000001</v>
      </c>
      <c r="AE75" s="35">
        <v>56708845820</v>
      </c>
      <c r="AF75" s="35" t="s">
        <v>138</v>
      </c>
    </row>
    <row r="76" spans="1:186" s="18" customFormat="1">
      <c r="A76" s="33" t="s">
        <v>41</v>
      </c>
      <c r="B76" s="33" t="s">
        <v>65</v>
      </c>
      <c r="C76" s="33" t="s">
        <v>113</v>
      </c>
      <c r="D76" s="50">
        <v>41227</v>
      </c>
      <c r="E76" s="34">
        <v>627.13</v>
      </c>
      <c r="F76" s="34">
        <f>4539+2.972</f>
        <v>4541.9719999999998</v>
      </c>
      <c r="G76" s="34"/>
      <c r="H76" s="34"/>
      <c r="I76" s="46">
        <f t="shared" si="63"/>
        <v>4541.9719999999998</v>
      </c>
      <c r="J76" s="34"/>
      <c r="K76" s="62"/>
      <c r="L76" s="34"/>
      <c r="M76" s="34">
        <v>1000</v>
      </c>
      <c r="N76" s="63" t="s">
        <v>156</v>
      </c>
      <c r="O76" s="63" t="s">
        <v>156</v>
      </c>
      <c r="P76" s="34"/>
      <c r="Q76" s="32"/>
      <c r="R76" s="32"/>
      <c r="S76" s="33"/>
      <c r="T76" s="33"/>
      <c r="U76" s="46">
        <f t="shared" si="64"/>
        <v>3541.9719999999998</v>
      </c>
      <c r="V76" s="32">
        <f t="shared" si="65"/>
        <v>454.19720000000001</v>
      </c>
      <c r="W76" s="46">
        <f t="shared" si="66"/>
        <v>3087.7747999999997</v>
      </c>
      <c r="X76" s="32">
        <f t="shared" si="67"/>
        <v>0</v>
      </c>
      <c r="Y76" s="32">
        <v>10.23</v>
      </c>
      <c r="Z76" s="32" t="str">
        <f t="shared" si="68"/>
        <v>XX</v>
      </c>
      <c r="AA76" s="46" t="e">
        <f t="shared" si="69"/>
        <v>#VALUE!</v>
      </c>
      <c r="AB76" s="52"/>
      <c r="AC76" s="53"/>
      <c r="AD76" s="47">
        <f>+AB76+AC76-W76</f>
        <v>-3087.7747999999997</v>
      </c>
      <c r="AE76" s="35">
        <v>56708845834</v>
      </c>
      <c r="AF76" s="35"/>
    </row>
    <row r="77" spans="1:186" s="18" customFormat="1">
      <c r="A77" s="33" t="s">
        <v>41</v>
      </c>
      <c r="B77" s="33" t="s">
        <v>152</v>
      </c>
      <c r="C77" s="33" t="s">
        <v>132</v>
      </c>
      <c r="D77" s="50">
        <v>42842</v>
      </c>
      <c r="E77" s="34">
        <v>560.28</v>
      </c>
      <c r="F77" s="34">
        <f>1924.25+5.571+239.553</f>
        <v>2169.3739999999998</v>
      </c>
      <c r="G77" s="34"/>
      <c r="H77" s="34"/>
      <c r="I77" s="46">
        <f t="shared" si="63"/>
        <v>2169.3739999999998</v>
      </c>
      <c r="J77" s="34"/>
      <c r="K77" s="62"/>
      <c r="L77" s="34"/>
      <c r="M77" s="34"/>
      <c r="N77" s="63" t="s">
        <v>156</v>
      </c>
      <c r="O77" s="63" t="s">
        <v>156</v>
      </c>
      <c r="P77" s="34"/>
      <c r="Q77" s="32"/>
      <c r="R77" s="32"/>
      <c r="S77" s="33"/>
      <c r="T77" s="33"/>
      <c r="U77" s="46">
        <f t="shared" si="64"/>
        <v>2169.3739999999998</v>
      </c>
      <c r="V77" s="32"/>
      <c r="W77" s="46"/>
      <c r="X77" s="32"/>
      <c r="Y77" s="32"/>
      <c r="Z77" s="32"/>
      <c r="AA77" s="46"/>
      <c r="AB77" s="52"/>
      <c r="AC77" s="53"/>
      <c r="AD77" s="47"/>
      <c r="AE77" s="35">
        <v>60590100738</v>
      </c>
      <c r="AF77" s="35"/>
    </row>
    <row r="78" spans="1:186" s="18" customFormat="1">
      <c r="A78" s="33" t="s">
        <v>39</v>
      </c>
      <c r="B78" s="33" t="s">
        <v>115</v>
      </c>
      <c r="C78" s="33" t="s">
        <v>132</v>
      </c>
      <c r="D78" s="50">
        <v>42604</v>
      </c>
      <c r="E78" s="34">
        <v>560.28</v>
      </c>
      <c r="F78" s="34">
        <v>136.1</v>
      </c>
      <c r="G78" s="34"/>
      <c r="H78" s="34"/>
      <c r="I78" s="46">
        <f t="shared" si="63"/>
        <v>136.1</v>
      </c>
      <c r="J78" s="34"/>
      <c r="K78" s="62"/>
      <c r="L78" s="34"/>
      <c r="M78" s="34"/>
      <c r="N78" s="63" t="s">
        <v>156</v>
      </c>
      <c r="O78" s="63" t="s">
        <v>156</v>
      </c>
      <c r="P78" s="34"/>
      <c r="Q78" s="32"/>
      <c r="R78" s="32"/>
      <c r="S78" s="33"/>
      <c r="T78" s="33"/>
      <c r="U78" s="46">
        <f t="shared" si="64"/>
        <v>136.1</v>
      </c>
      <c r="V78" s="32">
        <f t="shared" ref="V78" si="73">IF(I78&gt;2250,I78*0.1,0)</f>
        <v>0</v>
      </c>
      <c r="W78" s="46">
        <f t="shared" ref="W78" si="74">+U78-V78</f>
        <v>136.1</v>
      </c>
      <c r="X78" s="32"/>
      <c r="Y78" s="32"/>
      <c r="Z78" s="32"/>
      <c r="AA78" s="46"/>
      <c r="AB78" s="52"/>
      <c r="AC78" s="53"/>
      <c r="AD78" s="47"/>
      <c r="AE78" s="35">
        <v>56708845848</v>
      </c>
      <c r="AF78" s="35"/>
    </row>
    <row r="79" spans="1:186" s="18" customFormat="1">
      <c r="A79" s="33" t="s">
        <v>41</v>
      </c>
      <c r="B79" s="33" t="s">
        <v>154</v>
      </c>
      <c r="C79" s="33" t="s">
        <v>109</v>
      </c>
      <c r="D79" s="50">
        <v>42864</v>
      </c>
      <c r="E79" s="34">
        <v>560.28</v>
      </c>
      <c r="F79" s="34">
        <v>429.3</v>
      </c>
      <c r="G79" s="34"/>
      <c r="H79" s="34"/>
      <c r="I79" s="46">
        <f t="shared" si="63"/>
        <v>429.3</v>
      </c>
      <c r="J79" s="34"/>
      <c r="K79" s="62"/>
      <c r="L79" s="34"/>
      <c r="M79" s="34"/>
      <c r="N79" s="63" t="s">
        <v>156</v>
      </c>
      <c r="O79" s="63" t="s">
        <v>156</v>
      </c>
      <c r="P79" s="34"/>
      <c r="Q79" s="32"/>
      <c r="R79" s="32"/>
      <c r="S79" s="33"/>
      <c r="T79" s="33"/>
      <c r="U79" s="46">
        <f t="shared" si="64"/>
        <v>429.3</v>
      </c>
      <c r="V79" s="32"/>
      <c r="W79" s="46"/>
      <c r="X79" s="32"/>
      <c r="Y79" s="32"/>
      <c r="Z79" s="32"/>
      <c r="AA79" s="46"/>
      <c r="AB79" s="52"/>
      <c r="AC79" s="53"/>
      <c r="AD79" s="47"/>
      <c r="AE79" s="35" t="s">
        <v>134</v>
      </c>
      <c r="AF79" s="35"/>
    </row>
    <row r="80" spans="1:186" s="18" customFormat="1">
      <c r="A80" s="33" t="s">
        <v>39</v>
      </c>
      <c r="B80" s="33" t="s">
        <v>66</v>
      </c>
      <c r="C80" s="33" t="s">
        <v>42</v>
      </c>
      <c r="D80" s="50">
        <v>42319</v>
      </c>
      <c r="E80" s="34">
        <v>739.2</v>
      </c>
      <c r="F80" s="34">
        <f>2802.544+13.099</f>
        <v>2815.643</v>
      </c>
      <c r="G80" s="34"/>
      <c r="H80" s="34"/>
      <c r="I80" s="46">
        <f t="shared" si="63"/>
        <v>2815.643</v>
      </c>
      <c r="J80" s="34"/>
      <c r="K80" s="62"/>
      <c r="L80" s="34"/>
      <c r="M80" s="34"/>
      <c r="N80" s="63"/>
      <c r="O80" s="63"/>
      <c r="P80" s="34"/>
      <c r="Q80" s="32"/>
      <c r="R80" s="32"/>
      <c r="S80" s="33"/>
      <c r="T80" s="33"/>
      <c r="U80" s="46">
        <f t="shared" si="64"/>
        <v>2815.643</v>
      </c>
      <c r="V80" s="32">
        <f t="shared" ref="V80:V108" si="75">IF(I80&gt;2250,I80*0.1,0)</f>
        <v>281.5643</v>
      </c>
      <c r="W80" s="46">
        <f t="shared" ref="W80:W108" si="76">+U80-V80</f>
        <v>2534.0787</v>
      </c>
      <c r="X80" s="32">
        <f t="shared" ref="X80:X108" si="77">IF(I80&lt;2250,I80*0.1,0)</f>
        <v>0</v>
      </c>
      <c r="Y80" s="32">
        <v>19.23</v>
      </c>
      <c r="Z80" s="32">
        <f t="shared" ref="Z80:Z108" si="78">+N80</f>
        <v>0</v>
      </c>
      <c r="AA80" s="46">
        <f t="shared" ref="AA80:AA108" si="79">+I80+X80+Y80+Z80</f>
        <v>2834.873</v>
      </c>
      <c r="AB80" s="52"/>
      <c r="AC80" s="53"/>
      <c r="AD80" s="47">
        <f>+AB80+AC80-W80</f>
        <v>-2534.0787</v>
      </c>
      <c r="AE80" s="35">
        <v>56708881901</v>
      </c>
      <c r="AF80" s="35"/>
    </row>
    <row r="81" spans="1:32" s="18" customFormat="1">
      <c r="A81" s="33" t="s">
        <v>39</v>
      </c>
      <c r="B81" s="33" t="s">
        <v>158</v>
      </c>
      <c r="C81" s="33" t="s">
        <v>42</v>
      </c>
      <c r="D81" s="50">
        <v>42884</v>
      </c>
      <c r="E81" s="34">
        <v>739.27</v>
      </c>
      <c r="F81" s="34">
        <f>1495.2+7.428+207.984</f>
        <v>1710.6120000000001</v>
      </c>
      <c r="G81" s="34"/>
      <c r="H81" s="34"/>
      <c r="I81" s="46">
        <f t="shared" si="63"/>
        <v>1710.6120000000001</v>
      </c>
      <c r="J81" s="34"/>
      <c r="K81" s="62"/>
      <c r="L81" s="34"/>
      <c r="M81" s="34"/>
      <c r="N81" s="63"/>
      <c r="O81" s="63"/>
      <c r="P81" s="34"/>
      <c r="Q81" s="32"/>
      <c r="R81" s="32"/>
      <c r="S81" s="33"/>
      <c r="T81" s="33"/>
      <c r="U81" s="46">
        <f t="shared" si="64"/>
        <v>1710.6120000000001</v>
      </c>
      <c r="V81" s="32"/>
      <c r="W81" s="46"/>
      <c r="X81" s="32"/>
      <c r="Y81" s="32"/>
      <c r="Z81" s="32"/>
      <c r="AA81" s="46"/>
      <c r="AB81" s="52"/>
      <c r="AC81" s="53"/>
      <c r="AD81" s="47"/>
      <c r="AE81" s="35">
        <v>60592118015</v>
      </c>
      <c r="AF81" s="35"/>
    </row>
    <row r="82" spans="1:32" s="18" customFormat="1">
      <c r="A82" s="33" t="s">
        <v>39</v>
      </c>
      <c r="B82" s="33" t="s">
        <v>171</v>
      </c>
      <c r="C82" s="33" t="s">
        <v>46</v>
      </c>
      <c r="D82" s="50">
        <v>42916</v>
      </c>
      <c r="E82" s="34">
        <v>739.2</v>
      </c>
      <c r="F82" s="34">
        <f>1476.75+5.571+183.843</f>
        <v>1666.164</v>
      </c>
      <c r="G82" s="34"/>
      <c r="H82" s="34"/>
      <c r="I82" s="46">
        <f t="shared" si="63"/>
        <v>1666.164</v>
      </c>
      <c r="J82" s="34"/>
      <c r="K82" s="62"/>
      <c r="L82" s="34"/>
      <c r="M82" s="34"/>
      <c r="N82" s="63"/>
      <c r="O82" s="63"/>
      <c r="P82" s="34"/>
      <c r="Q82" s="32"/>
      <c r="R82" s="32"/>
      <c r="S82" s="33"/>
      <c r="T82" s="77">
        <v>364.07</v>
      </c>
      <c r="U82" s="46">
        <f t="shared" si="64"/>
        <v>1302.0940000000001</v>
      </c>
      <c r="V82" s="32"/>
      <c r="W82" s="46"/>
      <c r="X82" s="32"/>
      <c r="Y82" s="32"/>
      <c r="Z82" s="32"/>
      <c r="AA82" s="46"/>
      <c r="AB82" s="52"/>
      <c r="AC82" s="53"/>
      <c r="AD82" s="47"/>
      <c r="AE82" s="35">
        <v>60592515217</v>
      </c>
      <c r="AF82" s="35"/>
    </row>
    <row r="83" spans="1:32" s="18" customFormat="1">
      <c r="A83" s="33" t="s">
        <v>41</v>
      </c>
      <c r="B83" s="33" t="s">
        <v>172</v>
      </c>
      <c r="C83" s="33" t="s">
        <v>46</v>
      </c>
      <c r="D83" s="50">
        <v>42912</v>
      </c>
      <c r="E83" s="34">
        <v>739.2</v>
      </c>
      <c r="F83" s="34">
        <v>1326.72</v>
      </c>
      <c r="G83" s="34"/>
      <c r="H83" s="34"/>
      <c r="I83" s="46">
        <f t="shared" si="63"/>
        <v>1326.72</v>
      </c>
      <c r="J83" s="34"/>
      <c r="K83" s="62"/>
      <c r="L83" s="34"/>
      <c r="M83" s="34"/>
      <c r="N83" s="63"/>
      <c r="O83" s="63"/>
      <c r="P83" s="34"/>
      <c r="Q83" s="32"/>
      <c r="R83" s="32"/>
      <c r="S83" s="33"/>
      <c r="T83" s="33"/>
      <c r="U83" s="46">
        <f t="shared" si="64"/>
        <v>1326.72</v>
      </c>
      <c r="V83" s="32"/>
      <c r="W83" s="46"/>
      <c r="X83" s="32"/>
      <c r="Y83" s="32"/>
      <c r="Z83" s="32"/>
      <c r="AA83" s="46"/>
      <c r="AB83" s="52"/>
      <c r="AC83" s="53"/>
      <c r="AD83" s="47"/>
      <c r="AE83" s="35">
        <v>56686168111</v>
      </c>
      <c r="AF83" s="35"/>
    </row>
    <row r="84" spans="1:32" s="18" customFormat="1">
      <c r="A84" s="33" t="s">
        <v>41</v>
      </c>
      <c r="B84" s="33" t="s">
        <v>50</v>
      </c>
      <c r="C84" s="33" t="s">
        <v>132</v>
      </c>
      <c r="D84" s="50">
        <v>41981</v>
      </c>
      <c r="E84" s="34">
        <v>506.28</v>
      </c>
      <c r="F84" s="34">
        <f>2189.17+5.571</f>
        <v>2194.741</v>
      </c>
      <c r="G84" s="34"/>
      <c r="H84" s="34"/>
      <c r="I84" s="46">
        <f t="shared" si="63"/>
        <v>2194.741</v>
      </c>
      <c r="J84" s="34">
        <v>200</v>
      </c>
      <c r="K84" s="62"/>
      <c r="L84" s="34"/>
      <c r="M84" s="34">
        <v>300</v>
      </c>
      <c r="N84" s="63" t="s">
        <v>156</v>
      </c>
      <c r="O84" s="63" t="s">
        <v>156</v>
      </c>
      <c r="P84" s="34"/>
      <c r="Q84" s="32"/>
      <c r="R84" s="32"/>
      <c r="S84" s="33"/>
      <c r="T84" s="33"/>
      <c r="U84" s="46">
        <f t="shared" si="64"/>
        <v>1694.741</v>
      </c>
      <c r="V84" s="32">
        <f t="shared" si="75"/>
        <v>0</v>
      </c>
      <c r="W84" s="46">
        <f t="shared" si="76"/>
        <v>1694.741</v>
      </c>
      <c r="X84" s="32">
        <f t="shared" si="77"/>
        <v>219.47410000000002</v>
      </c>
      <c r="Y84" s="32">
        <v>10.23</v>
      </c>
      <c r="Z84" s="32" t="str">
        <f t="shared" si="78"/>
        <v>XX</v>
      </c>
      <c r="AA84" s="46" t="e">
        <f t="shared" si="79"/>
        <v>#VALUE!</v>
      </c>
      <c r="AB84" s="52"/>
      <c r="AC84" s="53"/>
      <c r="AD84" s="47">
        <f t="shared" ref="AD84:AD108" si="80">+AB84+AC84-W84</f>
        <v>-1694.741</v>
      </c>
      <c r="AE84" s="35">
        <v>56708845851</v>
      </c>
      <c r="AF84" s="35" t="s">
        <v>188</v>
      </c>
    </row>
    <row r="85" spans="1:32" s="18" customFormat="1">
      <c r="A85" s="33" t="s">
        <v>41</v>
      </c>
      <c r="B85" s="33" t="s">
        <v>77</v>
      </c>
      <c r="C85" s="33" t="s">
        <v>113</v>
      </c>
      <c r="D85" s="50">
        <v>41284</v>
      </c>
      <c r="E85" s="34">
        <v>627.13</v>
      </c>
      <c r="F85" s="34">
        <f>2211.993+2.599+13.893</f>
        <v>2228.4850000000001</v>
      </c>
      <c r="G85" s="34"/>
      <c r="H85" s="34"/>
      <c r="I85" s="46">
        <f t="shared" si="63"/>
        <v>2228.4850000000001</v>
      </c>
      <c r="J85" s="34">
        <v>246.63</v>
      </c>
      <c r="K85" s="62"/>
      <c r="L85" s="34"/>
      <c r="M85" s="34"/>
      <c r="N85" s="63" t="s">
        <v>156</v>
      </c>
      <c r="O85" s="63" t="s">
        <v>156</v>
      </c>
      <c r="P85" s="34"/>
      <c r="Q85" s="32"/>
      <c r="R85" s="32"/>
      <c r="S85" s="33"/>
      <c r="T85" s="33"/>
      <c r="U85" s="46">
        <f t="shared" si="64"/>
        <v>1981.855</v>
      </c>
      <c r="V85" s="32">
        <f t="shared" si="75"/>
        <v>0</v>
      </c>
      <c r="W85" s="46">
        <f t="shared" si="76"/>
        <v>1981.855</v>
      </c>
      <c r="X85" s="32">
        <f t="shared" si="77"/>
        <v>222.84850000000003</v>
      </c>
      <c r="Y85" s="32">
        <v>10.23</v>
      </c>
      <c r="Z85" s="32" t="str">
        <f t="shared" si="78"/>
        <v>XX</v>
      </c>
      <c r="AA85" s="46" t="e">
        <f t="shared" si="79"/>
        <v>#VALUE!</v>
      </c>
      <c r="AB85" s="52"/>
      <c r="AC85" s="53"/>
      <c r="AD85" s="47">
        <f t="shared" si="80"/>
        <v>-1981.855</v>
      </c>
      <c r="AE85" s="35">
        <v>56708881915</v>
      </c>
      <c r="AF85" s="35" t="s">
        <v>138</v>
      </c>
    </row>
    <row r="86" spans="1:32" s="18" customFormat="1">
      <c r="A86" s="33" t="s">
        <v>39</v>
      </c>
      <c r="B86" s="33" t="s">
        <v>149</v>
      </c>
      <c r="C86" s="33" t="s">
        <v>42</v>
      </c>
      <c r="D86" s="50">
        <v>42823</v>
      </c>
      <c r="E86" s="34">
        <v>560.28</v>
      </c>
      <c r="F86" s="34">
        <f>4321.68+13.099+864.534</f>
        <v>5199.3130000000001</v>
      </c>
      <c r="G86" s="34"/>
      <c r="H86" s="34"/>
      <c r="I86" s="46">
        <f t="shared" si="63"/>
        <v>5199.3130000000001</v>
      </c>
      <c r="J86" s="34"/>
      <c r="K86" s="62"/>
      <c r="L86" s="34"/>
      <c r="M86" s="34"/>
      <c r="N86" s="63"/>
      <c r="O86" s="63"/>
      <c r="P86" s="34"/>
      <c r="Q86" s="32"/>
      <c r="R86" s="32"/>
      <c r="S86" s="33"/>
      <c r="T86" s="33"/>
      <c r="U86" s="46">
        <f t="shared" si="64"/>
        <v>5199.3130000000001</v>
      </c>
      <c r="V86" s="32"/>
      <c r="W86" s="46"/>
      <c r="X86" s="32"/>
      <c r="Y86" s="32"/>
      <c r="Z86" s="32"/>
      <c r="AA86" s="46"/>
      <c r="AB86" s="52"/>
      <c r="AC86" s="53"/>
      <c r="AD86" s="47"/>
      <c r="AE86" s="35">
        <v>60589704184</v>
      </c>
      <c r="AF86" s="35"/>
    </row>
    <row r="87" spans="1:32" s="18" customFormat="1">
      <c r="A87" s="33" t="s">
        <v>41</v>
      </c>
      <c r="B87" s="33" t="s">
        <v>52</v>
      </c>
      <c r="C87" s="33" t="s">
        <v>113</v>
      </c>
      <c r="D87" s="50">
        <v>41227</v>
      </c>
      <c r="E87" s="34">
        <v>627.13</v>
      </c>
      <c r="F87" s="34">
        <f>1282.709+2.972+30.94</f>
        <v>1316.6210000000001</v>
      </c>
      <c r="G87" s="34"/>
      <c r="H87" s="34"/>
      <c r="I87" s="46">
        <f t="shared" si="63"/>
        <v>1316.6210000000001</v>
      </c>
      <c r="J87" s="34"/>
      <c r="K87" s="62"/>
      <c r="L87" s="34"/>
      <c r="M87" s="34"/>
      <c r="N87" s="63" t="s">
        <v>156</v>
      </c>
      <c r="O87" s="63" t="s">
        <v>156</v>
      </c>
      <c r="P87" s="34"/>
      <c r="Q87" s="32"/>
      <c r="R87" s="32"/>
      <c r="S87" s="33"/>
      <c r="T87" s="33"/>
      <c r="U87" s="46">
        <f t="shared" si="64"/>
        <v>1316.6210000000001</v>
      </c>
      <c r="V87" s="32">
        <f t="shared" si="75"/>
        <v>0</v>
      </c>
      <c r="W87" s="46">
        <f t="shared" si="76"/>
        <v>1316.6210000000001</v>
      </c>
      <c r="X87" s="32">
        <f t="shared" si="77"/>
        <v>131.66210000000001</v>
      </c>
      <c r="Y87" s="32">
        <v>10.23</v>
      </c>
      <c r="Z87" s="32" t="str">
        <f t="shared" si="78"/>
        <v>XX</v>
      </c>
      <c r="AA87" s="46" t="e">
        <f t="shared" si="79"/>
        <v>#VALUE!</v>
      </c>
      <c r="AB87" s="52"/>
      <c r="AC87" s="53"/>
      <c r="AD87" s="47">
        <f t="shared" si="80"/>
        <v>-1316.6210000000001</v>
      </c>
      <c r="AE87" s="35">
        <v>56708845865</v>
      </c>
      <c r="AF87" s="35"/>
    </row>
    <row r="88" spans="1:32" s="18" customFormat="1">
      <c r="A88" s="33" t="s">
        <v>39</v>
      </c>
      <c r="B88" s="33" t="s">
        <v>67</v>
      </c>
      <c r="C88" s="33" t="s">
        <v>42</v>
      </c>
      <c r="D88" s="50">
        <v>41493</v>
      </c>
      <c r="E88" s="34">
        <v>739.2</v>
      </c>
      <c r="F88" s="34">
        <f>2740.993+13.099+548.324</f>
        <v>3302.4160000000002</v>
      </c>
      <c r="G88" s="34"/>
      <c r="H88" s="34"/>
      <c r="I88" s="46">
        <f t="shared" si="63"/>
        <v>3302.4160000000002</v>
      </c>
      <c r="J88" s="34"/>
      <c r="K88" s="62"/>
      <c r="L88" s="34"/>
      <c r="M88" s="34"/>
      <c r="N88" s="63"/>
      <c r="O88" s="63"/>
      <c r="P88" s="34"/>
      <c r="Q88" s="32"/>
      <c r="R88" s="32"/>
      <c r="S88" s="33"/>
      <c r="T88" s="33"/>
      <c r="U88" s="46">
        <f t="shared" si="64"/>
        <v>3302.4160000000002</v>
      </c>
      <c r="V88" s="32">
        <f t="shared" si="75"/>
        <v>330.24160000000006</v>
      </c>
      <c r="W88" s="46">
        <f t="shared" si="76"/>
        <v>2972.1743999999999</v>
      </c>
      <c r="X88" s="32">
        <f t="shared" si="77"/>
        <v>0</v>
      </c>
      <c r="Y88" s="32">
        <v>10.23</v>
      </c>
      <c r="Z88" s="32">
        <f t="shared" si="78"/>
        <v>0</v>
      </c>
      <c r="AA88" s="46">
        <f t="shared" si="79"/>
        <v>3312.6460000000002</v>
      </c>
      <c r="AB88" s="52"/>
      <c r="AC88" s="53"/>
      <c r="AD88" s="47">
        <f t="shared" si="80"/>
        <v>-2972.1743999999999</v>
      </c>
      <c r="AE88" s="35">
        <v>56708845879</v>
      </c>
      <c r="AF88" s="35"/>
    </row>
    <row r="89" spans="1:32" s="18" customFormat="1">
      <c r="A89" s="33" t="s">
        <v>41</v>
      </c>
      <c r="B89" s="33" t="s">
        <v>105</v>
      </c>
      <c r="C89" s="33" t="s">
        <v>132</v>
      </c>
      <c r="D89" s="50">
        <v>42493</v>
      </c>
      <c r="E89" s="34">
        <v>506.28</v>
      </c>
      <c r="F89" s="34">
        <f>414.385+2.599+24.066</f>
        <v>441.04999999999995</v>
      </c>
      <c r="G89" s="34"/>
      <c r="H89" s="34"/>
      <c r="I89" s="46">
        <f t="shared" si="63"/>
        <v>441.04999999999995</v>
      </c>
      <c r="J89" s="34"/>
      <c r="K89" s="62"/>
      <c r="L89" s="34"/>
      <c r="M89" s="34"/>
      <c r="N89" s="63" t="s">
        <v>156</v>
      </c>
      <c r="O89" s="63" t="s">
        <v>156</v>
      </c>
      <c r="P89" s="34"/>
      <c r="Q89" s="32"/>
      <c r="R89" s="32"/>
      <c r="S89" s="33"/>
      <c r="T89" s="33"/>
      <c r="U89" s="46">
        <f t="shared" si="64"/>
        <v>441.04999999999995</v>
      </c>
      <c r="V89" s="32">
        <f t="shared" si="75"/>
        <v>0</v>
      </c>
      <c r="W89" s="46">
        <f t="shared" si="76"/>
        <v>441.04999999999995</v>
      </c>
      <c r="X89" s="32">
        <f t="shared" si="77"/>
        <v>44.104999999999997</v>
      </c>
      <c r="Y89" s="32">
        <v>10.23</v>
      </c>
      <c r="Z89" s="32" t="str">
        <f t="shared" si="78"/>
        <v>XX</v>
      </c>
      <c r="AA89" s="46" t="e">
        <f t="shared" si="79"/>
        <v>#VALUE!</v>
      </c>
      <c r="AB89" s="52"/>
      <c r="AC89" s="53"/>
      <c r="AD89" s="47">
        <f t="shared" si="80"/>
        <v>-441.04999999999995</v>
      </c>
      <c r="AE89" s="35">
        <v>56708845882</v>
      </c>
      <c r="AF89" s="35"/>
    </row>
    <row r="90" spans="1:32" s="18" customFormat="1">
      <c r="A90" s="33" t="s">
        <v>39</v>
      </c>
      <c r="B90" s="33" t="s">
        <v>184</v>
      </c>
      <c r="C90" s="33" t="s">
        <v>109</v>
      </c>
      <c r="D90" s="50">
        <v>42716</v>
      </c>
      <c r="E90" s="34">
        <v>1200.01</v>
      </c>
      <c r="F90" s="34">
        <f>1611+5.571+200.556-461.01</f>
        <v>1356.117</v>
      </c>
      <c r="G90" s="34"/>
      <c r="H90" s="34"/>
      <c r="I90" s="46">
        <f t="shared" si="63"/>
        <v>1356.117</v>
      </c>
      <c r="J90" s="34"/>
      <c r="K90" s="62"/>
      <c r="L90" s="34"/>
      <c r="M90" s="34"/>
      <c r="N90" s="63"/>
      <c r="O90" s="63"/>
      <c r="P90" s="34"/>
      <c r="Q90" s="32"/>
      <c r="R90" s="32"/>
      <c r="S90" s="33"/>
      <c r="T90" s="33">
        <v>301.08999999999997</v>
      </c>
      <c r="U90" s="46">
        <f t="shared" si="64"/>
        <v>1055.027</v>
      </c>
      <c r="V90" s="32">
        <f t="shared" ref="V90" si="81">IF(I90&gt;2250,I90*0.1,0)</f>
        <v>0</v>
      </c>
      <c r="W90" s="46">
        <f t="shared" ref="W90" si="82">+U90-V90</f>
        <v>1055.027</v>
      </c>
      <c r="X90" s="32"/>
      <c r="Y90" s="32"/>
      <c r="Z90" s="32">
        <f t="shared" si="78"/>
        <v>0</v>
      </c>
      <c r="AA90" s="46"/>
      <c r="AB90" s="52"/>
      <c r="AC90" s="53"/>
      <c r="AD90" s="47"/>
      <c r="AE90" s="35">
        <v>60589845501</v>
      </c>
      <c r="AF90" s="35"/>
    </row>
    <row r="91" spans="1:32" s="18" customFormat="1">
      <c r="A91" s="33" t="s">
        <v>39</v>
      </c>
      <c r="B91" s="33" t="s">
        <v>164</v>
      </c>
      <c r="C91" s="33" t="s">
        <v>42</v>
      </c>
      <c r="D91" s="50">
        <v>42909</v>
      </c>
      <c r="E91" s="34">
        <v>738.99</v>
      </c>
      <c r="F91" s="34">
        <f>1790+5.571+222.84</f>
        <v>2018.4109999999998</v>
      </c>
      <c r="G91" s="34"/>
      <c r="H91" s="34"/>
      <c r="I91" s="46">
        <f t="shared" si="63"/>
        <v>2018.4109999999998</v>
      </c>
      <c r="J91" s="34"/>
      <c r="K91" s="62"/>
      <c r="L91" s="34"/>
      <c r="M91" s="34"/>
      <c r="N91" s="63"/>
      <c r="O91" s="63"/>
      <c r="P91" s="34"/>
      <c r="Q91" s="32"/>
      <c r="R91" s="32"/>
      <c r="S91" s="33"/>
      <c r="T91" s="60"/>
      <c r="U91" s="46">
        <f t="shared" si="64"/>
        <v>2018.4109999999998</v>
      </c>
      <c r="V91" s="32"/>
      <c r="W91" s="46"/>
      <c r="X91" s="32"/>
      <c r="Y91" s="32"/>
      <c r="Z91" s="32"/>
      <c r="AA91" s="46"/>
      <c r="AB91" s="52"/>
      <c r="AC91" s="52"/>
      <c r="AD91" s="47"/>
      <c r="AE91" s="35">
        <v>60592420864</v>
      </c>
      <c r="AF91" s="35"/>
    </row>
    <row r="92" spans="1:32" s="18" customFormat="1">
      <c r="A92" s="33" t="s">
        <v>39</v>
      </c>
      <c r="B92" s="33" t="s">
        <v>87</v>
      </c>
      <c r="C92" s="33" t="s">
        <v>42</v>
      </c>
      <c r="D92" s="50">
        <v>42170</v>
      </c>
      <c r="E92" s="34">
        <v>739.2</v>
      </c>
      <c r="F92" s="34">
        <f>3601.4+13.099+720.445</f>
        <v>4334.9440000000004</v>
      </c>
      <c r="G92" s="34"/>
      <c r="H92" s="34"/>
      <c r="I92" s="46">
        <f t="shared" si="63"/>
        <v>4334.9440000000004</v>
      </c>
      <c r="J92" s="62"/>
      <c r="K92" s="62"/>
      <c r="L92" s="34"/>
      <c r="M92" s="34"/>
      <c r="N92" s="63"/>
      <c r="O92" s="63"/>
      <c r="P92" s="34"/>
      <c r="Q92" s="32"/>
      <c r="R92" s="32"/>
      <c r="S92" s="33"/>
      <c r="T92" s="33"/>
      <c r="U92" s="46">
        <f t="shared" si="64"/>
        <v>4334.9440000000004</v>
      </c>
      <c r="V92" s="32">
        <f t="shared" si="75"/>
        <v>433.49440000000004</v>
      </c>
      <c r="W92" s="46">
        <f t="shared" si="76"/>
        <v>3901.4496000000004</v>
      </c>
      <c r="X92" s="32">
        <f t="shared" si="77"/>
        <v>0</v>
      </c>
      <c r="Y92" s="32">
        <v>10.23</v>
      </c>
      <c r="Z92" s="32">
        <f t="shared" si="78"/>
        <v>0</v>
      </c>
      <c r="AA92" s="46">
        <f t="shared" si="79"/>
        <v>4345.174</v>
      </c>
      <c r="AB92" s="52"/>
      <c r="AC92" s="53"/>
      <c r="AD92" s="47">
        <f t="shared" si="80"/>
        <v>-3901.4496000000004</v>
      </c>
      <c r="AE92" s="35">
        <v>56708881929</v>
      </c>
      <c r="AF92" s="35"/>
    </row>
    <row r="93" spans="1:32" s="18" customFormat="1">
      <c r="A93" s="33" t="s">
        <v>41</v>
      </c>
      <c r="B93" s="33" t="s">
        <v>57</v>
      </c>
      <c r="C93" s="33" t="s">
        <v>112</v>
      </c>
      <c r="D93" s="50">
        <v>36868</v>
      </c>
      <c r="E93" s="34">
        <v>627.13</v>
      </c>
      <c r="F93" s="34">
        <f>812.053+3.714+987.25</f>
        <v>1803.0170000000001</v>
      </c>
      <c r="G93" s="34"/>
      <c r="H93" s="34"/>
      <c r="I93" s="46">
        <f t="shared" si="63"/>
        <v>1803.0170000000001</v>
      </c>
      <c r="J93" s="34">
        <v>236.31</v>
      </c>
      <c r="K93" s="62"/>
      <c r="L93" s="34"/>
      <c r="M93" s="34"/>
      <c r="N93" s="63" t="s">
        <v>156</v>
      </c>
      <c r="O93" s="63" t="s">
        <v>156</v>
      </c>
      <c r="P93" s="34"/>
      <c r="Q93" s="32"/>
      <c r="R93" s="32"/>
      <c r="S93" s="33"/>
      <c r="T93" s="33"/>
      <c r="U93" s="46">
        <f t="shared" si="64"/>
        <v>1566.7070000000001</v>
      </c>
      <c r="V93" s="32">
        <f t="shared" si="75"/>
        <v>0</v>
      </c>
      <c r="W93" s="46">
        <f t="shared" si="76"/>
        <v>1566.7070000000001</v>
      </c>
      <c r="X93" s="32">
        <f t="shared" si="77"/>
        <v>180.30170000000001</v>
      </c>
      <c r="Y93" s="32">
        <v>10.23</v>
      </c>
      <c r="Z93" s="32" t="str">
        <f t="shared" si="78"/>
        <v>XX</v>
      </c>
      <c r="AA93" s="46" t="e">
        <f t="shared" si="79"/>
        <v>#VALUE!</v>
      </c>
      <c r="AB93" s="52"/>
      <c r="AC93" s="52"/>
      <c r="AD93" s="47">
        <f t="shared" si="80"/>
        <v>-1566.7070000000001</v>
      </c>
      <c r="AE93" s="35">
        <v>56708845911</v>
      </c>
      <c r="AF93" s="35" t="s">
        <v>138</v>
      </c>
    </row>
    <row r="94" spans="1:32" s="18" customFormat="1">
      <c r="A94" s="33" t="s">
        <v>41</v>
      </c>
      <c r="B94" s="33" t="s">
        <v>55</v>
      </c>
      <c r="C94" s="33" t="s">
        <v>110</v>
      </c>
      <c r="D94" s="50">
        <v>41949</v>
      </c>
      <c r="E94" s="34">
        <v>560.28</v>
      </c>
      <c r="F94" s="34">
        <f>2002.5+7.428</f>
        <v>2009.9280000000001</v>
      </c>
      <c r="G94" s="34"/>
      <c r="H94" s="34"/>
      <c r="I94" s="46">
        <f t="shared" si="63"/>
        <v>2009.9280000000001</v>
      </c>
      <c r="J94" s="34"/>
      <c r="K94" s="62"/>
      <c r="L94" s="34"/>
      <c r="M94" s="34">
        <v>250</v>
      </c>
      <c r="N94" s="63" t="s">
        <v>156</v>
      </c>
      <c r="O94" s="63" t="s">
        <v>156</v>
      </c>
      <c r="P94" s="34"/>
      <c r="Q94" s="32"/>
      <c r="R94" s="32"/>
      <c r="S94" s="33"/>
      <c r="T94" s="33"/>
      <c r="U94" s="46">
        <f t="shared" si="64"/>
        <v>1759.9280000000001</v>
      </c>
      <c r="V94" s="32">
        <f t="shared" si="75"/>
        <v>0</v>
      </c>
      <c r="W94" s="46">
        <f t="shared" si="76"/>
        <v>1759.9280000000001</v>
      </c>
      <c r="X94" s="32">
        <f t="shared" si="77"/>
        <v>200.99280000000002</v>
      </c>
      <c r="Y94" s="32">
        <v>10.23</v>
      </c>
      <c r="Z94" s="32" t="str">
        <f t="shared" si="78"/>
        <v>XX</v>
      </c>
      <c r="AA94" s="46" t="e">
        <f t="shared" si="79"/>
        <v>#VALUE!</v>
      </c>
      <c r="AB94" s="52"/>
      <c r="AC94" s="53"/>
      <c r="AD94" s="47">
        <f t="shared" si="80"/>
        <v>-1759.9280000000001</v>
      </c>
      <c r="AE94" s="35">
        <v>56708845925</v>
      </c>
      <c r="AF94" s="33"/>
    </row>
    <row r="95" spans="1:32" s="18" customFormat="1">
      <c r="A95" s="33" t="s">
        <v>39</v>
      </c>
      <c r="B95" s="33" t="s">
        <v>34</v>
      </c>
      <c r="C95" s="33" t="s">
        <v>42</v>
      </c>
      <c r="D95" s="50">
        <v>42129</v>
      </c>
      <c r="E95" s="34">
        <v>739.2</v>
      </c>
      <c r="F95" s="34">
        <f>4976.48+13.099</f>
        <v>4989.5789999999997</v>
      </c>
      <c r="G95" s="34"/>
      <c r="H95" s="34"/>
      <c r="I95" s="46">
        <f t="shared" si="63"/>
        <v>4989.5789999999997</v>
      </c>
      <c r="J95" s="34"/>
      <c r="K95" s="62"/>
      <c r="L95" s="34"/>
      <c r="M95" s="34"/>
      <c r="N95" s="63"/>
      <c r="O95" s="63"/>
      <c r="P95" s="34"/>
      <c r="Q95" s="32"/>
      <c r="R95" s="32"/>
      <c r="S95" s="33"/>
      <c r="T95" s="33"/>
      <c r="U95" s="46">
        <f t="shared" si="64"/>
        <v>4989.5789999999997</v>
      </c>
      <c r="V95" s="32">
        <f t="shared" ref="V95" si="83">IF(I95&gt;2250,I95*0.1,0)</f>
        <v>498.9579</v>
      </c>
      <c r="W95" s="46">
        <f t="shared" ref="W95" si="84">+U95-V95</f>
        <v>4490.6210999999994</v>
      </c>
      <c r="X95" s="32">
        <f t="shared" si="77"/>
        <v>0</v>
      </c>
      <c r="Y95" s="32">
        <v>10.23</v>
      </c>
      <c r="Z95" s="32">
        <f t="shared" si="78"/>
        <v>0</v>
      </c>
      <c r="AA95" s="46">
        <f t="shared" si="79"/>
        <v>4999.8089999999993</v>
      </c>
      <c r="AB95" s="52"/>
      <c r="AC95" s="53"/>
      <c r="AD95" s="47">
        <f t="shared" si="80"/>
        <v>-4490.6210999999994</v>
      </c>
      <c r="AE95" s="35">
        <v>56708845939</v>
      </c>
      <c r="AF95" s="35"/>
    </row>
    <row r="96" spans="1:32" s="18" customFormat="1">
      <c r="A96" s="33" t="s">
        <v>39</v>
      </c>
      <c r="B96" s="33" t="s">
        <v>157</v>
      </c>
      <c r="C96" s="33" t="s">
        <v>42</v>
      </c>
      <c r="D96" s="50">
        <v>42815</v>
      </c>
      <c r="E96" s="34">
        <v>560.28</v>
      </c>
      <c r="F96" s="34">
        <f>2029.2+7.428</f>
        <v>2036.6280000000002</v>
      </c>
      <c r="G96" s="34"/>
      <c r="H96" s="34"/>
      <c r="I96" s="46">
        <f t="shared" si="63"/>
        <v>2036.6280000000002</v>
      </c>
      <c r="J96" s="34"/>
      <c r="K96" s="62"/>
      <c r="L96" s="34"/>
      <c r="M96" s="34"/>
      <c r="N96" s="63"/>
      <c r="O96" s="63"/>
      <c r="P96" s="34"/>
      <c r="Q96" s="32"/>
      <c r="R96" s="32"/>
      <c r="S96" s="33"/>
      <c r="T96" s="33"/>
      <c r="U96" s="46">
        <f t="shared" si="64"/>
        <v>2036.6280000000002</v>
      </c>
      <c r="V96" s="32"/>
      <c r="W96" s="46"/>
      <c r="X96" s="32"/>
      <c r="Y96" s="32"/>
      <c r="Z96" s="32"/>
      <c r="AA96" s="46"/>
      <c r="AB96" s="52"/>
      <c r="AC96" s="53"/>
      <c r="AD96" s="47"/>
      <c r="AE96" s="35">
        <v>60589426888</v>
      </c>
      <c r="AF96" s="35"/>
    </row>
    <row r="97" spans="1:186" s="18" customFormat="1">
      <c r="A97" s="33" t="s">
        <v>41</v>
      </c>
      <c r="B97" s="33" t="s">
        <v>174</v>
      </c>
      <c r="C97" s="33" t="s">
        <v>173</v>
      </c>
      <c r="D97" s="50">
        <v>42912</v>
      </c>
      <c r="E97" s="34">
        <v>627.05999999999995</v>
      </c>
      <c r="F97" s="34">
        <f>1541.913+5.571+191.955</f>
        <v>1739.4389999999999</v>
      </c>
      <c r="G97" s="34"/>
      <c r="H97" s="34"/>
      <c r="I97" s="46">
        <f t="shared" si="63"/>
        <v>1739.4389999999999</v>
      </c>
      <c r="J97" s="34"/>
      <c r="K97" s="62"/>
      <c r="L97" s="34"/>
      <c r="M97" s="34"/>
      <c r="N97" s="63"/>
      <c r="O97" s="63"/>
      <c r="P97" s="34"/>
      <c r="Q97" s="32"/>
      <c r="R97" s="32"/>
      <c r="S97" s="33"/>
      <c r="T97" s="33"/>
      <c r="U97" s="46">
        <f t="shared" si="64"/>
        <v>1739.4389999999999</v>
      </c>
      <c r="V97" s="32"/>
      <c r="W97" s="46"/>
      <c r="X97" s="32"/>
      <c r="Y97" s="32"/>
      <c r="Z97" s="32"/>
      <c r="AA97" s="46"/>
      <c r="AB97" s="52"/>
      <c r="AC97" s="53"/>
      <c r="AD97" s="47"/>
      <c r="AE97" s="35">
        <v>60592585699</v>
      </c>
      <c r="AF97" s="35"/>
    </row>
    <row r="98" spans="1:186" s="18" customFormat="1">
      <c r="A98" s="33" t="s">
        <v>39</v>
      </c>
      <c r="B98" s="33" t="s">
        <v>79</v>
      </c>
      <c r="C98" s="33" t="s">
        <v>109</v>
      </c>
      <c r="D98" s="50">
        <v>42422</v>
      </c>
      <c r="E98" s="34">
        <v>739.2</v>
      </c>
      <c r="F98" s="34">
        <f>4780.04+13.099</f>
        <v>4793.1390000000001</v>
      </c>
      <c r="G98" s="34"/>
      <c r="H98" s="34"/>
      <c r="I98" s="46">
        <f t="shared" si="63"/>
        <v>4793.1390000000001</v>
      </c>
      <c r="J98" s="34"/>
      <c r="K98" s="62"/>
      <c r="L98" s="34"/>
      <c r="M98" s="34"/>
      <c r="N98" s="63"/>
      <c r="O98" s="63"/>
      <c r="P98" s="34"/>
      <c r="Q98" s="32"/>
      <c r="R98" s="32"/>
      <c r="S98" s="33"/>
      <c r="T98" s="33"/>
      <c r="U98" s="46">
        <f t="shared" si="64"/>
        <v>4793.1390000000001</v>
      </c>
      <c r="V98" s="32">
        <f t="shared" ref="V98" si="85">IF(I98&gt;2250,I98*0.1,0)</f>
        <v>479.31390000000005</v>
      </c>
      <c r="W98" s="46">
        <f t="shared" ref="W98" si="86">+U98-V98</f>
        <v>4313.8251</v>
      </c>
      <c r="X98" s="32">
        <f t="shared" si="77"/>
        <v>0</v>
      </c>
      <c r="Y98" s="32">
        <v>10.23</v>
      </c>
      <c r="Z98" s="32">
        <f t="shared" si="78"/>
        <v>0</v>
      </c>
      <c r="AA98" s="46">
        <f t="shared" si="79"/>
        <v>4803.3689999999997</v>
      </c>
      <c r="AB98" s="52"/>
      <c r="AC98" s="53"/>
      <c r="AD98" s="47">
        <f t="shared" si="80"/>
        <v>-4313.8251</v>
      </c>
      <c r="AE98" s="35">
        <v>56708845942</v>
      </c>
      <c r="AF98" s="35"/>
    </row>
    <row r="99" spans="1:186" s="18" customFormat="1">
      <c r="A99" s="33" t="s">
        <v>41</v>
      </c>
      <c r="B99" s="33" t="s">
        <v>88</v>
      </c>
      <c r="C99" s="33" t="s">
        <v>113</v>
      </c>
      <c r="D99" s="50">
        <v>41227</v>
      </c>
      <c r="E99" s="34">
        <v>627.13</v>
      </c>
      <c r="F99" s="34">
        <f>4381.025+3.736+99.265</f>
        <v>4484.0259999999998</v>
      </c>
      <c r="G99" s="34"/>
      <c r="H99" s="34"/>
      <c r="I99" s="46">
        <f t="shared" si="63"/>
        <v>4484.0259999999998</v>
      </c>
      <c r="J99" s="34">
        <f>209.76</f>
        <v>209.76</v>
      </c>
      <c r="K99" s="62"/>
      <c r="L99" s="34"/>
      <c r="M99" s="34">
        <v>400</v>
      </c>
      <c r="N99" s="63" t="s">
        <v>156</v>
      </c>
      <c r="O99" s="63" t="s">
        <v>156</v>
      </c>
      <c r="P99" s="34"/>
      <c r="Q99" s="32"/>
      <c r="R99" s="32"/>
      <c r="S99" s="33"/>
      <c r="T99" s="33"/>
      <c r="U99" s="46">
        <f t="shared" si="64"/>
        <v>3874.2659999999996</v>
      </c>
      <c r="V99" s="32">
        <f t="shared" si="75"/>
        <v>448.40260000000001</v>
      </c>
      <c r="W99" s="46">
        <f t="shared" si="76"/>
        <v>3425.8633999999997</v>
      </c>
      <c r="X99" s="32">
        <f t="shared" si="77"/>
        <v>0</v>
      </c>
      <c r="Y99" s="32">
        <v>10.23</v>
      </c>
      <c r="Z99" s="32" t="str">
        <f t="shared" si="78"/>
        <v>XX</v>
      </c>
      <c r="AA99" s="46" t="e">
        <f t="shared" si="79"/>
        <v>#VALUE!</v>
      </c>
      <c r="AB99" s="52"/>
      <c r="AC99" s="52"/>
      <c r="AD99" s="47">
        <f t="shared" si="80"/>
        <v>-3425.8633999999997</v>
      </c>
      <c r="AE99" s="35">
        <v>56708881946</v>
      </c>
      <c r="AF99" s="35" t="s">
        <v>138</v>
      </c>
    </row>
    <row r="100" spans="1:186" s="18" customFormat="1">
      <c r="A100" s="33" t="s">
        <v>39</v>
      </c>
      <c r="B100" s="33" t="s">
        <v>165</v>
      </c>
      <c r="C100" s="33" t="s">
        <v>42</v>
      </c>
      <c r="D100" s="50">
        <v>42907</v>
      </c>
      <c r="E100" s="34">
        <v>738.99</v>
      </c>
      <c r="F100" s="34">
        <f>1745.25+5.571</f>
        <v>1750.8209999999999</v>
      </c>
      <c r="G100" s="34"/>
      <c r="H100" s="34"/>
      <c r="I100" s="46">
        <f t="shared" si="63"/>
        <v>1750.8209999999999</v>
      </c>
      <c r="J100" s="34"/>
      <c r="K100" s="62">
        <v>1</v>
      </c>
      <c r="L100" s="34"/>
      <c r="M100" s="34"/>
      <c r="N100" s="63"/>
      <c r="O100" s="63"/>
      <c r="P100" s="34"/>
      <c r="Q100" s="32"/>
      <c r="R100" s="32"/>
      <c r="S100" s="33"/>
      <c r="T100" s="60"/>
      <c r="U100" s="46">
        <f t="shared" si="64"/>
        <v>1749.8209999999999</v>
      </c>
      <c r="V100" s="32"/>
      <c r="W100" s="46"/>
      <c r="X100" s="32"/>
      <c r="Y100" s="32"/>
      <c r="Z100" s="32"/>
      <c r="AA100" s="46"/>
      <c r="AB100" s="52"/>
      <c r="AC100" s="52"/>
      <c r="AD100" s="47"/>
      <c r="AE100" s="35">
        <v>60592492890</v>
      </c>
      <c r="AF100" s="35"/>
    </row>
    <row r="101" spans="1:186" s="18" customFormat="1">
      <c r="A101" s="33" t="s">
        <v>41</v>
      </c>
      <c r="B101" s="33" t="s">
        <v>120</v>
      </c>
      <c r="C101" s="33" t="s">
        <v>109</v>
      </c>
      <c r="D101" s="50">
        <v>42635</v>
      </c>
      <c r="E101" s="34">
        <v>560.28</v>
      </c>
      <c r="F101" s="34">
        <v>1500</v>
      </c>
      <c r="G101" s="34"/>
      <c r="H101" s="34"/>
      <c r="I101" s="46">
        <f t="shared" si="63"/>
        <v>1500</v>
      </c>
      <c r="J101" s="34"/>
      <c r="K101" s="62"/>
      <c r="L101" s="34"/>
      <c r="M101" s="34"/>
      <c r="N101" s="63" t="s">
        <v>156</v>
      </c>
      <c r="O101" s="63" t="s">
        <v>156</v>
      </c>
      <c r="P101" s="34"/>
      <c r="Q101" s="32"/>
      <c r="R101" s="32"/>
      <c r="S101" s="33"/>
      <c r="T101" s="33"/>
      <c r="U101" s="46">
        <f t="shared" si="64"/>
        <v>1500</v>
      </c>
      <c r="V101" s="32">
        <f t="shared" ref="V101" si="87">IF(I101&gt;2250,I101*0.1,0)</f>
        <v>0</v>
      </c>
      <c r="W101" s="46">
        <f t="shared" ref="W101" si="88">+U101-V101</f>
        <v>1500</v>
      </c>
      <c r="X101" s="32"/>
      <c r="Y101" s="32"/>
      <c r="Z101" s="32"/>
      <c r="AA101" s="46"/>
      <c r="AB101" s="52"/>
      <c r="AC101" s="52"/>
      <c r="AD101" s="47"/>
      <c r="AE101" s="35">
        <v>56708881608</v>
      </c>
      <c r="AF101" s="33"/>
    </row>
    <row r="102" spans="1:186" s="18" customFormat="1">
      <c r="A102" s="33" t="s">
        <v>41</v>
      </c>
      <c r="B102" s="33" t="s">
        <v>89</v>
      </c>
      <c r="C102" s="33" t="s">
        <v>113</v>
      </c>
      <c r="D102" s="50">
        <v>41703</v>
      </c>
      <c r="E102" s="34">
        <v>623.35</v>
      </c>
      <c r="F102" s="34">
        <v>1146.4000000000001</v>
      </c>
      <c r="G102" s="34"/>
      <c r="H102" s="34"/>
      <c r="I102" s="46">
        <f t="shared" si="63"/>
        <v>1146.4000000000001</v>
      </c>
      <c r="J102" s="34"/>
      <c r="K102" s="62"/>
      <c r="L102" s="34"/>
      <c r="M102" s="34"/>
      <c r="N102" s="63" t="s">
        <v>156</v>
      </c>
      <c r="O102" s="63" t="s">
        <v>156</v>
      </c>
      <c r="P102" s="34"/>
      <c r="Q102" s="32"/>
      <c r="R102" s="32"/>
      <c r="S102" s="33"/>
      <c r="T102" s="33"/>
      <c r="U102" s="46">
        <f t="shared" si="64"/>
        <v>1146.4000000000001</v>
      </c>
      <c r="V102" s="32">
        <f t="shared" si="75"/>
        <v>0</v>
      </c>
      <c r="W102" s="46">
        <f t="shared" si="76"/>
        <v>1146.4000000000001</v>
      </c>
      <c r="X102" s="32">
        <f t="shared" si="77"/>
        <v>114.64000000000001</v>
      </c>
      <c r="Y102" s="32">
        <v>10.23</v>
      </c>
      <c r="Z102" s="32" t="str">
        <f t="shared" si="78"/>
        <v>XX</v>
      </c>
      <c r="AA102" s="46" t="e">
        <f t="shared" si="79"/>
        <v>#VALUE!</v>
      </c>
      <c r="AB102" s="52"/>
      <c r="AC102" s="52"/>
      <c r="AD102" s="47">
        <f t="shared" si="80"/>
        <v>-1146.4000000000001</v>
      </c>
      <c r="AE102" s="35">
        <v>56708845973</v>
      </c>
      <c r="AF102" s="33"/>
    </row>
    <row r="103" spans="1:186" s="18" customFormat="1">
      <c r="A103" s="33" t="s">
        <v>41</v>
      </c>
      <c r="B103" s="33" t="s">
        <v>51</v>
      </c>
      <c r="C103" s="33" t="s">
        <v>113</v>
      </c>
      <c r="D103" s="50">
        <v>41291</v>
      </c>
      <c r="E103" s="34">
        <v>627.13</v>
      </c>
      <c r="F103" s="34">
        <f>3933.766+5.571+407.685</f>
        <v>4347.0219999999999</v>
      </c>
      <c r="G103" s="34"/>
      <c r="H103" s="34"/>
      <c r="I103" s="46">
        <f t="shared" si="63"/>
        <v>4347.0219999999999</v>
      </c>
      <c r="J103" s="34">
        <v>216.71</v>
      </c>
      <c r="K103" s="62"/>
      <c r="L103" s="34"/>
      <c r="M103" s="34">
        <v>200</v>
      </c>
      <c r="N103" s="63" t="s">
        <v>156</v>
      </c>
      <c r="O103" s="63" t="s">
        <v>156</v>
      </c>
      <c r="P103" s="34">
        <v>343.11</v>
      </c>
      <c r="Q103" s="32"/>
      <c r="R103" s="32"/>
      <c r="S103" s="33"/>
      <c r="T103" s="33"/>
      <c r="U103" s="46">
        <f t="shared" si="64"/>
        <v>3587.2019999999998</v>
      </c>
      <c r="V103" s="32">
        <f t="shared" si="75"/>
        <v>434.7022</v>
      </c>
      <c r="W103" s="46">
        <f t="shared" si="76"/>
        <v>3152.4997999999996</v>
      </c>
      <c r="X103" s="32">
        <f t="shared" si="77"/>
        <v>0</v>
      </c>
      <c r="Y103" s="32">
        <v>10.23</v>
      </c>
      <c r="Z103" s="32" t="str">
        <f t="shared" si="78"/>
        <v>XX</v>
      </c>
      <c r="AA103" s="46" t="e">
        <f t="shared" si="79"/>
        <v>#VALUE!</v>
      </c>
      <c r="AB103" s="52"/>
      <c r="AC103" s="52"/>
      <c r="AD103" s="47">
        <f t="shared" si="80"/>
        <v>-3152.4997999999996</v>
      </c>
      <c r="AE103" s="35">
        <v>56708881963</v>
      </c>
      <c r="AF103" s="35" t="s">
        <v>138</v>
      </c>
    </row>
    <row r="104" spans="1:186" s="18" customFormat="1">
      <c r="A104" s="33" t="s">
        <v>39</v>
      </c>
      <c r="B104" s="33" t="s">
        <v>59</v>
      </c>
      <c r="C104" s="33" t="s">
        <v>42</v>
      </c>
      <c r="D104" s="50">
        <v>41666</v>
      </c>
      <c r="E104" s="34">
        <v>739.2</v>
      </c>
      <c r="F104" s="34">
        <f>2456.4+7.428+341.688</f>
        <v>2805.5160000000001</v>
      </c>
      <c r="G104" s="34"/>
      <c r="H104" s="34"/>
      <c r="I104" s="46">
        <f t="shared" si="63"/>
        <v>2805.5160000000001</v>
      </c>
      <c r="J104" s="34"/>
      <c r="K104" s="62"/>
      <c r="L104" s="34"/>
      <c r="M104" s="34">
        <v>200</v>
      </c>
      <c r="N104" s="63"/>
      <c r="O104" s="63"/>
      <c r="P104" s="34"/>
      <c r="Q104" s="32"/>
      <c r="R104" s="32"/>
      <c r="S104" s="33"/>
      <c r="T104" s="33">
        <v>442.08</v>
      </c>
      <c r="U104" s="46">
        <f t="shared" si="64"/>
        <v>2163.4360000000001</v>
      </c>
      <c r="V104" s="32">
        <f t="shared" si="75"/>
        <v>280.55160000000001</v>
      </c>
      <c r="W104" s="46">
        <f t="shared" si="76"/>
        <v>1882.8844000000001</v>
      </c>
      <c r="X104" s="32">
        <f t="shared" si="77"/>
        <v>0</v>
      </c>
      <c r="Y104" s="32">
        <v>10.23</v>
      </c>
      <c r="Z104" s="32">
        <f t="shared" si="78"/>
        <v>0</v>
      </c>
      <c r="AA104" s="46">
        <f t="shared" si="79"/>
        <v>2815.7460000000001</v>
      </c>
      <c r="AB104" s="52"/>
      <c r="AC104" s="53"/>
      <c r="AD104" s="47">
        <f t="shared" si="80"/>
        <v>-1882.8844000000001</v>
      </c>
      <c r="AE104" s="35">
        <v>56708845990</v>
      </c>
      <c r="AF104" s="33"/>
    </row>
    <row r="105" spans="1:186" s="18" customFormat="1">
      <c r="A105" s="33" t="s">
        <v>39</v>
      </c>
      <c r="B105" s="33" t="s">
        <v>146</v>
      </c>
      <c r="C105" s="33" t="s">
        <v>42</v>
      </c>
      <c r="D105" s="50">
        <v>42809</v>
      </c>
      <c r="E105" s="34">
        <v>560.28</v>
      </c>
      <c r="F105" s="34">
        <f>4125.24+13.099+825.237</f>
        <v>4963.576</v>
      </c>
      <c r="G105" s="34"/>
      <c r="H105" s="34"/>
      <c r="I105" s="46">
        <f t="shared" si="63"/>
        <v>4963.576</v>
      </c>
      <c r="J105" s="34"/>
      <c r="K105" s="62"/>
      <c r="L105" s="34"/>
      <c r="M105" s="34"/>
      <c r="N105" s="63"/>
      <c r="O105" s="63"/>
      <c r="P105" s="34"/>
      <c r="Q105" s="32"/>
      <c r="R105" s="32"/>
      <c r="S105" s="33"/>
      <c r="T105" s="33"/>
      <c r="U105" s="46">
        <f t="shared" si="64"/>
        <v>4963.576</v>
      </c>
      <c r="V105" s="32"/>
      <c r="W105" s="46"/>
      <c r="X105" s="32"/>
      <c r="Y105" s="32"/>
      <c r="Z105" s="32"/>
      <c r="AA105" s="46"/>
      <c r="AB105" s="52"/>
      <c r="AC105" s="53"/>
      <c r="AD105" s="47"/>
      <c r="AE105" s="35">
        <v>60589597089</v>
      </c>
      <c r="AF105" s="35"/>
    </row>
    <row r="106" spans="1:186" s="18" customFormat="1">
      <c r="A106" s="33" t="s">
        <v>39</v>
      </c>
      <c r="B106" s="33" t="s">
        <v>180</v>
      </c>
      <c r="C106" s="33" t="s">
        <v>42</v>
      </c>
      <c r="D106" s="50">
        <v>42923</v>
      </c>
      <c r="E106" s="34">
        <v>1200.01</v>
      </c>
      <c r="F106" s="34">
        <v>0</v>
      </c>
      <c r="G106" s="34"/>
      <c r="H106" s="34"/>
      <c r="I106" s="46">
        <f t="shared" si="63"/>
        <v>0</v>
      </c>
      <c r="J106" s="34"/>
      <c r="K106" s="62"/>
      <c r="L106" s="34"/>
      <c r="M106" s="34"/>
      <c r="N106" s="63"/>
      <c r="O106" s="63"/>
      <c r="P106" s="34"/>
      <c r="Q106" s="32"/>
      <c r="R106" s="32"/>
      <c r="S106" s="33"/>
      <c r="T106" s="33"/>
      <c r="U106" s="46">
        <f t="shared" si="64"/>
        <v>0</v>
      </c>
      <c r="V106" s="32"/>
      <c r="W106" s="46"/>
      <c r="X106" s="32"/>
      <c r="Y106" s="32"/>
      <c r="Z106" s="32"/>
      <c r="AA106" s="46"/>
      <c r="AB106" s="52"/>
      <c r="AC106" s="53"/>
      <c r="AD106" s="47"/>
      <c r="AE106" s="35">
        <v>56708881977</v>
      </c>
      <c r="AF106" s="35"/>
    </row>
    <row r="107" spans="1:186" s="18" customFormat="1">
      <c r="A107" s="33" t="s">
        <v>41</v>
      </c>
      <c r="B107" s="33" t="s">
        <v>137</v>
      </c>
      <c r="C107" s="33" t="s">
        <v>109</v>
      </c>
      <c r="D107" s="50">
        <v>42752</v>
      </c>
      <c r="E107" s="34">
        <v>560.28</v>
      </c>
      <c r="F107" s="34">
        <v>415</v>
      </c>
      <c r="G107" s="34"/>
      <c r="H107" s="34"/>
      <c r="I107" s="46">
        <f t="shared" si="63"/>
        <v>415</v>
      </c>
      <c r="J107" s="34"/>
      <c r="K107" s="62"/>
      <c r="L107" s="34"/>
      <c r="M107" s="34"/>
      <c r="N107" s="63" t="s">
        <v>156</v>
      </c>
      <c r="O107" s="63" t="s">
        <v>156</v>
      </c>
      <c r="P107" s="34"/>
      <c r="Q107" s="32"/>
      <c r="R107" s="32"/>
      <c r="S107" s="33"/>
      <c r="T107" s="33"/>
      <c r="U107" s="46">
        <f t="shared" si="64"/>
        <v>415</v>
      </c>
      <c r="V107" s="32">
        <f t="shared" ref="V107" si="89">IF(I107&gt;2250,I107*0.1,0)</f>
        <v>0</v>
      </c>
      <c r="W107" s="46">
        <f t="shared" ref="W107" si="90">+U107-V107</f>
        <v>415</v>
      </c>
      <c r="X107" s="32"/>
      <c r="Y107" s="32"/>
      <c r="Z107" s="32"/>
      <c r="AA107" s="46"/>
      <c r="AB107" s="52"/>
      <c r="AC107" s="53"/>
      <c r="AD107" s="47"/>
      <c r="AE107" s="35">
        <v>60589634536</v>
      </c>
      <c r="AF107" s="35"/>
    </row>
    <row r="108" spans="1:186" s="18" customFormat="1">
      <c r="A108" s="33" t="s">
        <v>41</v>
      </c>
      <c r="B108" s="33" t="s">
        <v>108</v>
      </c>
      <c r="C108" s="33" t="s">
        <v>112</v>
      </c>
      <c r="D108" s="50">
        <v>29733</v>
      </c>
      <c r="E108" s="34">
        <v>627.13</v>
      </c>
      <c r="F108" s="34">
        <f>3389.396+3.714+38.114</f>
        <v>3431.2240000000002</v>
      </c>
      <c r="G108" s="34"/>
      <c r="H108" s="34"/>
      <c r="I108" s="46">
        <f t="shared" si="63"/>
        <v>3431.2240000000002</v>
      </c>
      <c r="J108" s="34">
        <f>470.2+117.55</f>
        <v>587.75</v>
      </c>
      <c r="K108" s="62"/>
      <c r="L108" s="34"/>
      <c r="M108" s="34">
        <v>150</v>
      </c>
      <c r="N108" s="63" t="s">
        <v>156</v>
      </c>
      <c r="O108" s="63" t="s">
        <v>156</v>
      </c>
      <c r="P108" s="34"/>
      <c r="Q108" s="32"/>
      <c r="R108" s="32"/>
      <c r="S108" s="33"/>
      <c r="T108" s="33"/>
      <c r="U108" s="46">
        <f t="shared" si="64"/>
        <v>2693.4740000000002</v>
      </c>
      <c r="V108" s="32">
        <f t="shared" si="75"/>
        <v>343.12240000000003</v>
      </c>
      <c r="W108" s="46">
        <f t="shared" si="76"/>
        <v>2350.3516</v>
      </c>
      <c r="X108" s="32">
        <f t="shared" si="77"/>
        <v>0</v>
      </c>
      <c r="Y108" s="32">
        <v>10.23</v>
      </c>
      <c r="Z108" s="32" t="str">
        <f t="shared" si="78"/>
        <v>XX</v>
      </c>
      <c r="AA108" s="46" t="e">
        <f t="shared" si="79"/>
        <v>#VALUE!</v>
      </c>
      <c r="AB108" s="52"/>
      <c r="AC108" s="53"/>
      <c r="AD108" s="47">
        <f t="shared" si="80"/>
        <v>-2350.3516</v>
      </c>
      <c r="AE108" s="35">
        <v>60589747903</v>
      </c>
      <c r="AF108" s="35" t="s">
        <v>138</v>
      </c>
    </row>
    <row r="109" spans="1:186" s="18" customFormat="1">
      <c r="A109" s="33" t="s">
        <v>39</v>
      </c>
      <c r="B109" s="33" t="s">
        <v>116</v>
      </c>
      <c r="C109" s="33" t="s">
        <v>132</v>
      </c>
      <c r="D109" s="50">
        <v>42604</v>
      </c>
      <c r="E109" s="34">
        <v>560.28</v>
      </c>
      <c r="F109" s="34">
        <v>136.1</v>
      </c>
      <c r="G109" s="34"/>
      <c r="H109" s="34"/>
      <c r="I109" s="46">
        <f t="shared" si="63"/>
        <v>136.1</v>
      </c>
      <c r="J109" s="34"/>
      <c r="K109" s="62"/>
      <c r="L109" s="34"/>
      <c r="M109" s="34"/>
      <c r="N109" s="63" t="s">
        <v>156</v>
      </c>
      <c r="O109" s="63" t="s">
        <v>156</v>
      </c>
      <c r="P109" s="34"/>
      <c r="Q109" s="32"/>
      <c r="R109" s="32"/>
      <c r="S109" s="33"/>
      <c r="T109" s="33"/>
      <c r="U109" s="46">
        <f t="shared" si="64"/>
        <v>136.1</v>
      </c>
      <c r="V109" s="32">
        <f t="shared" ref="V109" si="91">IF(I109&gt;2250,I109*0.1,0)</f>
        <v>0</v>
      </c>
      <c r="W109" s="46">
        <f t="shared" ref="W109" si="92">+U109-V109</f>
        <v>136.1</v>
      </c>
      <c r="X109" s="32"/>
      <c r="Y109" s="32"/>
      <c r="Z109" s="32"/>
      <c r="AA109" s="46"/>
      <c r="AB109" s="52"/>
      <c r="AC109" s="58"/>
      <c r="AD109" s="47"/>
      <c r="AE109" s="35">
        <v>60590218306</v>
      </c>
      <c r="AF109" s="33"/>
    </row>
    <row r="110" spans="1:186" s="18" customFormat="1">
      <c r="A110" s="33" t="s">
        <v>39</v>
      </c>
      <c r="B110" s="33" t="s">
        <v>35</v>
      </c>
      <c r="C110" s="33" t="s">
        <v>42</v>
      </c>
      <c r="D110" s="50">
        <v>42361</v>
      </c>
      <c r="E110" s="34">
        <v>739.2</v>
      </c>
      <c r="F110" s="34">
        <f>2082.6+7.428+289.692</f>
        <v>2379.7199999999998</v>
      </c>
      <c r="G110" s="34"/>
      <c r="H110" s="34"/>
      <c r="I110" s="46">
        <f t="shared" si="63"/>
        <v>2379.7199999999998</v>
      </c>
      <c r="J110" s="34"/>
      <c r="K110" s="62"/>
      <c r="L110" s="34"/>
      <c r="M110" s="34"/>
      <c r="N110" s="63"/>
      <c r="O110" s="63"/>
      <c r="P110" s="34"/>
      <c r="Q110" s="32"/>
      <c r="R110" s="32"/>
      <c r="S110" s="33"/>
      <c r="T110" s="33"/>
      <c r="U110" s="46">
        <f t="shared" si="64"/>
        <v>2379.7199999999998</v>
      </c>
      <c r="V110" s="32">
        <f>IF(I110&gt;2250,I110*0.1,0)</f>
        <v>237.97199999999998</v>
      </c>
      <c r="W110" s="46">
        <f>+U110-V110</f>
        <v>2141.7479999999996</v>
      </c>
      <c r="X110" s="32">
        <f>IF(I110&lt;2250,I110*0.1,0)</f>
        <v>0</v>
      </c>
      <c r="Y110" s="32">
        <v>10.23</v>
      </c>
      <c r="Z110" s="32">
        <f>+N110</f>
        <v>0</v>
      </c>
      <c r="AA110" s="46">
        <f>+I110+X110+Y110+Z110</f>
        <v>2389.9499999999998</v>
      </c>
      <c r="AB110" s="52"/>
      <c r="AC110" s="57"/>
      <c r="AD110" s="47">
        <f>+AB110+AC110-W110</f>
        <v>-2141.7479999999996</v>
      </c>
      <c r="AE110" s="35">
        <v>56708846047</v>
      </c>
      <c r="AF110" s="35"/>
    </row>
    <row r="111" spans="1:186" s="18" customFormat="1">
      <c r="A111" s="33" t="s">
        <v>39</v>
      </c>
      <c r="B111" s="33" t="s">
        <v>58</v>
      </c>
      <c r="C111" s="33" t="s">
        <v>42</v>
      </c>
      <c r="D111" s="50">
        <v>41549</v>
      </c>
      <c r="E111" s="34">
        <v>739.2</v>
      </c>
      <c r="F111" s="34">
        <f>4423.174+13.099+884.837</f>
        <v>5321.1100000000006</v>
      </c>
      <c r="G111" s="34"/>
      <c r="H111" s="34"/>
      <c r="I111" s="46">
        <f t="shared" si="63"/>
        <v>5321.1100000000006</v>
      </c>
      <c r="J111" s="34"/>
      <c r="K111" s="62"/>
      <c r="L111" s="34"/>
      <c r="M111" s="34">
        <v>500</v>
      </c>
      <c r="N111" s="63"/>
      <c r="O111" s="63"/>
      <c r="P111" s="34"/>
      <c r="Q111" s="32"/>
      <c r="R111" s="32"/>
      <c r="S111" s="33"/>
      <c r="T111" s="33"/>
      <c r="U111" s="46">
        <f t="shared" si="64"/>
        <v>4821.1100000000006</v>
      </c>
      <c r="V111" s="32">
        <f>IF(I111&gt;2250,I111*0.1,0)</f>
        <v>532.1110000000001</v>
      </c>
      <c r="W111" s="46">
        <f>+U111-V111</f>
        <v>4288.9990000000007</v>
      </c>
      <c r="X111" s="32">
        <f>IF(I111&lt;2250,I111*0.1,0)</f>
        <v>0</v>
      </c>
      <c r="Y111" s="32">
        <v>10.23</v>
      </c>
      <c r="Z111" s="32">
        <f>+N111</f>
        <v>0</v>
      </c>
      <c r="AA111" s="46">
        <f>+I111+X111+Y111+Z111</f>
        <v>5331.34</v>
      </c>
      <c r="AB111" s="52"/>
      <c r="AC111" s="53"/>
      <c r="AD111" s="47">
        <f>+AB111+AC111-W111</f>
        <v>-4288.9990000000007</v>
      </c>
      <c r="AE111" s="35">
        <v>56708846050</v>
      </c>
      <c r="AF111" s="35"/>
    </row>
    <row r="112" spans="1:186">
      <c r="A112" s="28"/>
      <c r="B112" s="33"/>
      <c r="C112" s="28"/>
      <c r="D112" s="61"/>
      <c r="E112" s="61"/>
      <c r="F112" s="30"/>
      <c r="G112" s="30"/>
      <c r="H112" s="30"/>
      <c r="I112" s="46">
        <f t="shared" si="63"/>
        <v>0</v>
      </c>
      <c r="J112" s="34"/>
      <c r="K112" s="34"/>
      <c r="L112" s="34"/>
      <c r="M112" s="34"/>
      <c r="N112" s="34"/>
      <c r="O112" s="34"/>
      <c r="P112" s="34"/>
      <c r="Q112" s="32"/>
      <c r="R112" s="32"/>
      <c r="S112" s="32"/>
      <c r="T112" s="32"/>
      <c r="U112" s="46"/>
      <c r="V112" s="32"/>
      <c r="W112" s="46"/>
      <c r="X112" s="56"/>
      <c r="Y112" s="56"/>
      <c r="Z112" s="56"/>
      <c r="AA112" s="55"/>
      <c r="AB112" s="44"/>
      <c r="AC112" s="44"/>
      <c r="AD112" s="39"/>
      <c r="AE112" s="28"/>
      <c r="AF112" s="2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</row>
    <row r="113" spans="1:186">
      <c r="A113" s="28"/>
      <c r="B113" s="35" t="s">
        <v>141</v>
      </c>
      <c r="C113" s="28"/>
      <c r="D113" s="61"/>
      <c r="E113" s="38">
        <f>SUM(E67:E111)</f>
        <v>29234.25</v>
      </c>
      <c r="F113" s="38">
        <f>SUM(F67:F111)</f>
        <v>105570.8</v>
      </c>
      <c r="G113" s="38">
        <f t="shared" ref="G113:W113" si="93">SUM(G67:G111)</f>
        <v>0</v>
      </c>
      <c r="H113" s="38">
        <f t="shared" si="93"/>
        <v>2037.4</v>
      </c>
      <c r="I113" s="46">
        <f t="shared" si="63"/>
        <v>107608.2</v>
      </c>
      <c r="J113" s="38">
        <f t="shared" si="93"/>
        <v>2306.42</v>
      </c>
      <c r="K113" s="38">
        <f t="shared" si="93"/>
        <v>1</v>
      </c>
      <c r="L113" s="38">
        <f t="shared" si="93"/>
        <v>0</v>
      </c>
      <c r="M113" s="38">
        <f t="shared" si="93"/>
        <v>4200</v>
      </c>
      <c r="N113" s="38">
        <f t="shared" si="93"/>
        <v>0</v>
      </c>
      <c r="O113" s="38">
        <f t="shared" si="93"/>
        <v>0</v>
      </c>
      <c r="P113" s="38">
        <f t="shared" si="93"/>
        <v>343.11</v>
      </c>
      <c r="Q113" s="38">
        <f t="shared" si="93"/>
        <v>0</v>
      </c>
      <c r="R113" s="38">
        <f t="shared" si="93"/>
        <v>0</v>
      </c>
      <c r="S113" s="38">
        <f t="shared" si="93"/>
        <v>0</v>
      </c>
      <c r="T113" s="38">
        <f t="shared" si="93"/>
        <v>1107.24</v>
      </c>
      <c r="U113" s="38">
        <f t="shared" si="93"/>
        <v>99650.430000000022</v>
      </c>
      <c r="V113" s="38">
        <f t="shared" si="93"/>
        <v>6368.7303000000002</v>
      </c>
      <c r="W113" s="38">
        <f t="shared" si="93"/>
        <v>67198.353300000002</v>
      </c>
      <c r="X113" s="56"/>
      <c r="Y113" s="56"/>
      <c r="Z113" s="56"/>
      <c r="AA113" s="55"/>
      <c r="AB113" s="44"/>
      <c r="AC113" s="44"/>
      <c r="AD113" s="39"/>
      <c r="AE113" s="28"/>
      <c r="AF113" s="2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</row>
    <row r="114" spans="1:186">
      <c r="B114" s="20"/>
      <c r="AA114" s="14" t="e">
        <f>+#REF!*0.16</f>
        <v>#REF!</v>
      </c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</row>
    <row r="115" spans="1:186"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</row>
    <row r="116" spans="1:186"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</row>
    <row r="117" spans="1:186"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</row>
    <row r="118" spans="1:186" ht="23.25">
      <c r="A118" s="102" t="s">
        <v>25</v>
      </c>
      <c r="B118" s="102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 s="18" customFormat="1" ht="15.75">
      <c r="A119" s="66" t="s">
        <v>40</v>
      </c>
      <c r="B119" s="66" t="s">
        <v>125</v>
      </c>
      <c r="C119" s="66" t="s">
        <v>44</v>
      </c>
      <c r="D119" s="50">
        <v>42199</v>
      </c>
      <c r="E119" s="34">
        <v>1633</v>
      </c>
      <c r="F119" s="34"/>
      <c r="G119" s="34"/>
      <c r="H119" s="34"/>
      <c r="I119" s="46">
        <f t="shared" ref="I119:I123" si="94">SUM(F119:H119)</f>
        <v>0</v>
      </c>
      <c r="J119" s="34"/>
      <c r="K119" s="62"/>
      <c r="L119" s="34"/>
      <c r="M119" s="34">
        <v>150</v>
      </c>
      <c r="N119" s="63"/>
      <c r="O119" s="63"/>
      <c r="P119" s="34"/>
      <c r="Q119" s="32"/>
      <c r="R119" s="64"/>
      <c r="S119" s="33"/>
      <c r="T119" s="59"/>
      <c r="U119" s="46">
        <f t="shared" ref="U119:U123" si="95">+I119-SUM(J119:T119)</f>
        <v>-150</v>
      </c>
      <c r="V119" s="32">
        <v>0</v>
      </c>
      <c r="W119" s="46">
        <v>-150</v>
      </c>
      <c r="X119" s="32"/>
      <c r="Y119" s="32"/>
      <c r="Z119" s="32"/>
      <c r="AA119" s="46"/>
      <c r="AB119" s="54"/>
      <c r="AC119" s="52"/>
      <c r="AD119" s="47"/>
      <c r="AE119" s="33">
        <v>60590405464</v>
      </c>
      <c r="AF119" s="68"/>
    </row>
    <row r="120" spans="1:186">
      <c r="A120" s="66" t="s">
        <v>38</v>
      </c>
      <c r="B120" s="66" t="s">
        <v>114</v>
      </c>
      <c r="C120" s="66" t="s">
        <v>44</v>
      </c>
      <c r="D120" s="50">
        <v>34275</v>
      </c>
      <c r="E120" s="34">
        <v>1633</v>
      </c>
      <c r="F120" s="34"/>
      <c r="G120" s="34"/>
      <c r="H120" s="34"/>
      <c r="I120" s="46">
        <f t="shared" si="94"/>
        <v>0</v>
      </c>
      <c r="J120" s="34"/>
      <c r="K120" s="62"/>
      <c r="L120" s="34"/>
      <c r="M120" s="34"/>
      <c r="N120" s="63"/>
      <c r="O120" s="63"/>
      <c r="P120" s="34"/>
      <c r="Q120" s="32"/>
      <c r="R120" s="32"/>
      <c r="S120" s="33"/>
      <c r="T120" s="33"/>
      <c r="U120" s="46">
        <f t="shared" si="95"/>
        <v>0</v>
      </c>
      <c r="V120" s="32">
        <v>0</v>
      </c>
      <c r="W120" s="46">
        <v>0</v>
      </c>
      <c r="X120" s="56"/>
      <c r="Y120" s="56"/>
      <c r="Z120" s="56"/>
      <c r="AA120" s="55"/>
      <c r="AB120" s="44"/>
      <c r="AC120" s="44"/>
      <c r="AD120" s="39"/>
      <c r="AE120" s="28">
        <v>60590317373</v>
      </c>
      <c r="AF120" s="6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121" s="66" t="s">
        <v>40</v>
      </c>
      <c r="B121" s="66" t="s">
        <v>139</v>
      </c>
      <c r="C121" s="66" t="s">
        <v>140</v>
      </c>
      <c r="D121" s="50">
        <v>38825</v>
      </c>
      <c r="E121" s="34">
        <v>2100</v>
      </c>
      <c r="F121" s="34"/>
      <c r="G121" s="34"/>
      <c r="H121" s="34"/>
      <c r="I121" s="46">
        <f t="shared" si="94"/>
        <v>0</v>
      </c>
      <c r="J121" s="34"/>
      <c r="K121" s="62"/>
      <c r="L121" s="34"/>
      <c r="M121" s="34"/>
      <c r="N121" s="63"/>
      <c r="O121" s="63"/>
      <c r="P121" s="34"/>
      <c r="Q121" s="32"/>
      <c r="R121" s="32"/>
      <c r="S121" s="33"/>
      <c r="T121" s="33"/>
      <c r="U121" s="46">
        <f t="shared" si="95"/>
        <v>0</v>
      </c>
      <c r="V121" s="32"/>
      <c r="W121" s="46"/>
      <c r="X121" s="56"/>
      <c r="Y121" s="56"/>
      <c r="Z121" s="56"/>
      <c r="AA121" s="55"/>
      <c r="AB121" s="44"/>
      <c r="AC121" s="44"/>
      <c r="AD121" s="39"/>
      <c r="AE121" s="28">
        <v>56708845376</v>
      </c>
      <c r="AF121" s="6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122" s="66" t="s">
        <v>41</v>
      </c>
      <c r="B122" s="66" t="s">
        <v>144</v>
      </c>
      <c r="C122" s="66" t="s">
        <v>109</v>
      </c>
      <c r="D122" s="50">
        <v>42807</v>
      </c>
      <c r="E122" s="34">
        <v>560.28</v>
      </c>
      <c r="F122" s="34">
        <v>739.45399999999995</v>
      </c>
      <c r="G122" s="34"/>
      <c r="H122" s="34"/>
      <c r="I122" s="46">
        <f t="shared" si="94"/>
        <v>739.45399999999995</v>
      </c>
      <c r="J122" s="34"/>
      <c r="K122" s="62"/>
      <c r="L122" s="34"/>
      <c r="M122" s="34"/>
      <c r="N122" s="63"/>
      <c r="O122" s="63"/>
      <c r="P122" s="34"/>
      <c r="Q122" s="32"/>
      <c r="R122" s="32"/>
      <c r="S122" s="33"/>
      <c r="T122" s="33"/>
      <c r="U122" s="46">
        <f t="shared" si="95"/>
        <v>739.45399999999995</v>
      </c>
      <c r="V122" s="32"/>
      <c r="W122" s="46"/>
      <c r="X122" s="56"/>
      <c r="Y122" s="56"/>
      <c r="Z122" s="56"/>
      <c r="AA122" s="55"/>
      <c r="AB122" s="44"/>
      <c r="AC122" s="44"/>
      <c r="AD122" s="39"/>
      <c r="AE122" s="37" t="s">
        <v>134</v>
      </c>
      <c r="AF122" s="6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>
      <c r="A123" s="66" t="s">
        <v>38</v>
      </c>
      <c r="B123" s="66" t="s">
        <v>118</v>
      </c>
      <c r="C123" s="66" t="s">
        <v>117</v>
      </c>
      <c r="D123" s="50">
        <v>42809</v>
      </c>
      <c r="E123" s="34">
        <v>937.5</v>
      </c>
      <c r="F123" s="34"/>
      <c r="G123" s="34"/>
      <c r="H123" s="34"/>
      <c r="I123" s="46">
        <f t="shared" si="94"/>
        <v>0</v>
      </c>
      <c r="J123" s="34">
        <v>166.66</v>
      </c>
      <c r="K123" s="62"/>
      <c r="L123" s="34"/>
      <c r="M123" s="34"/>
      <c r="N123" s="63"/>
      <c r="O123" s="63"/>
      <c r="P123" s="34"/>
      <c r="Q123" s="32"/>
      <c r="R123" s="32"/>
      <c r="S123" s="33"/>
      <c r="T123" s="33"/>
      <c r="U123" s="46">
        <f t="shared" si="95"/>
        <v>-166.66</v>
      </c>
      <c r="V123" s="32"/>
      <c r="W123" s="46"/>
      <c r="X123" s="56"/>
      <c r="Y123" s="56"/>
      <c r="Z123" s="56"/>
      <c r="AA123" s="55"/>
      <c r="AB123" s="44"/>
      <c r="AC123" s="44"/>
      <c r="AD123" s="39"/>
      <c r="AE123" s="28">
        <v>60590314454</v>
      </c>
      <c r="AF123" s="68" t="s">
        <v>185</v>
      </c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19" t="s">
        <v>17</v>
      </c>
      <c r="B128" s="13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129" s="19" t="s">
        <v>18</v>
      </c>
      <c r="B129" s="13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130" s="19" t="s">
        <v>19</v>
      </c>
      <c r="B130" s="13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131" s="19" t="s">
        <v>20</v>
      </c>
      <c r="B131" s="13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132" s="19" t="s">
        <v>21</v>
      </c>
      <c r="B132" s="13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133" s="19" t="s">
        <v>22</v>
      </c>
      <c r="B133" s="13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7" spans="1:186">
      <c r="B137" s="17"/>
    </row>
    <row r="138" spans="1:186">
      <c r="B138" s="17"/>
    </row>
    <row r="139" spans="1:186">
      <c r="B139" s="17"/>
    </row>
  </sheetData>
  <sheetProtection selectLockedCells="1" selectUnlockedCells="1"/>
  <autoFilter ref="A5:AF62">
    <filterColumn colId="2"/>
    <filterColumn colId="4"/>
    <filterColumn colId="27" showButton="0"/>
    <sortState ref="A8:AH99">
      <sortCondition ref="B5:B99"/>
    </sortState>
  </autoFilter>
  <mergeCells count="32">
    <mergeCell ref="A118:B118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66:B66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2017-08-04T16:59:07Z</dcterms:modified>
</cp:coreProperties>
</file>