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NOMINA'!$A$5:$AH$72</definedName>
  </definedNames>
  <calcPr calcId="124519"/>
</workbook>
</file>

<file path=xl/calcChain.xml><?xml version="1.0" encoding="utf-8"?>
<calcChain xmlns="http://schemas.openxmlformats.org/spreadsheetml/2006/main">
  <c r="W116" i="4"/>
  <c r="Y116" s="1"/>
  <c r="X116"/>
  <c r="K116"/>
  <c r="W51"/>
  <c r="Y51" s="1"/>
  <c r="X51"/>
  <c r="W23"/>
  <c r="Y23" s="1"/>
  <c r="X23"/>
  <c r="W24"/>
  <c r="X24"/>
  <c r="Y24"/>
  <c r="K51"/>
  <c r="K24"/>
  <c r="W110"/>
  <c r="Y110" s="1"/>
  <c r="X110"/>
  <c r="K110"/>
  <c r="G64" l="1"/>
  <c r="G23"/>
  <c r="G44"/>
  <c r="G81"/>
  <c r="G102"/>
  <c r="G106"/>
  <c r="G109"/>
  <c r="G107"/>
  <c r="G85"/>
  <c r="G98"/>
  <c r="G120"/>
  <c r="G115"/>
  <c r="G88"/>
  <c r="G93"/>
  <c r="G87"/>
  <c r="G108"/>
  <c r="G89"/>
  <c r="G119"/>
  <c r="G104"/>
  <c r="G83"/>
  <c r="G117"/>
  <c r="G99"/>
  <c r="G103"/>
  <c r="G101"/>
  <c r="G84"/>
  <c r="G80"/>
  <c r="G97"/>
  <c r="G114"/>
  <c r="G95"/>
  <c r="G96"/>
  <c r="G77"/>
  <c r="K55" l="1"/>
  <c r="X55" s="1"/>
  <c r="W55" l="1"/>
  <c r="Y55" s="1"/>
  <c r="K25"/>
  <c r="K86" l="1"/>
  <c r="X86" s="1"/>
  <c r="K56"/>
  <c r="X56" s="1"/>
  <c r="N74"/>
  <c r="W86" l="1"/>
  <c r="Y86" s="1"/>
  <c r="W56"/>
  <c r="Y56" s="1"/>
  <c r="K9"/>
  <c r="X9" s="1"/>
  <c r="W9" l="1"/>
  <c r="Y9" s="1"/>
  <c r="K100" l="1"/>
  <c r="X100" s="1"/>
  <c r="W100" l="1"/>
  <c r="Y100" s="1"/>
  <c r="K11"/>
  <c r="W11" s="1"/>
  <c r="X11" l="1"/>
  <c r="Y11" s="1"/>
  <c r="G74"/>
  <c r="K111" l="1"/>
  <c r="W111" s="1"/>
  <c r="K71"/>
  <c r="X71" s="1"/>
  <c r="V74"/>
  <c r="W71" l="1"/>
  <c r="Y71" s="1"/>
  <c r="X111"/>
  <c r="Y111" s="1"/>
  <c r="K50"/>
  <c r="X50" s="1"/>
  <c r="W50" l="1"/>
  <c r="Y50" s="1"/>
  <c r="K7"/>
  <c r="W7" s="1"/>
  <c r="X7" l="1"/>
  <c r="Y7" s="1"/>
  <c r="K37" l="1"/>
  <c r="X37" s="1"/>
  <c r="W37" l="1"/>
  <c r="Y37" s="1"/>
  <c r="K87"/>
  <c r="W87" s="1"/>
  <c r="X87" l="1"/>
  <c r="Y87" s="1"/>
  <c r="K29" l="1"/>
  <c r="X29" s="1"/>
  <c r="W29" l="1"/>
  <c r="Y29" s="1"/>
  <c r="K109"/>
  <c r="X109" s="1"/>
  <c r="K13"/>
  <c r="X13" s="1"/>
  <c r="W109" l="1"/>
  <c r="Y109" s="1"/>
  <c r="W13"/>
  <c r="Y13" s="1"/>
  <c r="K90" l="1"/>
  <c r="X90" s="1"/>
  <c r="W90" l="1"/>
  <c r="Y90" s="1"/>
  <c r="K94"/>
  <c r="X94" s="1"/>
  <c r="W94" l="1"/>
  <c r="Y94" s="1"/>
  <c r="K49"/>
  <c r="W49" s="1"/>
  <c r="X49" l="1"/>
  <c r="Y49" s="1"/>
  <c r="K27"/>
  <c r="X27" s="1"/>
  <c r="K48"/>
  <c r="X48" s="1"/>
  <c r="W48" l="1"/>
  <c r="Y48" s="1"/>
  <c r="W27"/>
  <c r="Y27" s="1"/>
  <c r="K60"/>
  <c r="X60" s="1"/>
  <c r="W60" l="1"/>
  <c r="Y60" s="1"/>
  <c r="K112"/>
  <c r="X112" s="1"/>
  <c r="W112" l="1"/>
  <c r="Y112" s="1"/>
  <c r="K28" l="1"/>
  <c r="X28" s="1"/>
  <c r="K72"/>
  <c r="X72" s="1"/>
  <c r="W28" l="1"/>
  <c r="Y28" s="1"/>
  <c r="W72"/>
  <c r="Y72" s="1"/>
  <c r="K63" l="1"/>
  <c r="W63" s="1"/>
  <c r="X63" l="1"/>
  <c r="Y63" s="1"/>
  <c r="Z63"/>
  <c r="J74" l="1"/>
  <c r="K118" l="1"/>
  <c r="W118" s="1"/>
  <c r="K91"/>
  <c r="W91" s="1"/>
  <c r="K30"/>
  <c r="X30" s="1"/>
  <c r="X91" l="1"/>
  <c r="Y91" s="1"/>
  <c r="X118"/>
  <c r="Y118" s="1"/>
  <c r="W30"/>
  <c r="Y30" s="1"/>
  <c r="K79" l="1"/>
  <c r="W79" s="1"/>
  <c r="Y79" s="1"/>
  <c r="X79" l="1"/>
  <c r="K70"/>
  <c r="X70" s="1"/>
  <c r="W70" l="1"/>
  <c r="Y70" s="1"/>
  <c r="AB52" l="1"/>
  <c r="AB18"/>
  <c r="K52" l="1"/>
  <c r="K18"/>
  <c r="X52" l="1"/>
  <c r="W52"/>
  <c r="Z52"/>
  <c r="AC52" s="1"/>
  <c r="W18"/>
  <c r="X18"/>
  <c r="Z18"/>
  <c r="AC18" s="1"/>
  <c r="Y52" l="1"/>
  <c r="Y18"/>
  <c r="K43"/>
  <c r="Z43" s="1"/>
  <c r="AB43"/>
  <c r="K66"/>
  <c r="W66" s="1"/>
  <c r="AB66"/>
  <c r="AC43" l="1"/>
  <c r="W43"/>
  <c r="X43"/>
  <c r="Z66"/>
  <c r="AC66" s="1"/>
  <c r="X66"/>
  <c r="Y66" s="1"/>
  <c r="AB32"/>
  <c r="K32"/>
  <c r="K78"/>
  <c r="W78" s="1"/>
  <c r="Y43" l="1"/>
  <c r="Z32"/>
  <c r="AC32" s="1"/>
  <c r="W32"/>
  <c r="X32"/>
  <c r="Y78"/>
  <c r="Z78"/>
  <c r="AC78" s="1"/>
  <c r="X78"/>
  <c r="Y32" l="1"/>
  <c r="AF32" s="1"/>
  <c r="AB57" l="1"/>
  <c r="K57"/>
  <c r="W57" s="1"/>
  <c r="Z57" l="1"/>
  <c r="AC57" s="1"/>
  <c r="X57"/>
  <c r="Y57" s="1"/>
  <c r="AB26" l="1"/>
  <c r="AB31"/>
  <c r="AB33"/>
  <c r="AB35"/>
  <c r="AB36"/>
  <c r="AB93"/>
  <c r="AB38"/>
  <c r="AB39"/>
  <c r="K26"/>
  <c r="W26" s="1"/>
  <c r="K33"/>
  <c r="X33" s="1"/>
  <c r="W33" l="1"/>
  <c r="Y33" s="1"/>
  <c r="Z26"/>
  <c r="AC26" s="1"/>
  <c r="Z33"/>
  <c r="AC33" s="1"/>
  <c r="X26"/>
  <c r="Y26" s="1"/>
  <c r="K39" l="1"/>
  <c r="Z39" l="1"/>
  <c r="AC39" s="1"/>
  <c r="W39"/>
  <c r="X39"/>
  <c r="Y39" l="1"/>
  <c r="K93"/>
  <c r="W93" l="1"/>
  <c r="X93"/>
  <c r="Z93"/>
  <c r="AC93" s="1"/>
  <c r="Y93" l="1"/>
  <c r="AB69" l="1"/>
  <c r="K69"/>
  <c r="K35"/>
  <c r="AB54"/>
  <c r="K54"/>
  <c r="Z35" l="1"/>
  <c r="AC35" s="1"/>
  <c r="W35"/>
  <c r="X35"/>
  <c r="W69"/>
  <c r="Z69"/>
  <c r="AC69" s="1"/>
  <c r="X54"/>
  <c r="Z54"/>
  <c r="AC54" s="1"/>
  <c r="X69"/>
  <c r="W54"/>
  <c r="AB59"/>
  <c r="K59"/>
  <c r="Z59" s="1"/>
  <c r="Y35" l="1"/>
  <c r="AF35" s="1"/>
  <c r="Y69"/>
  <c r="Y54"/>
  <c r="AC59"/>
  <c r="W59"/>
  <c r="X59"/>
  <c r="Y59" l="1"/>
  <c r="AF69" l="1"/>
  <c r="AF54" l="1"/>
  <c r="AB64"/>
  <c r="K99" l="1"/>
  <c r="X99" l="1"/>
  <c r="Z99"/>
  <c r="AB99"/>
  <c r="AC99" l="1"/>
  <c r="W99"/>
  <c r="Y99" s="1"/>
  <c r="AF99" s="1"/>
  <c r="AB23" l="1"/>
  <c r="K23"/>
  <c r="W25" l="1"/>
  <c r="Z23"/>
  <c r="AC23" s="1"/>
  <c r="X25"/>
  <c r="Y25" l="1"/>
  <c r="AF23" l="1"/>
  <c r="AB58" l="1"/>
  <c r="AF127" l="1"/>
  <c r="K36"/>
  <c r="X36" l="1"/>
  <c r="Z36"/>
  <c r="AC36" s="1"/>
  <c r="W36"/>
  <c r="AB65"/>
  <c r="K65" l="1"/>
  <c r="Z65" s="1"/>
  <c r="Y36"/>
  <c r="X65" l="1"/>
  <c r="W65"/>
  <c r="AC65"/>
  <c r="Y65" l="1"/>
  <c r="AF65" s="1"/>
  <c r="AB21" l="1"/>
  <c r="K108" l="1"/>
  <c r="X108" l="1"/>
  <c r="Z108"/>
  <c r="K21"/>
  <c r="AB120"/>
  <c r="AB119"/>
  <c r="AB68"/>
  <c r="AB67"/>
  <c r="AB115"/>
  <c r="AB62"/>
  <c r="AB61"/>
  <c r="AB107"/>
  <c r="AB106"/>
  <c r="AB53"/>
  <c r="AB102"/>
  <c r="AB47"/>
  <c r="AB46"/>
  <c r="AB45"/>
  <c r="AB98"/>
  <c r="AB44"/>
  <c r="AB42"/>
  <c r="AB41"/>
  <c r="AB40"/>
  <c r="AB22"/>
  <c r="AB85"/>
  <c r="AB20"/>
  <c r="AB19"/>
  <c r="AB17"/>
  <c r="AB16"/>
  <c r="AB14"/>
  <c r="AB15"/>
  <c r="AB12"/>
  <c r="AB10"/>
  <c r="AB8"/>
  <c r="X21" l="1"/>
  <c r="Z21"/>
  <c r="AC21" s="1"/>
  <c r="W21"/>
  <c r="AB108"/>
  <c r="Y21" l="1"/>
  <c r="AF21" s="1"/>
  <c r="AC108"/>
  <c r="W108"/>
  <c r="Y108" s="1"/>
  <c r="AF108" s="1"/>
  <c r="K107"/>
  <c r="X107" l="1"/>
  <c r="W107"/>
  <c r="Z107"/>
  <c r="AC107" s="1"/>
  <c r="AA74"/>
  <c r="K77"/>
  <c r="AE74"/>
  <c r="AD74"/>
  <c r="S74"/>
  <c r="R74"/>
  <c r="L74"/>
  <c r="I74"/>
  <c r="H74"/>
  <c r="K58"/>
  <c r="K120"/>
  <c r="K119"/>
  <c r="K117"/>
  <c r="K68"/>
  <c r="K64"/>
  <c r="Z64" s="1"/>
  <c r="K115"/>
  <c r="K114"/>
  <c r="K113"/>
  <c r="K62"/>
  <c r="K61"/>
  <c r="K106"/>
  <c r="K53"/>
  <c r="K104"/>
  <c r="K103"/>
  <c r="K102"/>
  <c r="K101"/>
  <c r="K47"/>
  <c r="K46"/>
  <c r="K45"/>
  <c r="K98"/>
  <c r="K97"/>
  <c r="K96"/>
  <c r="K95"/>
  <c r="K44"/>
  <c r="K42"/>
  <c r="K41"/>
  <c r="K40"/>
  <c r="K38"/>
  <c r="K89"/>
  <c r="K88"/>
  <c r="K85"/>
  <c r="K20"/>
  <c r="K84"/>
  <c r="K19"/>
  <c r="K83"/>
  <c r="K16"/>
  <c r="K81"/>
  <c r="K15"/>
  <c r="K12"/>
  <c r="K80"/>
  <c r="K10"/>
  <c r="Y107" l="1"/>
  <c r="AB101"/>
  <c r="K31"/>
  <c r="W38"/>
  <c r="X38"/>
  <c r="Z38"/>
  <c r="AC38" s="1"/>
  <c r="X53"/>
  <c r="Z53"/>
  <c r="AC53" s="1"/>
  <c r="X44"/>
  <c r="Z44"/>
  <c r="AC44" s="1"/>
  <c r="X41"/>
  <c r="Z41"/>
  <c r="AC41" s="1"/>
  <c r="X42"/>
  <c r="Z42"/>
  <c r="X47"/>
  <c r="Z47"/>
  <c r="AC47" s="1"/>
  <c r="X20"/>
  <c r="Z20"/>
  <c r="X40"/>
  <c r="Z40"/>
  <c r="X45"/>
  <c r="Z45"/>
  <c r="AC45" s="1"/>
  <c r="X46"/>
  <c r="Z46"/>
  <c r="X15"/>
  <c r="Z15"/>
  <c r="AC15" s="1"/>
  <c r="X10"/>
  <c r="Z10"/>
  <c r="AC10" s="1"/>
  <c r="X12"/>
  <c r="Z12"/>
  <c r="AC12" s="1"/>
  <c r="X19"/>
  <c r="Z19"/>
  <c r="AC19" s="1"/>
  <c r="X81"/>
  <c r="Z81"/>
  <c r="X106"/>
  <c r="Z106"/>
  <c r="AC106" s="1"/>
  <c r="X85"/>
  <c r="Z85"/>
  <c r="AC85" s="1"/>
  <c r="X83"/>
  <c r="Z83"/>
  <c r="X103"/>
  <c r="Z103"/>
  <c r="X101"/>
  <c r="Z101"/>
  <c r="X84"/>
  <c r="Z84"/>
  <c r="X80"/>
  <c r="Z80"/>
  <c r="X95"/>
  <c r="Z95"/>
  <c r="X88"/>
  <c r="Z88"/>
  <c r="X102"/>
  <c r="Z102"/>
  <c r="AC102" s="1"/>
  <c r="X98"/>
  <c r="Z98"/>
  <c r="AC98" s="1"/>
  <c r="X16"/>
  <c r="Z16"/>
  <c r="AC16" s="1"/>
  <c r="X62"/>
  <c r="Z62"/>
  <c r="X117"/>
  <c r="Z117"/>
  <c r="X115"/>
  <c r="Z115"/>
  <c r="AC115" s="1"/>
  <c r="X68"/>
  <c r="Z68"/>
  <c r="AC68" s="1"/>
  <c r="X120"/>
  <c r="Z120"/>
  <c r="AC120" s="1"/>
  <c r="X61"/>
  <c r="Z61"/>
  <c r="AC61" s="1"/>
  <c r="X114"/>
  <c r="Z114"/>
  <c r="X113"/>
  <c r="Z113"/>
  <c r="X119"/>
  <c r="Z119"/>
  <c r="AC119" s="1"/>
  <c r="W58"/>
  <c r="Z58"/>
  <c r="AC58" s="1"/>
  <c r="X104"/>
  <c r="Z104"/>
  <c r="X97"/>
  <c r="Z97"/>
  <c r="X96"/>
  <c r="Z96"/>
  <c r="X89"/>
  <c r="Z89"/>
  <c r="X64"/>
  <c r="X58"/>
  <c r="K17"/>
  <c r="Z17" s="1"/>
  <c r="K67"/>
  <c r="K14"/>
  <c r="T74"/>
  <c r="K22"/>
  <c r="AF107"/>
  <c r="AB96"/>
  <c r="AC64"/>
  <c r="W106"/>
  <c r="AB88"/>
  <c r="U74"/>
  <c r="W44"/>
  <c r="AB83"/>
  <c r="W47"/>
  <c r="W102"/>
  <c r="AF36"/>
  <c r="W12"/>
  <c r="W115"/>
  <c r="W68"/>
  <c r="W19"/>
  <c r="AB97"/>
  <c r="W119"/>
  <c r="AB95"/>
  <c r="W10"/>
  <c r="W16"/>
  <c r="W98"/>
  <c r="K8"/>
  <c r="AB81"/>
  <c r="AB89"/>
  <c r="AB80"/>
  <c r="W15"/>
  <c r="AB84"/>
  <c r="AF59"/>
  <c r="W85"/>
  <c r="W45"/>
  <c r="AB103"/>
  <c r="AB104"/>
  <c r="AB117"/>
  <c r="W41"/>
  <c r="W61"/>
  <c r="AB113"/>
  <c r="AB114"/>
  <c r="W53"/>
  <c r="W64"/>
  <c r="W120"/>
  <c r="W31" l="1"/>
  <c r="Z31"/>
  <c r="AC31" s="1"/>
  <c r="X31"/>
  <c r="Y38"/>
  <c r="Y15"/>
  <c r="AF15" s="1"/>
  <c r="Y68"/>
  <c r="AF68" s="1"/>
  <c r="Y120"/>
  <c r="AF120" s="1"/>
  <c r="Y16"/>
  <c r="AF16" s="1"/>
  <c r="Y53"/>
  <c r="AF53" s="1"/>
  <c r="Y41"/>
  <c r="AF41" s="1"/>
  <c r="Y98"/>
  <c r="AF98" s="1"/>
  <c r="Y44"/>
  <c r="AF44" s="1"/>
  <c r="X22"/>
  <c r="Z22"/>
  <c r="AC22" s="1"/>
  <c r="Z14"/>
  <c r="AC14" s="1"/>
  <c r="X8"/>
  <c r="Z8"/>
  <c r="AC8" s="1"/>
  <c r="Y119"/>
  <c r="AF119" s="1"/>
  <c r="X67"/>
  <c r="Z67"/>
  <c r="AC67" s="1"/>
  <c r="X17"/>
  <c r="W17"/>
  <c r="W77"/>
  <c r="X77" s="1"/>
  <c r="Y58"/>
  <c r="AF58" s="1"/>
  <c r="W14"/>
  <c r="X14"/>
  <c r="W67"/>
  <c r="AC17"/>
  <c r="W22"/>
  <c r="AF93"/>
  <c r="Y102"/>
  <c r="AF102" s="1"/>
  <c r="Y45"/>
  <c r="AF45" s="1"/>
  <c r="Y19"/>
  <c r="AF19" s="1"/>
  <c r="Y10"/>
  <c r="AF10" s="1"/>
  <c r="Y106"/>
  <c r="AF106" s="1"/>
  <c r="Y47"/>
  <c r="AF47" s="1"/>
  <c r="Y85"/>
  <c r="AF85" s="1"/>
  <c r="Y115"/>
  <c r="AF115" s="1"/>
  <c r="Y61"/>
  <c r="AF61" s="1"/>
  <c r="Y12"/>
  <c r="AF12" s="1"/>
  <c r="Y64"/>
  <c r="AF64" s="1"/>
  <c r="AC89"/>
  <c r="AC117"/>
  <c r="AC114"/>
  <c r="AC96"/>
  <c r="AC95"/>
  <c r="AC101"/>
  <c r="AC97"/>
  <c r="AC83"/>
  <c r="AC80"/>
  <c r="AC103"/>
  <c r="AC84"/>
  <c r="AC88"/>
  <c r="AC81"/>
  <c r="AC104"/>
  <c r="AC113"/>
  <c r="AB74"/>
  <c r="W96"/>
  <c r="Y96" s="1"/>
  <c r="AF96" s="1"/>
  <c r="W97"/>
  <c r="Y97" s="1"/>
  <c r="AF97" s="1"/>
  <c r="W114"/>
  <c r="Y114" s="1"/>
  <c r="AF114" s="1"/>
  <c r="W88"/>
  <c r="Y88" s="1"/>
  <c r="AF88" s="1"/>
  <c r="W40"/>
  <c r="AC40"/>
  <c r="AC20"/>
  <c r="AC62"/>
  <c r="W42"/>
  <c r="AC42"/>
  <c r="W46"/>
  <c r="AC46"/>
  <c r="W83"/>
  <c r="Y83" s="1"/>
  <c r="AF83" s="1"/>
  <c r="W20"/>
  <c r="W103"/>
  <c r="Y103" s="1"/>
  <c r="AF103" s="1"/>
  <c r="W104"/>
  <c r="Y104" s="1"/>
  <c r="AF104" s="1"/>
  <c r="W95"/>
  <c r="Y95" s="1"/>
  <c r="AF95" s="1"/>
  <c r="W89"/>
  <c r="Y89" s="1"/>
  <c r="AF89" s="1"/>
  <c r="W81"/>
  <c r="Y81" s="1"/>
  <c r="AF81" s="1"/>
  <c r="O74"/>
  <c r="W101"/>
  <c r="Y101" s="1"/>
  <c r="AF101" s="1"/>
  <c r="W117"/>
  <c r="Y117" s="1"/>
  <c r="AF117" s="1"/>
  <c r="P74"/>
  <c r="Q74"/>
  <c r="W8"/>
  <c r="W62"/>
  <c r="W84"/>
  <c r="Y84" s="1"/>
  <c r="AF84" s="1"/>
  <c r="W80"/>
  <c r="Y80" s="1"/>
  <c r="AF80" s="1"/>
  <c r="W113"/>
  <c r="Y113" s="1"/>
  <c r="AF113" s="1"/>
  <c r="Y31" l="1"/>
  <c r="AF31" s="1"/>
  <c r="Y22"/>
  <c r="AF22" s="1"/>
  <c r="Y17"/>
  <c r="AF17" s="1"/>
  <c r="Y67"/>
  <c r="AF67" s="1"/>
  <c r="Y77"/>
  <c r="Z77"/>
  <c r="AC77" s="1"/>
  <c r="AC125" s="1"/>
  <c r="AC126" s="1"/>
  <c r="Y14"/>
  <c r="AF14" s="1"/>
  <c r="AF38"/>
  <c r="Y20"/>
  <c r="AF20" s="1"/>
  <c r="Y42"/>
  <c r="Y40"/>
  <c r="AF40" s="1"/>
  <c r="Y62"/>
  <c r="AF62" s="1"/>
  <c r="Y46"/>
  <c r="AF46" s="1"/>
  <c r="Y8"/>
  <c r="AF8" s="1"/>
  <c r="K74" l="1"/>
  <c r="Z74"/>
  <c r="X74"/>
  <c r="W74" l="1"/>
  <c r="AC74"/>
  <c r="Y74" l="1"/>
  <c r="AF74"/>
  <c r="AC75"/>
  <c r="AC76" s="1"/>
</calcChain>
</file>

<file path=xl/comments1.xml><?xml version="1.0" encoding="utf-8"?>
<comments xmlns="http://schemas.openxmlformats.org/spreadsheetml/2006/main">
  <authors>
    <author>usuario</author>
  </authors>
  <commentList>
    <comment ref="G2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COMISION PENDIENTE DE LA SEMANA 1</t>
        </r>
      </text>
    </comment>
    <comment ref="G2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COMISION PENDIENTE DE LA SEMANA 1</t>
        </r>
      </text>
    </comment>
    <comment ref="G4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COMISION PENDIENTE DE LA SEMANA 1</t>
        </r>
      </text>
    </comment>
    <comment ref="G5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COMISION PENDIENTE DE LA SEMANA 1</t>
        </r>
      </text>
    </comment>
    <comment ref="G5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COMISION PENDIENTE DE LA SEMANA 1</t>
        </r>
      </text>
    </comment>
    <comment ref="G6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COMISION PENDIENTE DE LA SEMANA 1</t>
        </r>
      </text>
    </comment>
  </commentList>
</comments>
</file>

<file path=xl/sharedStrings.xml><?xml version="1.0" encoding="utf-8"?>
<sst xmlns="http://schemas.openxmlformats.org/spreadsheetml/2006/main" count="518" uniqueCount="252">
  <si>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</si>
  <si>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</si>
  <si>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</si>
  <si>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</si>
  <si>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</si>
  <si>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</si>
  <si>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</si>
  <si>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</si>
  <si>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</si>
  <si>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</si>
  <si>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</si>
  <si>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</si>
  <si>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</si>
  <si>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</si>
  <si>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</si>
  <si>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</si>
  <si>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</si>
  <si>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</si>
  <si>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</si>
  <si>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</si>
  <si>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</si>
  <si>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</si>
  <si>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</si>
  <si>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</si>
  <si>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</si>
  <si>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</si>
  <si>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</si>
  <si>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</si>
  <si>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</si>
  <si>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</si>
  <si>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</si>
  <si>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</si>
  <si>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</si>
  <si>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</si>
  <si>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</si>
  <si>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</si>
  <si>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</si>
  <si>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</si>
  <si>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</si>
  <si>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</si>
  <si>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</si>
  <si>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</si>
  <si>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</si>
  <si>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</si>
  <si>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</si>
  <si>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</si>
  <si>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</si>
  <si>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</si>
  <si>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</si>
  <si>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</si>
  <si>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</si>
  <si>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</si>
  <si>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</si>
  <si>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</si>
  <si>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</si>
  <si>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</si>
  <si>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</si>
  <si>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</si>
  <si>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</si>
  <si>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</si>
  <si>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</si>
  <si>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</si>
  <si>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</si>
  <si>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</si>
  <si>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</si>
  <si>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</si>
  <si>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</si>
  <si>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</si>
  <si>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</si>
  <si>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</si>
  <si>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</si>
  <si>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</si>
  <si>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</si>
  <si>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</si>
  <si>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</si>
  <si>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</si>
  <si>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</si>
  <si>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</si>
  <si>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</si>
  <si>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</si>
  <si>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</si>
  <si>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</si>
  <si>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</si>
  <si>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</si>
  <si>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</si>
  <si>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</si>
  <si>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</si>
  <si>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</si>
  <si>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</si>
  <si>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</si>
  <si>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</si>
  <si>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</si>
  <si>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</si>
  <si>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</si>
  <si>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</si>
  <si>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</si>
  <si>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</si>
  <si>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</si>
  <si>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</si>
  <si>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</si>
  <si>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</si>
  <si>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</si>
  <si>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</si>
  <si>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</si>
  <si>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</si>
  <si>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</si>
  <si>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</si>
  <si>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</si>
  <si>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</si>
  <si>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</si>
  <si>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</si>
  <si>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</si>
  <si>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</si>
  <si>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</si>
  <si>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</si>
  <si>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</si>
  <si>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</si>
  <si>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</si>
  <si>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</si>
  <si>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</si>
  <si>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</si>
  <si>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</si>
  <si>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</si>
  <si>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</si>
  <si>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</si>
  <si>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</si>
  <si>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</si>
  <si>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</si>
  <si>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</si>
  <si>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</si>
  <si>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</si>
  <si>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</si>
  <si>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</si>
  <si>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</si>
  <si>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</si>
  <si>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</si>
  <si>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</si>
  <si>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</si>
  <si>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</si>
  <si>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</si>
  <si>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</si>
  <si>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</si>
  <si>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</si>
  <si>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</si>
  <si>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</si>
  <si>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</si>
  <si>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</si>
  <si>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</si>
  <si>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</si>
  <si>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</si>
  <si>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</si>
  <si>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</si>
  <si>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</si>
  <si>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</si>
  <si>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</si>
  <si>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</si>
  <si>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</si>
  <si>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</si>
  <si>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</si>
  <si>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</si>
  <si>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</si>
  <si>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</si>
  <si>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</si>
  <si>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</si>
  <si>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</si>
  <si>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</si>
  <si>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</si>
  <si>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</si>
  <si>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</si>
  <si>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</si>
  <si>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</si>
  <si>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</si>
  <si>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</si>
  <si>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</si>
  <si>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</si>
  <si>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</si>
  <si>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</si>
  <si>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</si>
  <si>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</si>
  <si>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</si>
  <si>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</si>
  <si>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</si>
  <si>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</si>
  <si>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</si>
  <si>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</si>
  <si>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</si>
  <si>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</si>
  <si>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</si>
  <si>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</si>
  <si>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</si>
  <si>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</si>
  <si>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</si>
  <si>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</si>
  <si>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</si>
  <si>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</si>
  <si>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</si>
  <si>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</si>
  <si>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</si>
  <si>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</si>
  <si>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</si>
  <si>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</si>
  <si>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</si>
  <si>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</si>
  <si>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</si>
  <si>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</si>
  <si>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</si>
  <si>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</si>
  <si>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ARIAS MONROY JOSE</t>
  </si>
  <si>
    <t>ROMERO OLVERA MIGUEL ANGEL</t>
  </si>
  <si>
    <t>GAYTAN MARTINEZ RAUL</t>
  </si>
  <si>
    <t>DOMINGUEZ GUDIÑO OMAR</t>
  </si>
  <si>
    <t>HERNANDEZ SANCHEZ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</si>
  <si>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</si>
  <si>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</si>
  <si>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</si>
  <si>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</si>
  <si>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</si>
  <si>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FAVOR DE PASAR SU SUELDO A SINDICATO $1667 Y DESCONTARLE EL 10%</t>
  </si>
  <si>
    <t>RUIZ VARGAS FRANCISCO DE JESUS</t>
  </si>
  <si>
    <t>Ingenieria Fiscal Laboral S.C.</t>
  </si>
  <si>
    <t>VASQUEZ CHAVES LILIANA ANDREA</t>
  </si>
  <si>
    <t>NAVA RUBIO JAVIER</t>
  </si>
  <si>
    <t>PAEZ PAREDES ERICK JESUS</t>
  </si>
  <si>
    <t>TECNICO</t>
  </si>
  <si>
    <t>ALVIZAR ORGANISTA EDUARDO</t>
  </si>
  <si>
    <t>HERNANDEZ CASAS JUAN ROBERTO</t>
  </si>
  <si>
    <t>AVILEZ ARELLANO MARCOS</t>
  </si>
  <si>
    <t>EN TRAMITE</t>
  </si>
  <si>
    <t>DESCUENTO CTA 254 POR CONCEPTO DE OPTICA</t>
  </si>
  <si>
    <t>AGUILAR HERNANDEZ CARLA CECILIA</t>
  </si>
  <si>
    <t>RAMIREZ MOYA NESTOR</t>
  </si>
  <si>
    <t>DIAZ LEON HECTOR</t>
  </si>
  <si>
    <t>FLORES ALDRETE DANIEL</t>
  </si>
  <si>
    <t>PINEDA HERNANDEZ BRIANDA IVONNE</t>
  </si>
  <si>
    <t>Periodo Semana 3</t>
  </si>
  <si>
    <t>11/01/17 AL 17/01/17</t>
  </si>
  <si>
    <t>SUELDO SEMANAL $1,516 FAVOR DE PASAR SU SUELDO A SINDICATO Y DESCONTARLE EL 10%
DESCONTAR $665 POR CONCEPTO DE PAGO INDEBIDO (PAGO ERRONEO DE LA SEMANA 52)</t>
  </si>
  <si>
    <t>FAVOR DE PASAR SU SUELDO A SINDICATO Y DESCONTARLE EL 10%
DESCONTAR $624.26 POR CONCEPTO DE PAGO INDEBIDO (PAGO ERRONEO DE LA SEMANA 52)</t>
  </si>
  <si>
    <t>CAMBIAR SUELDO SEMANAL A $2,100</t>
  </si>
  <si>
    <t>BAJA</t>
  </si>
  <si>
    <t>2 DIAS DE INCAPACIDAD</t>
  </si>
  <si>
    <t>CTA BANCOMER</t>
  </si>
  <si>
    <t>DESCUENTO CTA 254 POR CONCEPTO DE DAÑO DE LLANTA</t>
  </si>
  <si>
    <t xml:space="preserve">RUIZ MIRANDA GADIEL </t>
  </si>
  <si>
    <t>NUEVO INGRESO 11/01/2017</t>
  </si>
  <si>
    <t>OLIVAS MANCILLA JESUS DANIEL</t>
  </si>
  <si>
    <t>DURAN GUERRA VICTOR MANUEL</t>
  </si>
  <si>
    <t>NUEVO INGRESO 17/01/2017. PAGAR 1 DIA</t>
  </si>
  <si>
    <t>NUEVO INGRESO 16/01/2017. PAGAR 2 DIAS</t>
  </si>
  <si>
    <t>VALDEZ BERNAL JUAN PABLO</t>
  </si>
  <si>
    <t>CUENTA BANCOMER</t>
  </si>
  <si>
    <t>BERDEJA LEON GERARDO FRANCISCO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</si>
</sst>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9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4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164" fontId="13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>
      <alignment wrapText="1"/>
    </xf>
    <xf numFmtId="43" fontId="13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5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7" sqref="B17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219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234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235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30" t="s">
        <v>13</v>
      </c>
      <c r="B5" s="132" t="s">
        <v>14</v>
      </c>
      <c r="C5" s="130" t="s">
        <v>128</v>
      </c>
      <c r="D5" s="132" t="s">
        <v>15</v>
      </c>
      <c r="E5" s="132" t="s">
        <v>0</v>
      </c>
      <c r="F5" s="130" t="s">
        <v>124</v>
      </c>
      <c r="G5" s="128" t="s">
        <v>34</v>
      </c>
      <c r="H5" s="121" t="s">
        <v>9</v>
      </c>
      <c r="I5" s="121" t="s">
        <v>10</v>
      </c>
      <c r="J5" s="121" t="s">
        <v>24</v>
      </c>
      <c r="K5" s="121" t="s">
        <v>11</v>
      </c>
      <c r="L5" s="121" t="s">
        <v>12</v>
      </c>
      <c r="M5" s="82"/>
      <c r="N5" s="24"/>
      <c r="O5" s="126" t="s">
        <v>93</v>
      </c>
      <c r="P5" s="126" t="s">
        <v>109</v>
      </c>
      <c r="Q5" s="126" t="s">
        <v>108</v>
      </c>
      <c r="R5" s="126" t="s">
        <v>94</v>
      </c>
      <c r="S5" s="121" t="s">
        <v>6</v>
      </c>
      <c r="T5" s="121" t="s">
        <v>17</v>
      </c>
      <c r="U5" s="121" t="s">
        <v>16</v>
      </c>
      <c r="V5" s="121" t="s">
        <v>8</v>
      </c>
      <c r="W5" s="121" t="s">
        <v>25</v>
      </c>
      <c r="X5" s="121" t="s">
        <v>3</v>
      </c>
      <c r="Y5" s="121" t="s">
        <v>7</v>
      </c>
      <c r="Z5" s="121" t="s">
        <v>2</v>
      </c>
      <c r="AA5" s="121" t="s">
        <v>4</v>
      </c>
      <c r="AB5" s="27"/>
      <c r="AC5" s="121" t="s">
        <v>5</v>
      </c>
      <c r="AD5" s="123" t="s">
        <v>149</v>
      </c>
      <c r="AE5" s="124"/>
      <c r="AF5" s="125" t="s">
        <v>95</v>
      </c>
      <c r="AG5" s="119" t="s">
        <v>132</v>
      </c>
      <c r="AH5" s="119" t="s">
        <v>133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31"/>
      <c r="B6" s="133"/>
      <c r="C6" s="131"/>
      <c r="D6" s="133"/>
      <c r="E6" s="133"/>
      <c r="F6" s="131"/>
      <c r="G6" s="129"/>
      <c r="H6" s="122"/>
      <c r="I6" s="122"/>
      <c r="J6" s="122"/>
      <c r="K6" s="122"/>
      <c r="L6" s="122"/>
      <c r="M6" s="28" t="s">
        <v>172</v>
      </c>
      <c r="N6" s="28" t="s">
        <v>140</v>
      </c>
      <c r="O6" s="127"/>
      <c r="P6" s="127"/>
      <c r="Q6" s="127"/>
      <c r="R6" s="127"/>
      <c r="S6" s="122"/>
      <c r="T6" s="122"/>
      <c r="U6" s="122"/>
      <c r="V6" s="122"/>
      <c r="W6" s="122"/>
      <c r="X6" s="122"/>
      <c r="Y6" s="122"/>
      <c r="Z6" s="122"/>
      <c r="AA6" s="122"/>
      <c r="AB6" s="24"/>
      <c r="AC6" s="122"/>
      <c r="AD6" s="55" t="s">
        <v>26</v>
      </c>
      <c r="AE6" s="55" t="s">
        <v>27</v>
      </c>
      <c r="AF6" s="125"/>
      <c r="AG6" s="119"/>
      <c r="AH6" s="119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30</v>
      </c>
      <c r="B7" s="40" t="s">
        <v>212</v>
      </c>
      <c r="C7" s="40"/>
      <c r="D7" s="40"/>
      <c r="E7" s="40" t="s">
        <v>32</v>
      </c>
      <c r="F7" s="99">
        <v>42689</v>
      </c>
      <c r="G7" s="42">
        <v>9038.2199999999993</v>
      </c>
      <c r="H7" s="42"/>
      <c r="I7" s="42"/>
      <c r="J7" s="64"/>
      <c r="K7" s="65">
        <f t="shared" ref="K7:K33" si="0">SUM(G7:I7)-J7</f>
        <v>9038.2199999999993</v>
      </c>
      <c r="L7" s="42"/>
      <c r="M7" s="84"/>
      <c r="N7" s="42"/>
      <c r="O7" s="42"/>
      <c r="P7" s="85"/>
      <c r="Q7" s="85"/>
      <c r="R7" s="42"/>
      <c r="S7" s="38"/>
      <c r="T7" s="38"/>
      <c r="U7" s="40"/>
      <c r="V7" s="40"/>
      <c r="W7" s="65">
        <f t="shared" ref="W7:W33" si="1">+K7-SUM(L7:V7)</f>
        <v>9038.2199999999993</v>
      </c>
      <c r="X7" s="38">
        <f t="shared" ref="X7:X33" si="2">IF(K7&gt;2250,K7*0.1,0)</f>
        <v>903.822</v>
      </c>
      <c r="Y7" s="65">
        <f t="shared" ref="Y7:Y33" si="3">+W7-X7</f>
        <v>8134.3979999999992</v>
      </c>
      <c r="Z7" s="38"/>
      <c r="AA7" s="38"/>
      <c r="AB7" s="38"/>
      <c r="AC7" s="65"/>
      <c r="AD7" s="72"/>
      <c r="AE7" s="73"/>
      <c r="AF7" s="66"/>
      <c r="AG7" s="40">
        <v>1500716952</v>
      </c>
      <c r="AH7" s="40"/>
    </row>
    <row r="8" spans="1:48" s="18" customFormat="1">
      <c r="A8" s="40" t="s">
        <v>41</v>
      </c>
      <c r="B8" s="40" t="s">
        <v>119</v>
      </c>
      <c r="C8" s="40"/>
      <c r="D8" s="40" t="s">
        <v>45</v>
      </c>
      <c r="E8" s="40" t="s">
        <v>31</v>
      </c>
      <c r="F8" s="70">
        <v>42062</v>
      </c>
      <c r="G8" s="42">
        <v>2013.81</v>
      </c>
      <c r="H8" s="42"/>
      <c r="I8" s="42"/>
      <c r="J8" s="64"/>
      <c r="K8" s="65">
        <f t="shared" si="0"/>
        <v>2013.81</v>
      </c>
      <c r="L8" s="42"/>
      <c r="M8" s="84"/>
      <c r="N8" s="42"/>
      <c r="O8" s="42">
        <v>0</v>
      </c>
      <c r="P8" s="85"/>
      <c r="Q8" s="85"/>
      <c r="R8" s="42"/>
      <c r="S8" s="38"/>
      <c r="T8" s="38"/>
      <c r="U8" s="40"/>
      <c r="V8" s="40">
        <v>0</v>
      </c>
      <c r="W8" s="65">
        <f t="shared" si="1"/>
        <v>2013.81</v>
      </c>
      <c r="X8" s="38">
        <f t="shared" si="2"/>
        <v>0</v>
      </c>
      <c r="Y8" s="65">
        <f t="shared" si="3"/>
        <v>2013.81</v>
      </c>
      <c r="Z8" s="38">
        <f t="shared" ref="Z8:Z33" si="4">IF(K8&lt;2250,K8*0.1,0)</f>
        <v>201.381</v>
      </c>
      <c r="AA8" s="38">
        <v>10.23</v>
      </c>
      <c r="AB8" s="38">
        <f t="shared" ref="AB8:AB33" si="5">+P8</f>
        <v>0</v>
      </c>
      <c r="AC8" s="65">
        <f t="shared" ref="AC8:AC33" si="6">+K8+Z8+AA8+AB8</f>
        <v>2225.4209999999998</v>
      </c>
      <c r="AD8" s="72"/>
      <c r="AE8" s="73"/>
      <c r="AF8" s="66">
        <f t="shared" ref="AF8:AF17" si="7">+AD8+AE8-Y8</f>
        <v>-2013.81</v>
      </c>
      <c r="AG8" s="40"/>
      <c r="AH8" s="40"/>
    </row>
    <row r="9" spans="1:48" s="18" customFormat="1">
      <c r="A9" s="40" t="s">
        <v>41</v>
      </c>
      <c r="B9" s="40" t="s">
        <v>229</v>
      </c>
      <c r="C9" s="40"/>
      <c r="D9" s="40"/>
      <c r="E9" s="40" t="s">
        <v>31</v>
      </c>
      <c r="F9" s="70">
        <v>42725</v>
      </c>
      <c r="G9" s="42">
        <v>1047.8800000000001</v>
      </c>
      <c r="H9" s="42"/>
      <c r="I9" s="42"/>
      <c r="J9" s="64"/>
      <c r="K9" s="65">
        <f t="shared" si="0"/>
        <v>1047.8800000000001</v>
      </c>
      <c r="L9" s="42"/>
      <c r="M9" s="84"/>
      <c r="N9" s="42"/>
      <c r="O9" s="42"/>
      <c r="P9" s="85"/>
      <c r="Q9" s="85"/>
      <c r="R9" s="42"/>
      <c r="S9" s="38"/>
      <c r="T9" s="38"/>
      <c r="U9" s="40"/>
      <c r="V9" s="40"/>
      <c r="W9" s="65">
        <f t="shared" ref="W9" si="8">+K9-SUM(L9:V9)</f>
        <v>1047.8800000000001</v>
      </c>
      <c r="X9" s="38">
        <f t="shared" ref="X9" si="9">IF(K9&gt;2250,K9*0.1,0)</f>
        <v>0</v>
      </c>
      <c r="Y9" s="65">
        <f t="shared" ref="Y9" si="10">+W9-X9</f>
        <v>1047.8800000000001</v>
      </c>
      <c r="Z9" s="38"/>
      <c r="AA9" s="38"/>
      <c r="AB9" s="38"/>
      <c r="AC9" s="65"/>
      <c r="AD9" s="72"/>
      <c r="AE9" s="73"/>
      <c r="AF9" s="66"/>
      <c r="AG9" s="40">
        <v>1133645940</v>
      </c>
      <c r="AH9" s="43" t="s">
        <v>240</v>
      </c>
    </row>
    <row r="10" spans="1:48" s="18" customFormat="1">
      <c r="A10" s="40" t="s">
        <v>30</v>
      </c>
      <c r="B10" s="40" t="s">
        <v>113</v>
      </c>
      <c r="C10" s="40" t="s">
        <v>128</v>
      </c>
      <c r="D10" s="40" t="s">
        <v>77</v>
      </c>
      <c r="E10" s="40" t="s">
        <v>33</v>
      </c>
      <c r="F10" s="70">
        <v>41797</v>
      </c>
      <c r="G10" s="42">
        <v>18711.169999999998</v>
      </c>
      <c r="H10" s="42"/>
      <c r="I10" s="42"/>
      <c r="J10" s="64"/>
      <c r="K10" s="65">
        <f t="shared" si="0"/>
        <v>18711.169999999998</v>
      </c>
      <c r="L10" s="42">
        <v>400</v>
      </c>
      <c r="M10" s="84"/>
      <c r="N10" s="84"/>
      <c r="O10" s="42">
        <v>0</v>
      </c>
      <c r="P10" s="85"/>
      <c r="Q10" s="85"/>
      <c r="R10" s="42"/>
      <c r="S10" s="38"/>
      <c r="T10" s="38"/>
      <c r="U10" s="40"/>
      <c r="V10" s="40">
        <v>0</v>
      </c>
      <c r="W10" s="65">
        <f t="shared" si="1"/>
        <v>18311.169999999998</v>
      </c>
      <c r="X10" s="38">
        <f t="shared" si="2"/>
        <v>1871.117</v>
      </c>
      <c r="Y10" s="65">
        <f t="shared" si="3"/>
        <v>16440.053</v>
      </c>
      <c r="Z10" s="38">
        <f t="shared" si="4"/>
        <v>0</v>
      </c>
      <c r="AA10" s="38">
        <v>10.23</v>
      </c>
      <c r="AB10" s="38">
        <f t="shared" si="5"/>
        <v>0</v>
      </c>
      <c r="AC10" s="65">
        <f t="shared" si="6"/>
        <v>18721.399999999998</v>
      </c>
      <c r="AD10" s="72"/>
      <c r="AE10" s="73"/>
      <c r="AF10" s="66">
        <f t="shared" si="7"/>
        <v>-16440.053</v>
      </c>
      <c r="AG10" s="40"/>
      <c r="AH10" s="43" t="s">
        <v>228</v>
      </c>
    </row>
    <row r="11" spans="1:48" s="18" customFormat="1">
      <c r="A11" s="40"/>
      <c r="B11" s="40" t="s">
        <v>224</v>
      </c>
      <c r="C11" s="40"/>
      <c r="D11" s="40"/>
      <c r="E11" s="40" t="s">
        <v>169</v>
      </c>
      <c r="F11" s="70">
        <v>42718</v>
      </c>
      <c r="G11" s="42">
        <v>3176</v>
      </c>
      <c r="H11" s="42"/>
      <c r="I11" s="42"/>
      <c r="J11" s="64"/>
      <c r="K11" s="65">
        <f t="shared" si="0"/>
        <v>3176</v>
      </c>
      <c r="L11" s="42"/>
      <c r="M11" s="84"/>
      <c r="N11" s="84"/>
      <c r="O11" s="42"/>
      <c r="P11" s="85"/>
      <c r="Q11" s="85"/>
      <c r="R11" s="42"/>
      <c r="S11" s="38"/>
      <c r="T11" s="38"/>
      <c r="U11" s="40"/>
      <c r="V11" s="40">
        <v>2000</v>
      </c>
      <c r="W11" s="65">
        <f t="shared" ref="W11" si="11">+K11-SUM(L11:V11)</f>
        <v>1176</v>
      </c>
      <c r="X11" s="38">
        <f t="shared" ref="X11" si="12">IF(K11&gt;2250,K11*0.1,0)</f>
        <v>317.60000000000002</v>
      </c>
      <c r="Y11" s="65">
        <f t="shared" ref="Y11" si="13">+W11-X11</f>
        <v>858.4</v>
      </c>
      <c r="Z11" s="38"/>
      <c r="AA11" s="38"/>
      <c r="AB11" s="38"/>
      <c r="AC11" s="65"/>
      <c r="AD11" s="72"/>
      <c r="AE11" s="73"/>
      <c r="AF11" s="66"/>
      <c r="AG11" s="40" t="s">
        <v>227</v>
      </c>
      <c r="AH11" s="40"/>
    </row>
    <row r="12" spans="1:48" s="18" customFormat="1">
      <c r="A12" s="40" t="s">
        <v>30</v>
      </c>
      <c r="B12" s="40" t="s">
        <v>39</v>
      </c>
      <c r="C12" s="40" t="s">
        <v>128</v>
      </c>
      <c r="D12" s="40">
        <v>16</v>
      </c>
      <c r="E12" s="40" t="s">
        <v>33</v>
      </c>
      <c r="F12" s="70">
        <v>39508</v>
      </c>
      <c r="G12" s="42">
        <v>6110.62</v>
      </c>
      <c r="H12" s="42"/>
      <c r="I12" s="42"/>
      <c r="J12" s="64"/>
      <c r="K12" s="65">
        <f t="shared" si="0"/>
        <v>6110.62</v>
      </c>
      <c r="L12" s="42">
        <v>200</v>
      </c>
      <c r="M12" s="84"/>
      <c r="N12" s="42"/>
      <c r="O12" s="42">
        <v>0</v>
      </c>
      <c r="P12" s="85"/>
      <c r="Q12" s="85"/>
      <c r="R12" s="42"/>
      <c r="S12" s="38"/>
      <c r="T12" s="38"/>
      <c r="U12" s="40"/>
      <c r="V12" s="40">
        <v>0</v>
      </c>
      <c r="W12" s="65">
        <f t="shared" si="1"/>
        <v>5910.62</v>
      </c>
      <c r="X12" s="38">
        <f t="shared" si="2"/>
        <v>611.06200000000001</v>
      </c>
      <c r="Y12" s="65">
        <f t="shared" si="3"/>
        <v>5299.558</v>
      </c>
      <c r="Z12" s="38">
        <f t="shared" si="4"/>
        <v>0</v>
      </c>
      <c r="AA12" s="38">
        <v>10.23</v>
      </c>
      <c r="AB12" s="38">
        <f t="shared" si="5"/>
        <v>0</v>
      </c>
      <c r="AC12" s="65">
        <f t="shared" si="6"/>
        <v>6120.8499999999995</v>
      </c>
      <c r="AD12" s="72"/>
      <c r="AE12" s="73"/>
      <c r="AF12" s="66">
        <f t="shared" si="7"/>
        <v>-5299.558</v>
      </c>
      <c r="AG12" s="40"/>
      <c r="AH12" s="43" t="s">
        <v>228</v>
      </c>
    </row>
    <row r="13" spans="1:48" s="18" customFormat="1" ht="15" customHeight="1">
      <c r="A13" s="94" t="s">
        <v>30</v>
      </c>
      <c r="B13" s="94" t="s">
        <v>207</v>
      </c>
      <c r="C13" s="94"/>
      <c r="D13" s="94"/>
      <c r="E13" s="94" t="s">
        <v>32</v>
      </c>
      <c r="F13" s="97">
        <v>42668</v>
      </c>
      <c r="G13" s="54"/>
      <c r="H13" s="54"/>
      <c r="I13" s="54"/>
      <c r="J13" s="64"/>
      <c r="K13" s="65">
        <f t="shared" si="0"/>
        <v>0</v>
      </c>
      <c r="L13" s="42"/>
      <c r="M13" s="84"/>
      <c r="N13" s="42"/>
      <c r="O13" s="42"/>
      <c r="P13" s="85"/>
      <c r="Q13" s="85"/>
      <c r="R13" s="42"/>
      <c r="S13" s="38"/>
      <c r="T13" s="91"/>
      <c r="U13" s="40"/>
      <c r="V13" s="80"/>
      <c r="W13" s="65">
        <f t="shared" ref="W13" si="14">+K13-SUM(L13:V13)</f>
        <v>0</v>
      </c>
      <c r="X13" s="38">
        <f t="shared" ref="X13" si="15">IF(K13&gt;2250,K13*0.1,0)</f>
        <v>0</v>
      </c>
      <c r="Y13" s="65">
        <f t="shared" ref="Y13" si="16">+W13-X13</f>
        <v>0</v>
      </c>
      <c r="Z13" s="38"/>
      <c r="AA13" s="38"/>
      <c r="AB13" s="38"/>
      <c r="AC13" s="65"/>
      <c r="AD13" s="74"/>
      <c r="AE13" s="72"/>
      <c r="AF13" s="66"/>
      <c r="AG13" s="40">
        <v>1196048064</v>
      </c>
      <c r="AH13" s="96" t="s">
        <v>200</v>
      </c>
    </row>
    <row r="14" spans="1:48" s="18" customFormat="1">
      <c r="A14" s="40" t="s">
        <v>30</v>
      </c>
      <c r="B14" s="40" t="s">
        <v>114</v>
      </c>
      <c r="C14" s="40" t="s">
        <v>125</v>
      </c>
      <c r="D14" s="40" t="s">
        <v>78</v>
      </c>
      <c r="E14" s="40" t="s">
        <v>32</v>
      </c>
      <c r="F14" s="70">
        <v>42383</v>
      </c>
      <c r="G14" s="42">
        <v>6959.36</v>
      </c>
      <c r="H14" s="42"/>
      <c r="I14" s="42"/>
      <c r="J14" s="64"/>
      <c r="K14" s="65">
        <f t="shared" si="0"/>
        <v>6959.36</v>
      </c>
      <c r="L14" s="42"/>
      <c r="M14" s="84"/>
      <c r="N14" s="42">
        <v>54.05</v>
      </c>
      <c r="O14" s="42">
        <v>0</v>
      </c>
      <c r="P14" s="85"/>
      <c r="Q14" s="85"/>
      <c r="R14" s="42"/>
      <c r="S14" s="38"/>
      <c r="T14" s="38"/>
      <c r="U14" s="40"/>
      <c r="V14" s="40">
        <v>389</v>
      </c>
      <c r="W14" s="65">
        <f t="shared" si="1"/>
        <v>6516.3099999999995</v>
      </c>
      <c r="X14" s="38">
        <f t="shared" si="2"/>
        <v>695.93600000000004</v>
      </c>
      <c r="Y14" s="65">
        <f t="shared" si="3"/>
        <v>5820.3739999999998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6969.5899999999992</v>
      </c>
      <c r="AD14" s="72"/>
      <c r="AE14" s="73"/>
      <c r="AF14" s="66">
        <f t="shared" si="7"/>
        <v>-5820.3739999999998</v>
      </c>
      <c r="AG14" s="40"/>
      <c r="AH14" s="40"/>
    </row>
    <row r="15" spans="1:48" s="18" customFormat="1">
      <c r="A15" s="40" t="s">
        <v>29</v>
      </c>
      <c r="B15" s="40" t="s">
        <v>103</v>
      </c>
      <c r="C15" s="40" t="s">
        <v>146</v>
      </c>
      <c r="D15" s="40"/>
      <c r="E15" s="40" t="s">
        <v>91</v>
      </c>
      <c r="F15" s="70">
        <v>42416</v>
      </c>
      <c r="G15" s="42">
        <v>11043.8</v>
      </c>
      <c r="H15" s="42"/>
      <c r="I15" s="42"/>
      <c r="J15" s="64"/>
      <c r="K15" s="65">
        <f t="shared" si="0"/>
        <v>11043.8</v>
      </c>
      <c r="L15" s="42"/>
      <c r="M15" s="84"/>
      <c r="N15" s="42">
        <v>66.88</v>
      </c>
      <c r="O15" s="42">
        <v>0</v>
      </c>
      <c r="P15" s="85"/>
      <c r="Q15" s="85"/>
      <c r="R15" s="42"/>
      <c r="S15" s="38"/>
      <c r="T15" s="38"/>
      <c r="U15" s="40"/>
      <c r="V15" s="40">
        <v>512</v>
      </c>
      <c r="W15" s="65">
        <f t="shared" si="1"/>
        <v>10464.92</v>
      </c>
      <c r="X15" s="38">
        <f t="shared" si="2"/>
        <v>1104.3799999999999</v>
      </c>
      <c r="Y15" s="65">
        <f t="shared" si="3"/>
        <v>9360.5400000000009</v>
      </c>
      <c r="Z15" s="38">
        <f t="shared" si="4"/>
        <v>0</v>
      </c>
      <c r="AA15" s="38">
        <v>10.23</v>
      </c>
      <c r="AB15" s="38">
        <f t="shared" si="5"/>
        <v>0</v>
      </c>
      <c r="AC15" s="65">
        <f t="shared" si="6"/>
        <v>11054.029999999999</v>
      </c>
      <c r="AD15" s="72"/>
      <c r="AE15" s="73"/>
      <c r="AF15" s="66">
        <f t="shared" si="7"/>
        <v>-9360.5400000000009</v>
      </c>
      <c r="AG15" s="40"/>
      <c r="AH15" s="40"/>
    </row>
    <row r="16" spans="1:48" s="18" customFormat="1">
      <c r="A16" s="40" t="s">
        <v>28</v>
      </c>
      <c r="B16" s="40" t="s">
        <v>175</v>
      </c>
      <c r="C16" s="40"/>
      <c r="D16" s="40" t="s">
        <v>54</v>
      </c>
      <c r="E16" s="40" t="s">
        <v>89</v>
      </c>
      <c r="F16" s="70">
        <v>42116</v>
      </c>
      <c r="G16" s="42">
        <v>2220</v>
      </c>
      <c r="H16" s="42"/>
      <c r="I16" s="42"/>
      <c r="J16" s="64"/>
      <c r="K16" s="65">
        <f t="shared" si="0"/>
        <v>2220</v>
      </c>
      <c r="L16" s="42">
        <v>200</v>
      </c>
      <c r="M16" s="84"/>
      <c r="N16" s="42">
        <v>33.049999999999997</v>
      </c>
      <c r="O16" s="42">
        <v>0</v>
      </c>
      <c r="P16" s="85"/>
      <c r="Q16" s="85"/>
      <c r="R16" s="42"/>
      <c r="S16" s="38"/>
      <c r="T16" s="38"/>
      <c r="U16" s="67"/>
      <c r="V16" s="40">
        <v>0</v>
      </c>
      <c r="W16" s="65">
        <f t="shared" si="1"/>
        <v>1986.95</v>
      </c>
      <c r="X16" s="38">
        <f t="shared" si="2"/>
        <v>0</v>
      </c>
      <c r="Y16" s="65">
        <f t="shared" si="3"/>
        <v>1986.95</v>
      </c>
      <c r="Z16" s="38">
        <f t="shared" si="4"/>
        <v>222</v>
      </c>
      <c r="AA16" s="38">
        <v>10.23</v>
      </c>
      <c r="AB16" s="38">
        <f t="shared" si="5"/>
        <v>0</v>
      </c>
      <c r="AC16" s="65">
        <f t="shared" si="6"/>
        <v>2452.23</v>
      </c>
      <c r="AD16" s="78"/>
      <c r="AE16" s="78"/>
      <c r="AF16" s="66">
        <f t="shared" si="7"/>
        <v>-1986.95</v>
      </c>
      <c r="AG16" s="40"/>
      <c r="AH16" s="43" t="s">
        <v>228</v>
      </c>
    </row>
    <row r="17" spans="1:34" s="18" customFormat="1" ht="15" customHeight="1">
      <c r="A17" s="40" t="s">
        <v>30</v>
      </c>
      <c r="B17" s="40" t="s">
        <v>251</v>
      </c>
      <c r="C17" s="40" t="s">
        <v>127</v>
      </c>
      <c r="D17" s="40" t="s">
        <v>79</v>
      </c>
      <c r="E17" s="40" t="s">
        <v>32</v>
      </c>
      <c r="F17" s="70">
        <v>41831</v>
      </c>
      <c r="G17" s="42">
        <v>0</v>
      </c>
      <c r="H17" s="42"/>
      <c r="I17" s="42"/>
      <c r="J17" s="64"/>
      <c r="K17" s="65">
        <f t="shared" si="0"/>
        <v>0</v>
      </c>
      <c r="L17" s="42"/>
      <c r="M17" s="84"/>
      <c r="N17" s="42">
        <v>54.05</v>
      </c>
      <c r="O17" s="42"/>
      <c r="P17" s="85"/>
      <c r="Q17" s="85"/>
      <c r="R17" s="42"/>
      <c r="S17" s="38"/>
      <c r="T17" s="91" t="s">
        <v>191</v>
      </c>
      <c r="U17" s="40"/>
      <c r="V17" s="80">
        <v>600</v>
      </c>
      <c r="W17" s="65">
        <f t="shared" si="1"/>
        <v>-654.04999999999995</v>
      </c>
      <c r="X17" s="38">
        <f t="shared" si="2"/>
        <v>0</v>
      </c>
      <c r="Y17" s="65">
        <f t="shared" si="3"/>
        <v>-654.04999999999995</v>
      </c>
      <c r="Z17" s="38">
        <f t="shared" si="4"/>
        <v>0</v>
      </c>
      <c r="AA17" s="38">
        <v>10.23</v>
      </c>
      <c r="AB17" s="38">
        <f t="shared" si="5"/>
        <v>0</v>
      </c>
      <c r="AC17" s="65">
        <f t="shared" si="6"/>
        <v>10.23</v>
      </c>
      <c r="AD17" s="74"/>
      <c r="AE17" s="72"/>
      <c r="AF17" s="66">
        <f t="shared" si="7"/>
        <v>654.04999999999995</v>
      </c>
      <c r="AG17" s="40"/>
      <c r="AH17" s="43"/>
    </row>
    <row r="18" spans="1:34" s="18" customFormat="1" ht="15" customHeight="1">
      <c r="A18" s="94" t="s">
        <v>43</v>
      </c>
      <c r="B18" s="94" t="s">
        <v>185</v>
      </c>
      <c r="C18" s="94"/>
      <c r="D18" s="94"/>
      <c r="E18" s="94" t="s">
        <v>90</v>
      </c>
      <c r="F18" s="97">
        <v>32540</v>
      </c>
      <c r="G18" s="54"/>
      <c r="H18" s="54"/>
      <c r="I18" s="54"/>
      <c r="J18" s="98"/>
      <c r="K18" s="65">
        <f t="shared" si="0"/>
        <v>0</v>
      </c>
      <c r="L18" s="42"/>
      <c r="M18" s="84"/>
      <c r="N18" s="42"/>
      <c r="O18" s="42"/>
      <c r="P18" s="85"/>
      <c r="Q18" s="85"/>
      <c r="R18" s="42"/>
      <c r="S18" s="38"/>
      <c r="T18" s="91"/>
      <c r="U18" s="40"/>
      <c r="V18" s="80">
        <v>0</v>
      </c>
      <c r="W18" s="65">
        <f t="shared" si="1"/>
        <v>0</v>
      </c>
      <c r="X18" s="38">
        <f t="shared" si="2"/>
        <v>0</v>
      </c>
      <c r="Y18" s="65">
        <f t="shared" si="3"/>
        <v>0</v>
      </c>
      <c r="Z18" s="38">
        <f t="shared" si="4"/>
        <v>0</v>
      </c>
      <c r="AA18" s="38">
        <v>11.23</v>
      </c>
      <c r="AB18" s="38">
        <f t="shared" si="5"/>
        <v>0</v>
      </c>
      <c r="AC18" s="65">
        <f t="shared" si="6"/>
        <v>11.23</v>
      </c>
      <c r="AD18" s="74"/>
      <c r="AE18" s="72"/>
      <c r="AF18" s="66"/>
      <c r="AG18" s="40">
        <v>1461266403</v>
      </c>
      <c r="AH18" s="96" t="s">
        <v>217</v>
      </c>
    </row>
    <row r="19" spans="1:34" s="18" customFormat="1">
      <c r="A19" s="40" t="s">
        <v>30</v>
      </c>
      <c r="B19" s="40" t="s">
        <v>136</v>
      </c>
      <c r="C19" s="40" t="s">
        <v>128</v>
      </c>
      <c r="D19" s="40">
        <v>18</v>
      </c>
      <c r="E19" s="40" t="s">
        <v>33</v>
      </c>
      <c r="F19" s="70">
        <v>39699</v>
      </c>
      <c r="G19" s="42">
        <v>16162.92</v>
      </c>
      <c r="H19" s="42"/>
      <c r="I19" s="42"/>
      <c r="J19" s="64"/>
      <c r="K19" s="65">
        <f t="shared" si="0"/>
        <v>16162.92</v>
      </c>
      <c r="L19" s="42"/>
      <c r="M19" s="84"/>
      <c r="N19" s="42"/>
      <c r="O19" s="42">
        <v>1000</v>
      </c>
      <c r="P19" s="85"/>
      <c r="Q19" s="85"/>
      <c r="R19" s="42"/>
      <c r="S19" s="38"/>
      <c r="T19" s="38"/>
      <c r="U19" s="40"/>
      <c r="V19" s="40">
        <v>0</v>
      </c>
      <c r="W19" s="65">
        <f t="shared" si="1"/>
        <v>15162.92</v>
      </c>
      <c r="X19" s="38">
        <f t="shared" si="2"/>
        <v>1616.2920000000001</v>
      </c>
      <c r="Y19" s="65">
        <f t="shared" si="3"/>
        <v>13546.628000000001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16173.15</v>
      </c>
      <c r="AD19" s="72"/>
      <c r="AE19" s="73"/>
      <c r="AF19" s="66">
        <f t="shared" ref="AF19:AF21" si="17">+AD19+AE19-Y19</f>
        <v>-13546.628000000001</v>
      </c>
      <c r="AG19" s="40"/>
      <c r="AH19" s="40"/>
    </row>
    <row r="20" spans="1:34" s="18" customFormat="1">
      <c r="A20" s="40" t="s">
        <v>29</v>
      </c>
      <c r="B20" s="40" t="s">
        <v>123</v>
      </c>
      <c r="C20" s="40" t="s">
        <v>146</v>
      </c>
      <c r="D20" s="40" t="s">
        <v>59</v>
      </c>
      <c r="E20" s="40" t="s">
        <v>91</v>
      </c>
      <c r="F20" s="70">
        <v>42332</v>
      </c>
      <c r="G20" s="42">
        <v>5568.97</v>
      </c>
      <c r="H20" s="42"/>
      <c r="I20" s="42"/>
      <c r="J20" s="64"/>
      <c r="K20" s="65">
        <f t="shared" si="0"/>
        <v>5568.97</v>
      </c>
      <c r="L20" s="42">
        <v>375</v>
      </c>
      <c r="M20" s="84"/>
      <c r="N20" s="42">
        <v>54.05</v>
      </c>
      <c r="O20" s="42">
        <v>0</v>
      </c>
      <c r="P20" s="85"/>
      <c r="Q20" s="85"/>
      <c r="R20" s="42"/>
      <c r="S20" s="38"/>
      <c r="T20" s="38"/>
      <c r="U20" s="40"/>
      <c r="V20" s="40">
        <v>695</v>
      </c>
      <c r="W20" s="65">
        <f t="shared" si="1"/>
        <v>4444.92</v>
      </c>
      <c r="X20" s="38">
        <f t="shared" si="2"/>
        <v>556.89700000000005</v>
      </c>
      <c r="Y20" s="65">
        <f t="shared" si="3"/>
        <v>3888.0230000000001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5579.2</v>
      </c>
      <c r="AD20" s="72"/>
      <c r="AE20" s="73"/>
      <c r="AF20" s="66">
        <f t="shared" si="17"/>
        <v>-3888.0230000000001</v>
      </c>
      <c r="AG20" s="40"/>
      <c r="AH20" s="43" t="s">
        <v>228</v>
      </c>
    </row>
    <row r="21" spans="1:34" s="18" customFormat="1">
      <c r="A21" s="40" t="s">
        <v>30</v>
      </c>
      <c r="B21" s="40" t="s">
        <v>144</v>
      </c>
      <c r="C21" s="40" t="s">
        <v>130</v>
      </c>
      <c r="D21" s="40"/>
      <c r="E21" s="40" t="s">
        <v>32</v>
      </c>
      <c r="F21" s="70">
        <v>42437</v>
      </c>
      <c r="G21" s="42">
        <v>4731.2700000000004</v>
      </c>
      <c r="H21" s="42"/>
      <c r="I21" s="42"/>
      <c r="J21" s="64"/>
      <c r="K21" s="65">
        <f t="shared" si="0"/>
        <v>4731.2700000000004</v>
      </c>
      <c r="L21" s="42">
        <v>275</v>
      </c>
      <c r="M21" s="84"/>
      <c r="N21" s="42">
        <v>47.05</v>
      </c>
      <c r="O21" s="42">
        <v>0</v>
      </c>
      <c r="P21" s="85"/>
      <c r="Q21" s="85"/>
      <c r="R21" s="42"/>
      <c r="S21" s="38"/>
      <c r="T21" s="38"/>
      <c r="U21" s="40"/>
      <c r="V21" s="40">
        <v>0</v>
      </c>
      <c r="W21" s="65">
        <f t="shared" si="1"/>
        <v>4409.22</v>
      </c>
      <c r="X21" s="38">
        <f t="shared" si="2"/>
        <v>473.12700000000007</v>
      </c>
      <c r="Y21" s="65">
        <f t="shared" si="3"/>
        <v>3936.0930000000003</v>
      </c>
      <c r="Z21" s="38">
        <f t="shared" si="4"/>
        <v>0</v>
      </c>
      <c r="AA21" s="38">
        <v>10.23</v>
      </c>
      <c r="AB21" s="38">
        <f t="shared" si="5"/>
        <v>0</v>
      </c>
      <c r="AC21" s="65">
        <f t="shared" si="6"/>
        <v>4741.5</v>
      </c>
      <c r="AD21" s="72"/>
      <c r="AE21" s="73"/>
      <c r="AF21" s="66">
        <f t="shared" si="17"/>
        <v>-3936.0930000000003</v>
      </c>
      <c r="AG21" s="40"/>
      <c r="AH21" s="43" t="s">
        <v>228</v>
      </c>
    </row>
    <row r="22" spans="1:34" s="18" customFormat="1" ht="15.75">
      <c r="A22" s="40" t="s">
        <v>129</v>
      </c>
      <c r="B22" s="40" t="s">
        <v>104</v>
      </c>
      <c r="C22" s="40"/>
      <c r="D22" s="40" t="s">
        <v>56</v>
      </c>
      <c r="E22" s="40" t="s">
        <v>90</v>
      </c>
      <c r="F22" s="70">
        <v>42205</v>
      </c>
      <c r="G22" s="92">
        <v>433.33</v>
      </c>
      <c r="H22" s="42"/>
      <c r="I22" s="42"/>
      <c r="J22" s="64"/>
      <c r="K22" s="65">
        <f t="shared" si="0"/>
        <v>433.33</v>
      </c>
      <c r="L22" s="42"/>
      <c r="M22" s="84"/>
      <c r="N22" s="42"/>
      <c r="O22" s="42">
        <v>300</v>
      </c>
      <c r="P22" s="85"/>
      <c r="Q22" s="85"/>
      <c r="R22" s="42"/>
      <c r="S22" s="38"/>
      <c r="T22" s="91" t="s">
        <v>191</v>
      </c>
      <c r="U22" s="40"/>
      <c r="V22" s="40">
        <v>0</v>
      </c>
      <c r="W22" s="65">
        <f t="shared" si="1"/>
        <v>133.32999999999998</v>
      </c>
      <c r="X22" s="38">
        <f t="shared" si="2"/>
        <v>0</v>
      </c>
      <c r="Y22" s="65">
        <f t="shared" si="3"/>
        <v>133.32999999999998</v>
      </c>
      <c r="Z22" s="38">
        <f t="shared" si="4"/>
        <v>43.332999999999998</v>
      </c>
      <c r="AA22" s="38">
        <v>10.23</v>
      </c>
      <c r="AB22" s="38">
        <f t="shared" si="5"/>
        <v>0</v>
      </c>
      <c r="AC22" s="65">
        <f t="shared" si="6"/>
        <v>486.89300000000003</v>
      </c>
      <c r="AD22" s="72"/>
      <c r="AE22" s="72"/>
      <c r="AF22" s="66">
        <f t="shared" ref="AF22" si="18">+AD22+AE22-Y22</f>
        <v>-133.32999999999998</v>
      </c>
      <c r="AG22" s="40"/>
      <c r="AH22" s="40"/>
    </row>
    <row r="23" spans="1:34" s="18" customFormat="1">
      <c r="A23" s="40" t="s">
        <v>129</v>
      </c>
      <c r="B23" s="40" t="s">
        <v>160</v>
      </c>
      <c r="C23" s="40"/>
      <c r="D23" s="40"/>
      <c r="E23" s="40" t="s">
        <v>90</v>
      </c>
      <c r="F23" s="70">
        <v>42476</v>
      </c>
      <c r="G23" s="92">
        <f>400+433</f>
        <v>833</v>
      </c>
      <c r="H23" s="42"/>
      <c r="I23" s="42"/>
      <c r="J23" s="64"/>
      <c r="K23" s="65">
        <f t="shared" si="0"/>
        <v>833</v>
      </c>
      <c r="L23" s="42"/>
      <c r="M23" s="84"/>
      <c r="N23" s="42"/>
      <c r="O23" s="42">
        <v>0</v>
      </c>
      <c r="P23" s="85"/>
      <c r="Q23" s="85"/>
      <c r="R23" s="42"/>
      <c r="S23" s="38"/>
      <c r="T23" s="38"/>
      <c r="U23" s="40"/>
      <c r="V23" s="40">
        <v>0</v>
      </c>
      <c r="W23" s="65">
        <f t="shared" ref="W23:W24" si="19">+K23-SUM(L23:V23)</f>
        <v>833</v>
      </c>
      <c r="X23" s="38">
        <f t="shared" ref="X23:X24" si="20">IF(K23&gt;2250,K23*0.1,0)</f>
        <v>0</v>
      </c>
      <c r="Y23" s="65">
        <f t="shared" ref="Y23:Y24" si="21">+W23-X23</f>
        <v>833</v>
      </c>
      <c r="Z23" s="38">
        <f t="shared" si="4"/>
        <v>83.300000000000011</v>
      </c>
      <c r="AA23" s="38">
        <v>10.23</v>
      </c>
      <c r="AB23" s="38">
        <f t="shared" si="5"/>
        <v>0</v>
      </c>
      <c r="AC23" s="65">
        <f t="shared" si="6"/>
        <v>926.53</v>
      </c>
      <c r="AD23" s="72"/>
      <c r="AE23" s="72"/>
      <c r="AF23" s="66">
        <f>+AD23+AE23-Y25</f>
        <v>-833</v>
      </c>
      <c r="AG23" s="40">
        <v>2919685839</v>
      </c>
      <c r="AH23" s="43"/>
    </row>
    <row r="24" spans="1:34" s="18" customFormat="1">
      <c r="A24" s="113" t="s">
        <v>30</v>
      </c>
      <c r="B24" s="113" t="s">
        <v>246</v>
      </c>
      <c r="C24" s="113"/>
      <c r="D24" s="113"/>
      <c r="E24" s="113" t="s">
        <v>32</v>
      </c>
      <c r="F24" s="114">
        <v>42752</v>
      </c>
      <c r="G24" s="115"/>
      <c r="H24" s="115"/>
      <c r="I24" s="115"/>
      <c r="J24" s="116"/>
      <c r="K24" s="65">
        <f t="shared" si="0"/>
        <v>0</v>
      </c>
      <c r="L24" s="42"/>
      <c r="M24" s="84"/>
      <c r="N24" s="42"/>
      <c r="O24" s="42"/>
      <c r="P24" s="85"/>
      <c r="Q24" s="85"/>
      <c r="R24" s="42"/>
      <c r="S24" s="38"/>
      <c r="T24" s="38"/>
      <c r="U24" s="40"/>
      <c r="V24" s="40"/>
      <c r="W24" s="65">
        <f t="shared" si="19"/>
        <v>0</v>
      </c>
      <c r="X24" s="38">
        <f t="shared" si="20"/>
        <v>0</v>
      </c>
      <c r="Y24" s="65">
        <f t="shared" si="21"/>
        <v>0</v>
      </c>
      <c r="Z24" s="38"/>
      <c r="AA24" s="38"/>
      <c r="AB24" s="38"/>
      <c r="AC24" s="65"/>
      <c r="AD24" s="72"/>
      <c r="AE24" s="72"/>
      <c r="AF24" s="66"/>
      <c r="AG24" s="117">
        <v>1506660967</v>
      </c>
      <c r="AH24" s="117" t="s">
        <v>247</v>
      </c>
    </row>
    <row r="25" spans="1:34" s="18" customFormat="1">
      <c r="A25" s="40" t="s">
        <v>41</v>
      </c>
      <c r="B25" s="40" t="s">
        <v>232</v>
      </c>
      <c r="C25" s="40"/>
      <c r="D25" s="40"/>
      <c r="E25" s="40" t="s">
        <v>31</v>
      </c>
      <c r="F25" s="70">
        <v>42740</v>
      </c>
      <c r="G25" s="92"/>
      <c r="H25" s="42"/>
      <c r="I25" s="42"/>
      <c r="J25" s="64"/>
      <c r="K25" s="65">
        <f t="shared" si="0"/>
        <v>0</v>
      </c>
      <c r="L25" s="42"/>
      <c r="M25" s="84"/>
      <c r="N25" s="42"/>
      <c r="O25" s="42"/>
      <c r="P25" s="85"/>
      <c r="Q25" s="85"/>
      <c r="R25" s="42"/>
      <c r="S25" s="38"/>
      <c r="T25" s="38"/>
      <c r="U25" s="40"/>
      <c r="V25" s="40">
        <v>800</v>
      </c>
      <c r="W25" s="18">
        <f>+K23-SUM(L23:V23)</f>
        <v>833</v>
      </c>
      <c r="X25" s="18">
        <f>IF(K23&gt;2250,K23*0.1,0)</f>
        <v>0</v>
      </c>
      <c r="Y25" s="18">
        <f>+W25-X25</f>
        <v>833</v>
      </c>
      <c r="Z25" s="38"/>
      <c r="AA25" s="38"/>
      <c r="AB25" s="38"/>
      <c r="AC25" s="65"/>
      <c r="AD25" s="72"/>
      <c r="AE25" s="72"/>
      <c r="AF25" s="66"/>
      <c r="AG25" s="40"/>
      <c r="AH25" s="43"/>
    </row>
    <row r="26" spans="1:34" s="18" customFormat="1">
      <c r="A26" s="40" t="s">
        <v>41</v>
      </c>
      <c r="B26" s="40" t="s">
        <v>170</v>
      </c>
      <c r="C26" s="40"/>
      <c r="D26" s="40"/>
      <c r="E26" s="40" t="s">
        <v>31</v>
      </c>
      <c r="F26" s="70">
        <v>42514</v>
      </c>
      <c r="G26" s="42">
        <v>1478</v>
      </c>
      <c r="H26" s="42"/>
      <c r="I26" s="42"/>
      <c r="J26" s="64"/>
      <c r="K26" s="65">
        <f t="shared" si="0"/>
        <v>1478</v>
      </c>
      <c r="L26" s="42"/>
      <c r="M26" s="84"/>
      <c r="N26" s="42"/>
      <c r="O26" s="42">
        <v>0</v>
      </c>
      <c r="P26" s="85"/>
      <c r="Q26" s="85"/>
      <c r="R26" s="42"/>
      <c r="S26" s="38"/>
      <c r="T26" s="38"/>
      <c r="U26" s="40"/>
      <c r="V26" s="40">
        <v>0</v>
      </c>
      <c r="W26" s="65">
        <f t="shared" si="1"/>
        <v>1478</v>
      </c>
      <c r="X26" s="38">
        <f t="shared" si="2"/>
        <v>0</v>
      </c>
      <c r="Y26" s="65">
        <f t="shared" si="3"/>
        <v>1478</v>
      </c>
      <c r="Z26" s="38">
        <f t="shared" si="4"/>
        <v>147.80000000000001</v>
      </c>
      <c r="AA26" s="38">
        <v>11.23</v>
      </c>
      <c r="AB26" s="38">
        <f t="shared" si="5"/>
        <v>0</v>
      </c>
      <c r="AC26" s="65">
        <f t="shared" si="6"/>
        <v>1637.03</v>
      </c>
      <c r="AD26" s="72"/>
      <c r="AE26" s="73"/>
      <c r="AF26" s="66"/>
      <c r="AG26" s="40">
        <v>2747910657</v>
      </c>
      <c r="AH26" s="43"/>
    </row>
    <row r="27" spans="1:34" s="18" customFormat="1">
      <c r="A27" s="40" t="s">
        <v>30</v>
      </c>
      <c r="B27" s="40" t="s">
        <v>202</v>
      </c>
      <c r="C27" s="40"/>
      <c r="D27" s="40"/>
      <c r="E27" s="40" t="s">
        <v>203</v>
      </c>
      <c r="F27" s="70">
        <v>41359</v>
      </c>
      <c r="G27" s="42">
        <v>1569.17</v>
      </c>
      <c r="H27" s="42"/>
      <c r="I27" s="42"/>
      <c r="J27" s="64"/>
      <c r="K27" s="65">
        <f t="shared" si="0"/>
        <v>1569.17</v>
      </c>
      <c r="L27" s="42"/>
      <c r="M27" s="84"/>
      <c r="N27" s="42"/>
      <c r="O27" s="42"/>
      <c r="P27" s="85"/>
      <c r="Q27" s="85"/>
      <c r="R27" s="42"/>
      <c r="S27" s="38"/>
      <c r="T27" s="38"/>
      <c r="U27" s="40"/>
      <c r="V27" s="40"/>
      <c r="W27" s="65">
        <f t="shared" ref="W27" si="22">+K27-SUM(L27:V27)</f>
        <v>1569.17</v>
      </c>
      <c r="X27" s="38">
        <f t="shared" ref="X27" si="23">IF(K27&gt;2250,K27*0.1,0)</f>
        <v>0</v>
      </c>
      <c r="Y27" s="65">
        <f t="shared" ref="Y27" si="24">+W27-X27</f>
        <v>1569.17</v>
      </c>
      <c r="Z27" s="38"/>
      <c r="AA27" s="38"/>
      <c r="AB27" s="38"/>
      <c r="AC27" s="65"/>
      <c r="AD27" s="72"/>
      <c r="AE27" s="73"/>
      <c r="AF27" s="66"/>
      <c r="AG27" s="40"/>
      <c r="AH27" s="43"/>
    </row>
    <row r="28" spans="1:34" s="18" customFormat="1">
      <c r="A28" s="40" t="s">
        <v>30</v>
      </c>
      <c r="B28" s="40" t="s">
        <v>197</v>
      </c>
      <c r="C28" s="40"/>
      <c r="D28" s="40"/>
      <c r="E28" s="40" t="s">
        <v>32</v>
      </c>
      <c r="F28" s="70">
        <v>42627</v>
      </c>
      <c r="G28" s="42">
        <v>428.79</v>
      </c>
      <c r="H28" s="42"/>
      <c r="I28" s="42"/>
      <c r="J28" s="64"/>
      <c r="K28" s="65">
        <f t="shared" si="0"/>
        <v>428.79</v>
      </c>
      <c r="L28" s="42"/>
      <c r="M28" s="84"/>
      <c r="N28" s="42"/>
      <c r="O28" s="42"/>
      <c r="P28" s="85"/>
      <c r="Q28" s="85"/>
      <c r="R28" s="42"/>
      <c r="S28" s="38"/>
      <c r="T28" s="38"/>
      <c r="U28" s="40"/>
      <c r="V28" s="40"/>
      <c r="W28" s="65">
        <f t="shared" ref="W28" si="25">+K28-SUM(L28:V28)</f>
        <v>428.79</v>
      </c>
      <c r="X28" s="38">
        <f t="shared" ref="X28" si="26">IF(K28&gt;2250,K28*0.1,0)</f>
        <v>0</v>
      </c>
      <c r="Y28" s="65">
        <f t="shared" ref="Y28" si="27">+W28-X28</f>
        <v>428.79</v>
      </c>
      <c r="Z28" s="38"/>
      <c r="AA28" s="38"/>
      <c r="AB28" s="38"/>
      <c r="AC28" s="65"/>
      <c r="AD28" s="72"/>
      <c r="AE28" s="73"/>
      <c r="AF28" s="66"/>
      <c r="AG28" s="40">
        <v>2723461904</v>
      </c>
      <c r="AH28" s="43"/>
    </row>
    <row r="29" spans="1:34" s="18" customFormat="1" ht="35.25" customHeight="1">
      <c r="A29" s="94"/>
      <c r="B29" s="94" t="s">
        <v>209</v>
      </c>
      <c r="C29" s="94"/>
      <c r="D29" s="94"/>
      <c r="E29" s="94" t="s">
        <v>90</v>
      </c>
      <c r="F29" s="97"/>
      <c r="G29" s="54">
        <v>72</v>
      </c>
      <c r="H29" s="54"/>
      <c r="I29" s="54"/>
      <c r="J29" s="64"/>
      <c r="K29" s="65">
        <f t="shared" si="0"/>
        <v>72</v>
      </c>
      <c r="L29" s="42"/>
      <c r="M29" s="84"/>
      <c r="N29" s="42"/>
      <c r="O29" s="42">
        <v>150</v>
      </c>
      <c r="P29" s="85"/>
      <c r="Q29" s="85"/>
      <c r="R29" s="42"/>
      <c r="S29" s="38"/>
      <c r="T29" s="91"/>
      <c r="U29" s="40"/>
      <c r="V29" s="80"/>
      <c r="W29" s="65">
        <f t="shared" ref="W29" si="28">+K29-SUM(L29:V29)</f>
        <v>-78</v>
      </c>
      <c r="X29" s="38">
        <f t="shared" ref="X29" si="29">IF(K29&gt;2250,K29*0.1,0)</f>
        <v>0</v>
      </c>
      <c r="Y29" s="65">
        <f t="shared" ref="Y29" si="30">+W29-X29</f>
        <v>-78</v>
      </c>
      <c r="Z29" s="38"/>
      <c r="AA29" s="38"/>
      <c r="AB29" s="38"/>
      <c r="AC29" s="65"/>
      <c r="AD29" s="74"/>
      <c r="AE29" s="72"/>
      <c r="AF29" s="66"/>
      <c r="AG29" s="40"/>
      <c r="AH29" s="100" t="s">
        <v>237</v>
      </c>
    </row>
    <row r="30" spans="1:34" s="18" customFormat="1">
      <c r="A30" s="40" t="s">
        <v>41</v>
      </c>
      <c r="B30" s="40" t="s">
        <v>196</v>
      </c>
      <c r="C30" s="40"/>
      <c r="D30" s="40"/>
      <c r="E30" s="40" t="s">
        <v>31</v>
      </c>
      <c r="F30" s="70">
        <v>42604</v>
      </c>
      <c r="G30" s="42">
        <v>129.12</v>
      </c>
      <c r="H30" s="42"/>
      <c r="I30" s="42"/>
      <c r="J30" s="64"/>
      <c r="K30" s="65">
        <f t="shared" si="0"/>
        <v>129.12</v>
      </c>
      <c r="L30" s="42"/>
      <c r="M30" s="84"/>
      <c r="N30" s="42"/>
      <c r="O30" s="42"/>
      <c r="P30" s="85"/>
      <c r="Q30" s="85"/>
      <c r="R30" s="42"/>
      <c r="S30" s="38"/>
      <c r="T30" s="38"/>
      <c r="U30" s="40"/>
      <c r="V30" s="40"/>
      <c r="W30" s="65">
        <f t="shared" ref="W30" si="31">+K30-SUM(L30:V30)</f>
        <v>129.12</v>
      </c>
      <c r="X30" s="38">
        <f t="shared" ref="X30" si="32">IF(K30&gt;2250,K30*0.1,0)</f>
        <v>0</v>
      </c>
      <c r="Y30" s="65">
        <f t="shared" ref="Y30" si="33">+W30-X30</f>
        <v>129.12</v>
      </c>
      <c r="Z30" s="38"/>
      <c r="AA30" s="38"/>
      <c r="AB30" s="38"/>
      <c r="AC30" s="65"/>
      <c r="AD30" s="72"/>
      <c r="AE30" s="73"/>
      <c r="AF30" s="66"/>
      <c r="AG30" s="40">
        <v>1143946878</v>
      </c>
      <c r="AH30" s="43"/>
    </row>
    <row r="31" spans="1:34" s="18" customFormat="1">
      <c r="A31" s="40" t="s">
        <v>30</v>
      </c>
      <c r="B31" s="40" t="s">
        <v>159</v>
      </c>
      <c r="C31" s="40" t="s">
        <v>125</v>
      </c>
      <c r="D31" s="40"/>
      <c r="E31" s="40" t="s">
        <v>32</v>
      </c>
      <c r="F31" s="70">
        <v>42413</v>
      </c>
      <c r="G31" s="42">
        <v>3402.06</v>
      </c>
      <c r="H31" s="42"/>
      <c r="I31" s="42"/>
      <c r="J31" s="64"/>
      <c r="K31" s="65">
        <f t="shared" si="0"/>
        <v>3402.06</v>
      </c>
      <c r="L31" s="42"/>
      <c r="M31" s="84"/>
      <c r="N31" s="42">
        <v>33.049999999999997</v>
      </c>
      <c r="O31" s="42">
        <v>0</v>
      </c>
      <c r="P31" s="85"/>
      <c r="Q31" s="85"/>
      <c r="R31" s="42"/>
      <c r="S31" s="38"/>
      <c r="T31" s="38"/>
      <c r="U31" s="40"/>
      <c r="V31" s="40">
        <v>0</v>
      </c>
      <c r="W31" s="65">
        <f t="shared" si="1"/>
        <v>3369.0099999999998</v>
      </c>
      <c r="X31" s="38">
        <f t="shared" si="2"/>
        <v>340.20600000000002</v>
      </c>
      <c r="Y31" s="65">
        <f t="shared" si="3"/>
        <v>3028.8039999999996</v>
      </c>
      <c r="Z31" s="38">
        <f t="shared" si="4"/>
        <v>0</v>
      </c>
      <c r="AA31" s="38">
        <v>13.23</v>
      </c>
      <c r="AB31" s="38">
        <f t="shared" si="5"/>
        <v>0</v>
      </c>
      <c r="AC31" s="65">
        <f t="shared" si="6"/>
        <v>3415.29</v>
      </c>
      <c r="AD31" s="72"/>
      <c r="AE31" s="73"/>
      <c r="AF31" s="66">
        <f>+AD31+AE31-Y31</f>
        <v>-3028.8039999999996</v>
      </c>
      <c r="AG31" s="40"/>
      <c r="AH31" s="43"/>
    </row>
    <row r="32" spans="1:34" s="18" customFormat="1">
      <c r="A32" s="40" t="s">
        <v>30</v>
      </c>
      <c r="B32" s="40" t="s">
        <v>173</v>
      </c>
      <c r="C32" s="40"/>
      <c r="D32" s="40"/>
      <c r="E32" s="40" t="s">
        <v>32</v>
      </c>
      <c r="F32" s="70">
        <v>42532</v>
      </c>
      <c r="G32" s="42">
        <v>9075.16</v>
      </c>
      <c r="H32" s="42"/>
      <c r="I32" s="42"/>
      <c r="J32" s="64"/>
      <c r="K32" s="65">
        <f t="shared" si="0"/>
        <v>9075.16</v>
      </c>
      <c r="L32" s="42"/>
      <c r="M32" s="84"/>
      <c r="N32" s="42">
        <v>33.049999999999997</v>
      </c>
      <c r="O32" s="42">
        <v>0</v>
      </c>
      <c r="P32" s="85"/>
      <c r="Q32" s="85"/>
      <c r="R32" s="42"/>
      <c r="S32" s="38"/>
      <c r="T32" s="38"/>
      <c r="U32" s="40"/>
      <c r="V32" s="40">
        <v>0</v>
      </c>
      <c r="W32" s="65">
        <f t="shared" si="1"/>
        <v>9042.11</v>
      </c>
      <c r="X32" s="38">
        <f t="shared" si="2"/>
        <v>907.51600000000008</v>
      </c>
      <c r="Y32" s="65">
        <f t="shared" si="3"/>
        <v>8134.594000000001</v>
      </c>
      <c r="Z32" s="38">
        <f t="shared" si="4"/>
        <v>0</v>
      </c>
      <c r="AA32" s="38">
        <v>13.23</v>
      </c>
      <c r="AB32" s="38">
        <f t="shared" si="5"/>
        <v>0</v>
      </c>
      <c r="AC32" s="65">
        <f t="shared" si="6"/>
        <v>9088.39</v>
      </c>
      <c r="AD32" s="72"/>
      <c r="AE32" s="73"/>
      <c r="AF32" s="66">
        <f>+AD32+AE32-Y32</f>
        <v>-8134.594000000001</v>
      </c>
      <c r="AG32" s="40"/>
      <c r="AH32" s="43"/>
    </row>
    <row r="33" spans="1:34" s="18" customFormat="1">
      <c r="A33" s="40" t="s">
        <v>30</v>
      </c>
      <c r="B33" s="40" t="s">
        <v>166</v>
      </c>
      <c r="C33" s="40"/>
      <c r="D33" s="40"/>
      <c r="E33" s="40" t="s">
        <v>32</v>
      </c>
      <c r="F33" s="70">
        <v>42520</v>
      </c>
      <c r="G33" s="42">
        <v>2890.78</v>
      </c>
      <c r="H33" s="42"/>
      <c r="I33" s="42"/>
      <c r="J33" s="64"/>
      <c r="K33" s="65">
        <f t="shared" si="0"/>
        <v>2890.78</v>
      </c>
      <c r="L33" s="42"/>
      <c r="M33" s="84"/>
      <c r="N33" s="42">
        <v>33.049999999999997</v>
      </c>
      <c r="O33" s="42">
        <v>0</v>
      </c>
      <c r="P33" s="85"/>
      <c r="Q33" s="85"/>
      <c r="R33" s="42"/>
      <c r="S33" s="38"/>
      <c r="T33" s="38"/>
      <c r="U33" s="40"/>
      <c r="V33" s="40">
        <v>0</v>
      </c>
      <c r="W33" s="65">
        <f t="shared" si="1"/>
        <v>2857.73</v>
      </c>
      <c r="X33" s="38">
        <f t="shared" si="2"/>
        <v>289.07800000000003</v>
      </c>
      <c r="Y33" s="65">
        <f t="shared" si="3"/>
        <v>2568.652</v>
      </c>
      <c r="Z33" s="38">
        <f t="shared" si="4"/>
        <v>0</v>
      </c>
      <c r="AA33" s="38">
        <v>14.23</v>
      </c>
      <c r="AB33" s="38">
        <f t="shared" si="5"/>
        <v>0</v>
      </c>
      <c r="AC33" s="65">
        <f t="shared" si="6"/>
        <v>2905.01</v>
      </c>
      <c r="AD33" s="72"/>
      <c r="AE33" s="73"/>
      <c r="AF33" s="66"/>
      <c r="AG33" s="40">
        <v>1175437504</v>
      </c>
      <c r="AH33" s="43"/>
    </row>
    <row r="34" spans="1:34" s="18" customFormat="1">
      <c r="A34" s="86" t="s">
        <v>28</v>
      </c>
      <c r="B34" s="86" t="s">
        <v>193</v>
      </c>
      <c r="C34" s="86"/>
      <c r="D34" s="86"/>
      <c r="E34" s="86" t="s">
        <v>192</v>
      </c>
      <c r="F34" s="87">
        <v>42010</v>
      </c>
      <c r="G34" s="88"/>
      <c r="H34" s="88"/>
      <c r="I34" s="88"/>
      <c r="J34" s="89"/>
      <c r="K34" s="65"/>
      <c r="L34" s="42"/>
      <c r="M34" s="84"/>
      <c r="N34" s="42"/>
      <c r="O34" s="42"/>
      <c r="P34" s="85"/>
      <c r="Q34" s="85"/>
      <c r="R34" s="42"/>
      <c r="S34" s="38"/>
      <c r="T34" s="38"/>
      <c r="U34" s="40"/>
      <c r="V34" s="40"/>
      <c r="W34" s="65"/>
      <c r="X34" s="38"/>
      <c r="Y34" s="65"/>
      <c r="Z34" s="38"/>
      <c r="AA34" s="38"/>
      <c r="AB34" s="38"/>
      <c r="AC34" s="65"/>
      <c r="AD34" s="72"/>
      <c r="AE34" s="73"/>
      <c r="AF34" s="66"/>
      <c r="AG34" s="40">
        <v>2871132644</v>
      </c>
      <c r="AH34" s="90" t="s">
        <v>194</v>
      </c>
    </row>
    <row r="35" spans="1:34" s="18" customFormat="1">
      <c r="A35" s="40" t="s">
        <v>30</v>
      </c>
      <c r="B35" s="40" t="s">
        <v>165</v>
      </c>
      <c r="C35" s="40"/>
      <c r="D35" s="40"/>
      <c r="E35" s="40" t="s">
        <v>182</v>
      </c>
      <c r="F35" s="70">
        <v>42480</v>
      </c>
      <c r="G35" s="42"/>
      <c r="H35" s="42"/>
      <c r="I35" s="42"/>
      <c r="J35" s="64"/>
      <c r="K35" s="65">
        <f t="shared" ref="K35:K56" si="34">SUM(G35:I35)-J35</f>
        <v>0</v>
      </c>
      <c r="L35" s="42"/>
      <c r="M35" s="84"/>
      <c r="N35" s="42"/>
      <c r="O35" s="42">
        <v>0</v>
      </c>
      <c r="P35" s="85"/>
      <c r="Q35" s="85"/>
      <c r="R35" s="42"/>
      <c r="S35" s="38"/>
      <c r="T35" s="38"/>
      <c r="U35" s="40"/>
      <c r="V35" s="40">
        <v>0</v>
      </c>
      <c r="W35" s="65">
        <f t="shared" ref="W35:W54" si="35">+K35-SUM(L35:V35)</f>
        <v>0</v>
      </c>
      <c r="X35" s="38">
        <f t="shared" ref="X35:X54" si="36">IF(K35&gt;2250,K35*0.1,0)</f>
        <v>0</v>
      </c>
      <c r="Y35" s="65">
        <f t="shared" ref="Y35:Y54" si="37">+W35-X35</f>
        <v>0</v>
      </c>
      <c r="Z35" s="38">
        <f t="shared" ref="Z35:Z54" si="38">IF(K35&lt;2250,K35*0.1,0)</f>
        <v>0</v>
      </c>
      <c r="AA35" s="38">
        <v>17.23</v>
      </c>
      <c r="AB35" s="38">
        <f t="shared" ref="AB35:AB54" si="39">+P35</f>
        <v>0</v>
      </c>
      <c r="AC35" s="65">
        <f t="shared" ref="AC35:AC54" si="40">+K35+Z35+AA35+AB35</f>
        <v>17.23</v>
      </c>
      <c r="AD35" s="72"/>
      <c r="AE35" s="73"/>
      <c r="AF35" s="66">
        <f>+AD35+AE35-Y35</f>
        <v>0</v>
      </c>
      <c r="AG35" s="40">
        <v>1116618499</v>
      </c>
      <c r="AH35" s="43" t="s">
        <v>238</v>
      </c>
    </row>
    <row r="36" spans="1:34" s="18" customFormat="1">
      <c r="A36" s="40" t="s">
        <v>30</v>
      </c>
      <c r="B36" s="40" t="s">
        <v>126</v>
      </c>
      <c r="C36" s="40" t="s">
        <v>125</v>
      </c>
      <c r="D36" s="45"/>
      <c r="E36" s="40" t="s">
        <v>32</v>
      </c>
      <c r="F36" s="70">
        <v>42240</v>
      </c>
      <c r="G36" s="42">
        <v>6126.39</v>
      </c>
      <c r="H36" s="42"/>
      <c r="I36" s="42"/>
      <c r="J36" s="64"/>
      <c r="K36" s="65">
        <f t="shared" si="34"/>
        <v>6126.39</v>
      </c>
      <c r="L36" s="42"/>
      <c r="M36" s="84"/>
      <c r="N36" s="42">
        <v>33.049999999999997</v>
      </c>
      <c r="O36" s="42">
        <v>0</v>
      </c>
      <c r="P36" s="85"/>
      <c r="Q36" s="85"/>
      <c r="R36" s="42"/>
      <c r="S36" s="38"/>
      <c r="T36" s="38"/>
      <c r="U36" s="40"/>
      <c r="V36" s="40">
        <v>0</v>
      </c>
      <c r="W36" s="65">
        <f t="shared" si="35"/>
        <v>6093.34</v>
      </c>
      <c r="X36" s="38">
        <f t="shared" si="36"/>
        <v>612.63900000000001</v>
      </c>
      <c r="Y36" s="65">
        <f t="shared" si="37"/>
        <v>5480.701</v>
      </c>
      <c r="Z36" s="38">
        <f t="shared" si="38"/>
        <v>0</v>
      </c>
      <c r="AA36" s="38">
        <v>18.23</v>
      </c>
      <c r="AB36" s="38">
        <f t="shared" si="39"/>
        <v>0</v>
      </c>
      <c r="AC36" s="65">
        <f t="shared" si="40"/>
        <v>6144.62</v>
      </c>
      <c r="AD36" s="74"/>
      <c r="AE36" s="74"/>
      <c r="AF36" s="66">
        <f>+AD36+AE36-Y36</f>
        <v>-5480.701</v>
      </c>
      <c r="AG36" s="40"/>
      <c r="AH36" s="43"/>
    </row>
    <row r="37" spans="1:34" s="18" customFormat="1">
      <c r="A37" s="40" t="s">
        <v>30</v>
      </c>
      <c r="B37" s="40" t="s">
        <v>211</v>
      </c>
      <c r="C37" s="40"/>
      <c r="D37" s="45"/>
      <c r="E37" s="40" t="s">
        <v>32</v>
      </c>
      <c r="F37" s="70">
        <v>42415</v>
      </c>
      <c r="G37" s="42">
        <v>3785.09</v>
      </c>
      <c r="H37" s="42"/>
      <c r="I37" s="42"/>
      <c r="J37" s="64"/>
      <c r="K37" s="65">
        <f t="shared" si="34"/>
        <v>3785.09</v>
      </c>
      <c r="L37" s="42"/>
      <c r="M37" s="84">
        <v>1</v>
      </c>
      <c r="N37" s="42">
        <v>33.049999999999997</v>
      </c>
      <c r="O37" s="42"/>
      <c r="P37" s="85"/>
      <c r="Q37" s="85"/>
      <c r="R37" s="42"/>
      <c r="S37" s="38"/>
      <c r="T37" s="38"/>
      <c r="U37" s="40"/>
      <c r="V37" s="40"/>
      <c r="W37" s="65">
        <f t="shared" ref="W37" si="41">+K37-SUM(L37:V37)</f>
        <v>3751.04</v>
      </c>
      <c r="X37" s="38">
        <f t="shared" ref="X37" si="42">IF(K37&gt;2250,K37*0.1,0)</f>
        <v>378.50900000000001</v>
      </c>
      <c r="Y37" s="65">
        <f t="shared" ref="Y37" si="43">+W37-X37</f>
        <v>3372.5309999999999</v>
      </c>
      <c r="Z37" s="38"/>
      <c r="AA37" s="38"/>
      <c r="AB37" s="38"/>
      <c r="AC37" s="65"/>
      <c r="AD37" s="74"/>
      <c r="AE37" s="74"/>
      <c r="AF37" s="66"/>
      <c r="AG37" s="40"/>
      <c r="AH37" s="43"/>
    </row>
    <row r="38" spans="1:34" s="18" customFormat="1">
      <c r="A38" s="40" t="s">
        <v>30</v>
      </c>
      <c r="B38" s="40" t="s">
        <v>115</v>
      </c>
      <c r="C38" s="40" t="s">
        <v>127</v>
      </c>
      <c r="D38" s="40" t="s">
        <v>80</v>
      </c>
      <c r="E38" s="40" t="s">
        <v>32</v>
      </c>
      <c r="F38" s="70">
        <v>41463</v>
      </c>
      <c r="G38" s="42">
        <v>1311.52</v>
      </c>
      <c r="H38" s="42"/>
      <c r="I38" s="42"/>
      <c r="J38" s="64"/>
      <c r="K38" s="65">
        <f t="shared" si="34"/>
        <v>1311.52</v>
      </c>
      <c r="L38" s="42"/>
      <c r="M38" s="84"/>
      <c r="N38" s="42">
        <v>33.049999999999997</v>
      </c>
      <c r="O38" s="42">
        <v>0</v>
      </c>
      <c r="P38" s="85"/>
      <c r="Q38" s="85"/>
      <c r="R38" s="42"/>
      <c r="S38" s="38"/>
      <c r="T38" s="38"/>
      <c r="U38" s="40"/>
      <c r="V38" s="40">
        <v>0</v>
      </c>
      <c r="W38" s="65">
        <f t="shared" si="35"/>
        <v>1278.47</v>
      </c>
      <c r="X38" s="38">
        <f t="shared" si="36"/>
        <v>0</v>
      </c>
      <c r="Y38" s="65">
        <f t="shared" si="37"/>
        <v>1278.47</v>
      </c>
      <c r="Z38" s="38">
        <f t="shared" si="38"/>
        <v>131.15200000000002</v>
      </c>
      <c r="AA38" s="38">
        <v>20.23</v>
      </c>
      <c r="AB38" s="38">
        <f t="shared" si="39"/>
        <v>0</v>
      </c>
      <c r="AC38" s="65">
        <f t="shared" si="40"/>
        <v>1462.902</v>
      </c>
      <c r="AD38" s="72"/>
      <c r="AE38" s="73"/>
      <c r="AF38" s="66">
        <f>+AD38+AE38-Y38</f>
        <v>-1278.47</v>
      </c>
      <c r="AG38" s="40"/>
      <c r="AH38" s="40"/>
    </row>
    <row r="39" spans="1:34" s="18" customFormat="1">
      <c r="A39" s="40" t="s">
        <v>28</v>
      </c>
      <c r="B39" s="40" t="s">
        <v>167</v>
      </c>
      <c r="C39" s="40"/>
      <c r="D39" s="40" t="s">
        <v>168</v>
      </c>
      <c r="E39" s="40" t="s">
        <v>169</v>
      </c>
      <c r="F39" s="75">
        <v>40618</v>
      </c>
      <c r="G39" s="42">
        <v>4096.3</v>
      </c>
      <c r="H39" s="42"/>
      <c r="I39" s="42"/>
      <c r="J39" s="64"/>
      <c r="K39" s="65">
        <f t="shared" si="34"/>
        <v>4096.3</v>
      </c>
      <c r="L39" s="42"/>
      <c r="M39" s="84"/>
      <c r="N39" s="42"/>
      <c r="O39" s="42">
        <v>0</v>
      </c>
      <c r="P39" s="85"/>
      <c r="Q39" s="85"/>
      <c r="R39" s="42"/>
      <c r="S39" s="38"/>
      <c r="T39" s="38"/>
      <c r="U39" s="40"/>
      <c r="V39" s="40">
        <v>0</v>
      </c>
      <c r="W39" s="65">
        <f t="shared" si="35"/>
        <v>4096.3</v>
      </c>
      <c r="X39" s="38">
        <f t="shared" si="36"/>
        <v>409.63000000000005</v>
      </c>
      <c r="Y39" s="65">
        <f t="shared" si="37"/>
        <v>3686.67</v>
      </c>
      <c r="Z39" s="38">
        <f t="shared" si="38"/>
        <v>0</v>
      </c>
      <c r="AA39" s="38">
        <v>21.23</v>
      </c>
      <c r="AB39" s="38">
        <f t="shared" si="39"/>
        <v>0</v>
      </c>
      <c r="AC39" s="65">
        <f t="shared" si="40"/>
        <v>4117.53</v>
      </c>
      <c r="AD39" s="72"/>
      <c r="AE39" s="73"/>
      <c r="AF39" s="66"/>
      <c r="AG39" s="40">
        <v>2659973974</v>
      </c>
      <c r="AH39" s="43"/>
    </row>
    <row r="40" spans="1:34" s="18" customFormat="1">
      <c r="A40" s="40" t="s">
        <v>30</v>
      </c>
      <c r="B40" s="40" t="s">
        <v>158</v>
      </c>
      <c r="C40" s="40" t="s">
        <v>130</v>
      </c>
      <c r="D40" s="40" t="s">
        <v>81</v>
      </c>
      <c r="E40" s="40" t="s">
        <v>32</v>
      </c>
      <c r="F40" s="70">
        <v>42296</v>
      </c>
      <c r="G40" s="42">
        <v>1880.6</v>
      </c>
      <c r="H40" s="42"/>
      <c r="I40" s="42"/>
      <c r="J40" s="64"/>
      <c r="K40" s="65">
        <f t="shared" si="34"/>
        <v>1880.6</v>
      </c>
      <c r="L40" s="42"/>
      <c r="M40" s="84"/>
      <c r="N40" s="42">
        <v>33.049999999999997</v>
      </c>
      <c r="O40" s="42">
        <v>0</v>
      </c>
      <c r="P40" s="85"/>
      <c r="Q40" s="85"/>
      <c r="R40" s="42"/>
      <c r="S40" s="38"/>
      <c r="T40" s="38"/>
      <c r="U40" s="40"/>
      <c r="V40" s="40">
        <v>930</v>
      </c>
      <c r="W40" s="65">
        <f t="shared" si="35"/>
        <v>917.55</v>
      </c>
      <c r="X40" s="38">
        <f t="shared" si="36"/>
        <v>0</v>
      </c>
      <c r="Y40" s="65">
        <f t="shared" si="37"/>
        <v>917.55</v>
      </c>
      <c r="Z40" s="38">
        <f t="shared" si="38"/>
        <v>188.06</v>
      </c>
      <c r="AA40" s="38">
        <v>10.23</v>
      </c>
      <c r="AB40" s="38">
        <f t="shared" si="39"/>
        <v>0</v>
      </c>
      <c r="AC40" s="65">
        <f t="shared" si="40"/>
        <v>2078.89</v>
      </c>
      <c r="AD40" s="72"/>
      <c r="AE40" s="73"/>
      <c r="AF40" s="66">
        <f>+AD40+AE40-Y40</f>
        <v>-917.55</v>
      </c>
      <c r="AG40" s="40"/>
      <c r="AH40" s="43"/>
    </row>
    <row r="41" spans="1:34" s="18" customFormat="1">
      <c r="A41" s="40" t="s">
        <v>29</v>
      </c>
      <c r="B41" s="40" t="s">
        <v>38</v>
      </c>
      <c r="C41" s="40" t="s">
        <v>146</v>
      </c>
      <c r="D41" s="40" t="s">
        <v>60</v>
      </c>
      <c r="E41" s="40" t="s">
        <v>91</v>
      </c>
      <c r="F41" s="70">
        <v>42199</v>
      </c>
      <c r="G41" s="42">
        <v>0</v>
      </c>
      <c r="H41" s="42"/>
      <c r="I41" s="42"/>
      <c r="J41" s="64"/>
      <c r="K41" s="65">
        <f t="shared" si="34"/>
        <v>0</v>
      </c>
      <c r="L41" s="42"/>
      <c r="M41" s="84"/>
      <c r="N41" s="42">
        <v>54.05</v>
      </c>
      <c r="O41" s="42">
        <v>0</v>
      </c>
      <c r="P41" s="85"/>
      <c r="Q41" s="85"/>
      <c r="R41" s="42"/>
      <c r="S41" s="38"/>
      <c r="T41" s="38"/>
      <c r="U41" s="40"/>
      <c r="V41" s="40">
        <v>0</v>
      </c>
      <c r="W41" s="65">
        <f t="shared" si="35"/>
        <v>-54.05</v>
      </c>
      <c r="X41" s="38">
        <f t="shared" si="36"/>
        <v>0</v>
      </c>
      <c r="Y41" s="65">
        <f t="shared" si="37"/>
        <v>-54.05</v>
      </c>
      <c r="Z41" s="38">
        <f t="shared" si="38"/>
        <v>0</v>
      </c>
      <c r="AA41" s="38">
        <v>10.23</v>
      </c>
      <c r="AB41" s="38">
        <f t="shared" si="39"/>
        <v>0</v>
      </c>
      <c r="AC41" s="65">
        <f t="shared" si="40"/>
        <v>10.23</v>
      </c>
      <c r="AD41" s="72"/>
      <c r="AE41" s="73"/>
      <c r="AF41" s="66">
        <f>+AD41+AE41-Y41</f>
        <v>54.05</v>
      </c>
      <c r="AG41" s="40"/>
      <c r="AH41" s="40"/>
    </row>
    <row r="42" spans="1:34" s="18" customFormat="1">
      <c r="A42" s="40" t="s">
        <v>30</v>
      </c>
      <c r="B42" s="40" t="s">
        <v>131</v>
      </c>
      <c r="C42" s="40" t="s">
        <v>130</v>
      </c>
      <c r="D42" s="40" t="s">
        <v>82</v>
      </c>
      <c r="E42" s="40" t="s">
        <v>32</v>
      </c>
      <c r="F42" s="70">
        <v>42304</v>
      </c>
      <c r="G42" s="42">
        <v>1152.19</v>
      </c>
      <c r="H42" s="42"/>
      <c r="I42" s="42"/>
      <c r="J42" s="64"/>
      <c r="K42" s="65">
        <f t="shared" si="34"/>
        <v>1152.19</v>
      </c>
      <c r="L42" s="42"/>
      <c r="M42" s="84"/>
      <c r="N42" s="42">
        <v>33.049999999999997</v>
      </c>
      <c r="O42" s="42">
        <v>0</v>
      </c>
      <c r="P42" s="85"/>
      <c r="Q42" s="85"/>
      <c r="R42" s="42"/>
      <c r="S42" s="38"/>
      <c r="T42" s="38"/>
      <c r="U42" s="40"/>
      <c r="V42" s="40">
        <v>0</v>
      </c>
      <c r="W42" s="65">
        <f t="shared" si="35"/>
        <v>1119.1400000000001</v>
      </c>
      <c r="X42" s="38">
        <f t="shared" si="36"/>
        <v>0</v>
      </c>
      <c r="Y42" s="65">
        <f t="shared" si="37"/>
        <v>1119.1400000000001</v>
      </c>
      <c r="Z42" s="38">
        <f t="shared" si="38"/>
        <v>115.21900000000001</v>
      </c>
      <c r="AA42" s="38">
        <v>10.23</v>
      </c>
      <c r="AB42" s="38">
        <f t="shared" si="39"/>
        <v>0</v>
      </c>
      <c r="AC42" s="65">
        <f t="shared" si="40"/>
        <v>1277.6390000000001</v>
      </c>
      <c r="AD42" s="66"/>
      <c r="AE42" s="66"/>
      <c r="AF42" s="66"/>
      <c r="AG42" s="40"/>
      <c r="AH42" s="43"/>
    </row>
    <row r="43" spans="1:34" s="18" customFormat="1">
      <c r="A43" s="40" t="s">
        <v>29</v>
      </c>
      <c r="B43" s="40" t="s">
        <v>177</v>
      </c>
      <c r="C43" s="40"/>
      <c r="D43" s="40"/>
      <c r="E43" s="40" t="s">
        <v>91</v>
      </c>
      <c r="F43" s="70">
        <v>42576</v>
      </c>
      <c r="G43" s="42">
        <v>7035.85</v>
      </c>
      <c r="H43" s="42"/>
      <c r="I43" s="42"/>
      <c r="J43" s="64"/>
      <c r="K43" s="65">
        <f t="shared" si="34"/>
        <v>7035.85</v>
      </c>
      <c r="L43" s="42"/>
      <c r="M43" s="84"/>
      <c r="N43" s="42"/>
      <c r="O43" s="42">
        <v>0</v>
      </c>
      <c r="P43" s="85"/>
      <c r="Q43" s="85"/>
      <c r="R43" s="42"/>
      <c r="S43" s="38"/>
      <c r="T43" s="38"/>
      <c r="U43" s="40"/>
      <c r="V43" s="40">
        <v>0</v>
      </c>
      <c r="W43" s="65">
        <f t="shared" si="35"/>
        <v>7035.85</v>
      </c>
      <c r="X43" s="38">
        <f t="shared" si="36"/>
        <v>703.58500000000004</v>
      </c>
      <c r="Y43" s="65">
        <f t="shared" si="37"/>
        <v>6332.2650000000003</v>
      </c>
      <c r="Z43" s="38">
        <f t="shared" si="38"/>
        <v>0</v>
      </c>
      <c r="AA43" s="38">
        <v>11.23</v>
      </c>
      <c r="AB43" s="38">
        <f t="shared" si="39"/>
        <v>0</v>
      </c>
      <c r="AC43" s="65">
        <f t="shared" si="40"/>
        <v>7047.08</v>
      </c>
      <c r="AD43" s="68"/>
      <c r="AE43" s="68"/>
      <c r="AF43" s="68"/>
      <c r="AG43" s="40">
        <v>2960710474</v>
      </c>
      <c r="AH43" s="43"/>
    </row>
    <row r="44" spans="1:34" s="18" customFormat="1">
      <c r="A44" s="40" t="s">
        <v>43</v>
      </c>
      <c r="B44" s="40" t="s">
        <v>102</v>
      </c>
      <c r="C44" s="40"/>
      <c r="D44" s="40"/>
      <c r="E44" s="40" t="s">
        <v>90</v>
      </c>
      <c r="F44" s="70">
        <v>42413</v>
      </c>
      <c r="G44" s="92">
        <f>433+252</f>
        <v>685</v>
      </c>
      <c r="H44" s="42"/>
      <c r="I44" s="42"/>
      <c r="J44" s="64"/>
      <c r="K44" s="65">
        <f t="shared" si="34"/>
        <v>685</v>
      </c>
      <c r="L44" s="42"/>
      <c r="M44" s="84">
        <v>2</v>
      </c>
      <c r="N44" s="42"/>
      <c r="O44" s="42">
        <v>0</v>
      </c>
      <c r="P44" s="85"/>
      <c r="Q44" s="85"/>
      <c r="R44" s="42"/>
      <c r="S44" s="38"/>
      <c r="T44" s="38"/>
      <c r="U44" s="40"/>
      <c r="V44" s="40">
        <v>0</v>
      </c>
      <c r="W44" s="65">
        <f t="shared" si="35"/>
        <v>683</v>
      </c>
      <c r="X44" s="38">
        <f t="shared" si="36"/>
        <v>0</v>
      </c>
      <c r="Y44" s="65">
        <f t="shared" si="37"/>
        <v>683</v>
      </c>
      <c r="Z44" s="38">
        <f t="shared" si="38"/>
        <v>68.5</v>
      </c>
      <c r="AA44" s="38">
        <v>10.23</v>
      </c>
      <c r="AB44" s="38">
        <f t="shared" si="39"/>
        <v>0</v>
      </c>
      <c r="AC44" s="65">
        <f t="shared" si="40"/>
        <v>763.73</v>
      </c>
      <c r="AD44" s="72"/>
      <c r="AE44" s="73"/>
      <c r="AF44" s="66">
        <f t="shared" ref="AF44:AF47" si="44">+AD44+AE44-Y44</f>
        <v>-683</v>
      </c>
      <c r="AG44" s="40"/>
      <c r="AH44" s="40"/>
    </row>
    <row r="45" spans="1:34" s="18" customFormat="1">
      <c r="A45" s="40" t="s">
        <v>30</v>
      </c>
      <c r="B45" s="40" t="s">
        <v>155</v>
      </c>
      <c r="C45" s="40" t="s">
        <v>130</v>
      </c>
      <c r="D45" s="40" t="s">
        <v>83</v>
      </c>
      <c r="E45" s="40" t="s">
        <v>32</v>
      </c>
      <c r="F45" s="70">
        <v>41622</v>
      </c>
      <c r="G45" s="42">
        <v>0</v>
      </c>
      <c r="H45" s="42"/>
      <c r="I45" s="42"/>
      <c r="J45" s="64"/>
      <c r="K45" s="65">
        <f t="shared" si="34"/>
        <v>0</v>
      </c>
      <c r="L45" s="42"/>
      <c r="M45" s="84"/>
      <c r="N45" s="42">
        <v>33.049999999999997</v>
      </c>
      <c r="O45" s="42">
        <v>0</v>
      </c>
      <c r="P45" s="85"/>
      <c r="Q45" s="85"/>
      <c r="R45" s="42"/>
      <c r="S45" s="38"/>
      <c r="T45" s="38"/>
      <c r="U45" s="40"/>
      <c r="V45" s="40">
        <v>0</v>
      </c>
      <c r="W45" s="65">
        <f t="shared" si="35"/>
        <v>-33.049999999999997</v>
      </c>
      <c r="X45" s="38">
        <f t="shared" si="36"/>
        <v>0</v>
      </c>
      <c r="Y45" s="65">
        <f t="shared" si="37"/>
        <v>-33.049999999999997</v>
      </c>
      <c r="Z45" s="38">
        <f t="shared" si="38"/>
        <v>0</v>
      </c>
      <c r="AA45" s="38">
        <v>10.23</v>
      </c>
      <c r="AB45" s="38">
        <f t="shared" si="39"/>
        <v>0</v>
      </c>
      <c r="AC45" s="65">
        <f t="shared" si="40"/>
        <v>10.23</v>
      </c>
      <c r="AD45" s="72"/>
      <c r="AE45" s="72"/>
      <c r="AF45" s="66">
        <f t="shared" si="44"/>
        <v>33.049999999999997</v>
      </c>
      <c r="AG45" s="40"/>
      <c r="AH45" s="40"/>
    </row>
    <row r="46" spans="1:34" s="18" customFormat="1">
      <c r="A46" s="40" t="s">
        <v>30</v>
      </c>
      <c r="B46" s="40" t="s">
        <v>161</v>
      </c>
      <c r="C46" s="40" t="s">
        <v>127</v>
      </c>
      <c r="D46" s="40">
        <v>30</v>
      </c>
      <c r="E46" s="40" t="s">
        <v>32</v>
      </c>
      <c r="F46" s="70">
        <v>37834</v>
      </c>
      <c r="G46" s="42">
        <v>17626.310000000001</v>
      </c>
      <c r="H46" s="42"/>
      <c r="I46" s="42"/>
      <c r="J46" s="64"/>
      <c r="K46" s="65">
        <f t="shared" si="34"/>
        <v>17626.310000000001</v>
      </c>
      <c r="L46" s="42"/>
      <c r="M46" s="84"/>
      <c r="N46" s="42">
        <v>33.049999999999997</v>
      </c>
      <c r="O46" s="42">
        <v>0</v>
      </c>
      <c r="P46" s="85"/>
      <c r="Q46" s="85"/>
      <c r="R46" s="42"/>
      <c r="S46" s="38"/>
      <c r="T46" s="38"/>
      <c r="U46" s="40"/>
      <c r="V46" s="40">
        <v>0</v>
      </c>
      <c r="W46" s="65">
        <f t="shared" si="35"/>
        <v>17593.260000000002</v>
      </c>
      <c r="X46" s="38">
        <f t="shared" si="36"/>
        <v>1762.6310000000003</v>
      </c>
      <c r="Y46" s="65">
        <f t="shared" si="37"/>
        <v>15830.629000000001</v>
      </c>
      <c r="Z46" s="38">
        <f t="shared" si="38"/>
        <v>0</v>
      </c>
      <c r="AA46" s="38">
        <v>10.23</v>
      </c>
      <c r="AB46" s="38">
        <f t="shared" si="39"/>
        <v>0</v>
      </c>
      <c r="AC46" s="65">
        <f t="shared" si="40"/>
        <v>17636.54</v>
      </c>
      <c r="AD46" s="72"/>
      <c r="AE46" s="73"/>
      <c r="AF46" s="66">
        <f t="shared" si="44"/>
        <v>-15830.629000000001</v>
      </c>
      <c r="AG46" s="40"/>
      <c r="AH46" s="43"/>
    </row>
    <row r="47" spans="1:34" s="18" customFormat="1">
      <c r="A47" s="40" t="s">
        <v>30</v>
      </c>
      <c r="B47" s="40" t="s">
        <v>110</v>
      </c>
      <c r="C47" s="40" t="s">
        <v>125</v>
      </c>
      <c r="D47" s="40" t="s">
        <v>84</v>
      </c>
      <c r="E47" s="40" t="s">
        <v>32</v>
      </c>
      <c r="F47" s="70">
        <v>42394</v>
      </c>
      <c r="G47" s="42">
        <v>2223.62</v>
      </c>
      <c r="H47" s="42"/>
      <c r="I47" s="42"/>
      <c r="J47" s="64"/>
      <c r="K47" s="65">
        <f t="shared" si="34"/>
        <v>2223.62</v>
      </c>
      <c r="L47" s="42">
        <v>275</v>
      </c>
      <c r="M47" s="84"/>
      <c r="N47" s="42">
        <v>33.049999999999997</v>
      </c>
      <c r="O47" s="42">
        <v>0</v>
      </c>
      <c r="P47" s="85"/>
      <c r="Q47" s="85"/>
      <c r="R47" s="42"/>
      <c r="S47" s="38"/>
      <c r="T47" s="38"/>
      <c r="U47" s="67"/>
      <c r="V47" s="67">
        <v>938.5</v>
      </c>
      <c r="W47" s="65">
        <f t="shared" si="35"/>
        <v>977.06999999999994</v>
      </c>
      <c r="X47" s="38">
        <f t="shared" si="36"/>
        <v>0</v>
      </c>
      <c r="Y47" s="65">
        <f t="shared" si="37"/>
        <v>977.06999999999994</v>
      </c>
      <c r="Z47" s="38">
        <f t="shared" si="38"/>
        <v>222.36199999999999</v>
      </c>
      <c r="AA47" s="38">
        <v>10.23</v>
      </c>
      <c r="AB47" s="38">
        <f t="shared" si="39"/>
        <v>0</v>
      </c>
      <c r="AC47" s="65">
        <f t="shared" si="40"/>
        <v>2456.212</v>
      </c>
      <c r="AD47" s="72"/>
      <c r="AE47" s="73"/>
      <c r="AF47" s="66">
        <f t="shared" si="44"/>
        <v>-977.06999999999994</v>
      </c>
      <c r="AG47" s="40"/>
      <c r="AH47" s="43" t="s">
        <v>228</v>
      </c>
    </row>
    <row r="48" spans="1:34" s="18" customFormat="1">
      <c r="A48" s="40" t="s">
        <v>30</v>
      </c>
      <c r="B48" s="40" t="s">
        <v>201</v>
      </c>
      <c r="C48" s="40"/>
      <c r="D48" s="40"/>
      <c r="E48" s="40" t="s">
        <v>32</v>
      </c>
      <c r="F48" s="70">
        <v>42342</v>
      </c>
      <c r="G48" s="42">
        <v>6842</v>
      </c>
      <c r="H48" s="42"/>
      <c r="I48" s="42"/>
      <c r="J48" s="64"/>
      <c r="K48" s="65">
        <f t="shared" si="34"/>
        <v>6842</v>
      </c>
      <c r="L48" s="42">
        <v>200</v>
      </c>
      <c r="M48" s="84"/>
      <c r="N48" s="42">
        <v>26.44</v>
      </c>
      <c r="O48" s="42">
        <v>0</v>
      </c>
      <c r="P48" s="85"/>
      <c r="Q48" s="85"/>
      <c r="R48" s="42"/>
      <c r="S48" s="38">
        <v>257.3</v>
      </c>
      <c r="T48" s="38"/>
      <c r="U48" s="67"/>
      <c r="V48" s="67"/>
      <c r="W48" s="65">
        <f t="shared" ref="W48" si="45">+K48-SUM(L48:V48)</f>
        <v>6358.26</v>
      </c>
      <c r="X48" s="38">
        <f t="shared" ref="X48" si="46">IF(K48&gt;2250,K48*0.1,0)</f>
        <v>684.2</v>
      </c>
      <c r="Y48" s="65">
        <f t="shared" ref="Y48" si="47">+W48-X48</f>
        <v>5674.06</v>
      </c>
      <c r="Z48" s="38"/>
      <c r="AA48" s="38"/>
      <c r="AB48" s="38"/>
      <c r="AC48" s="65"/>
      <c r="AD48" s="72"/>
      <c r="AE48" s="73"/>
      <c r="AF48" s="66"/>
      <c r="AG48" s="40"/>
      <c r="AH48" s="43" t="s">
        <v>228</v>
      </c>
    </row>
    <row r="49" spans="1:34" s="18" customFormat="1">
      <c r="A49" s="40" t="s">
        <v>30</v>
      </c>
      <c r="B49" s="40" t="s">
        <v>204</v>
      </c>
      <c r="C49" s="40"/>
      <c r="D49" s="40"/>
      <c r="E49" s="40" t="s">
        <v>32</v>
      </c>
      <c r="F49" s="70">
        <v>42648</v>
      </c>
      <c r="G49" s="42">
        <v>3348.11</v>
      </c>
      <c r="H49" s="42"/>
      <c r="I49" s="42"/>
      <c r="J49" s="64"/>
      <c r="K49" s="65">
        <f t="shared" si="34"/>
        <v>3348.11</v>
      </c>
      <c r="L49" s="42"/>
      <c r="M49" s="84"/>
      <c r="N49" s="42">
        <v>33.049999999999997</v>
      </c>
      <c r="O49" s="42"/>
      <c r="P49" s="85"/>
      <c r="Q49" s="85"/>
      <c r="R49" s="42"/>
      <c r="S49" s="38"/>
      <c r="T49" s="38"/>
      <c r="U49" s="67"/>
      <c r="V49" s="67"/>
      <c r="W49" s="65">
        <f t="shared" ref="W49" si="48">+K49-SUM(L49:V49)</f>
        <v>3315.06</v>
      </c>
      <c r="X49" s="38">
        <f t="shared" ref="X49" si="49">IF(K49&gt;2250,K49*0.1,0)</f>
        <v>334.81100000000004</v>
      </c>
      <c r="Y49" s="65">
        <f t="shared" ref="Y49" si="50">+W49-X49</f>
        <v>2980.2489999999998</v>
      </c>
      <c r="Z49" s="38"/>
      <c r="AA49" s="38"/>
      <c r="AB49" s="38"/>
      <c r="AC49" s="65"/>
      <c r="AD49" s="72"/>
      <c r="AE49" s="73"/>
      <c r="AF49" s="66"/>
      <c r="AG49" s="40">
        <v>1128031436</v>
      </c>
      <c r="AH49" s="43"/>
    </row>
    <row r="50" spans="1:34" s="18" customFormat="1">
      <c r="A50" s="40" t="s">
        <v>29</v>
      </c>
      <c r="B50" s="40" t="s">
        <v>213</v>
      </c>
      <c r="C50" s="40"/>
      <c r="D50" s="40"/>
      <c r="E50" s="40" t="s">
        <v>91</v>
      </c>
      <c r="F50" s="70">
        <v>42644</v>
      </c>
      <c r="G50" s="42">
        <v>2818.3</v>
      </c>
      <c r="H50" s="42"/>
      <c r="I50" s="42"/>
      <c r="J50" s="64"/>
      <c r="K50" s="65">
        <f t="shared" si="34"/>
        <v>2818.3</v>
      </c>
      <c r="L50" s="42">
        <v>200</v>
      </c>
      <c r="M50" s="84"/>
      <c r="N50" s="42"/>
      <c r="O50" s="42"/>
      <c r="P50" s="85"/>
      <c r="Q50" s="85"/>
      <c r="R50" s="42"/>
      <c r="S50" s="38"/>
      <c r="T50" s="38"/>
      <c r="U50" s="67"/>
      <c r="V50" s="67"/>
      <c r="W50" s="65">
        <f t="shared" ref="W50" si="51">+K50-SUM(L50:V50)</f>
        <v>2618.3000000000002</v>
      </c>
      <c r="X50" s="38">
        <f t="shared" ref="X50" si="52">IF(K50&gt;2250,K50*0.1,0)</f>
        <v>281.83000000000004</v>
      </c>
      <c r="Y50" s="65">
        <f t="shared" ref="Y50" si="53">+W50-X50</f>
        <v>2336.4700000000003</v>
      </c>
      <c r="Z50" s="38"/>
      <c r="AA50" s="38"/>
      <c r="AB50" s="38"/>
      <c r="AC50" s="65"/>
      <c r="AD50" s="72"/>
      <c r="AE50" s="73"/>
      <c r="AF50" s="66"/>
      <c r="AG50" s="40">
        <v>2778034427</v>
      </c>
      <c r="AH50" s="43" t="s">
        <v>228</v>
      </c>
    </row>
    <row r="51" spans="1:34" s="18" customFormat="1">
      <c r="A51" s="113" t="s">
        <v>30</v>
      </c>
      <c r="B51" s="113" t="s">
        <v>245</v>
      </c>
      <c r="C51" s="113"/>
      <c r="D51" s="113"/>
      <c r="E51" s="113" t="s">
        <v>32</v>
      </c>
      <c r="F51" s="114">
        <v>42751</v>
      </c>
      <c r="G51" s="115"/>
      <c r="H51" s="115"/>
      <c r="I51" s="115"/>
      <c r="J51" s="116"/>
      <c r="K51" s="65">
        <f t="shared" si="34"/>
        <v>0</v>
      </c>
      <c r="L51" s="42"/>
      <c r="M51" s="84"/>
      <c r="N51" s="42"/>
      <c r="O51" s="42"/>
      <c r="P51" s="85"/>
      <c r="Q51" s="85"/>
      <c r="R51" s="42"/>
      <c r="S51" s="38"/>
      <c r="T51" s="38"/>
      <c r="U51" s="40"/>
      <c r="V51" s="40"/>
      <c r="W51" s="65">
        <f t="shared" ref="W51" si="54">+K51-SUM(L51:V51)</f>
        <v>0</v>
      </c>
      <c r="X51" s="38">
        <f t="shared" ref="X51" si="55">IF(K51&gt;2250,K51*0.1,0)</f>
        <v>0</v>
      </c>
      <c r="Y51" s="65">
        <f t="shared" ref="Y51" si="56">+W51-X51</f>
        <v>0</v>
      </c>
      <c r="Z51" s="38"/>
      <c r="AA51" s="38"/>
      <c r="AB51" s="38"/>
      <c r="AC51" s="65"/>
      <c r="AD51" s="72"/>
      <c r="AE51" s="72"/>
      <c r="AF51" s="66"/>
      <c r="AG51" s="117">
        <v>2866865712</v>
      </c>
      <c r="AH51" s="117" t="s">
        <v>248</v>
      </c>
    </row>
    <row r="52" spans="1:34" s="18" customFormat="1">
      <c r="A52" s="40" t="s">
        <v>43</v>
      </c>
      <c r="B52" s="40" t="s">
        <v>186</v>
      </c>
      <c r="C52" s="40"/>
      <c r="D52" s="40"/>
      <c r="E52" s="40" t="s">
        <v>90</v>
      </c>
      <c r="F52" s="70">
        <v>41709</v>
      </c>
      <c r="G52" s="92">
        <v>433</v>
      </c>
      <c r="H52" s="42"/>
      <c r="I52" s="42"/>
      <c r="J52" s="64"/>
      <c r="K52" s="65">
        <f t="shared" si="34"/>
        <v>433</v>
      </c>
      <c r="L52" s="42"/>
      <c r="M52" s="84"/>
      <c r="N52" s="42"/>
      <c r="O52" s="42"/>
      <c r="P52" s="85"/>
      <c r="Q52" s="85"/>
      <c r="R52" s="42"/>
      <c r="S52" s="38"/>
      <c r="T52" s="38"/>
      <c r="U52" s="40"/>
      <c r="V52" s="40">
        <v>0</v>
      </c>
      <c r="W52" s="65">
        <f t="shared" si="35"/>
        <v>433</v>
      </c>
      <c r="X52" s="38">
        <f t="shared" si="36"/>
        <v>0</v>
      </c>
      <c r="Y52" s="65">
        <f t="shared" si="37"/>
        <v>433</v>
      </c>
      <c r="Z52" s="38">
        <f t="shared" si="38"/>
        <v>43.300000000000004</v>
      </c>
      <c r="AA52" s="38">
        <v>11.23</v>
      </c>
      <c r="AB52" s="38">
        <f t="shared" si="39"/>
        <v>0</v>
      </c>
      <c r="AC52" s="65">
        <f t="shared" si="40"/>
        <v>487.53000000000003</v>
      </c>
      <c r="AD52" s="72"/>
      <c r="AE52" s="73"/>
      <c r="AF52" s="66"/>
      <c r="AG52" s="40">
        <v>2836126510</v>
      </c>
      <c r="AH52" s="40"/>
    </row>
    <row r="53" spans="1:34" s="18" customFormat="1">
      <c r="A53" s="40" t="s">
        <v>30</v>
      </c>
      <c r="B53" s="40" t="s">
        <v>141</v>
      </c>
      <c r="C53" s="40" t="s">
        <v>130</v>
      </c>
      <c r="D53" s="40" t="s">
        <v>85</v>
      </c>
      <c r="E53" s="40" t="s">
        <v>32</v>
      </c>
      <c r="F53" s="70">
        <v>42251</v>
      </c>
      <c r="G53" s="42">
        <v>15150.81</v>
      </c>
      <c r="H53" s="42">
        <v>371.89</v>
      </c>
      <c r="I53" s="42"/>
      <c r="J53" s="64"/>
      <c r="K53" s="65">
        <f t="shared" si="34"/>
        <v>15522.699999999999</v>
      </c>
      <c r="L53" s="42"/>
      <c r="M53" s="84"/>
      <c r="N53" s="42">
        <v>33.049999999999997</v>
      </c>
      <c r="O53" s="42">
        <v>0</v>
      </c>
      <c r="P53" s="85"/>
      <c r="Q53" s="85"/>
      <c r="R53" s="42"/>
      <c r="S53" s="38"/>
      <c r="T53" s="38"/>
      <c r="U53" s="40"/>
      <c r="V53" s="40">
        <v>0</v>
      </c>
      <c r="W53" s="65">
        <f t="shared" si="35"/>
        <v>15489.65</v>
      </c>
      <c r="X53" s="38">
        <f t="shared" si="36"/>
        <v>1552.27</v>
      </c>
      <c r="Y53" s="65">
        <f t="shared" si="37"/>
        <v>13937.38</v>
      </c>
      <c r="Z53" s="38">
        <f t="shared" si="38"/>
        <v>0</v>
      </c>
      <c r="AA53" s="38">
        <v>10.23</v>
      </c>
      <c r="AB53" s="38">
        <f t="shared" si="39"/>
        <v>0</v>
      </c>
      <c r="AC53" s="65">
        <f t="shared" si="40"/>
        <v>15532.929999999998</v>
      </c>
      <c r="AD53" s="72"/>
      <c r="AE53" s="73"/>
      <c r="AF53" s="66">
        <f t="shared" ref="AF53:AF54" si="57">+AD53+AE53-Y53</f>
        <v>-13937.38</v>
      </c>
      <c r="AH53" s="40"/>
    </row>
    <row r="54" spans="1:34" s="18" customFormat="1">
      <c r="A54" s="40" t="s">
        <v>41</v>
      </c>
      <c r="B54" s="40" t="s">
        <v>164</v>
      </c>
      <c r="C54" s="40"/>
      <c r="D54" s="40"/>
      <c r="E54" s="40" t="s">
        <v>31</v>
      </c>
      <c r="F54" s="70">
        <v>42506</v>
      </c>
      <c r="G54" s="42">
        <v>1741.03</v>
      </c>
      <c r="H54" s="42"/>
      <c r="I54" s="42"/>
      <c r="J54" s="64"/>
      <c r="K54" s="65">
        <f t="shared" si="34"/>
        <v>1741.03</v>
      </c>
      <c r="L54" s="42"/>
      <c r="M54" s="84">
        <v>1</v>
      </c>
      <c r="N54" s="42"/>
      <c r="O54" s="42">
        <v>0</v>
      </c>
      <c r="P54" s="85"/>
      <c r="Q54" s="85"/>
      <c r="R54" s="42"/>
      <c r="S54" s="38"/>
      <c r="T54" s="38"/>
      <c r="U54" s="40"/>
      <c r="V54" s="40">
        <v>0</v>
      </c>
      <c r="W54" s="65">
        <f t="shared" si="35"/>
        <v>1740.03</v>
      </c>
      <c r="X54" s="38">
        <f t="shared" si="36"/>
        <v>0</v>
      </c>
      <c r="Y54" s="65">
        <f t="shared" si="37"/>
        <v>1740.03</v>
      </c>
      <c r="Z54" s="38">
        <f t="shared" si="38"/>
        <v>174.10300000000001</v>
      </c>
      <c r="AA54" s="38">
        <v>10.23</v>
      </c>
      <c r="AB54" s="38">
        <f t="shared" si="39"/>
        <v>0</v>
      </c>
      <c r="AC54" s="65">
        <f t="shared" si="40"/>
        <v>1925.3630000000001</v>
      </c>
      <c r="AD54" s="72"/>
      <c r="AE54" s="72"/>
      <c r="AF54" s="66">
        <f t="shared" si="57"/>
        <v>-1740.03</v>
      </c>
      <c r="AG54" s="53">
        <v>2928860106</v>
      </c>
      <c r="AH54" s="43"/>
    </row>
    <row r="55" spans="1:34" s="18" customFormat="1">
      <c r="A55" s="40" t="s">
        <v>29</v>
      </c>
      <c r="B55" s="40" t="s">
        <v>233</v>
      </c>
      <c r="C55" s="40"/>
      <c r="D55" s="40"/>
      <c r="E55" s="40" t="s">
        <v>91</v>
      </c>
      <c r="F55" s="70">
        <v>42739</v>
      </c>
      <c r="G55" s="42">
        <v>0</v>
      </c>
      <c r="H55" s="42"/>
      <c r="I55" s="42"/>
      <c r="J55" s="64"/>
      <c r="K55" s="65">
        <f t="shared" si="34"/>
        <v>0</v>
      </c>
      <c r="L55" s="42"/>
      <c r="M55" s="84"/>
      <c r="N55" s="42"/>
      <c r="O55" s="42"/>
      <c r="P55" s="85"/>
      <c r="Q55" s="85"/>
      <c r="R55" s="42"/>
      <c r="S55" s="38"/>
      <c r="T55" s="38"/>
      <c r="U55" s="40"/>
      <c r="V55" s="40"/>
      <c r="W55" s="65">
        <f t="shared" ref="W55" si="58">+K55-SUM(L55:V55)</f>
        <v>0</v>
      </c>
      <c r="X55" s="38">
        <f t="shared" ref="X55" si="59">IF(K55&gt;2250,K55*0.1,0)</f>
        <v>0</v>
      </c>
      <c r="Y55" s="65">
        <f t="shared" ref="Y55" si="60">+W55-X55</f>
        <v>0</v>
      </c>
      <c r="Z55" s="38"/>
      <c r="AA55" s="38"/>
      <c r="AB55" s="38"/>
      <c r="AC55" s="65"/>
      <c r="AD55" s="72"/>
      <c r="AE55" s="72"/>
      <c r="AF55" s="66"/>
      <c r="AG55" s="53"/>
      <c r="AH55" s="43"/>
    </row>
    <row r="56" spans="1:34" s="18" customFormat="1">
      <c r="A56" s="40" t="s">
        <v>30</v>
      </c>
      <c r="B56" s="40" t="s">
        <v>230</v>
      </c>
      <c r="C56" s="40"/>
      <c r="D56" s="40"/>
      <c r="E56" s="40" t="s">
        <v>32</v>
      </c>
      <c r="F56" s="70">
        <v>42730</v>
      </c>
      <c r="G56" s="42">
        <v>4493.22</v>
      </c>
      <c r="H56" s="42"/>
      <c r="I56" s="42"/>
      <c r="J56" s="64"/>
      <c r="K56" s="65">
        <f t="shared" si="34"/>
        <v>4493.22</v>
      </c>
      <c r="L56" s="42"/>
      <c r="M56" s="84"/>
      <c r="N56" s="42"/>
      <c r="O56" s="42"/>
      <c r="P56" s="85"/>
      <c r="Q56" s="85"/>
      <c r="R56" s="42"/>
      <c r="S56" s="38"/>
      <c r="T56" s="38"/>
      <c r="U56" s="40"/>
      <c r="V56" s="40"/>
      <c r="W56" s="65">
        <f t="shared" ref="W56" si="61">+K56-SUM(L56:V56)</f>
        <v>4493.22</v>
      </c>
      <c r="X56" s="38">
        <f t="shared" ref="X56" si="62">IF(K56&gt;2250,K56*0.1,0)</f>
        <v>449.32200000000006</v>
      </c>
      <c r="Y56" s="65">
        <f t="shared" ref="Y56" si="63">+W56-X56</f>
        <v>4043.8980000000001</v>
      </c>
      <c r="Z56" s="38"/>
      <c r="AA56" s="38"/>
      <c r="AB56" s="38"/>
      <c r="AC56" s="65"/>
      <c r="AD56" s="72"/>
      <c r="AE56" s="72"/>
      <c r="AF56" s="66"/>
      <c r="AG56" s="53">
        <v>2949678867</v>
      </c>
      <c r="AH56" s="43"/>
    </row>
    <row r="57" spans="1:34" s="18" customFormat="1">
      <c r="A57" s="40" t="s">
        <v>30</v>
      </c>
      <c r="B57" s="40" t="s">
        <v>171</v>
      </c>
      <c r="C57" s="40"/>
      <c r="D57" s="40"/>
      <c r="E57" s="40" t="s">
        <v>32</v>
      </c>
      <c r="F57" s="70">
        <v>42522</v>
      </c>
      <c r="G57" s="42">
        <v>6018.89</v>
      </c>
      <c r="H57" s="42"/>
      <c r="I57" s="42"/>
      <c r="J57" s="64"/>
      <c r="K57" s="65">
        <f t="shared" ref="K57:K72" si="64">SUM(G57:I57)-J57</f>
        <v>6018.89</v>
      </c>
      <c r="L57" s="42"/>
      <c r="M57" s="84"/>
      <c r="N57" s="42">
        <v>33.049999999999997</v>
      </c>
      <c r="O57" s="42">
        <v>0</v>
      </c>
      <c r="P57" s="85"/>
      <c r="Q57" s="85"/>
      <c r="R57" s="42"/>
      <c r="S57" s="38"/>
      <c r="T57" s="38"/>
      <c r="U57" s="40"/>
      <c r="V57" s="40">
        <v>0</v>
      </c>
      <c r="W57" s="65">
        <f t="shared" ref="W57:W70" si="65">+K57-SUM(L57:V57)</f>
        <v>5985.84</v>
      </c>
      <c r="X57" s="38">
        <f t="shared" ref="X57:X62" si="66">IF(K57&gt;2250,K57*0.1,0)</f>
        <v>601.88900000000001</v>
      </c>
      <c r="Y57" s="65">
        <f t="shared" ref="Y57:Y70" si="67">+W57-X57</f>
        <v>5383.951</v>
      </c>
      <c r="Z57" s="38">
        <f t="shared" ref="Z57:Z69" si="68">IF(K57&lt;2250,K57*0.1,0)</f>
        <v>0</v>
      </c>
      <c r="AA57" s="38">
        <v>10.23</v>
      </c>
      <c r="AB57" s="38">
        <f t="shared" ref="AB57:AB69" si="69">+P57</f>
        <v>0</v>
      </c>
      <c r="AC57" s="65">
        <f t="shared" ref="AC57:AC69" si="70">+K57+Z57+AA57+AB57</f>
        <v>6029.12</v>
      </c>
      <c r="AD57" s="72"/>
      <c r="AE57" s="72"/>
      <c r="AF57" s="66"/>
      <c r="AG57" s="40">
        <v>2952708604</v>
      </c>
      <c r="AH57" s="43"/>
    </row>
    <row r="58" spans="1:34" s="18" customFormat="1">
      <c r="A58" s="40" t="s">
        <v>30</v>
      </c>
      <c r="B58" s="40" t="s">
        <v>111</v>
      </c>
      <c r="C58" s="40" t="s">
        <v>127</v>
      </c>
      <c r="D58" s="45" t="s">
        <v>112</v>
      </c>
      <c r="E58" s="40" t="s">
        <v>32</v>
      </c>
      <c r="F58" s="70">
        <v>42396</v>
      </c>
      <c r="G58" s="42">
        <v>15583.87</v>
      </c>
      <c r="H58" s="42"/>
      <c r="I58" s="42"/>
      <c r="J58" s="64"/>
      <c r="K58" s="65">
        <f t="shared" si="64"/>
        <v>15583.87</v>
      </c>
      <c r="L58" s="42"/>
      <c r="M58" s="84">
        <v>1</v>
      </c>
      <c r="N58" s="42">
        <v>54.05</v>
      </c>
      <c r="O58" s="42">
        <v>0</v>
      </c>
      <c r="P58" s="85"/>
      <c r="Q58" s="85"/>
      <c r="R58" s="42"/>
      <c r="S58" s="38"/>
      <c r="T58" s="38"/>
      <c r="U58" s="40"/>
      <c r="V58" s="40">
        <v>200</v>
      </c>
      <c r="W58" s="65">
        <f t="shared" si="65"/>
        <v>15328.820000000002</v>
      </c>
      <c r="X58" s="38">
        <f t="shared" si="66"/>
        <v>1558.3870000000002</v>
      </c>
      <c r="Y58" s="65">
        <f t="shared" si="67"/>
        <v>13770.433000000001</v>
      </c>
      <c r="Z58" s="38">
        <f t="shared" si="68"/>
        <v>0</v>
      </c>
      <c r="AA58" s="38">
        <v>10.23</v>
      </c>
      <c r="AB58" s="38">
        <f t="shared" si="69"/>
        <v>0</v>
      </c>
      <c r="AC58" s="65">
        <f t="shared" si="70"/>
        <v>15594.1</v>
      </c>
      <c r="AD58" s="72"/>
      <c r="AE58" s="72"/>
      <c r="AF58" s="66">
        <f t="shared" ref="AF58:AF62" si="71">+AD58+AE58-Y58</f>
        <v>-13770.433000000001</v>
      </c>
      <c r="AG58" s="40"/>
      <c r="AH58" s="43"/>
    </row>
    <row r="59" spans="1:34" s="18" customFormat="1">
      <c r="A59" s="40" t="s">
        <v>41</v>
      </c>
      <c r="B59" s="40" t="s">
        <v>122</v>
      </c>
      <c r="C59" s="40"/>
      <c r="D59" s="40" t="s">
        <v>57</v>
      </c>
      <c r="E59" s="40" t="s">
        <v>90</v>
      </c>
      <c r="F59" s="70">
        <v>42321</v>
      </c>
      <c r="G59" s="92">
        <v>613</v>
      </c>
      <c r="H59" s="42"/>
      <c r="I59" s="42"/>
      <c r="J59" s="64"/>
      <c r="K59" s="65">
        <f t="shared" si="64"/>
        <v>613</v>
      </c>
      <c r="L59" s="42"/>
      <c r="M59" s="84"/>
      <c r="N59" s="42"/>
      <c r="O59" s="42">
        <v>0</v>
      </c>
      <c r="P59" s="85"/>
      <c r="Q59" s="85"/>
      <c r="R59" s="42"/>
      <c r="S59" s="38"/>
      <c r="T59" s="38"/>
      <c r="U59" s="40"/>
      <c r="V59" s="40">
        <v>0</v>
      </c>
      <c r="W59" s="65">
        <f t="shared" si="65"/>
        <v>613</v>
      </c>
      <c r="X59" s="38">
        <f t="shared" si="66"/>
        <v>0</v>
      </c>
      <c r="Y59" s="65">
        <f t="shared" si="67"/>
        <v>613</v>
      </c>
      <c r="Z59" s="38">
        <f t="shared" si="68"/>
        <v>61.300000000000004</v>
      </c>
      <c r="AA59" s="38">
        <v>10.23</v>
      </c>
      <c r="AB59" s="38">
        <f t="shared" si="69"/>
        <v>0</v>
      </c>
      <c r="AC59" s="65">
        <f t="shared" si="70"/>
        <v>684.53</v>
      </c>
      <c r="AD59" s="72"/>
      <c r="AE59" s="73"/>
      <c r="AF59" s="66">
        <f t="shared" si="71"/>
        <v>-613</v>
      </c>
      <c r="AG59" s="40"/>
      <c r="AH59" s="40"/>
    </row>
    <row r="60" spans="1:34" s="18" customFormat="1">
      <c r="A60" s="40" t="s">
        <v>41</v>
      </c>
      <c r="B60" s="40" t="s">
        <v>199</v>
      </c>
      <c r="C60" s="40"/>
      <c r="D60" s="40"/>
      <c r="E60" s="40" t="s">
        <v>31</v>
      </c>
      <c r="F60" s="70">
        <v>42646</v>
      </c>
      <c r="G60" s="42">
        <v>1588.1</v>
      </c>
      <c r="H60" s="42"/>
      <c r="I60" s="42"/>
      <c r="J60" s="64"/>
      <c r="K60" s="65">
        <f t="shared" si="64"/>
        <v>1588.1</v>
      </c>
      <c r="L60" s="42">
        <v>200</v>
      </c>
      <c r="M60" s="84"/>
      <c r="N60" s="42"/>
      <c r="O60" s="42">
        <v>0</v>
      </c>
      <c r="P60" s="85"/>
      <c r="Q60" s="85"/>
      <c r="R60" s="42"/>
      <c r="S60" s="38"/>
      <c r="T60" s="38"/>
      <c r="U60" s="40"/>
      <c r="V60" s="40"/>
      <c r="W60" s="65">
        <f t="shared" ref="W60" si="72">+K60-SUM(L60:V60)</f>
        <v>1388.1</v>
      </c>
      <c r="X60" s="38">
        <f t="shared" ref="X60" si="73">IF(K60&gt;2250,K60*0.1,0)</f>
        <v>0</v>
      </c>
      <c r="Y60" s="65">
        <f t="shared" ref="Y60" si="74">+W60-X60</f>
        <v>1388.1</v>
      </c>
      <c r="Z60" s="38"/>
      <c r="AA60" s="38"/>
      <c r="AB60" s="38"/>
      <c r="AC60" s="65"/>
      <c r="AD60" s="72"/>
      <c r="AE60" s="73"/>
      <c r="AF60" s="66"/>
      <c r="AG60" s="40">
        <v>1128532117</v>
      </c>
      <c r="AH60" s="43" t="s">
        <v>228</v>
      </c>
    </row>
    <row r="61" spans="1:34" s="18" customFormat="1">
      <c r="A61" s="40" t="s">
        <v>41</v>
      </c>
      <c r="B61" s="40" t="s">
        <v>120</v>
      </c>
      <c r="C61" s="40"/>
      <c r="D61" s="40" t="s">
        <v>46</v>
      </c>
      <c r="E61" s="40" t="s">
        <v>31</v>
      </c>
      <c r="F61" s="70">
        <v>42065</v>
      </c>
      <c r="G61" s="42">
        <v>559.5</v>
      </c>
      <c r="H61" s="42">
        <v>432.87</v>
      </c>
      <c r="I61" s="42"/>
      <c r="J61" s="64"/>
      <c r="K61" s="65">
        <f t="shared" si="64"/>
        <v>992.37</v>
      </c>
      <c r="L61" s="42"/>
      <c r="M61" s="84"/>
      <c r="N61" s="42"/>
      <c r="O61" s="42">
        <v>0</v>
      </c>
      <c r="P61" s="85"/>
      <c r="Q61" s="85"/>
      <c r="R61" s="42"/>
      <c r="S61" s="38"/>
      <c r="T61" s="38"/>
      <c r="U61" s="40"/>
      <c r="V61" s="40">
        <v>0</v>
      </c>
      <c r="W61" s="65">
        <f t="shared" si="65"/>
        <v>992.37</v>
      </c>
      <c r="X61" s="38">
        <f t="shared" si="66"/>
        <v>0</v>
      </c>
      <c r="Y61" s="65">
        <f t="shared" si="67"/>
        <v>992.37</v>
      </c>
      <c r="Z61" s="38">
        <f t="shared" si="68"/>
        <v>99.237000000000009</v>
      </c>
      <c r="AA61" s="38">
        <v>10.23</v>
      </c>
      <c r="AB61" s="38">
        <f t="shared" si="69"/>
        <v>0</v>
      </c>
      <c r="AC61" s="65">
        <f t="shared" si="70"/>
        <v>1101.837</v>
      </c>
      <c r="AD61" s="72"/>
      <c r="AE61" s="73"/>
      <c r="AF61" s="66">
        <f t="shared" si="71"/>
        <v>-992.37</v>
      </c>
      <c r="AG61" s="40"/>
      <c r="AH61" s="43"/>
    </row>
    <row r="62" spans="1:34" s="18" customFormat="1">
      <c r="A62" s="40" t="s">
        <v>30</v>
      </c>
      <c r="B62" s="40" t="s">
        <v>40</v>
      </c>
      <c r="C62" s="40" t="s">
        <v>125</v>
      </c>
      <c r="D62" s="40" t="s">
        <v>86</v>
      </c>
      <c r="E62" s="40" t="s">
        <v>32</v>
      </c>
      <c r="F62" s="70">
        <v>41218</v>
      </c>
      <c r="G62" s="42">
        <v>13285.71</v>
      </c>
      <c r="H62" s="42"/>
      <c r="I62" s="42"/>
      <c r="J62" s="64"/>
      <c r="K62" s="65">
        <f t="shared" si="64"/>
        <v>13285.71</v>
      </c>
      <c r="L62" s="42"/>
      <c r="M62" s="84"/>
      <c r="N62" s="42">
        <v>40.049999999999997</v>
      </c>
      <c r="O62" s="42">
        <v>0</v>
      </c>
      <c r="P62" s="85"/>
      <c r="Q62" s="85"/>
      <c r="R62" s="42"/>
      <c r="S62" s="38"/>
      <c r="T62" s="38"/>
      <c r="U62" s="40"/>
      <c r="V62" s="40">
        <v>0</v>
      </c>
      <c r="W62" s="65">
        <f t="shared" si="65"/>
        <v>13245.66</v>
      </c>
      <c r="X62" s="38">
        <f t="shared" si="66"/>
        <v>1328.5709999999999</v>
      </c>
      <c r="Y62" s="65">
        <f t="shared" si="67"/>
        <v>11917.089</v>
      </c>
      <c r="Z62" s="38">
        <f t="shared" si="68"/>
        <v>0</v>
      </c>
      <c r="AA62" s="38">
        <v>10.23</v>
      </c>
      <c r="AB62" s="38">
        <f t="shared" si="69"/>
        <v>0</v>
      </c>
      <c r="AC62" s="65">
        <f t="shared" si="70"/>
        <v>13295.939999999999</v>
      </c>
      <c r="AD62" s="72"/>
      <c r="AE62" s="73"/>
      <c r="AF62" s="66">
        <f t="shared" si="71"/>
        <v>-11917.089</v>
      </c>
      <c r="AG62" s="40"/>
      <c r="AH62" s="40"/>
    </row>
    <row r="63" spans="1:34" s="18" customFormat="1">
      <c r="A63" s="40" t="s">
        <v>28</v>
      </c>
      <c r="B63" s="40" t="s">
        <v>195</v>
      </c>
      <c r="C63" s="40"/>
      <c r="D63" s="40"/>
      <c r="E63" s="40" t="s">
        <v>192</v>
      </c>
      <c r="F63" s="70">
        <v>42241</v>
      </c>
      <c r="G63" s="42">
        <v>3368.83</v>
      </c>
      <c r="H63" s="42"/>
      <c r="I63" s="42"/>
      <c r="J63" s="64"/>
      <c r="K63" s="65">
        <f t="shared" si="64"/>
        <v>3368.83</v>
      </c>
      <c r="L63" s="42"/>
      <c r="M63" s="84"/>
      <c r="N63" s="42">
        <v>54.05</v>
      </c>
      <c r="O63" s="42"/>
      <c r="P63" s="85"/>
      <c r="Q63" s="85"/>
      <c r="R63" s="42"/>
      <c r="S63" s="38"/>
      <c r="T63" s="38"/>
      <c r="U63" s="40"/>
      <c r="V63" s="40"/>
      <c r="W63" s="65">
        <f t="shared" ref="W63" si="75">+K63-SUM(L63:V63)</f>
        <v>3314.7799999999997</v>
      </c>
      <c r="X63" s="38">
        <f t="shared" ref="X63" si="76">IF(K63&gt;2250,K63*0.1,0)</f>
        <v>336.88300000000004</v>
      </c>
      <c r="Y63" s="65">
        <f t="shared" ref="Y63" si="77">+W63-X63</f>
        <v>2977.8969999999999</v>
      </c>
      <c r="Z63" s="38">
        <f t="shared" si="68"/>
        <v>0</v>
      </c>
      <c r="AA63" s="38"/>
      <c r="AB63" s="38"/>
      <c r="AC63" s="65"/>
      <c r="AD63" s="72"/>
      <c r="AE63" s="73"/>
      <c r="AF63" s="66"/>
      <c r="AG63" s="40">
        <v>2965106850</v>
      </c>
      <c r="AH63" s="43"/>
    </row>
    <row r="64" spans="1:34" s="18" customFormat="1">
      <c r="A64" s="40" t="s">
        <v>43</v>
      </c>
      <c r="B64" s="40" t="s">
        <v>148</v>
      </c>
      <c r="C64" s="40"/>
      <c r="D64" s="40" t="s">
        <v>58</v>
      </c>
      <c r="E64" s="40" t="s">
        <v>90</v>
      </c>
      <c r="F64" s="70">
        <v>42333</v>
      </c>
      <c r="G64" s="92">
        <f>150+252</f>
        <v>402</v>
      </c>
      <c r="H64" s="42"/>
      <c r="I64" s="42"/>
      <c r="J64" s="64"/>
      <c r="K64" s="65">
        <f t="shared" si="64"/>
        <v>402</v>
      </c>
      <c r="L64" s="42"/>
      <c r="M64" s="84"/>
      <c r="N64" s="42"/>
      <c r="O64" s="42">
        <v>0</v>
      </c>
      <c r="P64" s="85"/>
      <c r="Q64" s="85"/>
      <c r="R64" s="42"/>
      <c r="S64" s="38"/>
      <c r="T64" s="38"/>
      <c r="U64" s="40"/>
      <c r="V64" s="40">
        <v>412.6</v>
      </c>
      <c r="W64" s="65">
        <f t="shared" si="65"/>
        <v>-10.600000000000023</v>
      </c>
      <c r="X64" s="38">
        <f t="shared" ref="X64:X70" si="78">IF(K64&gt;2250,K64*0.1,0)</f>
        <v>0</v>
      </c>
      <c r="Y64" s="65">
        <f t="shared" si="67"/>
        <v>-10.600000000000023</v>
      </c>
      <c r="Z64" s="38">
        <f t="shared" si="68"/>
        <v>40.200000000000003</v>
      </c>
      <c r="AA64" s="38">
        <v>10.23</v>
      </c>
      <c r="AB64" s="38">
        <f t="shared" si="69"/>
        <v>0</v>
      </c>
      <c r="AC64" s="65">
        <f t="shared" si="70"/>
        <v>452.43</v>
      </c>
      <c r="AD64" s="72"/>
      <c r="AE64" s="73"/>
      <c r="AF64" s="66">
        <f>+AD64+AE64-Y64</f>
        <v>10.600000000000023</v>
      </c>
      <c r="AG64" s="40"/>
      <c r="AH64" s="40"/>
    </row>
    <row r="65" spans="1:188" s="18" customFormat="1">
      <c r="A65" s="40" t="s">
        <v>30</v>
      </c>
      <c r="B65" s="40" t="s">
        <v>178</v>
      </c>
      <c r="C65" s="40"/>
      <c r="D65" s="40"/>
      <c r="E65" s="40" t="s">
        <v>32</v>
      </c>
      <c r="F65" s="70">
        <v>42459</v>
      </c>
      <c r="G65" s="42">
        <v>7469.47</v>
      </c>
      <c r="H65" s="42"/>
      <c r="I65" s="42"/>
      <c r="J65" s="64"/>
      <c r="K65" s="65">
        <f t="shared" si="64"/>
        <v>7469.47</v>
      </c>
      <c r="L65" s="42">
        <v>312.5</v>
      </c>
      <c r="M65" s="84"/>
      <c r="N65" s="42">
        <v>33.049999999999997</v>
      </c>
      <c r="O65" s="42">
        <v>0</v>
      </c>
      <c r="P65" s="85"/>
      <c r="Q65" s="85"/>
      <c r="R65" s="42"/>
      <c r="S65" s="38"/>
      <c r="T65" s="38"/>
      <c r="U65" s="40"/>
      <c r="V65" s="40"/>
      <c r="W65" s="65">
        <f t="shared" si="65"/>
        <v>7123.92</v>
      </c>
      <c r="X65" s="38">
        <f t="shared" si="78"/>
        <v>746.94700000000012</v>
      </c>
      <c r="Y65" s="65">
        <f t="shared" si="67"/>
        <v>6376.973</v>
      </c>
      <c r="Z65" s="38">
        <f t="shared" si="68"/>
        <v>0</v>
      </c>
      <c r="AA65" s="38">
        <v>10.23</v>
      </c>
      <c r="AB65" s="38">
        <f t="shared" si="69"/>
        <v>0</v>
      </c>
      <c r="AC65" s="65">
        <f t="shared" si="70"/>
        <v>7479.7</v>
      </c>
      <c r="AD65" s="78"/>
      <c r="AE65" s="73"/>
      <c r="AF65" s="66">
        <f>+AD65+AE65-Y65</f>
        <v>-6376.973</v>
      </c>
      <c r="AG65" s="40"/>
      <c r="AH65" s="43" t="s">
        <v>228</v>
      </c>
    </row>
    <row r="66" spans="1:188" s="18" customFormat="1">
      <c r="A66" s="40" t="s">
        <v>28</v>
      </c>
      <c r="B66" s="40" t="s">
        <v>174</v>
      </c>
      <c r="C66" s="40"/>
      <c r="D66" s="40"/>
      <c r="E66" s="40" t="s">
        <v>89</v>
      </c>
      <c r="F66" s="70">
        <v>42566</v>
      </c>
      <c r="G66" s="42">
        <v>1080</v>
      </c>
      <c r="H66" s="42"/>
      <c r="I66" s="42"/>
      <c r="J66" s="64"/>
      <c r="K66" s="65">
        <f t="shared" si="64"/>
        <v>1080</v>
      </c>
      <c r="L66" s="42">
        <v>200</v>
      </c>
      <c r="M66" s="84"/>
      <c r="N66" s="42">
        <v>37</v>
      </c>
      <c r="O66" s="42"/>
      <c r="P66" s="85"/>
      <c r="Q66" s="85"/>
      <c r="R66" s="42"/>
      <c r="S66" s="38"/>
      <c r="T66" s="38"/>
      <c r="U66" s="40"/>
      <c r="V66" s="40"/>
      <c r="W66" s="65">
        <f t="shared" si="65"/>
        <v>843</v>
      </c>
      <c r="X66" s="38">
        <f t="shared" si="78"/>
        <v>0</v>
      </c>
      <c r="Y66" s="65">
        <f t="shared" si="67"/>
        <v>843</v>
      </c>
      <c r="Z66" s="38">
        <f t="shared" si="68"/>
        <v>108</v>
      </c>
      <c r="AA66" s="38">
        <v>21.23</v>
      </c>
      <c r="AB66" s="38">
        <f t="shared" si="69"/>
        <v>0</v>
      </c>
      <c r="AC66" s="65">
        <f t="shared" si="70"/>
        <v>1209.23</v>
      </c>
      <c r="AD66" s="78"/>
      <c r="AE66" s="73"/>
      <c r="AF66" s="66"/>
      <c r="AG66" s="40">
        <v>2671903578</v>
      </c>
      <c r="AH66" s="43" t="s">
        <v>228</v>
      </c>
    </row>
    <row r="67" spans="1:188" s="18" customFormat="1">
      <c r="A67" s="40" t="s">
        <v>30</v>
      </c>
      <c r="B67" s="40" t="s">
        <v>151</v>
      </c>
      <c r="C67" s="40" t="s">
        <v>127</v>
      </c>
      <c r="D67" s="40" t="s">
        <v>87</v>
      </c>
      <c r="E67" s="40" t="s">
        <v>32</v>
      </c>
      <c r="F67" s="70">
        <v>42327</v>
      </c>
      <c r="G67" s="42">
        <v>5986.25</v>
      </c>
      <c r="H67" s="42"/>
      <c r="I67" s="42"/>
      <c r="J67" s="64"/>
      <c r="K67" s="65">
        <f t="shared" si="64"/>
        <v>5986.25</v>
      </c>
      <c r="L67" s="42">
        <v>200</v>
      </c>
      <c r="M67" s="84">
        <v>1</v>
      </c>
      <c r="N67" s="42">
        <v>33.049999999999997</v>
      </c>
      <c r="O67" s="42">
        <v>0</v>
      </c>
      <c r="P67" s="85"/>
      <c r="Q67" s="85"/>
      <c r="R67" s="42"/>
      <c r="S67" s="38"/>
      <c r="T67" s="38"/>
      <c r="U67" s="40"/>
      <c r="V67" s="81">
        <v>586</v>
      </c>
      <c r="W67" s="65">
        <f t="shared" si="65"/>
        <v>5166.2</v>
      </c>
      <c r="X67" s="38">
        <f t="shared" si="78"/>
        <v>598.625</v>
      </c>
      <c r="Y67" s="65">
        <f t="shared" si="67"/>
        <v>4567.5749999999998</v>
      </c>
      <c r="Z67" s="38">
        <f t="shared" si="68"/>
        <v>0</v>
      </c>
      <c r="AA67" s="38">
        <v>10.23</v>
      </c>
      <c r="AB67" s="38">
        <f t="shared" si="69"/>
        <v>0</v>
      </c>
      <c r="AC67" s="65">
        <f t="shared" si="70"/>
        <v>5996.48</v>
      </c>
      <c r="AD67" s="72"/>
      <c r="AE67" s="73"/>
      <c r="AF67" s="66">
        <f t="shared" ref="AF67:AF69" si="79">+AD67+AE67-Y67</f>
        <v>-4567.5749999999998</v>
      </c>
      <c r="AG67" s="40"/>
      <c r="AH67" s="43" t="s">
        <v>228</v>
      </c>
    </row>
    <row r="68" spans="1:188" s="18" customFormat="1">
      <c r="A68" s="40" t="s">
        <v>29</v>
      </c>
      <c r="B68" s="40" t="s">
        <v>139</v>
      </c>
      <c r="C68" s="40" t="s">
        <v>128</v>
      </c>
      <c r="D68" s="40" t="s">
        <v>61</v>
      </c>
      <c r="E68" s="40" t="s">
        <v>147</v>
      </c>
      <c r="F68" s="70">
        <v>42173</v>
      </c>
      <c r="G68" s="42">
        <v>394.49</v>
      </c>
      <c r="H68" s="42"/>
      <c r="I68" s="42"/>
      <c r="J68" s="64"/>
      <c r="K68" s="65">
        <f t="shared" si="64"/>
        <v>394.49</v>
      </c>
      <c r="L68" s="42"/>
      <c r="M68" s="84"/>
      <c r="N68" s="42"/>
      <c r="O68" s="42">
        <v>0</v>
      </c>
      <c r="P68" s="85"/>
      <c r="Q68" s="85"/>
      <c r="R68" s="42"/>
      <c r="S68" s="38"/>
      <c r="T68" s="38"/>
      <c r="U68" s="40"/>
      <c r="V68" s="40">
        <v>0</v>
      </c>
      <c r="W68" s="65">
        <f t="shared" si="65"/>
        <v>394.49</v>
      </c>
      <c r="X68" s="38">
        <f t="shared" si="78"/>
        <v>0</v>
      </c>
      <c r="Y68" s="65">
        <f t="shared" si="67"/>
        <v>394.49</v>
      </c>
      <c r="Z68" s="38">
        <f t="shared" si="68"/>
        <v>39.449000000000005</v>
      </c>
      <c r="AA68" s="38">
        <v>10.23</v>
      </c>
      <c r="AB68" s="38">
        <f t="shared" si="69"/>
        <v>0</v>
      </c>
      <c r="AC68" s="65">
        <f t="shared" si="70"/>
        <v>444.16900000000004</v>
      </c>
      <c r="AD68" s="78"/>
      <c r="AE68" s="79"/>
      <c r="AF68" s="66">
        <f t="shared" si="79"/>
        <v>-394.49</v>
      </c>
      <c r="AH68" s="40"/>
    </row>
    <row r="69" spans="1:188" s="18" customFormat="1">
      <c r="A69" s="40" t="s">
        <v>30</v>
      </c>
      <c r="B69" s="40" t="s">
        <v>163</v>
      </c>
      <c r="C69" s="40" t="s">
        <v>125</v>
      </c>
      <c r="D69" s="40"/>
      <c r="E69" s="40" t="s">
        <v>32</v>
      </c>
      <c r="F69" s="70">
        <v>42506</v>
      </c>
      <c r="G69" s="42">
        <v>0</v>
      </c>
      <c r="H69" s="42"/>
      <c r="I69" s="42"/>
      <c r="J69" s="64"/>
      <c r="K69" s="65">
        <f t="shared" si="64"/>
        <v>0</v>
      </c>
      <c r="L69" s="42"/>
      <c r="M69" s="84"/>
      <c r="N69" s="42">
        <v>33.049999999999997</v>
      </c>
      <c r="O69" s="42">
        <v>0</v>
      </c>
      <c r="P69" s="85"/>
      <c r="Q69" s="85"/>
      <c r="R69" s="42"/>
      <c r="S69" s="38"/>
      <c r="T69" s="38"/>
      <c r="U69" s="40"/>
      <c r="V69" s="81">
        <v>229.15</v>
      </c>
      <c r="W69" s="65">
        <f t="shared" si="65"/>
        <v>-262.2</v>
      </c>
      <c r="X69" s="38">
        <f t="shared" si="78"/>
        <v>0</v>
      </c>
      <c r="Y69" s="65">
        <f t="shared" si="67"/>
        <v>-262.2</v>
      </c>
      <c r="Z69" s="38">
        <f t="shared" si="68"/>
        <v>0</v>
      </c>
      <c r="AA69" s="38">
        <v>10.23</v>
      </c>
      <c r="AB69" s="38">
        <f t="shared" si="69"/>
        <v>0</v>
      </c>
      <c r="AC69" s="65">
        <f t="shared" si="70"/>
        <v>10.23</v>
      </c>
      <c r="AD69" s="78"/>
      <c r="AE69" s="78"/>
      <c r="AF69" s="66">
        <f t="shared" si="79"/>
        <v>262.2</v>
      </c>
      <c r="AG69" s="53">
        <v>1179675078</v>
      </c>
      <c r="AH69" s="43"/>
    </row>
    <row r="70" spans="1:188" s="18" customFormat="1">
      <c r="A70" s="40" t="s">
        <v>28</v>
      </c>
      <c r="B70" s="40" t="s">
        <v>188</v>
      </c>
      <c r="C70" s="40"/>
      <c r="D70" s="40"/>
      <c r="E70" s="40" t="s">
        <v>89</v>
      </c>
      <c r="F70" s="70">
        <v>42597</v>
      </c>
      <c r="G70" s="42">
        <v>1650</v>
      </c>
      <c r="H70" s="42"/>
      <c r="I70" s="42"/>
      <c r="J70" s="64"/>
      <c r="K70" s="65">
        <f t="shared" si="64"/>
        <v>1650</v>
      </c>
      <c r="L70" s="42">
        <v>200</v>
      </c>
      <c r="M70" s="84"/>
      <c r="N70" s="42"/>
      <c r="O70" s="42"/>
      <c r="P70" s="85"/>
      <c r="Q70" s="85"/>
      <c r="R70" s="42"/>
      <c r="S70" s="38"/>
      <c r="T70" s="38"/>
      <c r="U70" s="40"/>
      <c r="V70" s="81">
        <v>0</v>
      </c>
      <c r="W70" s="65">
        <f t="shared" si="65"/>
        <v>1450</v>
      </c>
      <c r="X70" s="38">
        <f t="shared" si="78"/>
        <v>0</v>
      </c>
      <c r="Y70" s="65">
        <f t="shared" si="67"/>
        <v>1450</v>
      </c>
      <c r="Z70" s="38"/>
      <c r="AA70" s="38"/>
      <c r="AB70" s="38"/>
      <c r="AC70" s="65"/>
      <c r="AD70" s="78"/>
      <c r="AE70" s="78"/>
      <c r="AF70" s="66"/>
      <c r="AG70" s="53">
        <v>2983558908</v>
      </c>
      <c r="AH70" s="43"/>
    </row>
    <row r="71" spans="1:188" s="18" customFormat="1">
      <c r="A71" s="40" t="s">
        <v>41</v>
      </c>
      <c r="B71" s="40" t="s">
        <v>216</v>
      </c>
      <c r="C71" s="40"/>
      <c r="D71" s="40"/>
      <c r="E71" s="40" t="s">
        <v>31</v>
      </c>
      <c r="F71" s="70">
        <v>42696</v>
      </c>
      <c r="G71" s="42">
        <v>2047.06</v>
      </c>
      <c r="H71" s="42"/>
      <c r="I71" s="42"/>
      <c r="J71" s="64"/>
      <c r="K71" s="65">
        <f t="shared" si="64"/>
        <v>2047.06</v>
      </c>
      <c r="L71" s="42"/>
      <c r="M71" s="84"/>
      <c r="N71" s="42"/>
      <c r="O71" s="42"/>
      <c r="P71" s="85"/>
      <c r="Q71" s="85"/>
      <c r="R71" s="42"/>
      <c r="S71" s="38"/>
      <c r="T71" s="38"/>
      <c r="U71" s="40"/>
      <c r="V71" s="81"/>
      <c r="W71" s="65">
        <f t="shared" ref="W71" si="80">+K71-SUM(L71:V71)</f>
        <v>2047.06</v>
      </c>
      <c r="X71" s="38">
        <f t="shared" ref="X71" si="81">IF(K71&gt;2250,K71*0.1,0)</f>
        <v>0</v>
      </c>
      <c r="Y71" s="65">
        <f t="shared" ref="Y71" si="82">+W71-X71</f>
        <v>2047.06</v>
      </c>
      <c r="Z71" s="38"/>
      <c r="AA71" s="38"/>
      <c r="AB71" s="38"/>
      <c r="AC71" s="65"/>
      <c r="AD71" s="78"/>
      <c r="AE71" s="78"/>
      <c r="AF71" s="66"/>
      <c r="AG71" s="53">
        <v>1501548794</v>
      </c>
      <c r="AH71" s="43"/>
    </row>
    <row r="72" spans="1:188" s="18" customFormat="1">
      <c r="A72" s="40" t="s">
        <v>30</v>
      </c>
      <c r="B72" s="40" t="s">
        <v>220</v>
      </c>
      <c r="C72" s="40"/>
      <c r="D72" s="40"/>
      <c r="E72" s="40" t="s">
        <v>32</v>
      </c>
      <c r="F72" s="70">
        <v>42632</v>
      </c>
      <c r="G72" s="42">
        <v>1166.02</v>
      </c>
      <c r="H72" s="42"/>
      <c r="I72" s="42"/>
      <c r="J72" s="64"/>
      <c r="K72" s="65">
        <f t="shared" si="64"/>
        <v>1166.02</v>
      </c>
      <c r="L72" s="42">
        <v>200</v>
      </c>
      <c r="M72" s="84"/>
      <c r="N72" s="42"/>
      <c r="O72" s="42"/>
      <c r="P72" s="85"/>
      <c r="Q72" s="85"/>
      <c r="R72" s="42"/>
      <c r="S72" s="38"/>
      <c r="T72" s="38"/>
      <c r="U72" s="40"/>
      <c r="V72" s="81"/>
      <c r="W72" s="65">
        <f t="shared" ref="W72" si="83">+K72-SUM(L72:V72)</f>
        <v>966.02</v>
      </c>
      <c r="X72" s="38">
        <f t="shared" ref="X72" si="84">IF(K72&gt;2250,K72*0.1,0)</f>
        <v>0</v>
      </c>
      <c r="Y72" s="65">
        <f t="shared" ref="Y72" si="85">+W72-X72</f>
        <v>966.02</v>
      </c>
      <c r="Z72" s="38"/>
      <c r="AA72" s="38"/>
      <c r="AB72" s="38"/>
      <c r="AC72" s="65"/>
      <c r="AD72" s="78"/>
      <c r="AE72" s="78"/>
      <c r="AF72" s="66"/>
      <c r="AG72" s="53">
        <v>2856562434</v>
      </c>
      <c r="AH72" s="43"/>
    </row>
    <row r="73" spans="1:188" s="18" customFormat="1">
      <c r="A73" s="29"/>
      <c r="B73" s="30"/>
      <c r="C73" s="30"/>
      <c r="D73" s="30"/>
      <c r="E73" s="30"/>
      <c r="F73" s="30"/>
      <c r="G73" s="31"/>
      <c r="H73" s="31"/>
      <c r="I73" s="31"/>
      <c r="J73" s="31"/>
      <c r="K73" s="32"/>
      <c r="L73" s="31"/>
      <c r="M73" s="31"/>
      <c r="N73" s="31"/>
      <c r="O73" s="31"/>
      <c r="P73" s="31"/>
      <c r="Q73" s="31"/>
      <c r="R73" s="31"/>
      <c r="S73" s="46"/>
      <c r="T73" s="46"/>
      <c r="U73" s="46"/>
      <c r="V73" s="46"/>
      <c r="W73" s="32"/>
      <c r="X73" s="46"/>
      <c r="Y73" s="32"/>
      <c r="Z73" s="46"/>
      <c r="AA73" s="46"/>
      <c r="AB73" s="46"/>
      <c r="AC73" s="32"/>
      <c r="AD73" s="58"/>
      <c r="AE73" s="58"/>
      <c r="AF73" s="26"/>
    </row>
    <row r="74" spans="1:188">
      <c r="B74" s="47" t="s">
        <v>1</v>
      </c>
      <c r="C74" s="47"/>
      <c r="D74" s="47"/>
      <c r="E74" s="47"/>
      <c r="F74" s="47"/>
      <c r="G74" s="48">
        <f>SUM(G7:G73)</f>
        <v>249057.95999999993</v>
      </c>
      <c r="H74" s="48">
        <f t="shared" ref="H74:L74" si="86">SUM(H8:H73)</f>
        <v>804.76</v>
      </c>
      <c r="I74" s="48">
        <f t="shared" si="86"/>
        <v>0</v>
      </c>
      <c r="J74" s="48">
        <f t="shared" si="86"/>
        <v>0</v>
      </c>
      <c r="K74" s="48">
        <f t="shared" si="86"/>
        <v>240824.49999999997</v>
      </c>
      <c r="L74" s="48">
        <f t="shared" si="86"/>
        <v>3437.5</v>
      </c>
      <c r="M74" s="48"/>
      <c r="N74" s="48">
        <f>SUM(N8:N73)</f>
        <v>1136.6199999999994</v>
      </c>
      <c r="O74" s="49">
        <f t="shared" ref="O74:AF74" si="87">SUM(O8:O73)</f>
        <v>1450</v>
      </c>
      <c r="P74" s="49">
        <f t="shared" si="87"/>
        <v>0</v>
      </c>
      <c r="Q74" s="49">
        <f t="shared" si="87"/>
        <v>0</v>
      </c>
      <c r="R74" s="49">
        <f t="shared" si="87"/>
        <v>0</v>
      </c>
      <c r="S74" s="48">
        <f t="shared" si="87"/>
        <v>257.3</v>
      </c>
      <c r="T74" s="48">
        <f t="shared" si="87"/>
        <v>0</v>
      </c>
      <c r="U74" s="48">
        <f t="shared" si="87"/>
        <v>0</v>
      </c>
      <c r="V74" s="48">
        <f t="shared" si="87"/>
        <v>8292.25</v>
      </c>
      <c r="W74" s="48">
        <f t="shared" si="87"/>
        <v>227877.82999999996</v>
      </c>
      <c r="X74" s="48">
        <f t="shared" si="87"/>
        <v>21123.940000000002</v>
      </c>
      <c r="Y74" s="48">
        <f t="shared" si="87"/>
        <v>206753.88999999996</v>
      </c>
      <c r="Z74" s="48">
        <f t="shared" si="87"/>
        <v>1988.6960000000001</v>
      </c>
      <c r="AA74" s="48">
        <f t="shared" si="87"/>
        <v>500.89000000000038</v>
      </c>
      <c r="AB74" s="48">
        <f t="shared" si="87"/>
        <v>0</v>
      </c>
      <c r="AC74" s="48">
        <f t="shared" si="87"/>
        <v>205784.39600000001</v>
      </c>
      <c r="AD74" s="59">
        <f t="shared" si="87"/>
        <v>0</v>
      </c>
      <c r="AE74" s="59">
        <f t="shared" si="87"/>
        <v>0</v>
      </c>
      <c r="AF74" s="50">
        <f t="shared" si="87"/>
        <v>-152884.56699999998</v>
      </c>
      <c r="AG74" s="33"/>
      <c r="AH74" s="33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C75" s="14">
        <f>AC74*0.16</f>
        <v>32925.503360000002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>
      <c r="A76" s="120" t="s">
        <v>142</v>
      </c>
      <c r="B76" s="120"/>
      <c r="C76" s="51"/>
      <c r="D76" s="33"/>
      <c r="E76" s="33"/>
      <c r="F76" s="33"/>
      <c r="G76" s="35"/>
      <c r="H76" s="35"/>
      <c r="I76" s="35"/>
      <c r="J76" s="35"/>
      <c r="K76" s="48"/>
      <c r="L76" s="35"/>
      <c r="M76" s="35"/>
      <c r="N76" s="35"/>
      <c r="O76" s="42"/>
      <c r="P76" s="42"/>
      <c r="Q76" s="42"/>
      <c r="R76" s="42"/>
      <c r="S76" s="35"/>
      <c r="T76" s="35"/>
      <c r="U76" s="35"/>
      <c r="V76" s="35"/>
      <c r="W76" s="48"/>
      <c r="X76" s="35"/>
      <c r="Y76" s="48"/>
      <c r="Z76" s="35"/>
      <c r="AA76" s="35"/>
      <c r="AB76" s="35"/>
      <c r="AC76" s="48">
        <f>+AC74+AC75</f>
        <v>238709.89936000001</v>
      </c>
      <c r="AD76" s="59"/>
      <c r="AE76" s="59"/>
      <c r="AF76" s="50"/>
      <c r="AG76" s="33"/>
      <c r="AH76" s="33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</row>
    <row r="77" spans="1:188">
      <c r="A77" s="40" t="s">
        <v>44</v>
      </c>
      <c r="B77" s="40" t="s">
        <v>143</v>
      </c>
      <c r="C77" s="34"/>
      <c r="D77" s="34"/>
      <c r="E77" s="34" t="s">
        <v>184</v>
      </c>
      <c r="F77" s="71">
        <v>41142</v>
      </c>
      <c r="G77" s="42">
        <f>2509.614+5.571</f>
        <v>2515.1849999999999</v>
      </c>
      <c r="H77" s="36"/>
      <c r="I77" s="36"/>
      <c r="J77" s="36"/>
      <c r="K77" s="65">
        <f>SUM(G77:J77)</f>
        <v>2515.1849999999999</v>
      </c>
      <c r="L77" s="42"/>
      <c r="M77" s="84"/>
      <c r="N77" s="42"/>
      <c r="O77" s="42"/>
      <c r="P77" s="85" t="s">
        <v>191</v>
      </c>
      <c r="Q77" s="85" t="s">
        <v>191</v>
      </c>
      <c r="R77" s="42"/>
      <c r="S77" s="38"/>
      <c r="T77" s="38"/>
      <c r="U77" s="40"/>
      <c r="V77" s="40"/>
      <c r="W77" s="65">
        <f>+K77-SUM(L77:V77)</f>
        <v>2515.1849999999999</v>
      </c>
      <c r="X77" s="38">
        <f>+W77*0.05</f>
        <v>125.75925000000001</v>
      </c>
      <c r="Y77" s="65">
        <f>+W77-S77-V77</f>
        <v>2515.1849999999999</v>
      </c>
      <c r="Z77" s="77">
        <f>IF(W77&lt;3000,W77*0.1,0)</f>
        <v>251.51850000000002</v>
      </c>
      <c r="AA77" s="77">
        <v>0</v>
      </c>
      <c r="AB77" s="77"/>
      <c r="AC77" s="76">
        <f>+W77+Z77+AA77</f>
        <v>2766.7035000000001</v>
      </c>
      <c r="AD77" s="60"/>
      <c r="AE77" s="60"/>
      <c r="AF77" s="52"/>
      <c r="AG77" s="33"/>
      <c r="AH77" s="33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</row>
    <row r="78" spans="1:188">
      <c r="A78" s="33" t="s">
        <v>30</v>
      </c>
      <c r="B78" s="40" t="s">
        <v>145</v>
      </c>
      <c r="C78" s="33"/>
      <c r="D78" s="33"/>
      <c r="E78" s="33" t="s">
        <v>90</v>
      </c>
      <c r="F78" s="83">
        <v>40813</v>
      </c>
      <c r="G78" s="93">
        <v>361</v>
      </c>
      <c r="H78" s="35"/>
      <c r="I78" s="35"/>
      <c r="J78" s="35"/>
      <c r="K78" s="65">
        <f>SUM(G78:J78)</f>
        <v>361</v>
      </c>
      <c r="L78" s="42"/>
      <c r="M78" s="84"/>
      <c r="N78" s="42"/>
      <c r="O78" s="42"/>
      <c r="P78" s="85"/>
      <c r="Q78" s="85"/>
      <c r="R78" s="42"/>
      <c r="S78" s="38"/>
      <c r="T78" s="38"/>
      <c r="U78" s="40"/>
      <c r="V78" s="40"/>
      <c r="W78" s="65">
        <f t="shared" ref="W78" si="88">+K78-SUM(L78:V78)</f>
        <v>361</v>
      </c>
      <c r="X78" s="38">
        <f t="shared" ref="X78" si="89">+W78*0.05</f>
        <v>18.05</v>
      </c>
      <c r="Y78" s="65">
        <f t="shared" ref="Y78" si="90">+W78-S78-V78</f>
        <v>361</v>
      </c>
      <c r="Z78" s="77">
        <f t="shared" ref="Z78" si="91">IF(W78&lt;3000,W78*0.1,0)</f>
        <v>36.1</v>
      </c>
      <c r="AA78" s="77"/>
      <c r="AB78" s="77"/>
      <c r="AC78" s="76">
        <f t="shared" ref="AC78" si="92">+W78+Z78+AA78</f>
        <v>397.1</v>
      </c>
      <c r="AD78" s="59"/>
      <c r="AE78" s="59"/>
      <c r="AF78" s="50"/>
      <c r="AG78" s="33"/>
      <c r="AH78" s="43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</row>
    <row r="79" spans="1:188" ht="30">
      <c r="A79" s="94" t="s">
        <v>41</v>
      </c>
      <c r="B79" s="94" t="s">
        <v>187</v>
      </c>
      <c r="C79" s="94"/>
      <c r="D79" s="94"/>
      <c r="E79" s="94" t="s">
        <v>90</v>
      </c>
      <c r="F79" s="95">
        <v>34275</v>
      </c>
      <c r="G79" s="54"/>
      <c r="H79" s="54">
        <v>724.5</v>
      </c>
      <c r="I79" s="54"/>
      <c r="J79" s="35"/>
      <c r="K79" s="65">
        <f>SUM(G79:J79)</f>
        <v>724.5</v>
      </c>
      <c r="L79" s="42"/>
      <c r="M79" s="84"/>
      <c r="N79" s="42"/>
      <c r="O79" s="42"/>
      <c r="P79" s="85"/>
      <c r="Q79" s="85"/>
      <c r="R79" s="42"/>
      <c r="S79" s="38"/>
      <c r="T79" s="38"/>
      <c r="U79" s="40"/>
      <c r="V79" s="40"/>
      <c r="W79" s="65">
        <f t="shared" ref="W79" si="93">+K79-SUM(L79:V79)</f>
        <v>724.5</v>
      </c>
      <c r="X79" s="38">
        <f t="shared" ref="X79" si="94">+W79*0.05</f>
        <v>36.225000000000001</v>
      </c>
      <c r="Y79" s="65">
        <f t="shared" ref="Y79" si="95">+W79-S79-V79</f>
        <v>724.5</v>
      </c>
      <c r="Z79" s="77"/>
      <c r="AA79" s="77"/>
      <c r="AB79" s="77"/>
      <c r="AC79" s="76"/>
      <c r="AD79" s="59"/>
      <c r="AE79" s="59"/>
      <c r="AF79" s="50"/>
      <c r="AG79" s="33"/>
      <c r="AH79" s="100" t="s">
        <v>236</v>
      </c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</row>
    <row r="80" spans="1:188" s="18" customFormat="1">
      <c r="A80" s="40" t="s">
        <v>44</v>
      </c>
      <c r="B80" s="40" t="s">
        <v>99</v>
      </c>
      <c r="C80" s="40"/>
      <c r="D80" s="40" t="s">
        <v>62</v>
      </c>
      <c r="E80" s="40" t="s">
        <v>184</v>
      </c>
      <c r="F80" s="70">
        <v>41381</v>
      </c>
      <c r="G80" s="42">
        <f>4788.732+5.571</f>
        <v>4794.3029999999999</v>
      </c>
      <c r="H80" s="42"/>
      <c r="I80" s="42"/>
      <c r="J80" s="64"/>
      <c r="K80" s="65">
        <f t="shared" ref="K80:K120" si="96">SUM(G80:I80)-J80</f>
        <v>4794.3029999999999</v>
      </c>
      <c r="L80" s="42"/>
      <c r="M80" s="84"/>
      <c r="N80" s="42"/>
      <c r="O80" s="42">
        <v>0</v>
      </c>
      <c r="P80" s="85" t="s">
        <v>191</v>
      </c>
      <c r="Q80" s="85" t="s">
        <v>191</v>
      </c>
      <c r="R80" s="42"/>
      <c r="S80" s="38"/>
      <c r="T80" s="38"/>
      <c r="U80" s="40"/>
      <c r="V80" s="40">
        <v>0</v>
      </c>
      <c r="W80" s="65">
        <f t="shared" ref="W80:W89" si="97">+K80-SUM(L80:V80)</f>
        <v>4794.3029999999999</v>
      </c>
      <c r="X80" s="38">
        <f t="shared" ref="X80:X89" si="98">IF(K80&gt;2250,K80*0.1,0)</f>
        <v>479.43029999999999</v>
      </c>
      <c r="Y80" s="65">
        <f t="shared" ref="Y80:Y89" si="99">+W80-X80</f>
        <v>4314.8726999999999</v>
      </c>
      <c r="Z80" s="38">
        <f t="shared" ref="Z80:Z89" si="100">IF(K80&lt;2250,K80*0.1,0)</f>
        <v>0</v>
      </c>
      <c r="AA80" s="38">
        <v>10.23</v>
      </c>
      <c r="AB80" s="38" t="str">
        <f t="shared" ref="AB80:AB89" si="101">+P80</f>
        <v>X</v>
      </c>
      <c r="AC80" s="65" t="e">
        <f t="shared" ref="AC80:AC89" si="102">+K80+Z80+AA80+AB80</f>
        <v>#VALUE!</v>
      </c>
      <c r="AD80" s="72"/>
      <c r="AE80" s="73"/>
      <c r="AF80" s="66">
        <f t="shared" ref="AF80:AF84" si="103">+AD80+AE80-Y80</f>
        <v>-4314.8726999999999</v>
      </c>
      <c r="AG80" s="40"/>
      <c r="AH80" s="40"/>
    </row>
    <row r="81" spans="1:34" s="18" customFormat="1">
      <c r="A81" s="40" t="s">
        <v>44</v>
      </c>
      <c r="B81" s="40" t="s">
        <v>157</v>
      </c>
      <c r="C81" s="40"/>
      <c r="D81" s="40" t="s">
        <v>63</v>
      </c>
      <c r="E81" s="40" t="s">
        <v>184</v>
      </c>
      <c r="F81" s="70">
        <v>41740</v>
      </c>
      <c r="G81" s="42">
        <f>1725.285+5.571</f>
        <v>1730.856</v>
      </c>
      <c r="H81" s="42"/>
      <c r="I81" s="42">
        <v>2350.8000000000002</v>
      </c>
      <c r="J81" s="64"/>
      <c r="K81" s="65">
        <f t="shared" si="96"/>
        <v>4081.6559999999999</v>
      </c>
      <c r="L81" s="42"/>
      <c r="M81" s="84">
        <v>1</v>
      </c>
      <c r="N81" s="42"/>
      <c r="O81" s="42">
        <v>300</v>
      </c>
      <c r="P81" s="85" t="s">
        <v>191</v>
      </c>
      <c r="Q81" s="85" t="s">
        <v>191</v>
      </c>
      <c r="R81" s="42"/>
      <c r="S81" s="38"/>
      <c r="T81" s="38"/>
      <c r="U81" s="40"/>
      <c r="V81" s="40">
        <v>0</v>
      </c>
      <c r="W81" s="65">
        <f t="shared" si="97"/>
        <v>3780.6559999999999</v>
      </c>
      <c r="X81" s="38">
        <f t="shared" si="98"/>
        <v>408.16560000000004</v>
      </c>
      <c r="Y81" s="65">
        <f t="shared" si="99"/>
        <v>3372.4903999999997</v>
      </c>
      <c r="Z81" s="38">
        <f t="shared" si="100"/>
        <v>0</v>
      </c>
      <c r="AA81" s="38">
        <v>10.23</v>
      </c>
      <c r="AB81" s="38" t="str">
        <f t="shared" si="101"/>
        <v>X</v>
      </c>
      <c r="AC81" s="65" t="e">
        <f t="shared" si="102"/>
        <v>#VALUE!</v>
      </c>
      <c r="AD81" s="72"/>
      <c r="AE81" s="73"/>
      <c r="AF81" s="66">
        <f t="shared" si="103"/>
        <v>-3372.4903999999997</v>
      </c>
      <c r="AG81" s="40"/>
      <c r="AH81" s="40"/>
    </row>
    <row r="82" spans="1:34" s="18" customFormat="1">
      <c r="A82" s="40" t="s">
        <v>42</v>
      </c>
      <c r="B82" s="40" t="s">
        <v>226</v>
      </c>
      <c r="C82" s="40"/>
      <c r="D82" s="40"/>
      <c r="E82" s="40" t="s">
        <v>180</v>
      </c>
      <c r="F82" s="70">
        <v>42718</v>
      </c>
      <c r="G82" s="42"/>
      <c r="H82" s="42"/>
      <c r="I82" s="42"/>
      <c r="J82" s="64"/>
      <c r="K82" s="65"/>
      <c r="L82" s="42"/>
      <c r="M82" s="84">
        <v>1</v>
      </c>
      <c r="N82" s="42"/>
      <c r="O82" s="42"/>
      <c r="P82" s="85"/>
      <c r="Q82" s="85"/>
      <c r="R82" s="42"/>
      <c r="S82" s="38"/>
      <c r="T82" s="38"/>
      <c r="U82" s="40"/>
      <c r="V82" s="40"/>
      <c r="W82" s="65"/>
      <c r="X82" s="38"/>
      <c r="Y82" s="65"/>
      <c r="Z82" s="38"/>
      <c r="AA82" s="38"/>
      <c r="AB82" s="38"/>
      <c r="AC82" s="65"/>
      <c r="AD82" s="72"/>
      <c r="AE82" s="73"/>
      <c r="AF82" s="66"/>
      <c r="AG82" s="40" t="s">
        <v>227</v>
      </c>
      <c r="AH82" s="40"/>
    </row>
    <row r="83" spans="1:34" s="18" customFormat="1">
      <c r="A83" s="40" t="s">
        <v>44</v>
      </c>
      <c r="B83" s="40" t="s">
        <v>100</v>
      </c>
      <c r="C83" s="40"/>
      <c r="D83" s="40" t="s">
        <v>64</v>
      </c>
      <c r="E83" s="40" t="s">
        <v>92</v>
      </c>
      <c r="F83" s="70">
        <v>41227</v>
      </c>
      <c r="G83" s="42">
        <f>5446.8+7.428</f>
        <v>5454.2280000000001</v>
      </c>
      <c r="H83" s="42"/>
      <c r="I83" s="42"/>
      <c r="J83" s="64"/>
      <c r="K83" s="65">
        <f t="shared" si="96"/>
        <v>5454.2280000000001</v>
      </c>
      <c r="L83" s="42"/>
      <c r="M83" s="84"/>
      <c r="N83" s="42"/>
      <c r="O83" s="42">
        <v>700</v>
      </c>
      <c r="P83" s="85" t="s">
        <v>191</v>
      </c>
      <c r="Q83" s="85" t="s">
        <v>191</v>
      </c>
      <c r="R83" s="42"/>
      <c r="S83" s="38"/>
      <c r="T83" s="38"/>
      <c r="U83" s="40"/>
      <c r="V83" s="40">
        <v>0</v>
      </c>
      <c r="W83" s="65">
        <f t="shared" si="97"/>
        <v>4754.2280000000001</v>
      </c>
      <c r="X83" s="38">
        <f t="shared" si="98"/>
        <v>545.42280000000005</v>
      </c>
      <c r="Y83" s="65">
        <f t="shared" si="99"/>
        <v>4208.8051999999998</v>
      </c>
      <c r="Z83" s="38">
        <f t="shared" si="100"/>
        <v>0</v>
      </c>
      <c r="AA83" s="38">
        <v>10.23</v>
      </c>
      <c r="AB83" s="38" t="str">
        <f t="shared" si="101"/>
        <v>X</v>
      </c>
      <c r="AC83" s="65" t="e">
        <f t="shared" si="102"/>
        <v>#VALUE!</v>
      </c>
      <c r="AD83" s="72"/>
      <c r="AE83" s="72"/>
      <c r="AF83" s="66">
        <f t="shared" si="103"/>
        <v>-4208.8051999999998</v>
      </c>
      <c r="AG83" s="40"/>
      <c r="AH83" s="43"/>
    </row>
    <row r="84" spans="1:34" s="18" customFormat="1">
      <c r="A84" s="40" t="s">
        <v>44</v>
      </c>
      <c r="B84" s="40" t="s">
        <v>137</v>
      </c>
      <c r="C84" s="40"/>
      <c r="D84" s="40" t="s">
        <v>65</v>
      </c>
      <c r="E84" s="40" t="s">
        <v>223</v>
      </c>
      <c r="F84" s="70">
        <v>42242</v>
      </c>
      <c r="G84" s="42">
        <f>923.915+2.599</f>
        <v>926.51400000000001</v>
      </c>
      <c r="H84" s="42"/>
      <c r="I84" s="42"/>
      <c r="J84" s="64"/>
      <c r="K84" s="65">
        <f t="shared" si="96"/>
        <v>926.51400000000001</v>
      </c>
      <c r="L84" s="42"/>
      <c r="M84" s="84">
        <v>1</v>
      </c>
      <c r="N84" s="42"/>
      <c r="O84" s="42">
        <v>0</v>
      </c>
      <c r="P84" s="85" t="s">
        <v>191</v>
      </c>
      <c r="Q84" s="85" t="s">
        <v>191</v>
      </c>
      <c r="R84" s="42"/>
      <c r="S84" s="38"/>
      <c r="T84" s="38"/>
      <c r="U84" s="40"/>
      <c r="V84" s="40">
        <v>0</v>
      </c>
      <c r="W84" s="65">
        <f t="shared" si="97"/>
        <v>925.51400000000001</v>
      </c>
      <c r="X84" s="38">
        <f t="shared" si="98"/>
        <v>0</v>
      </c>
      <c r="Y84" s="65">
        <f t="shared" si="99"/>
        <v>925.51400000000001</v>
      </c>
      <c r="Z84" s="38">
        <f t="shared" si="100"/>
        <v>92.65140000000001</v>
      </c>
      <c r="AA84" s="38">
        <v>10.23</v>
      </c>
      <c r="AB84" s="38" t="str">
        <f t="shared" si="101"/>
        <v>X</v>
      </c>
      <c r="AC84" s="65" t="e">
        <f t="shared" si="102"/>
        <v>#VALUE!</v>
      </c>
      <c r="AD84" s="72"/>
      <c r="AE84" s="73"/>
      <c r="AF84" s="66">
        <f t="shared" si="103"/>
        <v>-925.51400000000001</v>
      </c>
      <c r="AG84" s="40"/>
      <c r="AH84" s="40"/>
    </row>
    <row r="85" spans="1:34" s="18" customFormat="1">
      <c r="A85" s="40" t="s">
        <v>42</v>
      </c>
      <c r="B85" s="40" t="s">
        <v>152</v>
      </c>
      <c r="C85" s="40"/>
      <c r="D85" s="40" t="s">
        <v>55</v>
      </c>
      <c r="E85" s="40" t="s">
        <v>180</v>
      </c>
      <c r="F85" s="70">
        <v>42338</v>
      </c>
      <c r="G85" s="42">
        <f>2504.46+7.428</f>
        <v>2511.8879999999999</v>
      </c>
      <c r="H85" s="42"/>
      <c r="I85" s="42"/>
      <c r="J85" s="64"/>
      <c r="K85" s="65">
        <f t="shared" si="96"/>
        <v>2511.8879999999999</v>
      </c>
      <c r="L85" s="42"/>
      <c r="M85" s="84"/>
      <c r="N85" s="42"/>
      <c r="O85" s="42">
        <v>0</v>
      </c>
      <c r="P85" s="85"/>
      <c r="Q85" s="85"/>
      <c r="R85" s="42"/>
      <c r="S85" s="38"/>
      <c r="T85" s="38"/>
      <c r="U85" s="40"/>
      <c r="V85" s="40">
        <v>0</v>
      </c>
      <c r="W85" s="65">
        <f t="shared" si="97"/>
        <v>2511.8879999999999</v>
      </c>
      <c r="X85" s="38">
        <f t="shared" si="98"/>
        <v>251.18880000000001</v>
      </c>
      <c r="Y85" s="65">
        <f t="shared" si="99"/>
        <v>2260.6992</v>
      </c>
      <c r="Z85" s="38">
        <f t="shared" si="100"/>
        <v>0</v>
      </c>
      <c r="AA85" s="38">
        <v>10.23</v>
      </c>
      <c r="AB85" s="38">
        <f t="shared" si="101"/>
        <v>0</v>
      </c>
      <c r="AC85" s="65">
        <f t="shared" si="102"/>
        <v>2522.1179999999999</v>
      </c>
      <c r="AD85" s="72"/>
      <c r="AE85" s="73"/>
      <c r="AF85" s="66">
        <f>+AD85+AE85-Y85</f>
        <v>-2260.6992</v>
      </c>
      <c r="AG85" s="40"/>
      <c r="AH85" s="43"/>
    </row>
    <row r="86" spans="1:34" s="112" customFormat="1">
      <c r="A86" s="101" t="s">
        <v>42</v>
      </c>
      <c r="B86" s="101" t="s">
        <v>231</v>
      </c>
      <c r="C86" s="101"/>
      <c r="D86" s="101"/>
      <c r="E86" s="101" t="s">
        <v>180</v>
      </c>
      <c r="F86" s="102">
        <v>42734</v>
      </c>
      <c r="G86" s="103"/>
      <c r="H86" s="103"/>
      <c r="I86" s="103"/>
      <c r="J86" s="104"/>
      <c r="K86" s="49">
        <f t="shared" si="96"/>
        <v>0</v>
      </c>
      <c r="L86" s="103"/>
      <c r="M86" s="105"/>
      <c r="N86" s="103"/>
      <c r="O86" s="103"/>
      <c r="P86" s="106"/>
      <c r="Q86" s="106"/>
      <c r="R86" s="103"/>
      <c r="S86" s="107"/>
      <c r="T86" s="107"/>
      <c r="U86" s="101"/>
      <c r="V86" s="101"/>
      <c r="W86" s="49">
        <f t="shared" ref="W86" si="104">+K86-SUM(L86:V86)</f>
        <v>0</v>
      </c>
      <c r="X86" s="107">
        <f t="shared" ref="X86" si="105">IF(K86&gt;2250,K86*0.1,0)</f>
        <v>0</v>
      </c>
      <c r="Y86" s="49">
        <f t="shared" ref="Y86" si="106">+W86-X86</f>
        <v>0</v>
      </c>
      <c r="Z86" s="107"/>
      <c r="AA86" s="107"/>
      <c r="AB86" s="107"/>
      <c r="AC86" s="49"/>
      <c r="AD86" s="108"/>
      <c r="AE86" s="109"/>
      <c r="AF86" s="110"/>
      <c r="AG86" s="101">
        <v>1281261401</v>
      </c>
      <c r="AH86" s="111" t="s">
        <v>239</v>
      </c>
    </row>
    <row r="87" spans="1:34" s="18" customFormat="1">
      <c r="A87" s="40" t="s">
        <v>42</v>
      </c>
      <c r="B87" s="40" t="s">
        <v>210</v>
      </c>
      <c r="C87" s="40"/>
      <c r="D87" s="40"/>
      <c r="E87" s="40" t="s">
        <v>88</v>
      </c>
      <c r="F87" s="70">
        <v>42681</v>
      </c>
      <c r="G87" s="42">
        <f>3052.678+13.099</f>
        <v>3065.777</v>
      </c>
      <c r="H87" s="42"/>
      <c r="I87" s="42"/>
      <c r="J87" s="64"/>
      <c r="K87" s="65">
        <f t="shared" si="96"/>
        <v>3065.777</v>
      </c>
      <c r="L87" s="42"/>
      <c r="M87" s="84"/>
      <c r="N87" s="42"/>
      <c r="O87" s="42"/>
      <c r="P87" s="85"/>
      <c r="Q87" s="85"/>
      <c r="R87" s="42"/>
      <c r="S87" s="38"/>
      <c r="T87" s="38"/>
      <c r="U87" s="40"/>
      <c r="V87" s="40"/>
      <c r="W87" s="65">
        <f t="shared" ref="W87" si="107">+K87-SUM(L87:V87)</f>
        <v>3065.777</v>
      </c>
      <c r="X87" s="38">
        <f t="shared" ref="X87" si="108">IF(K87&gt;2250,K87*0.1,0)</f>
        <v>306.57769999999999</v>
      </c>
      <c r="Y87" s="65">
        <f t="shared" ref="Y87" si="109">+W87-X87</f>
        <v>2759.1993000000002</v>
      </c>
      <c r="Z87" s="38"/>
      <c r="AA87" s="38"/>
      <c r="AB87" s="38"/>
      <c r="AC87" s="65"/>
      <c r="AD87" s="72"/>
      <c r="AE87" s="73"/>
      <c r="AF87" s="66"/>
      <c r="AG87" s="40">
        <v>1500026042</v>
      </c>
      <c r="AH87" s="43"/>
    </row>
    <row r="88" spans="1:34" s="18" customFormat="1">
      <c r="A88" s="40" t="s">
        <v>44</v>
      </c>
      <c r="B88" s="40" t="s">
        <v>162</v>
      </c>
      <c r="C88" s="40"/>
      <c r="D88" s="40" t="s">
        <v>66</v>
      </c>
      <c r="E88" s="40" t="s">
        <v>184</v>
      </c>
      <c r="F88" s="70">
        <v>41227</v>
      </c>
      <c r="G88" s="42">
        <f>2325.176+2.599</f>
        <v>2327.7750000000001</v>
      </c>
      <c r="H88" s="42"/>
      <c r="I88" s="42"/>
      <c r="J88" s="64"/>
      <c r="K88" s="65">
        <f t="shared" si="96"/>
        <v>2327.7750000000001</v>
      </c>
      <c r="L88" s="42"/>
      <c r="M88" s="84"/>
      <c r="N88" s="42"/>
      <c r="O88" s="42">
        <v>500</v>
      </c>
      <c r="P88" s="85" t="s">
        <v>191</v>
      </c>
      <c r="Q88" s="85" t="s">
        <v>191</v>
      </c>
      <c r="R88" s="42"/>
      <c r="S88" s="38"/>
      <c r="T88" s="38"/>
      <c r="U88" s="40"/>
      <c r="V88" s="40">
        <v>0</v>
      </c>
      <c r="W88" s="65">
        <f t="shared" si="97"/>
        <v>1827.7750000000001</v>
      </c>
      <c r="X88" s="38">
        <f t="shared" si="98"/>
        <v>232.77750000000003</v>
      </c>
      <c r="Y88" s="65">
        <f t="shared" si="99"/>
        <v>1594.9974999999999</v>
      </c>
      <c r="Z88" s="38">
        <f t="shared" si="100"/>
        <v>0</v>
      </c>
      <c r="AA88" s="38">
        <v>10.23</v>
      </c>
      <c r="AB88" s="38" t="str">
        <f t="shared" si="101"/>
        <v>X</v>
      </c>
      <c r="AC88" s="65" t="e">
        <f t="shared" si="102"/>
        <v>#VALUE!</v>
      </c>
      <c r="AD88" s="72"/>
      <c r="AE88" s="72"/>
      <c r="AF88" s="66">
        <f>+AD88+AE88-Y88</f>
        <v>-1594.9974999999999</v>
      </c>
      <c r="AG88" s="40"/>
      <c r="AH88" s="43"/>
    </row>
    <row r="89" spans="1:34" s="18" customFormat="1">
      <c r="A89" s="40" t="s">
        <v>44</v>
      </c>
      <c r="B89" s="40" t="s">
        <v>116</v>
      </c>
      <c r="C89" s="40"/>
      <c r="D89" s="40" t="s">
        <v>67</v>
      </c>
      <c r="E89" s="40" t="s">
        <v>184</v>
      </c>
      <c r="F89" s="70">
        <v>41227</v>
      </c>
      <c r="G89" s="42">
        <f>4031.7+2.972</f>
        <v>4034.672</v>
      </c>
      <c r="H89" s="42"/>
      <c r="I89" s="42"/>
      <c r="J89" s="64"/>
      <c r="K89" s="65">
        <f t="shared" si="96"/>
        <v>4034.672</v>
      </c>
      <c r="L89" s="42"/>
      <c r="M89" s="84"/>
      <c r="N89" s="42"/>
      <c r="O89" s="42">
        <v>0</v>
      </c>
      <c r="P89" s="85" t="s">
        <v>191</v>
      </c>
      <c r="Q89" s="85" t="s">
        <v>191</v>
      </c>
      <c r="R89" s="42"/>
      <c r="S89" s="38"/>
      <c r="T89" s="38"/>
      <c r="U89" s="67"/>
      <c r="V89" s="40">
        <v>0</v>
      </c>
      <c r="W89" s="65">
        <f t="shared" si="97"/>
        <v>4034.672</v>
      </c>
      <c r="X89" s="38">
        <f t="shared" si="98"/>
        <v>403.46720000000005</v>
      </c>
      <c r="Y89" s="65">
        <f t="shared" si="99"/>
        <v>3631.2048</v>
      </c>
      <c r="Z89" s="38">
        <f t="shared" si="100"/>
        <v>0</v>
      </c>
      <c r="AA89" s="38">
        <v>10.23</v>
      </c>
      <c r="AB89" s="38" t="str">
        <f t="shared" si="101"/>
        <v>X</v>
      </c>
      <c r="AC89" s="65" t="e">
        <f t="shared" si="102"/>
        <v>#VALUE!</v>
      </c>
      <c r="AD89" s="72"/>
      <c r="AE89" s="73"/>
      <c r="AF89" s="66">
        <f>+AD89+AE89-Y89</f>
        <v>-3631.2048</v>
      </c>
      <c r="AG89" s="40"/>
      <c r="AH89" s="43"/>
    </row>
    <row r="90" spans="1:34" s="18" customFormat="1">
      <c r="A90" s="40" t="s">
        <v>44</v>
      </c>
      <c r="B90" s="40" t="s">
        <v>206</v>
      </c>
      <c r="C90" s="40"/>
      <c r="D90" s="40"/>
      <c r="E90" s="40" t="s">
        <v>180</v>
      </c>
      <c r="F90" s="70">
        <v>42660</v>
      </c>
      <c r="G90" s="42">
        <v>2.972</v>
      </c>
      <c r="H90" s="42"/>
      <c r="I90" s="42"/>
      <c r="J90" s="64"/>
      <c r="K90" s="65">
        <f t="shared" si="96"/>
        <v>2.972</v>
      </c>
      <c r="L90" s="42"/>
      <c r="M90" s="84"/>
      <c r="N90" s="42"/>
      <c r="O90" s="42"/>
      <c r="P90" s="85"/>
      <c r="Q90" s="85"/>
      <c r="R90" s="42"/>
      <c r="S90" s="38"/>
      <c r="T90" s="38"/>
      <c r="U90" s="67"/>
      <c r="V90" s="40"/>
      <c r="W90" s="65">
        <f t="shared" ref="W90" si="110">+K90-SUM(L90:V90)</f>
        <v>2.972</v>
      </c>
      <c r="X90" s="38">
        <f t="shared" ref="X90" si="111">IF(K90&gt;2250,K90*0.1,0)</f>
        <v>0</v>
      </c>
      <c r="Y90" s="65">
        <f t="shared" ref="Y90" si="112">+W90-X90</f>
        <v>2.972</v>
      </c>
      <c r="Z90" s="38"/>
      <c r="AA90" s="38"/>
      <c r="AB90" s="38"/>
      <c r="AC90" s="65"/>
      <c r="AD90" s="72"/>
      <c r="AE90" s="73"/>
      <c r="AF90" s="66"/>
      <c r="AG90" s="40">
        <v>2954141431</v>
      </c>
      <c r="AH90" s="43"/>
    </row>
    <row r="91" spans="1:34" s="18" customFormat="1">
      <c r="A91" s="40" t="s">
        <v>42</v>
      </c>
      <c r="B91" s="40" t="s">
        <v>189</v>
      </c>
      <c r="C91" s="40"/>
      <c r="D91" s="40"/>
      <c r="E91" s="40" t="s">
        <v>223</v>
      </c>
      <c r="F91" s="70">
        <v>42604</v>
      </c>
      <c r="G91" s="42">
        <v>564.46900000000005</v>
      </c>
      <c r="H91" s="42"/>
      <c r="I91" s="42"/>
      <c r="J91" s="64"/>
      <c r="K91" s="65">
        <f t="shared" si="96"/>
        <v>564.46900000000005</v>
      </c>
      <c r="L91" s="42"/>
      <c r="M91" s="84"/>
      <c r="N91" s="42"/>
      <c r="O91" s="42"/>
      <c r="P91" s="85"/>
      <c r="Q91" s="85"/>
      <c r="R91" s="42"/>
      <c r="S91" s="38"/>
      <c r="T91" s="38"/>
      <c r="U91" s="40"/>
      <c r="V91" s="40"/>
      <c r="W91" s="65">
        <f t="shared" ref="W91" si="113">+K91-SUM(L91:V91)</f>
        <v>564.46900000000005</v>
      </c>
      <c r="X91" s="38">
        <f t="shared" ref="X91" si="114">IF(K91&gt;2250,K91*0.1,0)</f>
        <v>0</v>
      </c>
      <c r="Y91" s="65">
        <f t="shared" ref="Y91" si="115">+W91-X91</f>
        <v>564.46900000000005</v>
      </c>
      <c r="Z91" s="38"/>
      <c r="AA91" s="38"/>
      <c r="AB91" s="38"/>
      <c r="AC91" s="65"/>
      <c r="AD91" s="72"/>
      <c r="AE91" s="73"/>
      <c r="AF91" s="66"/>
      <c r="AG91" s="40">
        <v>1258728658</v>
      </c>
      <c r="AH91" s="43"/>
    </row>
    <row r="92" spans="1:34" s="112" customFormat="1">
      <c r="A92" s="101" t="s">
        <v>44</v>
      </c>
      <c r="B92" s="101" t="s">
        <v>225</v>
      </c>
      <c r="C92" s="101"/>
      <c r="D92" s="101"/>
      <c r="E92" s="101" t="s">
        <v>180</v>
      </c>
      <c r="F92" s="102">
        <v>42719</v>
      </c>
      <c r="G92" s="103"/>
      <c r="H92" s="103"/>
      <c r="I92" s="103"/>
      <c r="J92" s="104"/>
      <c r="K92" s="49"/>
      <c r="L92" s="103"/>
      <c r="M92" s="105"/>
      <c r="N92" s="103"/>
      <c r="O92" s="103"/>
      <c r="P92" s="106"/>
      <c r="Q92" s="106"/>
      <c r="R92" s="103"/>
      <c r="S92" s="107"/>
      <c r="T92" s="107"/>
      <c r="U92" s="101"/>
      <c r="V92" s="101"/>
      <c r="W92" s="49"/>
      <c r="X92" s="107"/>
      <c r="Y92" s="49"/>
      <c r="Z92" s="107"/>
      <c r="AA92" s="107"/>
      <c r="AB92" s="107"/>
      <c r="AC92" s="49"/>
      <c r="AD92" s="108"/>
      <c r="AE92" s="109"/>
      <c r="AF92" s="110"/>
      <c r="AG92" s="101" t="s">
        <v>227</v>
      </c>
      <c r="AH92" s="111" t="s">
        <v>239</v>
      </c>
    </row>
    <row r="93" spans="1:34" s="18" customFormat="1">
      <c r="A93" s="40" t="s">
        <v>42</v>
      </c>
      <c r="B93" s="40" t="s">
        <v>117</v>
      </c>
      <c r="C93" s="40"/>
      <c r="D93" s="40" t="s">
        <v>47</v>
      </c>
      <c r="E93" s="40" t="s">
        <v>88</v>
      </c>
      <c r="F93" s="70">
        <v>42319</v>
      </c>
      <c r="G93" s="42">
        <f>2750.16+13.099</f>
        <v>2763.259</v>
      </c>
      <c r="H93" s="42"/>
      <c r="I93" s="42"/>
      <c r="J93" s="64"/>
      <c r="K93" s="65">
        <f t="shared" si="96"/>
        <v>2763.259</v>
      </c>
      <c r="L93" s="42"/>
      <c r="M93" s="84"/>
      <c r="N93" s="42"/>
      <c r="O93" s="42">
        <v>0</v>
      </c>
      <c r="P93" s="85"/>
      <c r="Q93" s="85"/>
      <c r="R93" s="42"/>
      <c r="S93" s="38"/>
      <c r="T93" s="38"/>
      <c r="U93" s="40"/>
      <c r="V93" s="40">
        <v>0</v>
      </c>
      <c r="W93" s="65">
        <f t="shared" ref="W93:W117" si="116">+K93-SUM(L93:V93)</f>
        <v>2763.259</v>
      </c>
      <c r="X93" s="38">
        <f t="shared" ref="X93:X117" si="117">IF(K93&gt;2250,K93*0.1,0)</f>
        <v>276.32589999999999</v>
      </c>
      <c r="Y93" s="65">
        <f t="shared" ref="Y93:Y117" si="118">+W93-X93</f>
        <v>2486.9331000000002</v>
      </c>
      <c r="Z93" s="38">
        <f t="shared" ref="Z93:Z117" si="119">IF(K93&lt;2250,K93*0.1,0)</f>
        <v>0</v>
      </c>
      <c r="AA93" s="38">
        <v>19.23</v>
      </c>
      <c r="AB93" s="38">
        <f t="shared" ref="AB93:AB117" si="120">+P93</f>
        <v>0</v>
      </c>
      <c r="AC93" s="65">
        <f t="shared" ref="AC93:AC117" si="121">+K93+Z93+AA93+AB93</f>
        <v>2782.489</v>
      </c>
      <c r="AD93" s="72"/>
      <c r="AE93" s="73"/>
      <c r="AF93" s="66">
        <f>+AD93+AE93-Y93</f>
        <v>-2486.9331000000002</v>
      </c>
      <c r="AG93" s="40"/>
      <c r="AH93" s="43"/>
    </row>
    <row r="94" spans="1:34" s="18" customFormat="1">
      <c r="A94" s="40" t="s">
        <v>44</v>
      </c>
      <c r="B94" s="40" t="s">
        <v>205</v>
      </c>
      <c r="C94" s="40"/>
      <c r="D94" s="40"/>
      <c r="E94" s="40" t="s">
        <v>180</v>
      </c>
      <c r="F94" s="70">
        <v>42654</v>
      </c>
      <c r="G94" s="42">
        <v>485.27699999999999</v>
      </c>
      <c r="H94" s="42"/>
      <c r="I94" s="42"/>
      <c r="J94" s="64"/>
      <c r="K94" s="65">
        <f t="shared" si="96"/>
        <v>485.27699999999999</v>
      </c>
      <c r="L94" s="42"/>
      <c r="M94" s="84"/>
      <c r="N94" s="42"/>
      <c r="O94" s="42"/>
      <c r="P94" s="85"/>
      <c r="Q94" s="85"/>
      <c r="R94" s="42"/>
      <c r="S94" s="38"/>
      <c r="T94" s="38"/>
      <c r="U94" s="40"/>
      <c r="V94" s="40"/>
      <c r="W94" s="65">
        <f t="shared" ref="W94" si="122">+K94-SUM(L94:V94)</f>
        <v>485.27699999999999</v>
      </c>
      <c r="X94" s="38">
        <f t="shared" ref="X94" si="123">IF(K94&gt;2250,K94*0.1,0)</f>
        <v>0</v>
      </c>
      <c r="Y94" s="65">
        <f t="shared" ref="Y94" si="124">+W94-X94</f>
        <v>485.27699999999999</v>
      </c>
      <c r="Z94" s="38"/>
      <c r="AA94" s="38"/>
      <c r="AB94" s="38"/>
      <c r="AC94" s="65"/>
      <c r="AD94" s="72"/>
      <c r="AE94" s="73"/>
      <c r="AF94" s="66"/>
      <c r="AG94" s="40">
        <v>1126929044</v>
      </c>
      <c r="AH94" s="43"/>
    </row>
    <row r="95" spans="1:34" s="18" customFormat="1">
      <c r="A95" s="40" t="s">
        <v>44</v>
      </c>
      <c r="B95" s="40" t="s">
        <v>96</v>
      </c>
      <c r="C95" s="40"/>
      <c r="D95" s="40" t="s">
        <v>68</v>
      </c>
      <c r="E95" s="40" t="s">
        <v>223</v>
      </c>
      <c r="F95" s="70">
        <v>41981</v>
      </c>
      <c r="G95" s="42">
        <f>1516.061+5.571</f>
        <v>1521.6319999999998</v>
      </c>
      <c r="H95" s="42"/>
      <c r="I95" s="42"/>
      <c r="J95" s="64"/>
      <c r="K95" s="65">
        <f t="shared" si="96"/>
        <v>1521.6319999999998</v>
      </c>
      <c r="L95" s="42"/>
      <c r="M95" s="84">
        <v>1</v>
      </c>
      <c r="N95" s="42"/>
      <c r="O95" s="42">
        <v>300</v>
      </c>
      <c r="P95" s="85" t="s">
        <v>191</v>
      </c>
      <c r="Q95" s="85" t="s">
        <v>191</v>
      </c>
      <c r="R95" s="42"/>
      <c r="S95" s="38"/>
      <c r="T95" s="38"/>
      <c r="U95" s="40"/>
      <c r="V95" s="40">
        <v>0</v>
      </c>
      <c r="W95" s="65">
        <f t="shared" si="116"/>
        <v>1220.6319999999998</v>
      </c>
      <c r="X95" s="38">
        <f t="shared" si="117"/>
        <v>0</v>
      </c>
      <c r="Y95" s="65">
        <f t="shared" si="118"/>
        <v>1220.6319999999998</v>
      </c>
      <c r="Z95" s="38">
        <f t="shared" si="119"/>
        <v>152.16319999999999</v>
      </c>
      <c r="AA95" s="38">
        <v>10.23</v>
      </c>
      <c r="AB95" s="38" t="str">
        <f t="shared" si="120"/>
        <v>X</v>
      </c>
      <c r="AC95" s="65" t="e">
        <f t="shared" si="121"/>
        <v>#VALUE!</v>
      </c>
      <c r="AD95" s="72"/>
      <c r="AE95" s="72"/>
      <c r="AF95" s="66">
        <f t="shared" ref="AF95:AF117" si="125">+AD95+AE95-Y95</f>
        <v>-1220.6319999999998</v>
      </c>
      <c r="AG95" s="40"/>
      <c r="AH95" s="40"/>
    </row>
    <row r="96" spans="1:34" s="18" customFormat="1">
      <c r="A96" s="40" t="s">
        <v>44</v>
      </c>
      <c r="B96" s="40" t="s">
        <v>134</v>
      </c>
      <c r="C96" s="40"/>
      <c r="D96" s="40" t="s">
        <v>135</v>
      </c>
      <c r="E96" s="40" t="s">
        <v>184</v>
      </c>
      <c r="F96" s="69">
        <v>41284</v>
      </c>
      <c r="G96" s="42">
        <f>3551.635+5.571</f>
        <v>3557.2060000000001</v>
      </c>
      <c r="H96" s="42"/>
      <c r="I96" s="42"/>
      <c r="J96" s="64"/>
      <c r="K96" s="65">
        <f t="shared" si="96"/>
        <v>3557.2060000000001</v>
      </c>
      <c r="L96" s="42"/>
      <c r="M96" s="84"/>
      <c r="N96" s="42"/>
      <c r="O96" s="42">
        <v>0</v>
      </c>
      <c r="P96" s="85" t="s">
        <v>191</v>
      </c>
      <c r="Q96" s="85" t="s">
        <v>191</v>
      </c>
      <c r="R96" s="42"/>
      <c r="S96" s="38"/>
      <c r="T96" s="38"/>
      <c r="U96" s="40"/>
      <c r="V96" s="40">
        <v>0</v>
      </c>
      <c r="W96" s="65">
        <f t="shared" si="116"/>
        <v>3557.2060000000001</v>
      </c>
      <c r="X96" s="38">
        <f t="shared" si="117"/>
        <v>355.72060000000005</v>
      </c>
      <c r="Y96" s="65">
        <f t="shared" si="118"/>
        <v>3201.4854</v>
      </c>
      <c r="Z96" s="38">
        <f t="shared" si="119"/>
        <v>0</v>
      </c>
      <c r="AA96" s="38">
        <v>10.23</v>
      </c>
      <c r="AB96" s="38" t="str">
        <f t="shared" si="120"/>
        <v>X</v>
      </c>
      <c r="AC96" s="65" t="e">
        <f t="shared" si="121"/>
        <v>#VALUE!</v>
      </c>
      <c r="AD96" s="72"/>
      <c r="AE96" s="73"/>
      <c r="AF96" s="66">
        <f t="shared" si="125"/>
        <v>-3201.4854</v>
      </c>
      <c r="AG96" s="40">
        <v>2948910731</v>
      </c>
      <c r="AH96" s="43"/>
    </row>
    <row r="97" spans="1:34" s="18" customFormat="1">
      <c r="A97" s="40" t="s">
        <v>44</v>
      </c>
      <c r="B97" s="40" t="s">
        <v>98</v>
      </c>
      <c r="C97" s="40"/>
      <c r="D97" s="40" t="s">
        <v>69</v>
      </c>
      <c r="E97" s="40" t="s">
        <v>184</v>
      </c>
      <c r="F97" s="69">
        <v>41227</v>
      </c>
      <c r="G97" s="42">
        <f>2888.406+2.972</f>
        <v>2891.3780000000002</v>
      </c>
      <c r="H97" s="42"/>
      <c r="I97" s="42"/>
      <c r="J97" s="64"/>
      <c r="K97" s="65">
        <f t="shared" si="96"/>
        <v>2891.3780000000002</v>
      </c>
      <c r="L97" s="42"/>
      <c r="M97" s="84"/>
      <c r="N97" s="42"/>
      <c r="O97" s="42">
        <v>0</v>
      </c>
      <c r="P97" s="85" t="s">
        <v>191</v>
      </c>
      <c r="Q97" s="85" t="s">
        <v>191</v>
      </c>
      <c r="R97" s="42"/>
      <c r="S97" s="38"/>
      <c r="T97" s="38"/>
      <c r="U97" s="40"/>
      <c r="V97" s="40">
        <v>0</v>
      </c>
      <c r="W97" s="65">
        <f t="shared" si="116"/>
        <v>2891.3780000000002</v>
      </c>
      <c r="X97" s="38">
        <f t="shared" si="117"/>
        <v>289.13780000000003</v>
      </c>
      <c r="Y97" s="65">
        <f t="shared" si="118"/>
        <v>2602.2402000000002</v>
      </c>
      <c r="Z97" s="38">
        <f t="shared" si="119"/>
        <v>0</v>
      </c>
      <c r="AA97" s="38">
        <v>10.23</v>
      </c>
      <c r="AB97" s="38" t="str">
        <f t="shared" si="120"/>
        <v>X</v>
      </c>
      <c r="AC97" s="65" t="e">
        <f t="shared" si="121"/>
        <v>#VALUE!</v>
      </c>
      <c r="AD97" s="72"/>
      <c r="AE97" s="72"/>
      <c r="AF97" s="66">
        <f t="shared" si="125"/>
        <v>-2602.2402000000002</v>
      </c>
      <c r="AG97" s="40"/>
      <c r="AH97" s="43"/>
    </row>
    <row r="98" spans="1:34" s="18" customFormat="1">
      <c r="A98" s="40" t="s">
        <v>42</v>
      </c>
      <c r="B98" s="40" t="s">
        <v>118</v>
      </c>
      <c r="C98" s="40"/>
      <c r="D98" s="40" t="s">
        <v>48</v>
      </c>
      <c r="E98" s="40" t="s">
        <v>88</v>
      </c>
      <c r="F98" s="69">
        <v>41493</v>
      </c>
      <c r="G98" s="42">
        <f>4321.68+13.099</f>
        <v>4334.7790000000005</v>
      </c>
      <c r="H98" s="42"/>
      <c r="I98" s="42"/>
      <c r="J98" s="64"/>
      <c r="K98" s="65">
        <f t="shared" si="96"/>
        <v>4334.7790000000005</v>
      </c>
      <c r="L98" s="42"/>
      <c r="M98" s="84"/>
      <c r="N98" s="42"/>
      <c r="O98" s="42">
        <v>0</v>
      </c>
      <c r="P98" s="85"/>
      <c r="Q98" s="85"/>
      <c r="R98" s="42"/>
      <c r="S98" s="38"/>
      <c r="T98" s="38"/>
      <c r="U98" s="40"/>
      <c r="V98" s="40">
        <v>0</v>
      </c>
      <c r="W98" s="65">
        <f t="shared" si="116"/>
        <v>4334.7790000000005</v>
      </c>
      <c r="X98" s="38">
        <f t="shared" si="117"/>
        <v>433.47790000000009</v>
      </c>
      <c r="Y98" s="65">
        <f t="shared" si="118"/>
        <v>3901.3011000000006</v>
      </c>
      <c r="Z98" s="38">
        <f t="shared" si="119"/>
        <v>0</v>
      </c>
      <c r="AA98" s="38">
        <v>10.23</v>
      </c>
      <c r="AB98" s="38">
        <f t="shared" si="120"/>
        <v>0</v>
      </c>
      <c r="AC98" s="65">
        <f t="shared" si="121"/>
        <v>4345.009</v>
      </c>
      <c r="AD98" s="72"/>
      <c r="AE98" s="73"/>
      <c r="AF98" s="66">
        <f t="shared" si="125"/>
        <v>-3901.3011000000006</v>
      </c>
      <c r="AG98" s="40"/>
      <c r="AH98" s="43"/>
    </row>
    <row r="99" spans="1:34" s="18" customFormat="1">
      <c r="A99" s="40" t="s">
        <v>44</v>
      </c>
      <c r="B99" s="40" t="s">
        <v>176</v>
      </c>
      <c r="C99" s="40"/>
      <c r="D99" s="40"/>
      <c r="E99" s="40" t="s">
        <v>223</v>
      </c>
      <c r="F99" s="70">
        <v>42493</v>
      </c>
      <c r="G99" s="42">
        <f>2331.475+5.571</f>
        <v>2337.0459999999998</v>
      </c>
      <c r="H99" s="42"/>
      <c r="I99" s="42"/>
      <c r="J99" s="64"/>
      <c r="K99" s="65">
        <f t="shared" si="96"/>
        <v>2337.0459999999998</v>
      </c>
      <c r="L99" s="42"/>
      <c r="M99" s="84"/>
      <c r="N99" s="42"/>
      <c r="O99" s="42">
        <v>0</v>
      </c>
      <c r="P99" s="85" t="s">
        <v>191</v>
      </c>
      <c r="Q99" s="85" t="s">
        <v>191</v>
      </c>
      <c r="R99" s="42"/>
      <c r="S99" s="38"/>
      <c r="T99" s="38"/>
      <c r="U99" s="40"/>
      <c r="V99" s="40">
        <v>0</v>
      </c>
      <c r="W99" s="65">
        <f t="shared" si="116"/>
        <v>2337.0459999999998</v>
      </c>
      <c r="X99" s="38">
        <f t="shared" si="117"/>
        <v>233.7046</v>
      </c>
      <c r="Y99" s="65">
        <f t="shared" si="118"/>
        <v>2103.3413999999998</v>
      </c>
      <c r="Z99" s="38">
        <f t="shared" si="119"/>
        <v>0</v>
      </c>
      <c r="AA99" s="38">
        <v>10.23</v>
      </c>
      <c r="AB99" s="38" t="str">
        <f t="shared" si="120"/>
        <v>X</v>
      </c>
      <c r="AC99" s="65" t="e">
        <f t="shared" si="121"/>
        <v>#VALUE!</v>
      </c>
      <c r="AD99" s="72"/>
      <c r="AE99" s="72"/>
      <c r="AF99" s="66">
        <f t="shared" si="125"/>
        <v>-2103.3413999999998</v>
      </c>
      <c r="AG99" s="40"/>
      <c r="AH99" s="43"/>
    </row>
    <row r="100" spans="1:34" s="18" customFormat="1">
      <c r="A100" s="40" t="s">
        <v>42</v>
      </c>
      <c r="B100" s="40" t="s">
        <v>221</v>
      </c>
      <c r="C100" s="40"/>
      <c r="D100" s="40"/>
      <c r="E100" s="40" t="s">
        <v>180</v>
      </c>
      <c r="F100" s="70">
        <v>42716</v>
      </c>
      <c r="G100" s="42"/>
      <c r="H100" s="42"/>
      <c r="I100" s="42"/>
      <c r="J100" s="64"/>
      <c r="K100" s="65">
        <f t="shared" si="96"/>
        <v>0</v>
      </c>
      <c r="L100" s="42"/>
      <c r="M100" s="84">
        <v>1</v>
      </c>
      <c r="N100" s="42"/>
      <c r="O100" s="42"/>
      <c r="P100" s="85"/>
      <c r="Q100" s="85"/>
      <c r="R100" s="42"/>
      <c r="S100" s="38"/>
      <c r="T100" s="38"/>
      <c r="U100" s="40"/>
      <c r="V100" s="81">
        <v>327</v>
      </c>
      <c r="W100" s="65">
        <f t="shared" ref="W100" si="126">+K100-SUM(L100:V100)</f>
        <v>-328</v>
      </c>
      <c r="X100" s="38">
        <f t="shared" ref="X100" si="127">IF(K100&gt;2250,K100*0.1,0)</f>
        <v>0</v>
      </c>
      <c r="Y100" s="65">
        <f t="shared" ref="Y100" si="128">+W100-X100</f>
        <v>-328</v>
      </c>
      <c r="Z100" s="38"/>
      <c r="AA100" s="38"/>
      <c r="AB100" s="38"/>
      <c r="AC100" s="65"/>
      <c r="AD100" s="72"/>
      <c r="AE100" s="72"/>
      <c r="AF100" s="66"/>
      <c r="AG100" s="43">
        <v>1275625157</v>
      </c>
      <c r="AH100" s="43" t="s">
        <v>250</v>
      </c>
    </row>
    <row r="101" spans="1:34" s="18" customFormat="1">
      <c r="A101" s="40" t="s">
        <v>44</v>
      </c>
      <c r="B101" s="40" t="s">
        <v>121</v>
      </c>
      <c r="C101" s="40"/>
      <c r="D101" s="40" t="s">
        <v>70</v>
      </c>
      <c r="E101" s="40" t="s">
        <v>223</v>
      </c>
      <c r="F101" s="70">
        <v>42242</v>
      </c>
      <c r="G101" s="42">
        <f>584.228+2.599</f>
        <v>586.827</v>
      </c>
      <c r="H101" s="42"/>
      <c r="I101" s="42"/>
      <c r="J101" s="64"/>
      <c r="K101" s="65">
        <f t="shared" si="96"/>
        <v>586.827</v>
      </c>
      <c r="L101" s="42"/>
      <c r="M101" s="84"/>
      <c r="N101" s="42"/>
      <c r="O101" s="42">
        <v>0</v>
      </c>
      <c r="P101" s="85" t="s">
        <v>191</v>
      </c>
      <c r="Q101" s="85" t="s">
        <v>191</v>
      </c>
      <c r="R101" s="42"/>
      <c r="S101" s="38"/>
      <c r="T101" s="38"/>
      <c r="U101" s="40"/>
      <c r="V101" s="40">
        <v>0</v>
      </c>
      <c r="W101" s="65">
        <f t="shared" si="116"/>
        <v>586.827</v>
      </c>
      <c r="X101" s="38">
        <f t="shared" si="117"/>
        <v>0</v>
      </c>
      <c r="Y101" s="65">
        <f t="shared" si="118"/>
        <v>586.827</v>
      </c>
      <c r="Z101" s="38">
        <f t="shared" si="119"/>
        <v>58.682700000000004</v>
      </c>
      <c r="AA101" s="38">
        <v>10.23</v>
      </c>
      <c r="AB101" s="38" t="str">
        <f t="shared" si="120"/>
        <v>X</v>
      </c>
      <c r="AC101" s="65" t="e">
        <f t="shared" si="121"/>
        <v>#VALUE!</v>
      </c>
      <c r="AD101" s="72"/>
      <c r="AE101" s="72"/>
      <c r="AF101" s="66">
        <f t="shared" si="125"/>
        <v>-586.827</v>
      </c>
      <c r="AG101" s="40"/>
      <c r="AH101" s="43"/>
    </row>
    <row r="102" spans="1:34" s="18" customFormat="1">
      <c r="A102" s="40" t="s">
        <v>42</v>
      </c>
      <c r="B102" s="40" t="s">
        <v>153</v>
      </c>
      <c r="C102" s="40"/>
      <c r="D102" s="40" t="s">
        <v>49</v>
      </c>
      <c r="E102" s="40" t="s">
        <v>88</v>
      </c>
      <c r="F102" s="70">
        <v>42170</v>
      </c>
      <c r="G102" s="42">
        <f>2750.16+13.099</f>
        <v>2763.259</v>
      </c>
      <c r="H102" s="42"/>
      <c r="I102" s="42"/>
      <c r="J102" s="64"/>
      <c r="K102" s="65">
        <f t="shared" si="96"/>
        <v>2763.259</v>
      </c>
      <c r="L102" s="84">
        <v>250</v>
      </c>
      <c r="M102" s="84"/>
      <c r="N102" s="42"/>
      <c r="O102" s="42">
        <v>0</v>
      </c>
      <c r="P102" s="85"/>
      <c r="Q102" s="85"/>
      <c r="R102" s="42"/>
      <c r="S102" s="38"/>
      <c r="T102" s="38"/>
      <c r="U102" s="40"/>
      <c r="V102" s="40">
        <v>0</v>
      </c>
      <c r="W102" s="65">
        <f t="shared" si="116"/>
        <v>2513.259</v>
      </c>
      <c r="X102" s="38">
        <f t="shared" si="117"/>
        <v>276.32589999999999</v>
      </c>
      <c r="Y102" s="65">
        <f t="shared" si="118"/>
        <v>2236.9331000000002</v>
      </c>
      <c r="Z102" s="38">
        <f t="shared" si="119"/>
        <v>0</v>
      </c>
      <c r="AA102" s="38">
        <v>10.23</v>
      </c>
      <c r="AB102" s="38">
        <f t="shared" si="120"/>
        <v>0</v>
      </c>
      <c r="AC102" s="65">
        <f t="shared" si="121"/>
        <v>2773.489</v>
      </c>
      <c r="AD102" s="72"/>
      <c r="AE102" s="73"/>
      <c r="AF102" s="66">
        <f t="shared" si="125"/>
        <v>-2236.9331000000002</v>
      </c>
      <c r="AG102" s="40"/>
      <c r="AH102" s="43" t="s">
        <v>228</v>
      </c>
    </row>
    <row r="103" spans="1:34" s="18" customFormat="1">
      <c r="A103" s="40" t="s">
        <v>44</v>
      </c>
      <c r="B103" s="40" t="s">
        <v>105</v>
      </c>
      <c r="C103" s="40"/>
      <c r="D103" s="40" t="s">
        <v>71</v>
      </c>
      <c r="E103" s="40" t="s">
        <v>183</v>
      </c>
      <c r="F103" s="70">
        <v>36868</v>
      </c>
      <c r="G103" s="42">
        <f>2646.55+3.714</f>
        <v>2650.2640000000001</v>
      </c>
      <c r="H103" s="42"/>
      <c r="I103" s="42"/>
      <c r="J103" s="64"/>
      <c r="K103" s="65">
        <f t="shared" si="96"/>
        <v>2650.2640000000001</v>
      </c>
      <c r="L103" s="42"/>
      <c r="M103" s="84"/>
      <c r="N103" s="42"/>
      <c r="O103" s="42">
        <v>0</v>
      </c>
      <c r="P103" s="85" t="s">
        <v>191</v>
      </c>
      <c r="Q103" s="85" t="s">
        <v>191</v>
      </c>
      <c r="R103" s="42"/>
      <c r="S103" s="38"/>
      <c r="T103" s="38"/>
      <c r="U103" s="40"/>
      <c r="V103" s="40">
        <v>0</v>
      </c>
      <c r="W103" s="65">
        <f t="shared" si="116"/>
        <v>2650.2640000000001</v>
      </c>
      <c r="X103" s="38">
        <f t="shared" si="117"/>
        <v>265.02640000000002</v>
      </c>
      <c r="Y103" s="65">
        <f t="shared" si="118"/>
        <v>2385.2375999999999</v>
      </c>
      <c r="Z103" s="38">
        <f t="shared" si="119"/>
        <v>0</v>
      </c>
      <c r="AA103" s="38">
        <v>10.23</v>
      </c>
      <c r="AB103" s="38" t="str">
        <f t="shared" si="120"/>
        <v>X</v>
      </c>
      <c r="AC103" s="65" t="e">
        <f t="shared" si="121"/>
        <v>#VALUE!</v>
      </c>
      <c r="AD103" s="72"/>
      <c r="AE103" s="72"/>
      <c r="AF103" s="66">
        <f t="shared" si="125"/>
        <v>-2385.2375999999999</v>
      </c>
      <c r="AG103" s="40"/>
      <c r="AH103" s="40"/>
    </row>
    <row r="104" spans="1:34" s="18" customFormat="1">
      <c r="A104" s="40" t="s">
        <v>44</v>
      </c>
      <c r="B104" s="40" t="s">
        <v>101</v>
      </c>
      <c r="C104" s="40"/>
      <c r="D104" s="40" t="s">
        <v>72</v>
      </c>
      <c r="E104" s="40" t="s">
        <v>181</v>
      </c>
      <c r="F104" s="70">
        <v>41949</v>
      </c>
      <c r="G104" s="42">
        <f>5073+7.428</f>
        <v>5080.4279999999999</v>
      </c>
      <c r="H104" s="42"/>
      <c r="I104" s="42"/>
      <c r="J104" s="64"/>
      <c r="K104" s="65">
        <f t="shared" si="96"/>
        <v>5080.4279999999999</v>
      </c>
      <c r="L104" s="42"/>
      <c r="M104" s="84"/>
      <c r="N104" s="42"/>
      <c r="O104" s="42">
        <v>250</v>
      </c>
      <c r="P104" s="85" t="s">
        <v>191</v>
      </c>
      <c r="Q104" s="85" t="s">
        <v>191</v>
      </c>
      <c r="R104" s="42"/>
      <c r="S104" s="38"/>
      <c r="T104" s="38"/>
      <c r="U104" s="40"/>
      <c r="V104" s="40">
        <v>0</v>
      </c>
      <c r="W104" s="65">
        <f t="shared" si="116"/>
        <v>4830.4279999999999</v>
      </c>
      <c r="X104" s="38">
        <f t="shared" si="117"/>
        <v>508.0428</v>
      </c>
      <c r="Y104" s="65">
        <f t="shared" si="118"/>
        <v>4322.3851999999997</v>
      </c>
      <c r="Z104" s="38">
        <f t="shared" si="119"/>
        <v>0</v>
      </c>
      <c r="AA104" s="38">
        <v>10.23</v>
      </c>
      <c r="AB104" s="38" t="str">
        <f t="shared" si="120"/>
        <v>X</v>
      </c>
      <c r="AC104" s="65" t="e">
        <f t="shared" si="121"/>
        <v>#VALUE!</v>
      </c>
      <c r="AD104" s="72"/>
      <c r="AE104" s="73"/>
      <c r="AF104" s="66">
        <f t="shared" si="125"/>
        <v>-4322.3851999999997</v>
      </c>
      <c r="AG104" s="40"/>
      <c r="AH104" s="40"/>
    </row>
    <row r="105" spans="1:34" s="112" customFormat="1">
      <c r="A105" s="101" t="s">
        <v>44</v>
      </c>
      <c r="B105" s="101" t="s">
        <v>222</v>
      </c>
      <c r="C105" s="101"/>
      <c r="D105" s="101"/>
      <c r="E105" s="101" t="s">
        <v>180</v>
      </c>
      <c r="F105" s="102">
        <v>42712</v>
      </c>
      <c r="G105" s="103">
        <v>270.90800000000002</v>
      </c>
      <c r="H105" s="103"/>
      <c r="I105" s="103"/>
      <c r="J105" s="104"/>
      <c r="K105" s="49"/>
      <c r="L105" s="103"/>
      <c r="M105" s="105"/>
      <c r="N105" s="103"/>
      <c r="O105" s="103"/>
      <c r="P105" s="106"/>
      <c r="Q105" s="106"/>
      <c r="R105" s="103"/>
      <c r="S105" s="107"/>
      <c r="T105" s="107"/>
      <c r="U105" s="101"/>
      <c r="V105" s="101"/>
      <c r="W105" s="49"/>
      <c r="X105" s="107"/>
      <c r="Y105" s="49"/>
      <c r="Z105" s="107"/>
      <c r="AA105" s="107"/>
      <c r="AB105" s="107"/>
      <c r="AC105" s="49"/>
      <c r="AD105" s="108"/>
      <c r="AE105" s="108"/>
      <c r="AF105" s="110"/>
      <c r="AG105" s="101"/>
      <c r="AH105" s="111" t="s">
        <v>239</v>
      </c>
    </row>
    <row r="106" spans="1:34" s="18" customFormat="1">
      <c r="A106" s="40" t="s">
        <v>42</v>
      </c>
      <c r="B106" s="40" t="s">
        <v>36</v>
      </c>
      <c r="C106" s="40"/>
      <c r="D106" s="40" t="s">
        <v>50</v>
      </c>
      <c r="E106" s="40" t="s">
        <v>88</v>
      </c>
      <c r="F106" s="70">
        <v>42129</v>
      </c>
      <c r="G106" s="42">
        <f>5500.32+13.099</f>
        <v>5513.4189999999999</v>
      </c>
      <c r="H106" s="44"/>
      <c r="I106" s="42"/>
      <c r="J106" s="64"/>
      <c r="K106" s="65">
        <f t="shared" si="96"/>
        <v>5513.4189999999999</v>
      </c>
      <c r="L106" s="42"/>
      <c r="M106" s="84">
        <v>1</v>
      </c>
      <c r="N106" s="42"/>
      <c r="O106" s="42">
        <v>0</v>
      </c>
      <c r="P106" s="85"/>
      <c r="Q106" s="85"/>
      <c r="R106" s="42"/>
      <c r="S106" s="38"/>
      <c r="T106" s="38"/>
      <c r="U106" s="40"/>
      <c r="V106" s="40">
        <v>0</v>
      </c>
      <c r="W106" s="65">
        <f t="shared" si="116"/>
        <v>5512.4189999999999</v>
      </c>
      <c r="X106" s="38">
        <f t="shared" si="117"/>
        <v>551.34190000000001</v>
      </c>
      <c r="Y106" s="65">
        <f t="shared" si="118"/>
        <v>4961.0770999999995</v>
      </c>
      <c r="Z106" s="38">
        <f t="shared" si="119"/>
        <v>0</v>
      </c>
      <c r="AA106" s="38">
        <v>10.23</v>
      </c>
      <c r="AB106" s="38">
        <f t="shared" si="120"/>
        <v>0</v>
      </c>
      <c r="AC106" s="65">
        <f t="shared" si="121"/>
        <v>5523.6489999999994</v>
      </c>
      <c r="AD106" s="72"/>
      <c r="AE106" s="73"/>
      <c r="AF106" s="66">
        <f t="shared" si="125"/>
        <v>-4961.0770999999995</v>
      </c>
      <c r="AG106" s="40"/>
      <c r="AH106" s="43"/>
    </row>
    <row r="107" spans="1:34" s="18" customFormat="1">
      <c r="A107" s="40" t="s">
        <v>42</v>
      </c>
      <c r="B107" s="40" t="s">
        <v>138</v>
      </c>
      <c r="C107" s="40"/>
      <c r="D107" s="40"/>
      <c r="E107" s="40" t="s">
        <v>180</v>
      </c>
      <c r="F107" s="70">
        <v>42422</v>
      </c>
      <c r="G107" s="42">
        <f>5390.314+13.099</f>
        <v>5403.4130000000005</v>
      </c>
      <c r="H107" s="42"/>
      <c r="I107" s="42"/>
      <c r="J107" s="64"/>
      <c r="K107" s="65">
        <f t="shared" si="96"/>
        <v>5403.4130000000005</v>
      </c>
      <c r="L107" s="42"/>
      <c r="M107" s="84"/>
      <c r="N107" s="42"/>
      <c r="O107" s="42">
        <v>0</v>
      </c>
      <c r="P107" s="85"/>
      <c r="Q107" s="85"/>
      <c r="R107" s="42"/>
      <c r="S107" s="38"/>
      <c r="T107" s="38"/>
      <c r="U107" s="40"/>
      <c r="V107" s="40">
        <v>0</v>
      </c>
      <c r="W107" s="65">
        <f t="shared" ref="W107" si="129">+K107-SUM(L107:V107)</f>
        <v>5403.4130000000005</v>
      </c>
      <c r="X107" s="38">
        <f t="shared" ref="X107" si="130">IF(K107&gt;2250,K107*0.1,0)</f>
        <v>540.34130000000005</v>
      </c>
      <c r="Y107" s="65">
        <f t="shared" ref="Y107" si="131">+W107-X107</f>
        <v>4863.0717000000004</v>
      </c>
      <c r="Z107" s="38">
        <f t="shared" si="119"/>
        <v>0</v>
      </c>
      <c r="AA107" s="38">
        <v>10.23</v>
      </c>
      <c r="AB107" s="38">
        <f t="shared" si="120"/>
        <v>0</v>
      </c>
      <c r="AC107" s="65">
        <f t="shared" si="121"/>
        <v>5413.643</v>
      </c>
      <c r="AD107" s="72"/>
      <c r="AE107" s="73"/>
      <c r="AF107" s="66">
        <f t="shared" si="125"/>
        <v>-4863.0717000000004</v>
      </c>
      <c r="AG107" s="40"/>
      <c r="AH107" s="43"/>
    </row>
    <row r="108" spans="1:34" s="18" customFormat="1">
      <c r="A108" s="40" t="s">
        <v>44</v>
      </c>
      <c r="B108" s="40" t="s">
        <v>154</v>
      </c>
      <c r="C108" s="40"/>
      <c r="D108" s="40" t="s">
        <v>73</v>
      </c>
      <c r="E108" s="40" t="s">
        <v>184</v>
      </c>
      <c r="F108" s="70">
        <v>41227</v>
      </c>
      <c r="G108" s="42">
        <f>924.604+2.599</f>
        <v>927.20300000000009</v>
      </c>
      <c r="H108" s="42"/>
      <c r="I108" s="42"/>
      <c r="J108" s="64"/>
      <c r="K108" s="65">
        <f t="shared" si="96"/>
        <v>927.20300000000009</v>
      </c>
      <c r="L108" s="42"/>
      <c r="M108" s="84">
        <v>1</v>
      </c>
      <c r="N108" s="42"/>
      <c r="O108" s="42">
        <v>200</v>
      </c>
      <c r="P108" s="85" t="s">
        <v>191</v>
      </c>
      <c r="Q108" s="85" t="s">
        <v>191</v>
      </c>
      <c r="R108" s="42"/>
      <c r="S108" s="38"/>
      <c r="T108" s="38"/>
      <c r="U108" s="40"/>
      <c r="V108" s="40">
        <v>0</v>
      </c>
      <c r="W108" s="65">
        <f t="shared" si="116"/>
        <v>726.20300000000009</v>
      </c>
      <c r="X108" s="38">
        <f t="shared" si="117"/>
        <v>0</v>
      </c>
      <c r="Y108" s="65">
        <f t="shared" si="118"/>
        <v>726.20300000000009</v>
      </c>
      <c r="Z108" s="38">
        <f t="shared" si="119"/>
        <v>92.720300000000009</v>
      </c>
      <c r="AA108" s="38">
        <v>10.23</v>
      </c>
      <c r="AB108" s="38" t="str">
        <f t="shared" si="120"/>
        <v>X</v>
      </c>
      <c r="AC108" s="65" t="e">
        <f t="shared" si="121"/>
        <v>#VALUE!</v>
      </c>
      <c r="AD108" s="72"/>
      <c r="AE108" s="72"/>
      <c r="AF108" s="66">
        <f t="shared" si="125"/>
        <v>-726.20300000000009</v>
      </c>
      <c r="AG108" s="40"/>
      <c r="AH108" s="43"/>
    </row>
    <row r="109" spans="1:34" s="18" customFormat="1">
      <c r="A109" s="40" t="s">
        <v>42</v>
      </c>
      <c r="B109" s="40" t="s">
        <v>208</v>
      </c>
      <c r="C109" s="40"/>
      <c r="D109" s="40"/>
      <c r="E109" s="40" t="s">
        <v>88</v>
      </c>
      <c r="F109" s="70">
        <v>42671</v>
      </c>
      <c r="G109" s="42">
        <f>1763.268+7.428</f>
        <v>1770.6960000000001</v>
      </c>
      <c r="H109" s="42"/>
      <c r="I109" s="42"/>
      <c r="J109" s="64"/>
      <c r="K109" s="65">
        <f t="shared" si="96"/>
        <v>1770.6960000000001</v>
      </c>
      <c r="L109" s="42"/>
      <c r="M109" s="84"/>
      <c r="N109" s="42"/>
      <c r="O109" s="42"/>
      <c r="P109" s="85"/>
      <c r="Q109" s="85"/>
      <c r="R109" s="42"/>
      <c r="S109" s="38"/>
      <c r="T109" s="38"/>
      <c r="U109" s="40"/>
      <c r="V109" s="40"/>
      <c r="W109" s="65">
        <f t="shared" ref="W109" si="132">+K109-SUM(L109:V109)</f>
        <v>1770.6960000000001</v>
      </c>
      <c r="X109" s="38">
        <f t="shared" ref="X109" si="133">IF(K109&gt;2250,K109*0.1,0)</f>
        <v>0</v>
      </c>
      <c r="Y109" s="65">
        <f t="shared" si="118"/>
        <v>1770.6960000000001</v>
      </c>
      <c r="Z109" s="38"/>
      <c r="AA109" s="38"/>
      <c r="AB109" s="38"/>
      <c r="AC109" s="65"/>
      <c r="AD109" s="72"/>
      <c r="AE109" s="72"/>
      <c r="AF109" s="66"/>
      <c r="AG109" s="43" t="s">
        <v>214</v>
      </c>
      <c r="AH109" s="43" t="s">
        <v>215</v>
      </c>
    </row>
    <row r="110" spans="1:34" s="18" customFormat="1">
      <c r="A110" s="113" t="s">
        <v>44</v>
      </c>
      <c r="B110" s="113" t="s">
        <v>243</v>
      </c>
      <c r="C110" s="113"/>
      <c r="D110" s="113"/>
      <c r="E110" s="113" t="s">
        <v>180</v>
      </c>
      <c r="F110" s="114">
        <v>42746</v>
      </c>
      <c r="G110" s="115"/>
      <c r="H110" s="115"/>
      <c r="I110" s="115"/>
      <c r="J110" s="116"/>
      <c r="K110" s="65">
        <f t="shared" si="96"/>
        <v>0</v>
      </c>
      <c r="L110" s="42"/>
      <c r="M110" s="84"/>
      <c r="N110" s="42"/>
      <c r="O110" s="42"/>
      <c r="P110" s="85"/>
      <c r="Q110" s="85"/>
      <c r="R110" s="42"/>
      <c r="S110" s="38"/>
      <c r="T110" s="38"/>
      <c r="U110" s="40"/>
      <c r="V110" s="40"/>
      <c r="W110" s="65">
        <f t="shared" ref="W110" si="134">+K110-SUM(L110:V110)</f>
        <v>0</v>
      </c>
      <c r="X110" s="38">
        <f t="shared" ref="X110" si="135">IF(K110&gt;2250,K110*0.1,0)</f>
        <v>0</v>
      </c>
      <c r="Y110" s="65">
        <f t="shared" ref="Y110" si="136">+W110-X110</f>
        <v>0</v>
      </c>
      <c r="Z110" s="38"/>
      <c r="AA110" s="38"/>
      <c r="AB110" s="38"/>
      <c r="AC110" s="65"/>
      <c r="AD110" s="72"/>
      <c r="AE110" s="72"/>
      <c r="AF110" s="66"/>
      <c r="AG110" s="117">
        <v>1505830788</v>
      </c>
      <c r="AH110" s="117" t="s">
        <v>244</v>
      </c>
    </row>
    <row r="111" spans="1:34" s="18" customFormat="1">
      <c r="A111" s="40" t="s">
        <v>44</v>
      </c>
      <c r="B111" s="40" t="s">
        <v>218</v>
      </c>
      <c r="C111" s="40"/>
      <c r="D111" s="40"/>
      <c r="E111" s="40" t="s">
        <v>180</v>
      </c>
      <c r="F111" s="70">
        <v>42699</v>
      </c>
      <c r="G111" s="42">
        <v>412.63799999999998</v>
      </c>
      <c r="H111" s="42"/>
      <c r="I111" s="42"/>
      <c r="J111" s="64"/>
      <c r="K111" s="65">
        <f t="shared" si="96"/>
        <v>412.63799999999998</v>
      </c>
      <c r="L111" s="42"/>
      <c r="M111" s="84"/>
      <c r="N111" s="42"/>
      <c r="O111" s="42"/>
      <c r="P111" s="85"/>
      <c r="Q111" s="85"/>
      <c r="R111" s="42"/>
      <c r="S111" s="38"/>
      <c r="T111" s="38"/>
      <c r="U111" s="40"/>
      <c r="V111" s="40"/>
      <c r="W111" s="65">
        <f t="shared" ref="W111" si="137">+K111-SUM(L111:V111)</f>
        <v>412.63799999999998</v>
      </c>
      <c r="X111" s="38">
        <f t="shared" ref="X111" si="138">IF(K111&gt;2250,K111*0.1,0)</f>
        <v>0</v>
      </c>
      <c r="Y111" s="65">
        <f t="shared" ref="Y111" si="139">+W111-X111</f>
        <v>412.63799999999998</v>
      </c>
      <c r="Z111" s="38"/>
      <c r="AA111" s="38"/>
      <c r="AB111" s="38"/>
      <c r="AC111" s="65"/>
      <c r="AD111" s="72"/>
      <c r="AE111" s="73"/>
      <c r="AF111" s="66"/>
      <c r="AG111" s="43">
        <v>1504068599</v>
      </c>
      <c r="AH111" s="40" t="s">
        <v>241</v>
      </c>
    </row>
    <row r="112" spans="1:34" s="18" customFormat="1">
      <c r="A112" s="40" t="s">
        <v>44</v>
      </c>
      <c r="B112" s="40" t="s">
        <v>198</v>
      </c>
      <c r="C112" s="40"/>
      <c r="D112" s="40"/>
      <c r="E112" s="40" t="s">
        <v>180</v>
      </c>
      <c r="F112" s="70">
        <v>42635</v>
      </c>
      <c r="G112" s="42">
        <v>605.1</v>
      </c>
      <c r="H112" s="42"/>
      <c r="I112" s="42"/>
      <c r="J112" s="64"/>
      <c r="K112" s="65">
        <f t="shared" si="96"/>
        <v>605.1</v>
      </c>
      <c r="L112" s="42"/>
      <c r="M112" s="84"/>
      <c r="N112" s="42"/>
      <c r="O112" s="42"/>
      <c r="P112" s="85"/>
      <c r="Q112" s="85"/>
      <c r="R112" s="42"/>
      <c r="S112" s="38"/>
      <c r="T112" s="38"/>
      <c r="U112" s="40"/>
      <c r="V112" s="40"/>
      <c r="W112" s="65">
        <f t="shared" ref="W112" si="140">+K112-SUM(L112:V112)</f>
        <v>605.1</v>
      </c>
      <c r="X112" s="38">
        <f t="shared" ref="X112" si="141">IF(K112&gt;2250,K112*0.1,0)</f>
        <v>0</v>
      </c>
      <c r="Y112" s="65">
        <f t="shared" ref="Y112" si="142">+W112-X112</f>
        <v>605.1</v>
      </c>
      <c r="Z112" s="38"/>
      <c r="AA112" s="38"/>
      <c r="AB112" s="38"/>
      <c r="AC112" s="65"/>
      <c r="AD112" s="72"/>
      <c r="AE112" s="72"/>
      <c r="AF112" s="66"/>
      <c r="AG112" s="40">
        <v>1133340031</v>
      </c>
      <c r="AH112" s="40"/>
    </row>
    <row r="113" spans="1:188" s="18" customFormat="1">
      <c r="A113" s="40" t="s">
        <v>44</v>
      </c>
      <c r="B113" s="40" t="s">
        <v>156</v>
      </c>
      <c r="C113" s="40"/>
      <c r="D113" s="40" t="s">
        <v>74</v>
      </c>
      <c r="E113" s="40" t="s">
        <v>184</v>
      </c>
      <c r="F113" s="70">
        <v>41703</v>
      </c>
      <c r="G113" s="42">
        <v>774.90800000000002</v>
      </c>
      <c r="H113" s="42"/>
      <c r="I113" s="42"/>
      <c r="J113" s="64"/>
      <c r="K113" s="65">
        <f t="shared" si="96"/>
        <v>774.90800000000002</v>
      </c>
      <c r="L113" s="42"/>
      <c r="M113" s="84"/>
      <c r="N113" s="42"/>
      <c r="O113" s="42">
        <v>0</v>
      </c>
      <c r="P113" s="85" t="s">
        <v>191</v>
      </c>
      <c r="Q113" s="85" t="s">
        <v>191</v>
      </c>
      <c r="R113" s="42"/>
      <c r="S113" s="38"/>
      <c r="T113" s="38"/>
      <c r="U113" s="40"/>
      <c r="V113" s="40">
        <v>0</v>
      </c>
      <c r="W113" s="65">
        <f t="shared" si="116"/>
        <v>774.90800000000002</v>
      </c>
      <c r="X113" s="38">
        <f t="shared" si="117"/>
        <v>0</v>
      </c>
      <c r="Y113" s="65">
        <f t="shared" si="118"/>
        <v>774.90800000000002</v>
      </c>
      <c r="Z113" s="38">
        <f t="shared" si="119"/>
        <v>77.490800000000007</v>
      </c>
      <c r="AA113" s="38">
        <v>10.23</v>
      </c>
      <c r="AB113" s="38" t="str">
        <f t="shared" si="120"/>
        <v>X</v>
      </c>
      <c r="AC113" s="65" t="e">
        <f t="shared" si="121"/>
        <v>#VALUE!</v>
      </c>
      <c r="AD113" s="72"/>
      <c r="AE113" s="72"/>
      <c r="AF113" s="66">
        <f t="shared" si="125"/>
        <v>-774.90800000000002</v>
      </c>
      <c r="AG113" s="40"/>
      <c r="AH113" s="40"/>
    </row>
    <row r="114" spans="1:188" s="18" customFormat="1">
      <c r="A114" s="40" t="s">
        <v>44</v>
      </c>
      <c r="B114" s="40" t="s">
        <v>97</v>
      </c>
      <c r="C114" s="40"/>
      <c r="D114" s="40" t="s">
        <v>75</v>
      </c>
      <c r="E114" s="40" t="s">
        <v>184</v>
      </c>
      <c r="F114" s="70">
        <v>41291</v>
      </c>
      <c r="G114" s="42">
        <f>3391.121+2.599</f>
        <v>3393.7200000000003</v>
      </c>
      <c r="H114" s="42"/>
      <c r="I114" s="42"/>
      <c r="J114" s="64"/>
      <c r="K114" s="65">
        <f t="shared" si="96"/>
        <v>3393.7200000000003</v>
      </c>
      <c r="L114" s="42"/>
      <c r="M114" s="84"/>
      <c r="N114" s="42"/>
      <c r="O114" s="42">
        <v>200</v>
      </c>
      <c r="P114" s="85" t="s">
        <v>191</v>
      </c>
      <c r="Q114" s="85" t="s">
        <v>191</v>
      </c>
      <c r="R114" s="42"/>
      <c r="S114" s="38"/>
      <c r="T114" s="38"/>
      <c r="U114" s="40"/>
      <c r="V114" s="40">
        <v>0</v>
      </c>
      <c r="W114" s="65">
        <f t="shared" si="116"/>
        <v>3193.7200000000003</v>
      </c>
      <c r="X114" s="38">
        <f t="shared" si="117"/>
        <v>339.37200000000007</v>
      </c>
      <c r="Y114" s="65">
        <f t="shared" si="118"/>
        <v>2854.348</v>
      </c>
      <c r="Z114" s="38">
        <f t="shared" si="119"/>
        <v>0</v>
      </c>
      <c r="AA114" s="38">
        <v>10.23</v>
      </c>
      <c r="AB114" s="38" t="str">
        <f t="shared" si="120"/>
        <v>X</v>
      </c>
      <c r="AC114" s="65" t="e">
        <f t="shared" si="121"/>
        <v>#VALUE!</v>
      </c>
      <c r="AD114" s="72"/>
      <c r="AE114" s="72"/>
      <c r="AF114" s="66">
        <f t="shared" si="125"/>
        <v>-2854.348</v>
      </c>
      <c r="AG114" s="40"/>
      <c r="AH114" s="43"/>
    </row>
    <row r="115" spans="1:188" s="18" customFormat="1">
      <c r="A115" s="40" t="s">
        <v>42</v>
      </c>
      <c r="B115" s="40" t="s">
        <v>107</v>
      </c>
      <c r="C115" s="40"/>
      <c r="D115" s="40" t="s">
        <v>51</v>
      </c>
      <c r="E115" s="40" t="s">
        <v>88</v>
      </c>
      <c r="F115" s="70">
        <v>41666</v>
      </c>
      <c r="G115" s="42">
        <f>3183.174+7.428</f>
        <v>3190.6019999999999</v>
      </c>
      <c r="H115" s="42"/>
      <c r="I115" s="42"/>
      <c r="J115" s="64"/>
      <c r="K115" s="65">
        <f t="shared" si="96"/>
        <v>3190.6019999999999</v>
      </c>
      <c r="L115" s="42"/>
      <c r="M115" s="84"/>
      <c r="N115" s="42"/>
      <c r="O115" s="42">
        <v>150</v>
      </c>
      <c r="P115" s="85"/>
      <c r="Q115" s="85"/>
      <c r="R115" s="42"/>
      <c r="S115" s="38"/>
      <c r="T115" s="38"/>
      <c r="U115" s="40"/>
      <c r="V115" s="40">
        <v>0</v>
      </c>
      <c r="W115" s="65">
        <f t="shared" si="116"/>
        <v>3040.6019999999999</v>
      </c>
      <c r="X115" s="38">
        <f t="shared" si="117"/>
        <v>319.06020000000001</v>
      </c>
      <c r="Y115" s="65">
        <f t="shared" si="118"/>
        <v>2721.5418</v>
      </c>
      <c r="Z115" s="38">
        <f t="shared" si="119"/>
        <v>0</v>
      </c>
      <c r="AA115" s="38">
        <v>10.23</v>
      </c>
      <c r="AB115" s="38">
        <f t="shared" si="120"/>
        <v>0</v>
      </c>
      <c r="AC115" s="65">
        <f t="shared" si="121"/>
        <v>3200.8319999999999</v>
      </c>
      <c r="AD115" s="72"/>
      <c r="AE115" s="73"/>
      <c r="AF115" s="66">
        <f t="shared" si="125"/>
        <v>-2721.5418</v>
      </c>
      <c r="AG115" s="40"/>
      <c r="AH115" s="40"/>
    </row>
    <row r="116" spans="1:188" s="18" customFormat="1">
      <c r="A116" s="113" t="s">
        <v>44</v>
      </c>
      <c r="B116" s="113" t="s">
        <v>249</v>
      </c>
      <c r="C116" s="113"/>
      <c r="D116" s="113"/>
      <c r="E116" s="113" t="s">
        <v>180</v>
      </c>
      <c r="F116" s="114">
        <v>42752</v>
      </c>
      <c r="G116" s="115"/>
      <c r="H116" s="115"/>
      <c r="I116" s="115"/>
      <c r="J116" s="116"/>
      <c r="K116" s="65">
        <f t="shared" si="96"/>
        <v>0</v>
      </c>
      <c r="L116" s="42"/>
      <c r="M116" s="84"/>
      <c r="N116" s="42"/>
      <c r="O116" s="42"/>
      <c r="P116" s="85"/>
      <c r="Q116" s="85"/>
      <c r="R116" s="42"/>
      <c r="S116" s="38"/>
      <c r="T116" s="38"/>
      <c r="U116" s="40"/>
      <c r="V116" s="40"/>
      <c r="W116" s="65">
        <f t="shared" ref="W116" si="143">+K116-SUM(L116:V116)</f>
        <v>0</v>
      </c>
      <c r="X116" s="38">
        <f t="shared" ref="X116" si="144">IF(K116&gt;2250,K116*0.1,0)</f>
        <v>0</v>
      </c>
      <c r="Y116" s="65">
        <f t="shared" ref="Y116" si="145">+W116-X116</f>
        <v>0</v>
      </c>
      <c r="Z116" s="38"/>
      <c r="AA116" s="38"/>
      <c r="AB116" s="38"/>
      <c r="AC116" s="65"/>
      <c r="AD116" s="72"/>
      <c r="AE116" s="72"/>
      <c r="AF116" s="66"/>
      <c r="AG116" s="117">
        <v>1506665861</v>
      </c>
      <c r="AH116" s="117" t="s">
        <v>247</v>
      </c>
    </row>
    <row r="117" spans="1:188" s="18" customFormat="1">
      <c r="A117" s="40" t="s">
        <v>44</v>
      </c>
      <c r="B117" s="40" t="s">
        <v>179</v>
      </c>
      <c r="C117" s="40"/>
      <c r="D117" s="40" t="s">
        <v>76</v>
      </c>
      <c r="E117" s="40" t="s">
        <v>183</v>
      </c>
      <c r="F117" s="70">
        <v>29733</v>
      </c>
      <c r="G117" s="42">
        <f>1582.4+7.428</f>
        <v>1589.8280000000002</v>
      </c>
      <c r="H117" s="42"/>
      <c r="I117" s="42"/>
      <c r="J117" s="64"/>
      <c r="K117" s="65">
        <f t="shared" si="96"/>
        <v>1589.8280000000002</v>
      </c>
      <c r="L117" s="42">
        <v>971</v>
      </c>
      <c r="M117" s="84"/>
      <c r="N117" s="42"/>
      <c r="O117" s="42">
        <v>50</v>
      </c>
      <c r="P117" s="85" t="s">
        <v>191</v>
      </c>
      <c r="Q117" s="85" t="s">
        <v>191</v>
      </c>
      <c r="R117" s="42"/>
      <c r="S117" s="38"/>
      <c r="T117" s="38"/>
      <c r="U117" s="40"/>
      <c r="V117" s="40">
        <v>0</v>
      </c>
      <c r="W117" s="65">
        <f t="shared" si="116"/>
        <v>568.8280000000002</v>
      </c>
      <c r="X117" s="38">
        <f t="shared" si="117"/>
        <v>0</v>
      </c>
      <c r="Y117" s="65">
        <f t="shared" si="118"/>
        <v>568.8280000000002</v>
      </c>
      <c r="Z117" s="38">
        <f t="shared" si="119"/>
        <v>158.98280000000003</v>
      </c>
      <c r="AA117" s="38">
        <v>10.23</v>
      </c>
      <c r="AB117" s="38" t="str">
        <f t="shared" si="120"/>
        <v>X</v>
      </c>
      <c r="AC117" s="65" t="e">
        <f t="shared" si="121"/>
        <v>#VALUE!</v>
      </c>
      <c r="AD117" s="72"/>
      <c r="AE117" s="73"/>
      <c r="AF117" s="66">
        <f t="shared" si="125"/>
        <v>-568.8280000000002</v>
      </c>
      <c r="AG117" s="40"/>
      <c r="AH117" s="43" t="s">
        <v>242</v>
      </c>
    </row>
    <row r="118" spans="1:188" s="18" customFormat="1">
      <c r="A118" s="40" t="s">
        <v>42</v>
      </c>
      <c r="B118" s="40" t="s">
        <v>190</v>
      </c>
      <c r="C118" s="40"/>
      <c r="D118" s="40"/>
      <c r="E118" s="40" t="s">
        <v>223</v>
      </c>
      <c r="F118" s="70">
        <v>42604</v>
      </c>
      <c r="G118" s="42">
        <v>339.13799999999998</v>
      </c>
      <c r="H118" s="42"/>
      <c r="I118" s="42"/>
      <c r="J118" s="64"/>
      <c r="K118" s="65">
        <f t="shared" si="96"/>
        <v>339.13799999999998</v>
      </c>
      <c r="L118" s="42"/>
      <c r="M118" s="84"/>
      <c r="N118" s="42"/>
      <c r="O118" s="42"/>
      <c r="P118" s="85"/>
      <c r="Q118" s="85"/>
      <c r="R118" s="42"/>
      <c r="S118" s="38"/>
      <c r="T118" s="38"/>
      <c r="U118" s="40"/>
      <c r="V118" s="40"/>
      <c r="W118" s="65">
        <f t="shared" ref="W118" si="146">+K118-SUM(L118:V118)</f>
        <v>339.13799999999998</v>
      </c>
      <c r="X118" s="38">
        <f t="shared" ref="X118" si="147">IF(K118&gt;2250,K118*0.1,0)</f>
        <v>0</v>
      </c>
      <c r="Y118" s="65">
        <f t="shared" ref="Y118" si="148">+W118-X118</f>
        <v>339.13799999999998</v>
      </c>
      <c r="Z118" s="38"/>
      <c r="AA118" s="38"/>
      <c r="AB118" s="38"/>
      <c r="AC118" s="65"/>
      <c r="AD118" s="72"/>
      <c r="AE118" s="79"/>
      <c r="AF118" s="66"/>
      <c r="AG118" s="40">
        <v>1258728771</v>
      </c>
      <c r="AH118" s="40"/>
    </row>
    <row r="119" spans="1:188" s="18" customFormat="1">
      <c r="A119" s="40" t="s">
        <v>42</v>
      </c>
      <c r="B119" s="40" t="s">
        <v>37</v>
      </c>
      <c r="C119" s="40"/>
      <c r="D119" s="40" t="s">
        <v>53</v>
      </c>
      <c r="E119" s="40" t="s">
        <v>88</v>
      </c>
      <c r="F119" s="70">
        <v>42361</v>
      </c>
      <c r="G119" s="42">
        <f>1691.178+7.428</f>
        <v>1698.6060000000002</v>
      </c>
      <c r="H119" s="42"/>
      <c r="I119" s="42"/>
      <c r="J119" s="64"/>
      <c r="K119" s="65">
        <f t="shared" si="96"/>
        <v>1698.6060000000002</v>
      </c>
      <c r="L119" s="42">
        <v>150</v>
      </c>
      <c r="M119" s="84"/>
      <c r="N119" s="42"/>
      <c r="O119" s="42">
        <v>0</v>
      </c>
      <c r="P119" s="85"/>
      <c r="Q119" s="85"/>
      <c r="R119" s="42"/>
      <c r="S119" s="38"/>
      <c r="T119" s="38"/>
      <c r="U119" s="40"/>
      <c r="V119" s="40">
        <v>0</v>
      </c>
      <c r="W119" s="65">
        <f>+K119-SUM(L119:V119)</f>
        <v>1548.6060000000002</v>
      </c>
      <c r="X119" s="38">
        <f>IF(K119&gt;2250,K119*0.1,0)</f>
        <v>0</v>
      </c>
      <c r="Y119" s="65">
        <f>+W119-X119</f>
        <v>1548.6060000000002</v>
      </c>
      <c r="Z119" s="38">
        <f>IF(K119&lt;2250,K119*0.1,0)</f>
        <v>169.86060000000003</v>
      </c>
      <c r="AA119" s="38">
        <v>10.23</v>
      </c>
      <c r="AB119" s="38">
        <f>+P119</f>
        <v>0</v>
      </c>
      <c r="AC119" s="65">
        <f>+K119+Z119+AA119+AB119</f>
        <v>1878.6966000000002</v>
      </c>
      <c r="AD119" s="72"/>
      <c r="AE119" s="78"/>
      <c r="AF119" s="66">
        <f>+AD119+AE119-Y119</f>
        <v>-1548.6060000000002</v>
      </c>
      <c r="AG119" s="40"/>
      <c r="AH119" s="43" t="s">
        <v>228</v>
      </c>
    </row>
    <row r="120" spans="1:188" s="18" customFormat="1">
      <c r="A120" s="40" t="s">
        <v>42</v>
      </c>
      <c r="B120" s="40" t="s">
        <v>106</v>
      </c>
      <c r="C120" s="40"/>
      <c r="D120" s="40" t="s">
        <v>52</v>
      </c>
      <c r="E120" s="40" t="s">
        <v>88</v>
      </c>
      <c r="F120" s="70">
        <v>41549</v>
      </c>
      <c r="G120" s="42">
        <f>5840.816+13.099</f>
        <v>5853.915</v>
      </c>
      <c r="H120" s="42"/>
      <c r="I120" s="42"/>
      <c r="J120" s="64"/>
      <c r="K120" s="65">
        <f t="shared" si="96"/>
        <v>5853.915</v>
      </c>
      <c r="L120" s="42"/>
      <c r="M120" s="84"/>
      <c r="N120" s="42"/>
      <c r="O120" s="42">
        <v>500</v>
      </c>
      <c r="P120" s="85"/>
      <c r="Q120" s="85"/>
      <c r="R120" s="42"/>
      <c r="S120" s="38"/>
      <c r="T120" s="38"/>
      <c r="U120" s="40"/>
      <c r="V120" s="40">
        <v>0</v>
      </c>
      <c r="W120" s="65">
        <f>+K120-SUM(L120:V120)</f>
        <v>5353.915</v>
      </c>
      <c r="X120" s="38">
        <f>IF(K120&gt;2250,K120*0.1,0)</f>
        <v>585.39150000000006</v>
      </c>
      <c r="Y120" s="65">
        <f>+W120-X120</f>
        <v>4768.5235000000002</v>
      </c>
      <c r="Z120" s="38">
        <f>IF(K120&lt;2250,K120*0.1,0)</f>
        <v>0</v>
      </c>
      <c r="AA120" s="38">
        <v>10.23</v>
      </c>
      <c r="AB120" s="38">
        <f>+P120</f>
        <v>0</v>
      </c>
      <c r="AC120" s="65">
        <f>+K120+Z120+AA120+AB120</f>
        <v>5864.1449999999995</v>
      </c>
      <c r="AD120" s="72"/>
      <c r="AE120" s="73"/>
      <c r="AF120" s="66">
        <f>+AD120+AE120-Y120</f>
        <v>-4768.5235000000002</v>
      </c>
      <c r="AG120" s="40"/>
      <c r="AH120" s="43"/>
    </row>
    <row r="121" spans="1:188">
      <c r="A121" s="33"/>
      <c r="B121" s="40"/>
      <c r="C121" s="33"/>
      <c r="D121" s="33"/>
      <c r="E121" s="33"/>
      <c r="F121" s="83"/>
      <c r="G121" s="35"/>
      <c r="H121" s="35"/>
      <c r="I121" s="35"/>
      <c r="J121" s="35"/>
      <c r="K121" s="37"/>
      <c r="L121" s="54"/>
      <c r="M121" s="54"/>
      <c r="N121" s="54"/>
      <c r="O121" s="54"/>
      <c r="P121" s="54"/>
      <c r="Q121" s="54"/>
      <c r="R121" s="54"/>
      <c r="S121" s="77"/>
      <c r="T121" s="77"/>
      <c r="U121" s="77"/>
      <c r="V121" s="77"/>
      <c r="W121" s="76"/>
      <c r="X121" s="77"/>
      <c r="Y121" s="76"/>
      <c r="Z121" s="77"/>
      <c r="AA121" s="77"/>
      <c r="AB121" s="77"/>
      <c r="AC121" s="76"/>
      <c r="AD121" s="59"/>
      <c r="AE121" s="59"/>
      <c r="AF121" s="50"/>
      <c r="AG121" s="33"/>
      <c r="AH121" s="33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122" s="33"/>
      <c r="B122" s="40"/>
      <c r="C122" s="33"/>
      <c r="D122" s="33"/>
      <c r="E122" s="33"/>
      <c r="F122" s="83"/>
      <c r="G122" s="35"/>
      <c r="H122" s="35"/>
      <c r="I122" s="35"/>
      <c r="J122" s="35"/>
      <c r="K122" s="37"/>
      <c r="L122" s="54"/>
      <c r="M122" s="54"/>
      <c r="N122" s="54"/>
      <c r="O122" s="54"/>
      <c r="P122" s="54"/>
      <c r="Q122" s="54"/>
      <c r="R122" s="54"/>
      <c r="S122" s="77"/>
      <c r="T122" s="77"/>
      <c r="U122" s="77"/>
      <c r="V122" s="77"/>
      <c r="W122" s="76"/>
      <c r="X122" s="77"/>
      <c r="Y122" s="76"/>
      <c r="Z122" s="77"/>
      <c r="AA122" s="77"/>
      <c r="AB122" s="77"/>
      <c r="AC122" s="76"/>
      <c r="AD122" s="59"/>
      <c r="AE122" s="59"/>
      <c r="AF122" s="50"/>
      <c r="AG122" s="33"/>
      <c r="AH122" s="33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123" s="33"/>
      <c r="B123" s="40"/>
      <c r="C123" s="33"/>
      <c r="D123" s="33"/>
      <c r="E123" s="33"/>
      <c r="F123" s="83"/>
      <c r="G123" s="35"/>
      <c r="H123" s="35"/>
      <c r="I123" s="35"/>
      <c r="J123" s="35"/>
      <c r="K123" s="37"/>
      <c r="L123" s="54"/>
      <c r="M123" s="54"/>
      <c r="N123" s="54"/>
      <c r="O123" s="54"/>
      <c r="P123" s="54"/>
      <c r="Q123" s="54"/>
      <c r="R123" s="54"/>
      <c r="S123" s="77"/>
      <c r="T123" s="77"/>
      <c r="U123" s="77"/>
      <c r="V123" s="77"/>
      <c r="W123" s="76"/>
      <c r="X123" s="77"/>
      <c r="Y123" s="76"/>
      <c r="Z123" s="77"/>
      <c r="AA123" s="77"/>
      <c r="AB123" s="77"/>
      <c r="AC123" s="76"/>
      <c r="AD123" s="59"/>
      <c r="AE123" s="59"/>
      <c r="AF123" s="50"/>
      <c r="AG123" s="33"/>
      <c r="AH123" s="33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124" s="33"/>
      <c r="B124" s="40"/>
      <c r="C124" s="33"/>
      <c r="D124" s="33"/>
      <c r="E124" s="33"/>
      <c r="F124" s="83"/>
      <c r="G124" s="35"/>
      <c r="H124" s="35"/>
      <c r="I124" s="35"/>
      <c r="J124" s="35"/>
      <c r="K124" s="37"/>
      <c r="L124" s="54"/>
      <c r="M124" s="54"/>
      <c r="N124" s="54"/>
      <c r="O124" s="54"/>
      <c r="P124" s="54"/>
      <c r="Q124" s="54"/>
      <c r="R124" s="54"/>
      <c r="S124" s="77"/>
      <c r="T124" s="77"/>
      <c r="U124" s="77"/>
      <c r="V124" s="77"/>
      <c r="W124" s="76"/>
      <c r="X124" s="77"/>
      <c r="Y124" s="76"/>
      <c r="Z124" s="77"/>
      <c r="AA124" s="77"/>
      <c r="AB124" s="77"/>
      <c r="AC124" s="76"/>
      <c r="AD124" s="59"/>
      <c r="AE124" s="59"/>
      <c r="AF124" s="50"/>
      <c r="AG124" s="33"/>
      <c r="AH124" s="33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B125" s="20"/>
      <c r="C125" s="20"/>
      <c r="D125" s="20"/>
      <c r="AC125" s="14">
        <f>+AC78*0.16</f>
        <v>63.536000000000008</v>
      </c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18" t="s">
        <v>150</v>
      </c>
      <c r="B126" s="118"/>
      <c r="C126" s="20"/>
      <c r="D126" s="20"/>
      <c r="AC126" s="14">
        <f>+AC78+AC125</f>
        <v>460.63600000000002</v>
      </c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 s="18" customFormat="1">
      <c r="A127" s="40"/>
      <c r="B127" s="40"/>
      <c r="C127" s="40"/>
      <c r="D127" s="45"/>
      <c r="E127" s="40"/>
      <c r="F127" s="41"/>
      <c r="G127" s="42"/>
      <c r="H127" s="42"/>
      <c r="I127" s="42"/>
      <c r="J127" s="64"/>
      <c r="K127" s="65"/>
      <c r="L127" s="42"/>
      <c r="M127" s="42"/>
      <c r="N127" s="42"/>
      <c r="O127" s="42"/>
      <c r="P127" s="42"/>
      <c r="Q127" s="42"/>
      <c r="R127" s="42"/>
      <c r="S127" s="38"/>
      <c r="T127" s="38"/>
      <c r="U127" s="40"/>
      <c r="V127" s="40"/>
      <c r="W127" s="65"/>
      <c r="X127" s="38"/>
      <c r="Y127" s="65"/>
      <c r="Z127" s="38"/>
      <c r="AA127" s="38"/>
      <c r="AB127" s="38"/>
      <c r="AC127" s="65"/>
      <c r="AD127" s="61"/>
      <c r="AE127" s="62"/>
      <c r="AF127" s="39">
        <f t="shared" ref="AF127" si="149">+AD127+AE127-Y127</f>
        <v>0</v>
      </c>
      <c r="AG127" s="40"/>
      <c r="AH127" s="63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134" s="19" t="s">
        <v>18</v>
      </c>
      <c r="B134" s="13"/>
      <c r="C134" s="13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135" s="19" t="s">
        <v>19</v>
      </c>
      <c r="B135" s="13"/>
      <c r="C135" s="13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136" s="19" t="s">
        <v>20</v>
      </c>
      <c r="B136" s="13"/>
      <c r="C136" s="13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137" s="19" t="s">
        <v>21</v>
      </c>
      <c r="B137" s="13"/>
      <c r="C137" s="13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22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139" s="19" t="s">
        <v>23</v>
      </c>
      <c r="B139" s="13"/>
      <c r="C139" s="13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1" spans="1:188"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</row>
    <row r="143" spans="1:188">
      <c r="B143" s="17"/>
      <c r="C143" s="23"/>
    </row>
    <row r="144" spans="1:188">
      <c r="B144" s="17"/>
      <c r="C144" s="23"/>
    </row>
    <row r="145" spans="2:3">
      <c r="B145" s="17"/>
      <c r="C145" s="23"/>
    </row>
  </sheetData>
  <sheetProtection selectLockedCells="1" selectUnlockedCells="1"/>
  <autoFilter ref="A5:AH72">
    <filterColumn colId="29" showButton="0"/>
    <sortState ref="A8:AH99">
      <sortCondition ref="B5:B99"/>
    </sortState>
  </autoFilter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26:B126"/>
    <mergeCell ref="AH5:AH6"/>
    <mergeCell ref="A76:B7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2017-01-24T23:45:10Z</dcterms:modified>
</cp:coreProperties>
</file>