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2045"/>
  </bookViews>
  <sheets>
    <sheet name="FORMATO NOMINA" sheetId="4" r:id="rId1"/>
  </sheets>
  <definedNames>
    <definedName name="_xlnm._FilterDatabase" localSheetId="0" hidden="1">'FORMATO NOMINA'!$A$5:$AF$71</definedName>
  </definedNames>
  <calcPr calcId="124519"/>
</workbook>
</file>

<file path=xl/calcChain.xml><?xml version="1.0" encoding="utf-8"?>
<calcChain xmlns="http://schemas.openxmlformats.org/spreadsheetml/2006/main">
  <c r="F79" i="4"/>
  <c r="F103"/>
  <c r="F106"/>
  <c r="F109"/>
  <c r="F82"/>
  <c r="F98"/>
  <c r="F96"/>
  <c r="F122"/>
  <c r="F115"/>
  <c r="F116"/>
  <c r="F85"/>
  <c r="F90"/>
  <c r="F110"/>
  <c r="F86"/>
  <c r="F121"/>
  <c r="F105"/>
  <c r="F81"/>
  <c r="F119"/>
  <c r="F107"/>
  <c r="F99"/>
  <c r="F104"/>
  <c r="F113"/>
  <c r="F78"/>
  <c r="F97"/>
  <c r="F92"/>
  <c r="F108"/>
  <c r="F102"/>
  <c r="F111"/>
  <c r="F114"/>
  <c r="F91"/>
  <c r="F101"/>
  <c r="F87"/>
  <c r="F94"/>
  <c r="F95" l="1"/>
  <c r="F112"/>
  <c r="F77"/>
  <c r="U72" l="1"/>
  <c r="I72"/>
  <c r="I117"/>
  <c r="U117" s="1"/>
  <c r="I19" l="1"/>
  <c r="I107"/>
  <c r="I108"/>
  <c r="I109"/>
  <c r="I110"/>
  <c r="I99"/>
  <c r="I100"/>
  <c r="I101"/>
  <c r="I102"/>
  <c r="I65"/>
  <c r="I66"/>
  <c r="I67"/>
  <c r="I68"/>
  <c r="I27"/>
  <c r="I28"/>
  <c r="I29"/>
  <c r="I30"/>
  <c r="I31"/>
  <c r="I32"/>
  <c r="I33"/>
  <c r="I34"/>
  <c r="I35"/>
  <c r="I36"/>
  <c r="I37"/>
  <c r="I92"/>
  <c r="I93" l="1"/>
  <c r="I47" l="1"/>
  <c r="U47" s="1"/>
  <c r="I49"/>
  <c r="U49" s="1"/>
  <c r="I50"/>
  <c r="U50" s="1"/>
  <c r="I51"/>
  <c r="U51" s="1"/>
  <c r="I52"/>
  <c r="U52" s="1"/>
  <c r="I53"/>
  <c r="U53" s="1"/>
  <c r="I54"/>
  <c r="U54" s="1"/>
  <c r="I55"/>
  <c r="U55" s="1"/>
  <c r="I56"/>
  <c r="U56" s="1"/>
  <c r="I57"/>
  <c r="U57" s="1"/>
  <c r="I58"/>
  <c r="I14"/>
  <c r="U14" s="1"/>
  <c r="I15"/>
  <c r="U15" s="1"/>
  <c r="I16"/>
  <c r="U16" s="1"/>
  <c r="I17"/>
  <c r="U17" s="1"/>
  <c r="I18"/>
  <c r="U18" s="1"/>
  <c r="I20"/>
  <c r="U20" s="1"/>
  <c r="I21"/>
  <c r="U21" s="1"/>
  <c r="I22"/>
  <c r="U22" s="1"/>
  <c r="I23"/>
  <c r="U23" s="1"/>
  <c r="I24"/>
  <c r="U24" s="1"/>
  <c r="I25"/>
  <c r="U25" s="1"/>
  <c r="I26"/>
  <c r="U26" s="1"/>
  <c r="U27"/>
  <c r="U28"/>
  <c r="U29"/>
  <c r="U31"/>
  <c r="U102"/>
  <c r="I103"/>
  <c r="U103" s="1"/>
  <c r="I104"/>
  <c r="U104" s="1"/>
  <c r="I105"/>
  <c r="U105" s="1"/>
  <c r="I106"/>
  <c r="U106" s="1"/>
  <c r="U107"/>
  <c r="U109"/>
  <c r="I111"/>
  <c r="U111" s="1"/>
  <c r="I112"/>
  <c r="U112" s="1"/>
  <c r="I113"/>
  <c r="U113" s="1"/>
  <c r="I114"/>
  <c r="I81"/>
  <c r="U81" s="1"/>
  <c r="I82"/>
  <c r="U82" s="1"/>
  <c r="I83"/>
  <c r="U83" s="1"/>
  <c r="I84"/>
  <c r="U84" s="1"/>
  <c r="I85"/>
  <c r="U85" s="1"/>
  <c r="I13" l="1"/>
  <c r="U13" s="1"/>
  <c r="I91"/>
  <c r="U91" s="1"/>
  <c r="I98" l="1"/>
  <c r="U98" s="1"/>
  <c r="I96"/>
  <c r="U96" s="1"/>
  <c r="U99" l="1"/>
  <c r="I97"/>
  <c r="U97" s="1"/>
  <c r="U101"/>
  <c r="I94"/>
  <c r="U94" s="1"/>
  <c r="I95"/>
  <c r="T74"/>
  <c r="Z101" l="1"/>
  <c r="X29"/>
  <c r="V29" l="1"/>
  <c r="I43" l="1"/>
  <c r="U43" s="1"/>
  <c r="I89" l="1"/>
  <c r="U89" s="1"/>
  <c r="Q74" l="1"/>
  <c r="I44" l="1"/>
  <c r="U44" s="1"/>
  <c r="I63" l="1"/>
  <c r="U63" s="1"/>
  <c r="I87" l="1"/>
  <c r="U87" s="1"/>
  <c r="I134" l="1"/>
  <c r="I130"/>
  <c r="I131"/>
  <c r="I132"/>
  <c r="I133"/>
  <c r="I78"/>
  <c r="I79"/>
  <c r="I80"/>
  <c r="U80" s="1"/>
  <c r="I86"/>
  <c r="U86" s="1"/>
  <c r="I88"/>
  <c r="I90"/>
  <c r="I42"/>
  <c r="U42" s="1"/>
  <c r="I115"/>
  <c r="I116"/>
  <c r="I118"/>
  <c r="I119"/>
  <c r="I120"/>
  <c r="I121"/>
  <c r="I122"/>
  <c r="I123"/>
  <c r="I7"/>
  <c r="I8"/>
  <c r="I9"/>
  <c r="I10"/>
  <c r="I11"/>
  <c r="I12"/>
  <c r="U32"/>
  <c r="I38"/>
  <c r="I39"/>
  <c r="I40"/>
  <c r="I41"/>
  <c r="I45"/>
  <c r="U45" s="1"/>
  <c r="I46"/>
  <c r="U46" s="1"/>
  <c r="I59"/>
  <c r="I60"/>
  <c r="I61"/>
  <c r="I62"/>
  <c r="I64"/>
  <c r="I69"/>
  <c r="I70"/>
  <c r="I71"/>
  <c r="F74" l="1"/>
  <c r="U116" l="1"/>
  <c r="J110" l="1"/>
  <c r="U110" s="1"/>
  <c r="U133" l="1"/>
  <c r="U88" l="1"/>
  <c r="U90"/>
  <c r="J124" l="1"/>
  <c r="K124"/>
  <c r="L124"/>
  <c r="M124"/>
  <c r="N124"/>
  <c r="O124"/>
  <c r="P124"/>
  <c r="Q124"/>
  <c r="R124"/>
  <c r="S124"/>
  <c r="T124"/>
  <c r="G124"/>
  <c r="H124"/>
  <c r="F124"/>
  <c r="I124" l="1"/>
  <c r="V106" l="1"/>
  <c r="W42"/>
  <c r="X42"/>
  <c r="AA42" s="1"/>
  <c r="V42"/>
  <c r="W106" l="1"/>
  <c r="V118"/>
  <c r="V47"/>
  <c r="U118" l="1"/>
  <c r="W118" s="1"/>
  <c r="W47"/>
  <c r="V52" l="1"/>
  <c r="L74"/>
  <c r="W52" l="1"/>
  <c r="V9"/>
  <c r="U9" l="1"/>
  <c r="W9" s="1"/>
  <c r="V101" l="1"/>
  <c r="W101" l="1"/>
  <c r="U10"/>
  <c r="V10" l="1"/>
  <c r="W10" s="1"/>
  <c r="V70" l="1"/>
  <c r="U70" l="1"/>
  <c r="W70" s="1"/>
  <c r="V46"/>
  <c r="W46" l="1"/>
  <c r="V31" l="1"/>
  <c r="W31" l="1"/>
  <c r="V84" l="1"/>
  <c r="W84" s="1"/>
  <c r="V45" l="1"/>
  <c r="W45" s="1"/>
  <c r="V22"/>
  <c r="V41"/>
  <c r="U41" l="1"/>
  <c r="W41" s="1"/>
  <c r="W22"/>
  <c r="V57"/>
  <c r="W57" l="1"/>
  <c r="V112"/>
  <c r="W112" l="1"/>
  <c r="V71" l="1"/>
  <c r="U71" l="1"/>
  <c r="W71" s="1"/>
  <c r="U60" l="1"/>
  <c r="V60" l="1"/>
  <c r="W60" s="1"/>
  <c r="X60"/>
  <c r="U120" l="1"/>
  <c r="V88" l="1"/>
  <c r="W88" s="1"/>
  <c r="V120"/>
  <c r="W120" s="1"/>
  <c r="V69" l="1"/>
  <c r="U69" l="1"/>
  <c r="W69" s="1"/>
  <c r="X38" l="1"/>
  <c r="Z38"/>
  <c r="U64"/>
  <c r="Z64"/>
  <c r="AA38" l="1"/>
  <c r="U38"/>
  <c r="V38"/>
  <c r="X64"/>
  <c r="AA64" s="1"/>
  <c r="V64"/>
  <c r="W64" s="1"/>
  <c r="Z26"/>
  <c r="W38" l="1"/>
  <c r="X26"/>
  <c r="AA26" s="1"/>
  <c r="V26"/>
  <c r="W26" l="1"/>
  <c r="AD26" s="1"/>
  <c r="Z53" l="1"/>
  <c r="X53" l="1"/>
  <c r="AA53" s="1"/>
  <c r="V53"/>
  <c r="W53" s="1"/>
  <c r="Z21" l="1"/>
  <c r="Z25"/>
  <c r="Z27"/>
  <c r="Z28"/>
  <c r="Z90"/>
  <c r="Z32"/>
  <c r="Z33"/>
  <c r="X21" l="1"/>
  <c r="AA21" s="1"/>
  <c r="V21"/>
  <c r="W21" s="1"/>
  <c r="X33" l="1"/>
  <c r="AA33" s="1"/>
  <c r="U33"/>
  <c r="V33"/>
  <c r="W33" l="1"/>
  <c r="V90" l="1"/>
  <c r="X90"/>
  <c r="AA90" s="1"/>
  <c r="W90" l="1"/>
  <c r="Z68" l="1"/>
  <c r="Z50"/>
  <c r="X27" l="1"/>
  <c r="AA27" s="1"/>
  <c r="V27"/>
  <c r="U68"/>
  <c r="X68"/>
  <c r="AA68" s="1"/>
  <c r="V50"/>
  <c r="X50"/>
  <c r="AA50" s="1"/>
  <c r="V68"/>
  <c r="Z55"/>
  <c r="X55"/>
  <c r="W27" l="1"/>
  <c r="AD27" s="1"/>
  <c r="W68"/>
  <c r="W50"/>
  <c r="AA55"/>
  <c r="V55"/>
  <c r="W55" l="1"/>
  <c r="AD68" l="1"/>
  <c r="AD50" l="1"/>
  <c r="Z61"/>
  <c r="V99" l="1"/>
  <c r="X99"/>
  <c r="Z99"/>
  <c r="AA99" l="1"/>
  <c r="W99"/>
  <c r="AD99" s="1"/>
  <c r="Z18" l="1"/>
  <c r="V18" l="1"/>
  <c r="X18"/>
  <c r="AA18" s="1"/>
  <c r="W18" l="1"/>
  <c r="AD18" l="1"/>
  <c r="Z54" l="1"/>
  <c r="V28" l="1"/>
  <c r="X28"/>
  <c r="AA28" s="1"/>
  <c r="Z62"/>
  <c r="X62" l="1"/>
  <c r="W28"/>
  <c r="V62" l="1"/>
  <c r="U62"/>
  <c r="AA62"/>
  <c r="W62" l="1"/>
  <c r="AD62" s="1"/>
  <c r="V110" l="1"/>
  <c r="X110"/>
  <c r="Z122"/>
  <c r="Z121"/>
  <c r="Z65"/>
  <c r="Z115"/>
  <c r="Z59"/>
  <c r="Z58"/>
  <c r="Z109"/>
  <c r="Z106"/>
  <c r="Z103"/>
  <c r="Z40"/>
  <c r="Z39"/>
  <c r="Z98"/>
  <c r="Z37"/>
  <c r="Z36"/>
  <c r="Z34"/>
  <c r="Z17"/>
  <c r="Z82"/>
  <c r="Z16"/>
  <c r="Z15"/>
  <c r="Z12"/>
  <c r="Z11"/>
  <c r="Z8"/>
  <c r="Z7"/>
  <c r="Z110" l="1"/>
  <c r="AA110" l="1"/>
  <c r="W110"/>
  <c r="AD110" s="1"/>
  <c r="V109" l="1"/>
  <c r="X109"/>
  <c r="AA109" s="1"/>
  <c r="Y74"/>
  <c r="I77"/>
  <c r="AC74"/>
  <c r="AB74"/>
  <c r="P74"/>
  <c r="J74"/>
  <c r="H74"/>
  <c r="G74"/>
  <c r="X61"/>
  <c r="U95"/>
  <c r="W109" l="1"/>
  <c r="AD109" s="1"/>
  <c r="V32"/>
  <c r="X32"/>
  <c r="AA32" s="1"/>
  <c r="V36"/>
  <c r="X36"/>
  <c r="AA36" s="1"/>
  <c r="V37"/>
  <c r="X37"/>
  <c r="V16"/>
  <c r="X16"/>
  <c r="V34"/>
  <c r="X34"/>
  <c r="V39"/>
  <c r="X39"/>
  <c r="AA39" s="1"/>
  <c r="V40"/>
  <c r="X40"/>
  <c r="V8"/>
  <c r="X8"/>
  <c r="AA8" s="1"/>
  <c r="V11"/>
  <c r="X11"/>
  <c r="AA11" s="1"/>
  <c r="V15"/>
  <c r="X15"/>
  <c r="AA15" s="1"/>
  <c r="V79"/>
  <c r="X79"/>
  <c r="X106"/>
  <c r="AA106" s="1"/>
  <c r="V82"/>
  <c r="X82"/>
  <c r="AA82" s="1"/>
  <c r="V81"/>
  <c r="X81"/>
  <c r="V104"/>
  <c r="X104"/>
  <c r="V78"/>
  <c r="X78"/>
  <c r="V94"/>
  <c r="X94"/>
  <c r="V85"/>
  <c r="X85"/>
  <c r="V103"/>
  <c r="X103"/>
  <c r="AA103" s="1"/>
  <c r="V98"/>
  <c r="X98"/>
  <c r="AA98" s="1"/>
  <c r="V59"/>
  <c r="X59"/>
  <c r="V119"/>
  <c r="X119"/>
  <c r="V115"/>
  <c r="X115"/>
  <c r="AA115" s="1"/>
  <c r="V122"/>
  <c r="X122"/>
  <c r="AA122" s="1"/>
  <c r="V58"/>
  <c r="X58"/>
  <c r="AA58" s="1"/>
  <c r="V114"/>
  <c r="X114"/>
  <c r="V113"/>
  <c r="X113"/>
  <c r="V121"/>
  <c r="X121"/>
  <c r="AA121" s="1"/>
  <c r="X54"/>
  <c r="AA54" s="1"/>
  <c r="V105"/>
  <c r="X105"/>
  <c r="V97"/>
  <c r="X97"/>
  <c r="V95"/>
  <c r="X95"/>
  <c r="V86"/>
  <c r="X86"/>
  <c r="V61"/>
  <c r="V54"/>
  <c r="R74"/>
  <c r="Z95"/>
  <c r="AA61"/>
  <c r="Z85"/>
  <c r="S74"/>
  <c r="Z81"/>
  <c r="AD28"/>
  <c r="U11"/>
  <c r="U115"/>
  <c r="Z97"/>
  <c r="U121"/>
  <c r="Z94"/>
  <c r="U8"/>
  <c r="Z79"/>
  <c r="Z86"/>
  <c r="Z78"/>
  <c r="AD55"/>
  <c r="U39"/>
  <c r="Z104"/>
  <c r="Z105"/>
  <c r="Z119"/>
  <c r="U36"/>
  <c r="U58"/>
  <c r="Z113"/>
  <c r="Z114"/>
  <c r="U61"/>
  <c r="U122"/>
  <c r="X25" l="1"/>
  <c r="AA25" s="1"/>
  <c r="V25"/>
  <c r="W32"/>
  <c r="W122"/>
  <c r="AD122" s="1"/>
  <c r="W36"/>
  <c r="AD36" s="1"/>
  <c r="W98"/>
  <c r="AD98" s="1"/>
  <c r="V17"/>
  <c r="X17"/>
  <c r="AA17" s="1"/>
  <c r="X12"/>
  <c r="AA12" s="1"/>
  <c r="V7"/>
  <c r="X7"/>
  <c r="AA7" s="1"/>
  <c r="W121"/>
  <c r="AD121" s="1"/>
  <c r="V65"/>
  <c r="X65"/>
  <c r="AA65" s="1"/>
  <c r="U77"/>
  <c r="W54"/>
  <c r="AD54" s="1"/>
  <c r="U12"/>
  <c r="V12"/>
  <c r="U65"/>
  <c r="AD90"/>
  <c r="W103"/>
  <c r="AD103" s="1"/>
  <c r="W39"/>
  <c r="AD39" s="1"/>
  <c r="W15"/>
  <c r="AD15" s="1"/>
  <c r="W8"/>
  <c r="AD8" s="1"/>
  <c r="AD106"/>
  <c r="W82"/>
  <c r="AD82" s="1"/>
  <c r="W115"/>
  <c r="AD115" s="1"/>
  <c r="W58"/>
  <c r="AD58" s="1"/>
  <c r="W11"/>
  <c r="AD11" s="1"/>
  <c r="W61"/>
  <c r="AD61" s="1"/>
  <c r="AA86"/>
  <c r="AA119"/>
  <c r="AA114"/>
  <c r="AA95"/>
  <c r="AA94"/>
  <c r="AA97"/>
  <c r="AA81"/>
  <c r="AA78"/>
  <c r="AA104"/>
  <c r="AA85"/>
  <c r="AA79"/>
  <c r="AA105"/>
  <c r="AA113"/>
  <c r="Z74"/>
  <c r="W95"/>
  <c r="AD95" s="1"/>
  <c r="W97"/>
  <c r="AD97" s="1"/>
  <c r="U114"/>
  <c r="W114" s="1"/>
  <c r="AD114" s="1"/>
  <c r="W85"/>
  <c r="AD85" s="1"/>
  <c r="U34"/>
  <c r="AA34"/>
  <c r="AA16"/>
  <c r="AA59"/>
  <c r="U37"/>
  <c r="AA37"/>
  <c r="U40"/>
  <c r="AA40"/>
  <c r="W81"/>
  <c r="AD81" s="1"/>
  <c r="W104"/>
  <c r="AD104" s="1"/>
  <c r="W105"/>
  <c r="AD105" s="1"/>
  <c r="W94"/>
  <c r="AD94" s="1"/>
  <c r="W86"/>
  <c r="AD86" s="1"/>
  <c r="U79"/>
  <c r="W79" s="1"/>
  <c r="AD79" s="1"/>
  <c r="M74"/>
  <c r="U119"/>
  <c r="W119" s="1"/>
  <c r="AD119" s="1"/>
  <c r="N74"/>
  <c r="O74"/>
  <c r="U7"/>
  <c r="U59"/>
  <c r="U78"/>
  <c r="W78" s="1"/>
  <c r="AD78" s="1"/>
  <c r="W113"/>
  <c r="AD113" s="1"/>
  <c r="V77" l="1"/>
  <c r="V124" s="1"/>
  <c r="U124"/>
  <c r="W25"/>
  <c r="AD25" s="1"/>
  <c r="W17"/>
  <c r="AD17" s="1"/>
  <c r="W65"/>
  <c r="AD65" s="1"/>
  <c r="W77"/>
  <c r="W124" s="1"/>
  <c r="X77"/>
  <c r="AA77" s="1"/>
  <c r="AA125" s="1"/>
  <c r="W12"/>
  <c r="AD12" s="1"/>
  <c r="AD32"/>
  <c r="W16"/>
  <c r="AD16" s="1"/>
  <c r="W37"/>
  <c r="W34"/>
  <c r="AD34" s="1"/>
  <c r="W59"/>
  <c r="AD59" s="1"/>
  <c r="W40"/>
  <c r="AD40" s="1"/>
  <c r="W7"/>
  <c r="AD7" s="1"/>
  <c r="I74" l="1"/>
  <c r="X74"/>
  <c r="V74"/>
  <c r="U74" l="1"/>
  <c r="AA74"/>
  <c r="W74" l="1"/>
  <c r="AD74"/>
  <c r="AA75"/>
  <c r="AA76" s="1"/>
</calcChain>
</file>

<file path=xl/sharedStrings.xml><?xml version="1.0" encoding="utf-8"?>
<sst xmlns="http://schemas.openxmlformats.org/spreadsheetml/2006/main" count="587" uniqueCount="213">
  <si>
    <t>Puesto</t>
  </si>
  <si>
    <t>TOTAL NOMINA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</si>
  <si>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</si>
  <si>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</si>
  <si>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</si>
  <si>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</si>
  <si>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</si>
  <si>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</si>
  <si>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</si>
  <si>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</si>
  <si>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</si>
  <si>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</si>
  <si>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</si>
  <si>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</si>
  <si>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</si>
  <si>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</si>
  <si>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</si>
  <si>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</si>
  <si>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</si>
  <si>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</si>
  <si>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</si>
  <si>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</si>
  <si>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</si>
  <si>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</si>
  <si>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</si>
  <si>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</si>
  <si>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</si>
  <si>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</si>
  <si>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</si>
  <si>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</si>
  <si>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</si>
  <si>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</si>
  <si>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</si>
  <si>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</si>
  <si>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</si>
  <si>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VEGA RIVERA ISMAEL</t>
  </si>
  <si>
    <t>LARA OVIEDO SORAYA</t>
  </si>
  <si>
    <t>ARENAS VARGAS MOISES</t>
  </si>
  <si>
    <t>RUIZ RODRIGUEZ OMAR</t>
  </si>
  <si>
    <t>SERVICIO</t>
  </si>
  <si>
    <t>HOJALATERIA</t>
  </si>
  <si>
    <t>ADMINISTRACION</t>
  </si>
  <si>
    <t>COSTO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</si>
  <si>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</si>
  <si>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</si>
  <si>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</si>
  <si>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</si>
  <si>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</si>
  <si>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</si>
  <si>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</si>
  <si>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</si>
  <si>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MARTINEZ ALVARADO ADRIAN</t>
  </si>
  <si>
    <t>SANCHEZ HURTADO CARLOS</t>
  </si>
  <si>
    <t>MARTINEZ GUERRERO LEONEL</t>
  </si>
  <si>
    <t>ALAVEZ LOPEZ INOCENCIO</t>
  </si>
  <si>
    <t>CANCINO RODRIGUEZ GREGORIO</t>
  </si>
  <si>
    <t>OLVERA SOTO LUIS ANGEL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</si>
  <si>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</si>
  <si>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</si>
  <si>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</si>
  <si>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</si>
  <si>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</si>
  <si>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</si>
  <si>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REYES FLORES ALAN RICARDO</t>
  </si>
  <si>
    <t>AGUILAR GONZALEZ ANAEL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</si>
  <si>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</si>
  <si>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</si>
  <si>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</si>
  <si>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</si>
  <si>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</si>
  <si>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RODRIGUEZ RODRIGUEZ ANUAR</t>
  </si>
  <si>
    <t>RIVERA AGUILAR GABRIEL</t>
  </si>
  <si>
    <t>CASTILLO ORDOÑEZ JORGE</t>
  </si>
  <si>
    <t>FECHA DE INICIO</t>
  </si>
  <si>
    <t>ANAEL</t>
  </si>
  <si>
    <t xml:space="preserve">HERNANDEZ CHAVEZ PEDRO </t>
  </si>
  <si>
    <t>ARTURO</t>
  </si>
  <si>
    <t>COACH</t>
  </si>
  <si>
    <t>ADMON VENTAS</t>
  </si>
  <si>
    <t>MOISES</t>
  </si>
  <si>
    <t>LOBATO RECAMIER ROSELLIN</t>
  </si>
  <si>
    <t>CUENTA</t>
  </si>
  <si>
    <t>OBSERVACIONES</t>
  </si>
  <si>
    <t>MARTINEZ GALLEGOS LUIS FERNANDO</t>
  </si>
  <si>
    <t>CARRASCO TOVAR ARTURO</t>
  </si>
  <si>
    <t>RESENDIZ CAMPUZANO ISRAEL</t>
  </si>
  <si>
    <t>UNIFORMES</t>
  </si>
  <si>
    <t>ESPECIALES</t>
  </si>
  <si>
    <t xml:space="preserve">AGUILAR PEREZ MARCOS ARTEMIO </t>
  </si>
  <si>
    <t>MORALES SANCHEZ ANGEL</t>
  </si>
  <si>
    <t>OSCAR</t>
  </si>
  <si>
    <t>SERENO CUELLAR JUVENAL</t>
  </si>
  <si>
    <t>DISPERSION</t>
  </si>
  <si>
    <t>TIRADO SAAVEDRA CARLOS ALEJANDRO</t>
  </si>
  <si>
    <t>CORTEZ OVANDO FAUSTINO ALI</t>
  </si>
  <si>
    <t>OLVERA BAUTISTA J. DOLORES GILBERTO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</si>
  <si>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</si>
  <si>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</si>
  <si>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</si>
  <si>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</si>
  <si>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</si>
  <si>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</si>
  <si>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</si>
  <si>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</si>
  <si>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</si>
  <si>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TRONCOSO PEÑA GERARDO</t>
  </si>
  <si>
    <t>PATIÑO NAVARRO OSCAR MARTIN</t>
  </si>
  <si>
    <t>HERNANDEZ ARREOLA RODOLFO MAYOLO</t>
  </si>
  <si>
    <t>JEFE DE TALLER</t>
  </si>
  <si>
    <t>GALLEGOS RAMIREZ JOSE</t>
  </si>
  <si>
    <t>REYES ARMADILLO JORGE ANDRES</t>
  </si>
  <si>
    <t>FALTAS</t>
  </si>
  <si>
    <t>GUERRERO GOMEZ MARVIN NOE</t>
  </si>
  <si>
    <t>SOLORZANO LUNA MARIANA</t>
  </si>
  <si>
    <t>MATILDE SANTIAGO URIEL</t>
  </si>
  <si>
    <t>LUPERCIO ESPINO ALAN JAIRO</t>
  </si>
  <si>
    <t>SIFONTES SARDUA DAYAN JESUS</t>
  </si>
  <si>
    <t>VALDEZ MARTINEZ MARTIN</t>
  </si>
  <si>
    <t>AYUDANTE</t>
  </si>
  <si>
    <t>ESTETICAS AYUDANTE</t>
  </si>
  <si>
    <t>MANTENIMIENTO</t>
  </si>
  <si>
    <t>TECNICO A</t>
  </si>
  <si>
    <t>TECNICO B</t>
  </si>
  <si>
    <t>SANCHEZ DE SANTIAGO RICARDO</t>
  </si>
  <si>
    <t>HERNANDEZ AGUILAR ROBERTO CARLOS</t>
  </si>
  <si>
    <t xml:space="preserve">VEGA GRANADOS JUAN MANUEL </t>
  </si>
  <si>
    <t>WEB MASTER</t>
  </si>
  <si>
    <t>GUZMAN NAVARRO EDUARDO</t>
  </si>
  <si>
    <t>SALDAÑA SANCHEZ JULIO CESAR</t>
  </si>
  <si>
    <t>SALAS MARTINEZ OSCAR JESUS</t>
  </si>
  <si>
    <t>RODRIGUEZ PINACHO CESAR OCTAVIO</t>
  </si>
  <si>
    <t>MIRANDA PEON JULIO CESAR</t>
  </si>
  <si>
    <t>GALLEGOS ROMERO CRISTIAN</t>
  </si>
  <si>
    <t>COACH BDC</t>
  </si>
  <si>
    <t>MUÑOZ RODRIGUEZ CONRADO ISRAEL</t>
  </si>
  <si>
    <t>GAYTAN MARTINEZ RAUL</t>
  </si>
  <si>
    <t>DOMINGUEZ GUDIÑO OMAR</t>
  </si>
  <si>
    <t>HERNANDEZ SANCHEZ RODRIGO</t>
  </si>
  <si>
    <t>NAVARRO ARENAS ANDREA ARELI</t>
  </si>
  <si>
    <t>VARGAS GOMEZ RAUL ARMANDO</t>
  </si>
  <si>
    <t>Ingenieria Fiscal Laboral S.C.</t>
  </si>
  <si>
    <t>VASQUEZ CHAVES LILIANA ANDREA</t>
  </si>
  <si>
    <t>TECNICO</t>
  </si>
  <si>
    <t>ALVIZAR ORGANISTA EDUARDO</t>
  </si>
  <si>
    <t>EN TRAMITE</t>
  </si>
  <si>
    <t>AGUILAR HERNANDEZ CARLA CECILIA</t>
  </si>
  <si>
    <t>RAMIREZ MOYA NESTOR</t>
  </si>
  <si>
    <t>VALDEZ BERNAL JUAN PABLO</t>
  </si>
  <si>
    <t>DESCUENTO CTA 254 POR CONCEPTO DE HERRAMIENTAS</t>
  </si>
  <si>
    <t>FERRER GONZALEZ MARIA ELENA</t>
  </si>
  <si>
    <t>AUX. ADMON.</t>
  </si>
  <si>
    <t>TOTAL DE LA NOMINA</t>
  </si>
  <si>
    <t>VALDEZ HERNANDEZ ELDA NELLY</t>
  </si>
  <si>
    <t>BAUTISTA RAMIREZ MARIO ALEXIS</t>
  </si>
  <si>
    <t>JUAREZ URIBE MICHEL</t>
  </si>
  <si>
    <t>DE JESUS PADILLA ALFREDO</t>
  </si>
  <si>
    <t>SAUCEDO MAGAÑA VICTOR HUGO</t>
  </si>
  <si>
    <t>SUELDO SEMANAL DE $2,100</t>
  </si>
  <si>
    <t>SANTANDER</t>
  </si>
  <si>
    <t>BANCOMER</t>
  </si>
  <si>
    <t>HERNANDEZ MATA AURELIANO</t>
  </si>
  <si>
    <t xml:space="preserve">MARTINEZ GARCIA JOSE JUAN </t>
  </si>
  <si>
    <t>SUELDO SEMANAL $560.28</t>
  </si>
  <si>
    <t>HURTADO PAJARO JOSE EDUARDO</t>
  </si>
  <si>
    <t xml:space="preserve">TORRES IBARRA LUIS GERARDO </t>
  </si>
  <si>
    <t>GUTIERREZ LARA GEOVANNI</t>
  </si>
  <si>
    <t>SE QUEDA DE MOMENTO EN BANCOMER YA QUE NO TIENE EIFE</t>
  </si>
  <si>
    <t>SE QUEDA EN BANCOMER POR PROBLEMAS EN SANTANDER</t>
  </si>
  <si>
    <t>SOLANO PEREZ JOSE ANTONIO</t>
  </si>
  <si>
    <t>HERNANDEZ MARTINEZ EDUARDO RENE</t>
  </si>
  <si>
    <t>MORANO AVEDAÑO FABIOLA</t>
  </si>
  <si>
    <t>GONZALEZ RODRIGUEZ ERIK</t>
  </si>
  <si>
    <t>HERNANDEZ SOLIS GUMECINDO</t>
  </si>
  <si>
    <t>XX</t>
  </si>
  <si>
    <t>PUEBLA MARTINEZ JOSE ANDRES</t>
  </si>
  <si>
    <t>JUAREZ MARTINEZ LUIS MIGUEL</t>
  </si>
  <si>
    <t>GONZALEZ SANDOVAL CELENE GUADALUPE</t>
  </si>
  <si>
    <t>BERDEJA LEON FRANCISCO GERARDO</t>
  </si>
  <si>
    <t>PADILLA RUIZ JOSE ANTONIO</t>
  </si>
  <si>
    <t>DESCUENTO CTA 254 POR CONCEPTO DE PRESTAMO</t>
  </si>
  <si>
    <t>NAVA RUBIO JAVIER ($739)</t>
  </si>
  <si>
    <t>INCAPACIDAD 7 DIAS</t>
  </si>
  <si>
    <t>SUELDO SEMANAL $1,633</t>
  </si>
  <si>
    <t>FLORES VENTURA PAULINA SOLEDAD</t>
  </si>
  <si>
    <t>OLIVAS MANCILLA JESUS SADIEL</t>
  </si>
  <si>
    <t>COACH DE VENTAS SEM</t>
  </si>
  <si>
    <t xml:space="preserve">NIETO GONZALEZ ANGEL RICARDO </t>
  </si>
  <si>
    <t>ROCHA MORENO HUGO ARMANDO</t>
  </si>
  <si>
    <t>RIVERO MAGOS JESSICA LILIANA</t>
  </si>
  <si>
    <t>QUINTANILLA INFANTE LUIS FERNANDO</t>
  </si>
  <si>
    <t>BOCANEGRA PEGUERO MARIA GUADALUPE</t>
  </si>
  <si>
    <t>CONTAC CENTER</t>
  </si>
  <si>
    <t>X</t>
  </si>
  <si>
    <t>LOPEZ MARTINEZ OSCAR</t>
  </si>
  <si>
    <t>BAJA</t>
  </si>
  <si>
    <t>LOPEZ PALACIOS LUIS ARTURO</t>
  </si>
  <si>
    <t>MECANICO NOCTURNO</t>
  </si>
  <si>
    <t>RAMIREZ MONTES MISSAEL GUILLERMO</t>
  </si>
  <si>
    <t>TORRES GAYTAN EVELYN</t>
  </si>
  <si>
    <t>HERNANDEZ RAMOS LUIS FELIPE</t>
  </si>
  <si>
    <t>MIRANDA GARCIA JOSE CRISTOBAL</t>
  </si>
  <si>
    <t>DURAN GUERRA VICTOR MANUEL</t>
  </si>
  <si>
    <t>LANDAVERDE GARCIA JUAN</t>
  </si>
  <si>
    <t>MORENO VALERA NORMA</t>
  </si>
  <si>
    <t>Periodo Semana 28</t>
  </si>
  <si>
    <t>05/07/17 AL 11/07/17</t>
  </si>
  <si>
    <t>DESCUENTO CTA 254 POR CONCEPTO DE TRAJES 16/24</t>
  </si>
  <si>
    <t>DESCUENTO POR PRESTAMO 3/25</t>
  </si>
  <si>
    <t>DESCUENTO CTA 254 POR PRESTAMO 1/12</t>
  </si>
  <si>
    <t>DESCUENTO 1/2 POR FACTURA Y LLAVE CTA 254</t>
  </si>
  <si>
    <t>TELLEZ GAYTAN DANIEL</t>
  </si>
  <si>
    <t>ONTIVEROS PLIEGO LUIS GERARDO</t>
  </si>
  <si>
    <t>VENEGAS DEL CASTILLO ROJAS GABRIEL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</si>
</sst>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d/mm/yy"/>
  </numFmts>
  <fonts count="18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b/>
      <sz val="18"/>
      <name val="Calibri"/>
      <family val="2"/>
      <scheme val="minor"/>
    </font>
    <font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43" fontId="1" fillId="0" borderId="0" applyFill="0" applyBorder="0" applyAlignment="0" applyProtection="0"/>
    <xf numFmtId="0" fontId="2" fillId="0" borderId="0"/>
    <xf numFmtId="0" fontId="1" fillId="0" borderId="0"/>
  </cellStyleXfs>
  <cellXfs count="120">
    <xf numFmtId="0" fontId="0" fillId="0" borderId="0" xfId="0"/>
    <xf numFmtId="43" fontId="1" fillId="0" borderId="0" xfId="2"/>
    <xf numFmtId="0" fontId="5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center"/>
    </xf>
    <xf numFmtId="43" fontId="6" fillId="0" borderId="0" xfId="2" applyFont="1" applyFill="1" applyAlignment="1" applyProtection="1">
      <alignment horizontal="center"/>
    </xf>
    <xf numFmtId="43" fontId="7" fillId="0" borderId="0" xfId="2" applyFont="1" applyFill="1" applyAlignment="1" applyProtection="1">
      <alignment horizontal="center"/>
    </xf>
    <xf numFmtId="0" fontId="6" fillId="0" borderId="0" xfId="0" applyFont="1" applyFill="1" applyProtection="1"/>
    <xf numFmtId="0" fontId="6" fillId="0" borderId="0" xfId="0" applyFont="1" applyProtection="1"/>
    <xf numFmtId="0" fontId="8" fillId="0" borderId="0" xfId="3" applyFont="1" applyFill="1" applyAlignment="1" applyProtection="1">
      <alignment horizontal="left"/>
    </xf>
    <xf numFmtId="0" fontId="8" fillId="0" borderId="0" xfId="3" applyFont="1" applyFill="1" applyAlignment="1" applyProtection="1">
      <alignment horizontal="center"/>
    </xf>
    <xf numFmtId="15" fontId="5" fillId="0" borderId="0" xfId="3" applyNumberFormat="1" applyFont="1" applyFill="1" applyAlignment="1" applyProtection="1">
      <alignment horizontal="left"/>
    </xf>
    <xf numFmtId="15" fontId="5" fillId="0" borderId="0" xfId="3" applyNumberFormat="1" applyFont="1" applyFill="1" applyAlignment="1" applyProtection="1">
      <alignment horizontal="center"/>
    </xf>
    <xf numFmtId="0" fontId="7" fillId="0" borderId="0" xfId="0" applyFont="1"/>
    <xf numFmtId="43" fontId="6" fillId="0" borderId="0" xfId="2" applyFont="1"/>
    <xf numFmtId="43" fontId="7" fillId="0" borderId="0" xfId="2" applyFont="1"/>
    <xf numFmtId="43" fontId="6" fillId="0" borderId="0" xfId="2" applyFont="1" applyFill="1"/>
    <xf numFmtId="0" fontId="7" fillId="0" borderId="0" xfId="0" applyFont="1" applyFill="1"/>
    <xf numFmtId="0" fontId="6" fillId="0" borderId="1" xfId="0" applyFont="1" applyBorder="1"/>
    <xf numFmtId="0" fontId="6" fillId="0" borderId="0" xfId="0" applyFont="1" applyFill="1"/>
    <xf numFmtId="0" fontId="6" fillId="0" borderId="0" xfId="0" applyFont="1"/>
    <xf numFmtId="0" fontId="9" fillId="0" borderId="0" xfId="0" applyFont="1"/>
    <xf numFmtId="0" fontId="6" fillId="0" borderId="0" xfId="0" applyFont="1" applyBorder="1"/>
    <xf numFmtId="43" fontId="1" fillId="0" borderId="0" xfId="2" applyProtection="1"/>
    <xf numFmtId="43" fontId="1" fillId="0" borderId="0" xfId="2" applyFill="1"/>
    <xf numFmtId="43" fontId="7" fillId="5" borderId="1" xfId="2" applyFont="1" applyFill="1" applyBorder="1" applyAlignment="1">
      <alignment horizontal="center" wrapText="1"/>
    </xf>
    <xf numFmtId="0" fontId="7" fillId="0" borderId="6" xfId="0" applyFont="1" applyFill="1" applyBorder="1"/>
    <xf numFmtId="0" fontId="6" fillId="0" borderId="8" xfId="0" applyFont="1" applyFill="1" applyBorder="1"/>
    <xf numFmtId="43" fontId="6" fillId="0" borderId="8" xfId="2" applyFont="1" applyFill="1" applyBorder="1"/>
    <xf numFmtId="43" fontId="7" fillId="0" borderId="8" xfId="2" applyFont="1" applyFill="1" applyBorder="1"/>
    <xf numFmtId="0" fontId="6" fillId="0" borderId="7" xfId="0" applyFont="1" applyBorder="1"/>
    <xf numFmtId="0" fontId="6" fillId="2" borderId="7" xfId="0" applyFont="1" applyFill="1" applyBorder="1"/>
    <xf numFmtId="43" fontId="6" fillId="0" borderId="7" xfId="2" applyFont="1" applyBorder="1"/>
    <xf numFmtId="43" fontId="6" fillId="2" borderId="7" xfId="2" applyFont="1" applyFill="1" applyBorder="1"/>
    <xf numFmtId="43" fontId="6" fillId="0" borderId="7" xfId="2" applyFont="1" applyFill="1" applyBorder="1" applyAlignment="1">
      <alignment horizontal="center"/>
    </xf>
    <xf numFmtId="0" fontId="6" fillId="0" borderId="7" xfId="0" applyFont="1" applyFill="1" applyBorder="1"/>
    <xf numFmtId="43" fontId="6" fillId="0" borderId="7" xfId="2" applyFont="1" applyFill="1" applyBorder="1"/>
    <xf numFmtId="0" fontId="7" fillId="0" borderId="7" xfId="0" applyFont="1" applyFill="1" applyBorder="1"/>
    <xf numFmtId="43" fontId="6" fillId="0" borderId="8" xfId="2" applyFont="1" applyFill="1" applyBorder="1" applyAlignment="1">
      <alignment horizontal="center"/>
    </xf>
    <xf numFmtId="0" fontId="7" fillId="0" borderId="7" xfId="0" applyFont="1" applyBorder="1"/>
    <xf numFmtId="43" fontId="7" fillId="0" borderId="7" xfId="2" applyFont="1" applyBorder="1"/>
    <xf numFmtId="43" fontId="7" fillId="9" borderId="7" xfId="2" applyFont="1" applyFill="1" applyBorder="1"/>
    <xf numFmtId="43" fontId="1" fillId="0" borderId="7" xfId="2" applyBorder="1"/>
    <xf numFmtId="0" fontId="7" fillId="4" borderId="7" xfId="0" applyFont="1" applyFill="1" applyBorder="1" applyAlignment="1">
      <alignment horizontal="center"/>
    </xf>
    <xf numFmtId="43" fontId="1" fillId="3" borderId="7" xfId="2" applyFill="1" applyBorder="1"/>
    <xf numFmtId="43" fontId="11" fillId="0" borderId="0" xfId="2" applyFont="1" applyProtection="1"/>
    <xf numFmtId="43" fontId="11" fillId="0" borderId="0" xfId="2" applyFont="1"/>
    <xf numFmtId="43" fontId="11" fillId="0" borderId="0" xfId="2" applyFont="1" applyFill="1"/>
    <xf numFmtId="43" fontId="11" fillId="0" borderId="7" xfId="2" applyFont="1" applyBorder="1"/>
    <xf numFmtId="43" fontId="11" fillId="3" borderId="7" xfId="2" applyFont="1" applyFill="1" applyBorder="1"/>
    <xf numFmtId="43" fontId="7" fillId="0" borderId="7" xfId="2" applyFont="1" applyFill="1" applyBorder="1"/>
    <xf numFmtId="43" fontId="12" fillId="0" borderId="7" xfId="2" applyFont="1" applyFill="1" applyBorder="1"/>
    <xf numFmtId="2" fontId="6" fillId="0" borderId="7" xfId="0" applyNumberFormat="1" applyFont="1" applyFill="1" applyBorder="1"/>
    <xf numFmtId="43" fontId="12" fillId="8" borderId="7" xfId="2" applyFont="1" applyFill="1" applyBorder="1"/>
    <xf numFmtId="164" fontId="12" fillId="0" borderId="7" xfId="0" applyNumberFormat="1" applyFont="1" applyFill="1" applyBorder="1"/>
    <xf numFmtId="14" fontId="6" fillId="0" borderId="7" xfId="0" applyNumberFormat="1" applyFont="1" applyFill="1" applyBorder="1" applyAlignment="1"/>
    <xf numFmtId="0" fontId="12" fillId="0" borderId="7" xfId="0" applyFont="1" applyFill="1" applyBorder="1" applyAlignment="1">
      <alignment wrapText="1"/>
    </xf>
    <xf numFmtId="4" fontId="12" fillId="0" borderId="7" xfId="0" applyNumberFormat="1" applyFont="1" applyFill="1" applyBorder="1" applyAlignment="1">
      <alignment wrapText="1"/>
    </xf>
    <xf numFmtId="0" fontId="13" fillId="0" borderId="7" xfId="0" applyFont="1" applyFill="1" applyBorder="1"/>
    <xf numFmtId="43" fontId="7" fillId="7" borderId="7" xfId="2" applyFont="1" applyFill="1" applyBorder="1"/>
    <xf numFmtId="43" fontId="6" fillId="7" borderId="7" xfId="2" applyFont="1" applyFill="1" applyBorder="1" applyAlignment="1">
      <alignment horizontal="center"/>
    </xf>
    <xf numFmtId="0" fontId="12" fillId="0" borderId="7" xfId="0" applyFont="1" applyFill="1" applyBorder="1"/>
    <xf numFmtId="4" fontId="12" fillId="0" borderId="7" xfId="0" applyNumberFormat="1" applyFont="1" applyFill="1" applyBorder="1"/>
    <xf numFmtId="4" fontId="6" fillId="0" borderId="7" xfId="0" applyNumberFormat="1" applyFont="1" applyFill="1" applyBorder="1"/>
    <xf numFmtId="43" fontId="6" fillId="0" borderId="7" xfId="0" applyNumberFormat="1" applyFont="1" applyFill="1" applyBorder="1"/>
    <xf numFmtId="14" fontId="6" fillId="0" borderId="7" xfId="0" applyNumberFormat="1" applyFont="1" applyBorder="1"/>
    <xf numFmtId="0" fontId="7" fillId="0" borderId="7" xfId="2" applyNumberFormat="1" applyFont="1" applyFill="1" applyBorder="1" applyAlignment="1">
      <alignment horizontal="center"/>
    </xf>
    <xf numFmtId="43" fontId="7" fillId="0" borderId="7" xfId="2" applyFont="1" applyFill="1" applyBorder="1" applyAlignment="1">
      <alignment horizontal="center"/>
    </xf>
    <xf numFmtId="43" fontId="14" fillId="0" borderId="7" xfId="2" applyFont="1" applyFill="1" applyBorder="1" applyAlignment="1">
      <alignment horizontal="center"/>
    </xf>
    <xf numFmtId="43" fontId="15" fillId="0" borderId="7" xfId="2" applyFont="1" applyFill="1" applyBorder="1"/>
    <xf numFmtId="0" fontId="6" fillId="7" borderId="7" xfId="0" applyFont="1" applyFill="1" applyBorder="1"/>
    <xf numFmtId="14" fontId="6" fillId="7" borderId="7" xfId="0" applyNumberFormat="1" applyFont="1" applyFill="1" applyBorder="1"/>
    <xf numFmtId="164" fontId="12" fillId="7" borderId="7" xfId="0" applyNumberFormat="1" applyFont="1" applyFill="1" applyBorder="1"/>
    <xf numFmtId="0" fontId="7" fillId="7" borderId="7" xfId="0" applyFont="1" applyFill="1" applyBorder="1" applyAlignment="1">
      <alignment wrapText="1"/>
    </xf>
    <xf numFmtId="9" fontId="14" fillId="0" borderId="7" xfId="2" applyNumberFormat="1" applyFont="1" applyFill="1" applyBorder="1" applyAlignment="1">
      <alignment horizontal="center"/>
    </xf>
    <xf numFmtId="43" fontId="7" fillId="5" borderId="2" xfId="2" applyFont="1" applyFill="1" applyBorder="1" applyAlignment="1">
      <alignment horizontal="center" wrapText="1"/>
    </xf>
    <xf numFmtId="43" fontId="10" fillId="5" borderId="2" xfId="2" applyFont="1" applyFill="1" applyBorder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7" fillId="0" borderId="0" xfId="0" applyFont="1" applyAlignment="1">
      <alignment horizontal="center" wrapText="1"/>
    </xf>
    <xf numFmtId="0" fontId="4" fillId="0" borderId="7" xfId="0" applyFont="1" applyFill="1" applyBorder="1"/>
    <xf numFmtId="0" fontId="17" fillId="0" borderId="7" xfId="0" applyFont="1" applyFill="1" applyBorder="1"/>
    <xf numFmtId="0" fontId="6" fillId="10" borderId="7" xfId="0" applyFont="1" applyFill="1" applyBorder="1"/>
    <xf numFmtId="0" fontId="7" fillId="0" borderId="7" xfId="0" applyFont="1" applyFill="1" applyBorder="1" applyAlignment="1">
      <alignment horizontal="center"/>
    </xf>
    <xf numFmtId="43" fontId="6" fillId="7" borderId="7" xfId="2" applyFont="1" applyFill="1" applyBorder="1"/>
    <xf numFmtId="0" fontId="7" fillId="7" borderId="7" xfId="0" applyFont="1" applyFill="1" applyBorder="1"/>
    <xf numFmtId="0" fontId="6" fillId="9" borderId="7" xfId="0" applyFont="1" applyFill="1" applyBorder="1"/>
    <xf numFmtId="164" fontId="12" fillId="9" borderId="7" xfId="0" applyNumberFormat="1" applyFont="1" applyFill="1" applyBorder="1"/>
    <xf numFmtId="43" fontId="6" fillId="9" borderId="7" xfId="2" applyFont="1" applyFill="1" applyBorder="1"/>
    <xf numFmtId="0" fontId="7" fillId="9" borderId="7" xfId="2" applyNumberFormat="1" applyFont="1" applyFill="1" applyBorder="1" applyAlignment="1">
      <alignment horizontal="center"/>
    </xf>
    <xf numFmtId="43" fontId="7" fillId="9" borderId="7" xfId="2" applyFont="1" applyFill="1" applyBorder="1" applyAlignment="1">
      <alignment horizontal="center"/>
    </xf>
    <xf numFmtId="43" fontId="6" fillId="9" borderId="7" xfId="2" applyFont="1" applyFill="1" applyBorder="1" applyAlignment="1">
      <alignment horizontal="center"/>
    </xf>
    <xf numFmtId="0" fontId="12" fillId="9" borderId="7" xfId="0" applyFont="1" applyFill="1" applyBorder="1" applyAlignment="1">
      <alignment wrapText="1"/>
    </xf>
    <xf numFmtId="43" fontId="12" fillId="9" borderId="7" xfId="2" applyFont="1" applyFill="1" applyBorder="1"/>
    <xf numFmtId="0" fontId="4" fillId="9" borderId="7" xfId="0" applyFont="1" applyFill="1" applyBorder="1"/>
    <xf numFmtId="0" fontId="7" fillId="9" borderId="7" xfId="0" applyFont="1" applyFill="1" applyBorder="1"/>
    <xf numFmtId="0" fontId="6" fillId="9" borderId="0" xfId="0" applyFont="1" applyFill="1"/>
    <xf numFmtId="0" fontId="6" fillId="8" borderId="7" xfId="0" applyFont="1" applyFill="1" applyBorder="1"/>
    <xf numFmtId="164" fontId="12" fillId="8" borderId="7" xfId="0" applyNumberFormat="1" applyFont="1" applyFill="1" applyBorder="1"/>
    <xf numFmtId="43" fontId="6" fillId="8" borderId="7" xfId="2" applyFont="1" applyFill="1" applyBorder="1"/>
    <xf numFmtId="0" fontId="7" fillId="8" borderId="7" xfId="0" applyFont="1" applyFill="1" applyBorder="1"/>
    <xf numFmtId="4" fontId="12" fillId="9" borderId="7" xfId="0" applyNumberFormat="1" applyFont="1" applyFill="1" applyBorder="1" applyAlignment="1">
      <alignment wrapText="1"/>
    </xf>
    <xf numFmtId="43" fontId="6" fillId="9" borderId="7" xfId="0" applyNumberFormat="1" applyFont="1" applyFill="1" applyBorder="1"/>
    <xf numFmtId="2" fontId="6" fillId="9" borderId="7" xfId="0" applyNumberFormat="1" applyFont="1" applyFill="1" applyBorder="1"/>
    <xf numFmtId="0" fontId="7" fillId="4" borderId="5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/>
    </xf>
    <xf numFmtId="43" fontId="7" fillId="5" borderId="1" xfId="2" applyFont="1" applyFill="1" applyBorder="1" applyAlignment="1">
      <alignment horizontal="center" wrapText="1"/>
    </xf>
    <xf numFmtId="43" fontId="7" fillId="5" borderId="2" xfId="2" applyFont="1" applyFill="1" applyBorder="1" applyAlignment="1">
      <alignment horizontal="center" wrapText="1"/>
    </xf>
    <xf numFmtId="43" fontId="10" fillId="5" borderId="3" xfId="2" applyFont="1" applyFill="1" applyBorder="1" applyAlignment="1">
      <alignment horizontal="center" wrapText="1"/>
    </xf>
    <xf numFmtId="43" fontId="10" fillId="5" borderId="4" xfId="2" applyFont="1" applyFill="1" applyBorder="1" applyAlignment="1">
      <alignment horizontal="center" wrapText="1"/>
    </xf>
    <xf numFmtId="43" fontId="1" fillId="4" borderId="5" xfId="2" applyFill="1" applyBorder="1" applyAlignment="1">
      <alignment horizontal="center"/>
    </xf>
    <xf numFmtId="43" fontId="7" fillId="5" borderId="1" xfId="2" applyFont="1" applyFill="1" applyBorder="1" applyAlignment="1">
      <alignment horizontal="center" vertical="center" wrapText="1"/>
    </xf>
    <xf numFmtId="43" fontId="7" fillId="5" borderId="2" xfId="2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43" fontId="7" fillId="5" borderId="9" xfId="2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/>
    </xf>
    <xf numFmtId="43" fontId="7" fillId="5" borderId="8" xfId="2" applyFont="1" applyFill="1" applyBorder="1" applyAlignment="1">
      <alignment horizontal="center" vertical="center" wrapText="1"/>
    </xf>
    <xf numFmtId="3" fontId="7" fillId="5" borderId="2" xfId="0" applyNumberFormat="1" applyFont="1" applyFill="1" applyBorder="1" applyAlignment="1">
      <alignment horizontal="center" vertical="center"/>
    </xf>
    <xf numFmtId="3" fontId="7" fillId="5" borderId="9" xfId="0" applyNumberFormat="1" applyFont="1" applyFill="1" applyBorder="1" applyAlignment="1">
      <alignment horizontal="center" vertical="center"/>
    </xf>
    <xf numFmtId="3" fontId="7" fillId="5" borderId="2" xfId="0" applyNumberFormat="1" applyFont="1" applyFill="1" applyBorder="1" applyAlignment="1">
      <alignment horizontal="center" vertical="center" wrapText="1"/>
    </xf>
    <xf numFmtId="3" fontId="7" fillId="5" borderId="9" xfId="0" applyNumberFormat="1" applyFont="1" applyFill="1" applyBorder="1" applyAlignment="1">
      <alignment horizontal="center" vertical="center" wrapText="1"/>
    </xf>
  </cellXfs>
  <cellStyles count="5">
    <cellStyle name="Excel Built-in Normal" xfId="1"/>
    <cellStyle name="Millares" xfId="2" builtinId="3"/>
    <cellStyle name="Normal" xfId="0" builtinId="0"/>
    <cellStyle name="Normal 4" xfId="4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  <color rgb="FF33CCFF"/>
      <color rgb="FFFF00FF"/>
      <color rgb="FFFFFF66"/>
      <color rgb="FFF4B082"/>
      <color rgb="FF9999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D150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18" sqref="C18"/>
    </sheetView>
  </sheetViews>
  <sheetFormatPr baseColWidth="10" defaultColWidth="11.5703125" defaultRowHeight="15"/>
  <cols>
    <col min="1" max="1" width="20.42578125" style="19" customWidth="1"/>
    <col min="2" max="2" width="40" style="19" customWidth="1"/>
    <col min="3" max="3" width="8.140625" style="19" customWidth="1"/>
    <col min="4" max="4" width="29" style="19" customWidth="1"/>
    <col min="5" max="5" width="13.28515625" style="19" customWidth="1"/>
    <col min="6" max="6" width="13.85546875" style="13" customWidth="1"/>
    <col min="7" max="8" width="13.5703125" style="13" customWidth="1"/>
    <col min="9" max="9" width="17" style="14" customWidth="1"/>
    <col min="10" max="12" width="13.5703125" style="13" customWidth="1"/>
    <col min="13" max="13" width="13.5703125" style="15" customWidth="1"/>
    <col min="14" max="14" width="19.28515625" style="15" customWidth="1"/>
    <col min="15" max="15" width="16.85546875" style="15" customWidth="1"/>
    <col min="16" max="16" width="16.140625" style="15" customWidth="1"/>
    <col min="17" max="20" width="13.5703125" style="13" customWidth="1"/>
    <col min="21" max="21" width="16.7109375" style="14" customWidth="1"/>
    <col min="22" max="22" width="16.7109375" style="13" hidden="1" customWidth="1"/>
    <col min="23" max="23" width="15.42578125" style="14" hidden="1" customWidth="1"/>
    <col min="24" max="26" width="13.5703125" style="13" hidden="1" customWidth="1"/>
    <col min="27" max="27" width="15.42578125" style="14" hidden="1" customWidth="1"/>
    <col min="28" max="28" width="15.28515625" style="45" hidden="1" customWidth="1"/>
    <col min="29" max="29" width="12.7109375" style="45" hidden="1" customWidth="1"/>
    <col min="30" max="30" width="11.5703125" style="1" hidden="1" customWidth="1"/>
    <col min="31" max="31" width="19.28515625" style="19" bestFit="1" customWidth="1"/>
    <col min="32" max="32" width="52.42578125" style="19" bestFit="1" customWidth="1"/>
    <col min="33" max="33" width="11.85546875" style="18" bestFit="1" customWidth="1"/>
    <col min="34" max="46" width="11.5703125" style="18"/>
    <col min="47" max="16384" width="11.5703125" style="19"/>
  </cols>
  <sheetData>
    <row r="1" spans="1:46" s="7" customFormat="1">
      <c r="A1" s="2" t="s">
        <v>140</v>
      </c>
      <c r="B1" s="2"/>
      <c r="C1" s="2"/>
      <c r="D1" s="3"/>
      <c r="E1" s="3"/>
      <c r="F1" s="4"/>
      <c r="G1" s="4"/>
      <c r="H1" s="4"/>
      <c r="I1" s="5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  <c r="V1" s="4"/>
      <c r="W1" s="5"/>
      <c r="X1" s="4"/>
      <c r="Y1" s="4"/>
      <c r="Z1" s="4"/>
      <c r="AA1" s="5"/>
      <c r="AB1" s="44"/>
      <c r="AC1" s="44"/>
      <c r="AD1" s="22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</row>
    <row r="2" spans="1:46" s="7" customFormat="1">
      <c r="A2" s="8" t="s">
        <v>33</v>
      </c>
      <c r="B2" s="8"/>
      <c r="C2" s="8"/>
      <c r="D2" s="9"/>
      <c r="E2" s="9"/>
      <c r="F2" s="4"/>
      <c r="G2" s="4"/>
      <c r="H2" s="4"/>
      <c r="I2" s="5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  <c r="V2" s="4"/>
      <c r="W2" s="5"/>
      <c r="X2" s="4"/>
      <c r="Y2" s="4"/>
      <c r="Z2" s="4"/>
      <c r="AA2" s="5"/>
      <c r="AB2" s="44"/>
      <c r="AC2" s="44"/>
      <c r="AD2" s="22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s="7" customFormat="1">
      <c r="A3" s="10" t="s">
        <v>204</v>
      </c>
      <c r="B3" s="10"/>
      <c r="C3" s="10"/>
      <c r="D3" s="11"/>
      <c r="E3" s="11"/>
      <c r="F3" s="4"/>
      <c r="G3" s="4"/>
      <c r="H3" s="4"/>
      <c r="I3" s="5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5"/>
      <c r="X3" s="4"/>
      <c r="Y3" s="4"/>
      <c r="Z3" s="4"/>
      <c r="AA3" s="5"/>
      <c r="AB3" s="44"/>
      <c r="AC3" s="44"/>
      <c r="AD3" s="22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</row>
    <row r="4" spans="1:46" s="12" customFormat="1">
      <c r="A4" s="12" t="s">
        <v>205</v>
      </c>
      <c r="F4" s="13"/>
      <c r="G4" s="13"/>
      <c r="H4" s="13"/>
      <c r="I4" s="14"/>
      <c r="J4" s="13"/>
      <c r="K4" s="13"/>
      <c r="L4" s="13"/>
      <c r="M4" s="15"/>
      <c r="N4" s="15"/>
      <c r="O4" s="15"/>
      <c r="P4" s="15"/>
      <c r="Q4" s="13"/>
      <c r="R4" s="13"/>
      <c r="S4" s="13"/>
      <c r="T4" s="13"/>
      <c r="U4" s="14"/>
      <c r="V4" s="13"/>
      <c r="W4" s="14"/>
      <c r="X4" s="13"/>
      <c r="Y4" s="13"/>
      <c r="Z4" s="13"/>
      <c r="AA4" s="14"/>
      <c r="AB4" s="45"/>
      <c r="AC4" s="45"/>
      <c r="AD4" s="1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</row>
    <row r="5" spans="1:46" s="12" customFormat="1" ht="28.5" customHeight="1">
      <c r="A5" s="116" t="s">
        <v>13</v>
      </c>
      <c r="B5" s="116" t="s">
        <v>14</v>
      </c>
      <c r="C5" s="116" t="s">
        <v>77</v>
      </c>
      <c r="D5" s="116" t="s">
        <v>0</v>
      </c>
      <c r="E5" s="118" t="s">
        <v>73</v>
      </c>
      <c r="F5" s="110" t="s">
        <v>32</v>
      </c>
      <c r="G5" s="109" t="s">
        <v>9</v>
      </c>
      <c r="H5" s="109" t="s">
        <v>10</v>
      </c>
      <c r="I5" s="109" t="s">
        <v>11</v>
      </c>
      <c r="J5" s="109" t="s">
        <v>12</v>
      </c>
      <c r="K5" s="110" t="s">
        <v>111</v>
      </c>
      <c r="L5" s="110" t="s">
        <v>86</v>
      </c>
      <c r="M5" s="111" t="s">
        <v>48</v>
      </c>
      <c r="N5" s="111" t="s">
        <v>62</v>
      </c>
      <c r="O5" s="111" t="s">
        <v>61</v>
      </c>
      <c r="P5" s="111" t="s">
        <v>49</v>
      </c>
      <c r="Q5" s="109" t="s">
        <v>6</v>
      </c>
      <c r="R5" s="109" t="s">
        <v>16</v>
      </c>
      <c r="S5" s="109" t="s">
        <v>15</v>
      </c>
      <c r="T5" s="109" t="s">
        <v>8</v>
      </c>
      <c r="U5" s="109" t="s">
        <v>23</v>
      </c>
      <c r="V5" s="104" t="s">
        <v>3</v>
      </c>
      <c r="W5" s="104" t="s">
        <v>7</v>
      </c>
      <c r="X5" s="104" t="s">
        <v>2</v>
      </c>
      <c r="Y5" s="104" t="s">
        <v>4</v>
      </c>
      <c r="Z5" s="24"/>
      <c r="AA5" s="104" t="s">
        <v>5</v>
      </c>
      <c r="AB5" s="106" t="s">
        <v>92</v>
      </c>
      <c r="AC5" s="107"/>
      <c r="AD5" s="108" t="s">
        <v>50</v>
      </c>
      <c r="AE5" s="102" t="s">
        <v>81</v>
      </c>
      <c r="AF5" s="102" t="s">
        <v>82</v>
      </c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</row>
    <row r="6" spans="1:46" s="77" customFormat="1" ht="39" customHeight="1">
      <c r="A6" s="117"/>
      <c r="B6" s="117"/>
      <c r="C6" s="117"/>
      <c r="D6" s="117"/>
      <c r="E6" s="119"/>
      <c r="F6" s="115"/>
      <c r="G6" s="110"/>
      <c r="H6" s="110"/>
      <c r="I6" s="110"/>
      <c r="J6" s="110"/>
      <c r="K6" s="113"/>
      <c r="L6" s="113"/>
      <c r="M6" s="112"/>
      <c r="N6" s="112"/>
      <c r="O6" s="112"/>
      <c r="P6" s="112"/>
      <c r="Q6" s="110"/>
      <c r="R6" s="110"/>
      <c r="S6" s="110"/>
      <c r="T6" s="110"/>
      <c r="U6" s="110"/>
      <c r="V6" s="105"/>
      <c r="W6" s="105"/>
      <c r="X6" s="105"/>
      <c r="Y6" s="105"/>
      <c r="Z6" s="74"/>
      <c r="AA6" s="105"/>
      <c r="AB6" s="75" t="s">
        <v>24</v>
      </c>
      <c r="AC6" s="75" t="s">
        <v>25</v>
      </c>
      <c r="AD6" s="108"/>
      <c r="AE6" s="102"/>
      <c r="AF6" s="102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</row>
    <row r="7" spans="1:46" s="18" customFormat="1">
      <c r="A7" s="80" t="s">
        <v>39</v>
      </c>
      <c r="B7" s="34" t="s">
        <v>69</v>
      </c>
      <c r="C7" s="34"/>
      <c r="D7" s="34" t="s">
        <v>29</v>
      </c>
      <c r="E7" s="53">
        <v>42062</v>
      </c>
      <c r="F7" s="35">
        <v>3083.6</v>
      </c>
      <c r="G7" s="35"/>
      <c r="H7" s="35"/>
      <c r="I7" s="49">
        <f t="shared" ref="I7:I72" si="0">SUM(F7:H7)</f>
        <v>3083.6</v>
      </c>
      <c r="J7" s="35"/>
      <c r="K7" s="65"/>
      <c r="L7" s="35"/>
      <c r="M7" s="35">
        <v>0</v>
      </c>
      <c r="N7" s="66"/>
      <c r="O7" s="66"/>
      <c r="P7" s="35"/>
      <c r="Q7" s="33"/>
      <c r="R7" s="33"/>
      <c r="S7" s="34"/>
      <c r="T7" s="34">
        <v>0</v>
      </c>
      <c r="U7" s="49">
        <f t="shared" ref="U7:U32" si="1">+I7-SUM(J7:T7)</f>
        <v>3083.6</v>
      </c>
      <c r="V7" s="33">
        <f t="shared" ref="V7:V26" si="2">IF(I7&gt;2250,I7*0.1,0)</f>
        <v>308.36</v>
      </c>
      <c r="W7" s="49">
        <f t="shared" ref="W7:W26" si="3">+U7-V7</f>
        <v>2775.24</v>
      </c>
      <c r="X7" s="33">
        <f t="shared" ref="X7:X26" si="4">IF(I7&lt;2250,I7*0.1,0)</f>
        <v>0</v>
      </c>
      <c r="Y7" s="33">
        <v>10.23</v>
      </c>
      <c r="Z7" s="33">
        <f t="shared" ref="Z7:Z26" si="5">+N7</f>
        <v>0</v>
      </c>
      <c r="AA7" s="49">
        <f t="shared" ref="AA7:AA26" si="6">+I7+X7+Y7+Z7</f>
        <v>3093.83</v>
      </c>
      <c r="AB7" s="55"/>
      <c r="AC7" s="56"/>
      <c r="AD7" s="50">
        <f t="shared" ref="AD7:AD12" si="7">+AB7+AC7-W7</f>
        <v>-2775.24</v>
      </c>
      <c r="AE7" s="36">
        <v>56708844887</v>
      </c>
      <c r="AF7" s="34"/>
      <c r="AG7" s="18" t="s">
        <v>158</v>
      </c>
    </row>
    <row r="8" spans="1:46" s="18" customFormat="1">
      <c r="A8" s="80" t="s">
        <v>28</v>
      </c>
      <c r="B8" s="34" t="s">
        <v>64</v>
      </c>
      <c r="C8" s="34" t="s">
        <v>77</v>
      </c>
      <c r="D8" s="34" t="s">
        <v>31</v>
      </c>
      <c r="E8" s="53">
        <v>41797</v>
      </c>
      <c r="F8" s="35"/>
      <c r="G8" s="35"/>
      <c r="H8" s="35"/>
      <c r="I8" s="49">
        <f t="shared" si="0"/>
        <v>0</v>
      </c>
      <c r="J8" s="35">
        <v>327</v>
      </c>
      <c r="K8" s="65"/>
      <c r="L8" s="65"/>
      <c r="M8" s="35">
        <v>0</v>
      </c>
      <c r="N8" s="66"/>
      <c r="O8" s="66"/>
      <c r="P8" s="35"/>
      <c r="Q8" s="33"/>
      <c r="R8" s="33"/>
      <c r="S8" s="34"/>
      <c r="T8" s="34">
        <v>0</v>
      </c>
      <c r="U8" s="49">
        <f>+I8-SUM(J8:T8)</f>
        <v>-327</v>
      </c>
      <c r="V8" s="33">
        <f>IF(I8&gt;2250,I8*0.1,0)</f>
        <v>0</v>
      </c>
      <c r="W8" s="49">
        <f>+U8-V8</f>
        <v>-327</v>
      </c>
      <c r="X8" s="33">
        <f>IF(I8&lt;2250,I8*0.1,0)</f>
        <v>0</v>
      </c>
      <c r="Y8" s="33">
        <v>10.23</v>
      </c>
      <c r="Z8" s="33">
        <f>+N8</f>
        <v>0</v>
      </c>
      <c r="AA8" s="49">
        <f>+I8+X8+Y8+Z8</f>
        <v>10.23</v>
      </c>
      <c r="AB8" s="55"/>
      <c r="AC8" s="56"/>
      <c r="AD8" s="50">
        <f>+AB8+AC8-W8</f>
        <v>327</v>
      </c>
      <c r="AE8" s="36">
        <v>56708844890</v>
      </c>
      <c r="AF8" s="36" t="s">
        <v>206</v>
      </c>
      <c r="AG8" s="18" t="s">
        <v>158</v>
      </c>
    </row>
    <row r="9" spans="1:46" s="18" customFormat="1">
      <c r="A9" s="80" t="s">
        <v>39</v>
      </c>
      <c r="B9" s="34" t="s">
        <v>145</v>
      </c>
      <c r="C9" s="34"/>
      <c r="D9" s="34" t="s">
        <v>29</v>
      </c>
      <c r="E9" s="53">
        <v>42725</v>
      </c>
      <c r="F9" s="35">
        <v>1498.73</v>
      </c>
      <c r="G9" s="35"/>
      <c r="H9" s="35"/>
      <c r="I9" s="49">
        <f t="shared" si="0"/>
        <v>1498.73</v>
      </c>
      <c r="J9" s="35"/>
      <c r="K9" s="65"/>
      <c r="L9" s="65"/>
      <c r="M9" s="35"/>
      <c r="N9" s="66"/>
      <c r="O9" s="66"/>
      <c r="P9" s="35"/>
      <c r="Q9" s="33"/>
      <c r="R9" s="33"/>
      <c r="S9" s="34"/>
      <c r="T9" s="34"/>
      <c r="U9" s="49">
        <f t="shared" ref="U9" si="8">+I9-SUM(J9:T9)</f>
        <v>1498.73</v>
      </c>
      <c r="V9" s="33">
        <f t="shared" ref="V9" si="9">IF(I9&gt;2250,I9*0.1,0)</f>
        <v>0</v>
      </c>
      <c r="W9" s="49">
        <f t="shared" ref="W9" si="10">+U9-V9</f>
        <v>1498.73</v>
      </c>
      <c r="X9" s="33"/>
      <c r="Y9" s="33"/>
      <c r="Z9" s="33"/>
      <c r="AA9" s="49"/>
      <c r="AB9" s="55"/>
      <c r="AC9" s="56"/>
      <c r="AD9" s="50"/>
      <c r="AE9" s="36">
        <v>56708519619</v>
      </c>
      <c r="AF9" s="36"/>
      <c r="AG9" s="18" t="s">
        <v>158</v>
      </c>
    </row>
    <row r="10" spans="1:46" s="18" customFormat="1">
      <c r="A10" s="80" t="s">
        <v>39</v>
      </c>
      <c r="B10" s="34" t="s">
        <v>143</v>
      </c>
      <c r="C10" s="34"/>
      <c r="D10" s="34" t="s">
        <v>108</v>
      </c>
      <c r="E10" s="53">
        <v>42718</v>
      </c>
      <c r="F10" s="35">
        <v>4028.96</v>
      </c>
      <c r="G10" s="35"/>
      <c r="H10" s="35"/>
      <c r="I10" s="49">
        <f t="shared" si="0"/>
        <v>4028.96</v>
      </c>
      <c r="J10" s="35"/>
      <c r="K10" s="65"/>
      <c r="L10" s="65"/>
      <c r="M10" s="35"/>
      <c r="N10" s="66"/>
      <c r="O10" s="66"/>
      <c r="P10" s="35"/>
      <c r="Q10" s="33"/>
      <c r="R10" s="33"/>
      <c r="S10" s="34"/>
      <c r="T10" s="34">
        <v>1900</v>
      </c>
      <c r="U10" s="49">
        <f t="shared" ref="U10" si="11">+I10-SUM(J10:T10)</f>
        <v>2128.96</v>
      </c>
      <c r="V10" s="33">
        <f t="shared" ref="V10" si="12">IF(I10&gt;2250,I10*0.1,0)</f>
        <v>402.89600000000002</v>
      </c>
      <c r="W10" s="49">
        <f t="shared" ref="W10" si="13">+U10-V10</f>
        <v>1726.0640000000001</v>
      </c>
      <c r="X10" s="33"/>
      <c r="Y10" s="33"/>
      <c r="Z10" s="33"/>
      <c r="AA10" s="49"/>
      <c r="AB10" s="55"/>
      <c r="AC10" s="56"/>
      <c r="AD10" s="50"/>
      <c r="AE10" s="36">
        <v>60590124291</v>
      </c>
      <c r="AF10" s="34"/>
      <c r="AG10" s="18" t="s">
        <v>158</v>
      </c>
    </row>
    <row r="11" spans="1:46" s="18" customFormat="1">
      <c r="A11" s="80" t="s">
        <v>28</v>
      </c>
      <c r="B11" s="34" t="s">
        <v>37</v>
      </c>
      <c r="C11" s="34" t="s">
        <v>77</v>
      </c>
      <c r="D11" s="34" t="s">
        <v>31</v>
      </c>
      <c r="E11" s="53">
        <v>39508</v>
      </c>
      <c r="F11" s="35"/>
      <c r="G11" s="35"/>
      <c r="H11" s="35"/>
      <c r="I11" s="49">
        <f t="shared" si="0"/>
        <v>0</v>
      </c>
      <c r="J11" s="35">
        <v>413.79</v>
      </c>
      <c r="K11" s="65"/>
      <c r="L11" s="35"/>
      <c r="M11" s="35">
        <v>0</v>
      </c>
      <c r="N11" s="66"/>
      <c r="O11" s="66"/>
      <c r="P11" s="35"/>
      <c r="Q11" s="33"/>
      <c r="R11" s="33"/>
      <c r="S11" s="34"/>
      <c r="T11" s="34">
        <v>0</v>
      </c>
      <c r="U11" s="49">
        <f t="shared" si="1"/>
        <v>-413.79</v>
      </c>
      <c r="V11" s="33">
        <f t="shared" si="2"/>
        <v>0</v>
      </c>
      <c r="W11" s="49">
        <f t="shared" si="3"/>
        <v>-413.79</v>
      </c>
      <c r="X11" s="33">
        <f t="shared" si="4"/>
        <v>0</v>
      </c>
      <c r="Y11" s="33">
        <v>10.23</v>
      </c>
      <c r="Z11" s="33">
        <f t="shared" si="5"/>
        <v>0</v>
      </c>
      <c r="AA11" s="49">
        <f t="shared" si="6"/>
        <v>10.23</v>
      </c>
      <c r="AB11" s="55"/>
      <c r="AC11" s="56"/>
      <c r="AD11" s="50">
        <f t="shared" si="7"/>
        <v>413.79</v>
      </c>
      <c r="AE11" s="36">
        <v>56708881292</v>
      </c>
      <c r="AF11" s="36" t="s">
        <v>206</v>
      </c>
      <c r="AG11" s="18" t="s">
        <v>158</v>
      </c>
    </row>
    <row r="12" spans="1:46" s="18" customFormat="1">
      <c r="A12" s="80" t="s">
        <v>28</v>
      </c>
      <c r="B12" s="34" t="s">
        <v>65</v>
      </c>
      <c r="C12" s="34" t="s">
        <v>74</v>
      </c>
      <c r="D12" s="34" t="s">
        <v>30</v>
      </c>
      <c r="E12" s="53">
        <v>42383</v>
      </c>
      <c r="F12" s="35">
        <v>9808.8799999999992</v>
      </c>
      <c r="G12" s="35"/>
      <c r="H12" s="35"/>
      <c r="I12" s="49">
        <f t="shared" si="0"/>
        <v>9808.8799999999992</v>
      </c>
      <c r="J12" s="35"/>
      <c r="K12" s="65"/>
      <c r="L12" s="35"/>
      <c r="M12" s="35">
        <v>0</v>
      </c>
      <c r="N12" s="66"/>
      <c r="O12" s="66"/>
      <c r="P12" s="35"/>
      <c r="Q12" s="33"/>
      <c r="R12" s="33"/>
      <c r="S12" s="34"/>
      <c r="T12" s="34">
        <v>352.56</v>
      </c>
      <c r="U12" s="49">
        <f t="shared" si="1"/>
        <v>9456.32</v>
      </c>
      <c r="V12" s="33">
        <f t="shared" si="2"/>
        <v>980.88799999999992</v>
      </c>
      <c r="W12" s="49">
        <f t="shared" si="3"/>
        <v>8475.4320000000007</v>
      </c>
      <c r="X12" s="33">
        <f t="shared" si="4"/>
        <v>0</v>
      </c>
      <c r="Y12" s="33">
        <v>10.23</v>
      </c>
      <c r="Z12" s="33">
        <f t="shared" si="5"/>
        <v>0</v>
      </c>
      <c r="AA12" s="49">
        <f t="shared" si="6"/>
        <v>9819.1099999999988</v>
      </c>
      <c r="AB12" s="55"/>
      <c r="AC12" s="56"/>
      <c r="AD12" s="50">
        <f t="shared" si="7"/>
        <v>-8475.4320000000007</v>
      </c>
      <c r="AE12" s="36">
        <v>56708881304</v>
      </c>
      <c r="AF12" s="34"/>
      <c r="AG12" s="18" t="s">
        <v>158</v>
      </c>
    </row>
    <row r="13" spans="1:46" s="18" customFormat="1" ht="15.75">
      <c r="A13" s="80" t="s">
        <v>28</v>
      </c>
      <c r="B13" s="34" t="s">
        <v>177</v>
      </c>
      <c r="C13" s="34"/>
      <c r="D13" s="34" t="s">
        <v>30</v>
      </c>
      <c r="E13" s="53">
        <v>42878</v>
      </c>
      <c r="F13" s="35"/>
      <c r="G13" s="35"/>
      <c r="H13" s="35"/>
      <c r="I13" s="49">
        <f t="shared" si="0"/>
        <v>0</v>
      </c>
      <c r="J13" s="35"/>
      <c r="K13" s="65"/>
      <c r="L13" s="35"/>
      <c r="M13" s="35"/>
      <c r="N13" s="66"/>
      <c r="O13" s="66"/>
      <c r="P13" s="35"/>
      <c r="Q13" s="33"/>
      <c r="R13" s="73">
        <v>0.3</v>
      </c>
      <c r="S13" s="34"/>
      <c r="T13" s="34">
        <v>600</v>
      </c>
      <c r="U13" s="49">
        <f t="shared" si="1"/>
        <v>-600.29999999999995</v>
      </c>
      <c r="V13" s="33"/>
      <c r="W13" s="49"/>
      <c r="X13" s="33"/>
      <c r="Y13" s="33"/>
      <c r="Z13" s="33"/>
      <c r="AA13" s="49"/>
      <c r="AB13" s="55"/>
      <c r="AC13" s="56"/>
      <c r="AD13" s="50"/>
      <c r="AE13" s="36">
        <v>53917427816</v>
      </c>
      <c r="AF13" s="34"/>
    </row>
    <row r="14" spans="1:46" s="18" customFormat="1" ht="15.75">
      <c r="A14" s="80" t="s">
        <v>28</v>
      </c>
      <c r="B14" s="34" t="s">
        <v>190</v>
      </c>
      <c r="C14" s="34"/>
      <c r="D14" s="34" t="s">
        <v>191</v>
      </c>
      <c r="E14" s="53">
        <v>42908</v>
      </c>
      <c r="F14" s="35"/>
      <c r="G14" s="35"/>
      <c r="H14" s="35"/>
      <c r="I14" s="49">
        <f t="shared" si="0"/>
        <v>0</v>
      </c>
      <c r="J14" s="35"/>
      <c r="K14" s="65"/>
      <c r="L14" s="35"/>
      <c r="M14" s="35"/>
      <c r="N14" s="66"/>
      <c r="O14" s="66"/>
      <c r="P14" s="35"/>
      <c r="Q14" s="33"/>
      <c r="R14" s="73"/>
      <c r="S14" s="34"/>
      <c r="T14" s="34"/>
      <c r="U14" s="49">
        <f t="shared" si="1"/>
        <v>0</v>
      </c>
      <c r="V14" s="33"/>
      <c r="W14" s="49"/>
      <c r="X14" s="33"/>
      <c r="Y14" s="33"/>
      <c r="Z14" s="33"/>
      <c r="AA14" s="49"/>
      <c r="AB14" s="55"/>
      <c r="AC14" s="56"/>
      <c r="AD14" s="50"/>
      <c r="AE14" s="36">
        <v>60592545278</v>
      </c>
      <c r="AF14" s="34"/>
    </row>
    <row r="15" spans="1:46" s="18" customFormat="1">
      <c r="A15" s="80" t="s">
        <v>28</v>
      </c>
      <c r="B15" s="34" t="s">
        <v>84</v>
      </c>
      <c r="C15" s="34" t="s">
        <v>77</v>
      </c>
      <c r="D15" s="34" t="s">
        <v>31</v>
      </c>
      <c r="E15" s="53">
        <v>39699</v>
      </c>
      <c r="F15" s="35"/>
      <c r="G15" s="35"/>
      <c r="H15" s="35"/>
      <c r="I15" s="49">
        <f t="shared" si="0"/>
        <v>0</v>
      </c>
      <c r="J15" s="35">
        <v>413.79</v>
      </c>
      <c r="K15" s="65"/>
      <c r="L15" s="35"/>
      <c r="M15" s="35">
        <v>1000</v>
      </c>
      <c r="N15" s="66"/>
      <c r="O15" s="66"/>
      <c r="P15" s="35"/>
      <c r="Q15" s="33">
        <v>2000</v>
      </c>
      <c r="R15" s="33"/>
      <c r="S15" s="34"/>
      <c r="T15" s="34">
        <v>0</v>
      </c>
      <c r="U15" s="49">
        <f t="shared" si="1"/>
        <v>-3413.79</v>
      </c>
      <c r="V15" s="33">
        <f t="shared" si="2"/>
        <v>0</v>
      </c>
      <c r="W15" s="49">
        <f t="shared" si="3"/>
        <v>-3413.79</v>
      </c>
      <c r="X15" s="33">
        <f t="shared" si="4"/>
        <v>0</v>
      </c>
      <c r="Y15" s="33">
        <v>10.23</v>
      </c>
      <c r="Z15" s="33">
        <f t="shared" si="5"/>
        <v>0</v>
      </c>
      <c r="AA15" s="49">
        <f t="shared" si="6"/>
        <v>10.23</v>
      </c>
      <c r="AB15" s="55"/>
      <c r="AC15" s="56"/>
      <c r="AD15" s="50">
        <f t="shared" ref="AD15:AD16" si="14">+AB15+AC15-W15</f>
        <v>3413.79</v>
      </c>
      <c r="AE15" s="36">
        <v>56708881349</v>
      </c>
      <c r="AF15" s="36" t="s">
        <v>206</v>
      </c>
      <c r="AG15" s="18" t="s">
        <v>158</v>
      </c>
    </row>
    <row r="16" spans="1:46" s="18" customFormat="1">
      <c r="A16" s="80" t="s">
        <v>27</v>
      </c>
      <c r="B16" s="34" t="s">
        <v>72</v>
      </c>
      <c r="C16" s="34" t="s">
        <v>90</v>
      </c>
      <c r="D16" s="34" t="s">
        <v>46</v>
      </c>
      <c r="E16" s="53">
        <v>42332</v>
      </c>
      <c r="F16" s="35"/>
      <c r="G16" s="35"/>
      <c r="H16" s="35"/>
      <c r="I16" s="49">
        <f t="shared" si="0"/>
        <v>0</v>
      </c>
      <c r="J16" s="35"/>
      <c r="K16" s="65"/>
      <c r="L16" s="35"/>
      <c r="M16" s="35">
        <v>0</v>
      </c>
      <c r="N16" s="66"/>
      <c r="O16" s="66"/>
      <c r="P16" s="35"/>
      <c r="Q16" s="33"/>
      <c r="R16" s="33"/>
      <c r="S16" s="34"/>
      <c r="T16" s="34">
        <v>590.30999999999995</v>
      </c>
      <c r="U16" s="49">
        <f t="shared" si="1"/>
        <v>-590.30999999999995</v>
      </c>
      <c r="V16" s="33">
        <f t="shared" si="2"/>
        <v>0</v>
      </c>
      <c r="W16" s="49">
        <f t="shared" si="3"/>
        <v>-590.30999999999995</v>
      </c>
      <c r="X16" s="33">
        <f t="shared" si="4"/>
        <v>0</v>
      </c>
      <c r="Y16" s="33">
        <v>10.23</v>
      </c>
      <c r="Z16" s="33">
        <f t="shared" si="5"/>
        <v>0</v>
      </c>
      <c r="AA16" s="49">
        <f t="shared" si="6"/>
        <v>10.23</v>
      </c>
      <c r="AB16" s="55"/>
      <c r="AC16" s="56"/>
      <c r="AD16" s="50">
        <f t="shared" si="14"/>
        <v>590.30999999999995</v>
      </c>
      <c r="AE16" s="36">
        <v>56708844947</v>
      </c>
      <c r="AF16" s="36"/>
      <c r="AG16" s="18" t="s">
        <v>158</v>
      </c>
    </row>
    <row r="17" spans="1:34" s="18" customFormat="1" ht="15.75">
      <c r="A17" s="80" t="s">
        <v>78</v>
      </c>
      <c r="B17" s="34" t="s">
        <v>57</v>
      </c>
      <c r="C17" s="34"/>
      <c r="D17" s="34" t="s">
        <v>45</v>
      </c>
      <c r="E17" s="53">
        <v>42205</v>
      </c>
      <c r="F17" s="68"/>
      <c r="G17" s="35"/>
      <c r="H17" s="35"/>
      <c r="I17" s="49">
        <f t="shared" si="0"/>
        <v>0</v>
      </c>
      <c r="J17" s="35"/>
      <c r="K17" s="65"/>
      <c r="L17" s="35"/>
      <c r="M17" s="35">
        <v>300</v>
      </c>
      <c r="N17" s="66"/>
      <c r="O17" s="66"/>
      <c r="P17" s="35"/>
      <c r="Q17" s="33"/>
      <c r="R17" s="73">
        <v>0.3</v>
      </c>
      <c r="S17" s="34"/>
      <c r="T17" s="34">
        <v>0</v>
      </c>
      <c r="U17" s="49">
        <f t="shared" si="1"/>
        <v>-300.3</v>
      </c>
      <c r="V17" s="33">
        <f t="shared" si="2"/>
        <v>0</v>
      </c>
      <c r="W17" s="49">
        <f t="shared" si="3"/>
        <v>-300.3</v>
      </c>
      <c r="X17" s="33">
        <f t="shared" si="4"/>
        <v>0</v>
      </c>
      <c r="Y17" s="33">
        <v>10.23</v>
      </c>
      <c r="Z17" s="33">
        <f t="shared" si="5"/>
        <v>0</v>
      </c>
      <c r="AA17" s="49">
        <f t="shared" si="6"/>
        <v>10.23</v>
      </c>
      <c r="AB17" s="55"/>
      <c r="AC17" s="55"/>
      <c r="AD17" s="50">
        <f t="shared" ref="AD17" si="15">+AB17+AC17-W17</f>
        <v>300.3</v>
      </c>
      <c r="AE17" s="36">
        <v>56708844950</v>
      </c>
      <c r="AF17" s="34"/>
      <c r="AG17" s="18" t="s">
        <v>158</v>
      </c>
    </row>
    <row r="18" spans="1:34" s="18" customFormat="1">
      <c r="A18" s="80" t="s">
        <v>78</v>
      </c>
      <c r="B18" s="34" t="s">
        <v>102</v>
      </c>
      <c r="C18" s="34"/>
      <c r="D18" s="34" t="s">
        <v>45</v>
      </c>
      <c r="E18" s="53">
        <v>42476</v>
      </c>
      <c r="F18" s="35"/>
      <c r="G18" s="35"/>
      <c r="H18" s="35"/>
      <c r="I18" s="49">
        <f t="shared" si="0"/>
        <v>0</v>
      </c>
      <c r="J18" s="35"/>
      <c r="K18" s="65"/>
      <c r="L18" s="35"/>
      <c r="M18" s="35">
        <v>0</v>
      </c>
      <c r="N18" s="66"/>
      <c r="O18" s="66"/>
      <c r="P18" s="35"/>
      <c r="Q18" s="33"/>
      <c r="R18" s="33"/>
      <c r="S18" s="34"/>
      <c r="T18" s="34">
        <v>0</v>
      </c>
      <c r="U18" s="49">
        <f t="shared" si="1"/>
        <v>0</v>
      </c>
      <c r="V18" s="34">
        <f t="shared" ref="V18" si="16">IF(I18&gt;2250,I18*0.1,0)</f>
        <v>0</v>
      </c>
      <c r="W18" s="34">
        <f t="shared" ref="W18" si="17">+U18-V18</f>
        <v>0</v>
      </c>
      <c r="X18" s="33">
        <f t="shared" si="4"/>
        <v>0</v>
      </c>
      <c r="Y18" s="33">
        <v>10.23</v>
      </c>
      <c r="Z18" s="33">
        <f t="shared" si="5"/>
        <v>0</v>
      </c>
      <c r="AA18" s="49">
        <f t="shared" si="6"/>
        <v>10.23</v>
      </c>
      <c r="AB18" s="55"/>
      <c r="AC18" s="55"/>
      <c r="AD18" s="50" t="e">
        <f>+AB18+AC18-#REF!</f>
        <v>#REF!</v>
      </c>
      <c r="AE18" s="78">
        <v>56708844964</v>
      </c>
      <c r="AF18" s="36"/>
      <c r="AG18" s="18" t="s">
        <v>158</v>
      </c>
    </row>
    <row r="19" spans="1:34" s="18" customFormat="1">
      <c r="A19" s="80" t="s">
        <v>28</v>
      </c>
      <c r="B19" s="34" t="s">
        <v>201</v>
      </c>
      <c r="C19" s="34"/>
      <c r="D19" s="34" t="s">
        <v>30</v>
      </c>
      <c r="E19" s="53">
        <v>42916</v>
      </c>
      <c r="F19" s="35"/>
      <c r="G19" s="35"/>
      <c r="H19" s="35"/>
      <c r="I19" s="49">
        <f t="shared" si="0"/>
        <v>0</v>
      </c>
      <c r="J19" s="35"/>
      <c r="K19" s="65"/>
      <c r="L19" s="35"/>
      <c r="M19" s="35"/>
      <c r="N19" s="66"/>
      <c r="O19" s="66"/>
      <c r="P19" s="35"/>
      <c r="Q19" s="33"/>
      <c r="R19" s="33"/>
      <c r="S19" s="34"/>
      <c r="T19" s="34">
        <v>470.86</v>
      </c>
      <c r="U19" s="49"/>
      <c r="V19" s="34"/>
      <c r="W19" s="34"/>
      <c r="X19" s="33"/>
      <c r="Y19" s="33"/>
      <c r="Z19" s="33"/>
      <c r="AA19" s="49"/>
      <c r="AB19" s="55"/>
      <c r="AC19" s="55"/>
      <c r="AD19" s="50"/>
      <c r="AE19" s="78">
        <v>60592609882</v>
      </c>
      <c r="AF19" s="36"/>
    </row>
    <row r="20" spans="1:34" s="18" customFormat="1">
      <c r="A20" s="80" t="s">
        <v>28</v>
      </c>
      <c r="B20" s="34" t="s">
        <v>183</v>
      </c>
      <c r="C20" s="34"/>
      <c r="D20" s="34" t="s">
        <v>30</v>
      </c>
      <c r="E20" s="53">
        <v>42899</v>
      </c>
      <c r="F20" s="35"/>
      <c r="G20" s="35"/>
      <c r="H20" s="35"/>
      <c r="I20" s="49">
        <f t="shared" si="0"/>
        <v>0</v>
      </c>
      <c r="J20" s="35"/>
      <c r="K20" s="65"/>
      <c r="L20" s="35"/>
      <c r="M20" s="35"/>
      <c r="N20" s="66"/>
      <c r="O20" s="66"/>
      <c r="P20" s="35"/>
      <c r="Q20" s="33"/>
      <c r="R20" s="33"/>
      <c r="S20" s="34"/>
      <c r="T20" s="34"/>
      <c r="U20" s="49">
        <f t="shared" si="1"/>
        <v>0</v>
      </c>
      <c r="V20" s="34"/>
      <c r="W20" s="34"/>
      <c r="X20" s="33"/>
      <c r="Y20" s="33"/>
      <c r="Z20" s="33"/>
      <c r="AA20" s="49"/>
      <c r="AB20" s="55"/>
      <c r="AC20" s="55"/>
      <c r="AD20" s="50"/>
      <c r="AE20" s="78">
        <v>60592030048</v>
      </c>
      <c r="AF20" s="36"/>
    </row>
    <row r="21" spans="1:34" s="18" customFormat="1">
      <c r="A21" s="80" t="s">
        <v>39</v>
      </c>
      <c r="B21" s="34" t="s">
        <v>109</v>
      </c>
      <c r="C21" s="34"/>
      <c r="D21" s="34" t="s">
        <v>108</v>
      </c>
      <c r="E21" s="53">
        <v>42514</v>
      </c>
      <c r="F21" s="35">
        <v>2540.08</v>
      </c>
      <c r="G21" s="35"/>
      <c r="H21" s="35"/>
      <c r="I21" s="49">
        <f t="shared" si="0"/>
        <v>2540.08</v>
      </c>
      <c r="J21" s="35"/>
      <c r="K21" s="65"/>
      <c r="L21" s="35"/>
      <c r="M21" s="35">
        <v>0</v>
      </c>
      <c r="N21" s="66"/>
      <c r="O21" s="66"/>
      <c r="P21" s="35"/>
      <c r="Q21" s="33"/>
      <c r="R21" s="33"/>
      <c r="S21" s="34"/>
      <c r="T21" s="34">
        <v>0</v>
      </c>
      <c r="U21" s="49">
        <f t="shared" si="1"/>
        <v>2540.08</v>
      </c>
      <c r="V21" s="34">
        <f t="shared" si="2"/>
        <v>254.00800000000001</v>
      </c>
      <c r="W21" s="34">
        <f t="shared" si="3"/>
        <v>2286.0720000000001</v>
      </c>
      <c r="X21" s="33">
        <f t="shared" si="4"/>
        <v>0</v>
      </c>
      <c r="Y21" s="33">
        <v>11.23</v>
      </c>
      <c r="Z21" s="33">
        <f t="shared" si="5"/>
        <v>0</v>
      </c>
      <c r="AA21" s="49">
        <f t="shared" si="6"/>
        <v>2551.31</v>
      </c>
      <c r="AB21" s="55"/>
      <c r="AC21" s="55"/>
      <c r="AD21" s="50"/>
      <c r="AE21" s="78">
        <v>56708844978</v>
      </c>
      <c r="AF21" s="36"/>
      <c r="AG21" s="18" t="s">
        <v>158</v>
      </c>
    </row>
    <row r="22" spans="1:34" s="18" customFormat="1">
      <c r="A22" s="80" t="s">
        <v>28</v>
      </c>
      <c r="B22" s="34" t="s">
        <v>132</v>
      </c>
      <c r="C22" s="34"/>
      <c r="D22" s="34" t="s">
        <v>133</v>
      </c>
      <c r="E22" s="53">
        <v>41359</v>
      </c>
      <c r="F22" s="35"/>
      <c r="G22" s="35"/>
      <c r="H22" s="35"/>
      <c r="I22" s="49">
        <f t="shared" si="0"/>
        <v>0</v>
      </c>
      <c r="J22" s="35">
        <v>413.79</v>
      </c>
      <c r="K22" s="65"/>
      <c r="L22" s="35"/>
      <c r="M22" s="35"/>
      <c r="N22" s="66"/>
      <c r="O22" s="66"/>
      <c r="P22" s="35"/>
      <c r="Q22" s="33"/>
      <c r="R22" s="33"/>
      <c r="S22" s="34"/>
      <c r="T22" s="34"/>
      <c r="U22" s="49">
        <f t="shared" si="1"/>
        <v>-413.79</v>
      </c>
      <c r="V22" s="34">
        <f t="shared" ref="V22" si="18">IF(I22&gt;2250,I22*0.1,0)</f>
        <v>0</v>
      </c>
      <c r="W22" s="34">
        <f t="shared" ref="W22" si="19">+U22-V22</f>
        <v>-413.79</v>
      </c>
      <c r="X22" s="33"/>
      <c r="Y22" s="33"/>
      <c r="Z22" s="33"/>
      <c r="AA22" s="49"/>
      <c r="AB22" s="55"/>
      <c r="AC22" s="55"/>
      <c r="AD22" s="50"/>
      <c r="AE22" s="78">
        <v>56708881383</v>
      </c>
      <c r="AF22" s="36" t="s">
        <v>206</v>
      </c>
      <c r="AG22" s="18" t="s">
        <v>158</v>
      </c>
    </row>
    <row r="23" spans="1:34" s="18" customFormat="1">
      <c r="A23" s="80" t="s">
        <v>28</v>
      </c>
      <c r="B23" s="34" t="s">
        <v>171</v>
      </c>
      <c r="C23" s="34"/>
      <c r="D23" s="34" t="s">
        <v>30</v>
      </c>
      <c r="E23" s="53">
        <v>42798</v>
      </c>
      <c r="F23" s="35"/>
      <c r="G23" s="35"/>
      <c r="H23" s="35"/>
      <c r="I23" s="49">
        <f t="shared" si="0"/>
        <v>0</v>
      </c>
      <c r="J23" s="35"/>
      <c r="K23" s="65"/>
      <c r="L23" s="35"/>
      <c r="M23" s="35"/>
      <c r="N23" s="66"/>
      <c r="O23" s="66"/>
      <c r="P23" s="35"/>
      <c r="Q23" s="33"/>
      <c r="R23" s="33"/>
      <c r="S23" s="34"/>
      <c r="T23" s="34">
        <v>300</v>
      </c>
      <c r="U23" s="49">
        <f t="shared" si="1"/>
        <v>-300</v>
      </c>
      <c r="V23" s="34"/>
      <c r="W23" s="34"/>
      <c r="X23" s="33"/>
      <c r="Y23" s="33"/>
      <c r="Z23" s="33"/>
      <c r="AA23" s="49"/>
      <c r="AB23" s="55"/>
      <c r="AC23" s="55"/>
      <c r="AD23" s="50"/>
      <c r="AE23" s="78">
        <v>1129000062</v>
      </c>
      <c r="AF23" s="36"/>
      <c r="AG23" s="18" t="s">
        <v>159</v>
      </c>
      <c r="AH23" s="18" t="s">
        <v>166</v>
      </c>
    </row>
    <row r="24" spans="1:34" s="94" customFormat="1">
      <c r="A24" s="84" t="s">
        <v>28</v>
      </c>
      <c r="B24" s="84" t="s">
        <v>176</v>
      </c>
      <c r="C24" s="84"/>
      <c r="D24" s="84" t="s">
        <v>30</v>
      </c>
      <c r="E24" s="85">
        <v>42884</v>
      </c>
      <c r="F24" s="86"/>
      <c r="G24" s="86"/>
      <c r="H24" s="86"/>
      <c r="I24" s="40">
        <f t="shared" si="0"/>
        <v>0</v>
      </c>
      <c r="J24" s="86"/>
      <c r="K24" s="87"/>
      <c r="L24" s="86"/>
      <c r="M24" s="86"/>
      <c r="N24" s="88"/>
      <c r="O24" s="88"/>
      <c r="P24" s="86"/>
      <c r="Q24" s="89"/>
      <c r="R24" s="89"/>
      <c r="S24" s="84"/>
      <c r="T24" s="84"/>
      <c r="U24" s="40">
        <f t="shared" si="1"/>
        <v>0</v>
      </c>
      <c r="V24" s="84"/>
      <c r="W24" s="84"/>
      <c r="X24" s="89"/>
      <c r="Y24" s="89"/>
      <c r="Z24" s="89"/>
      <c r="AA24" s="40"/>
      <c r="AB24" s="90"/>
      <c r="AC24" s="90"/>
      <c r="AD24" s="91"/>
      <c r="AE24" s="92">
        <v>60591846598</v>
      </c>
      <c r="AF24" s="93" t="s">
        <v>194</v>
      </c>
    </row>
    <row r="25" spans="1:34" s="18" customFormat="1">
      <c r="A25" s="80" t="s">
        <v>28</v>
      </c>
      <c r="B25" s="34" t="s">
        <v>101</v>
      </c>
      <c r="C25" s="34" t="s">
        <v>74</v>
      </c>
      <c r="D25" s="34" t="s">
        <v>30</v>
      </c>
      <c r="E25" s="53">
        <v>42413</v>
      </c>
      <c r="F25" s="35">
        <v>5185.3</v>
      </c>
      <c r="G25" s="35"/>
      <c r="H25" s="35"/>
      <c r="I25" s="49">
        <f t="shared" si="0"/>
        <v>5185.3</v>
      </c>
      <c r="J25" s="35"/>
      <c r="K25" s="65"/>
      <c r="L25" s="35"/>
      <c r="M25" s="35">
        <v>0</v>
      </c>
      <c r="N25" s="66"/>
      <c r="O25" s="66"/>
      <c r="P25" s="35"/>
      <c r="Q25" s="33"/>
      <c r="R25" s="33"/>
      <c r="S25" s="34"/>
      <c r="T25" s="34">
        <v>0</v>
      </c>
      <c r="U25" s="49">
        <f t="shared" si="1"/>
        <v>5185.3</v>
      </c>
      <c r="V25" s="34">
        <f t="shared" si="2"/>
        <v>518.53000000000009</v>
      </c>
      <c r="W25" s="34">
        <f t="shared" si="3"/>
        <v>4666.7700000000004</v>
      </c>
      <c r="X25" s="33">
        <f t="shared" si="4"/>
        <v>0</v>
      </c>
      <c r="Y25" s="33">
        <v>13.23</v>
      </c>
      <c r="Z25" s="33">
        <f t="shared" si="5"/>
        <v>0</v>
      </c>
      <c r="AA25" s="49">
        <f t="shared" si="6"/>
        <v>5198.53</v>
      </c>
      <c r="AB25" s="55"/>
      <c r="AC25" s="55"/>
      <c r="AD25" s="50">
        <f>+AB25+AC25-W25</f>
        <v>-4666.7700000000004</v>
      </c>
      <c r="AE25" s="78">
        <v>60590329504</v>
      </c>
      <c r="AF25" s="36"/>
      <c r="AG25" s="18" t="s">
        <v>158</v>
      </c>
    </row>
    <row r="26" spans="1:34" s="18" customFormat="1">
      <c r="A26" s="80" t="s">
        <v>28</v>
      </c>
      <c r="B26" s="34" t="s">
        <v>112</v>
      </c>
      <c r="C26" s="34"/>
      <c r="D26" s="34" t="s">
        <v>30</v>
      </c>
      <c r="E26" s="53">
        <v>42532</v>
      </c>
      <c r="F26" s="35">
        <v>11904.44</v>
      </c>
      <c r="G26" s="35"/>
      <c r="H26" s="35"/>
      <c r="I26" s="49">
        <f t="shared" si="0"/>
        <v>11904.44</v>
      </c>
      <c r="J26" s="35"/>
      <c r="K26" s="65"/>
      <c r="L26" s="35"/>
      <c r="M26" s="35">
        <v>0</v>
      </c>
      <c r="N26" s="66"/>
      <c r="O26" s="66"/>
      <c r="P26" s="35"/>
      <c r="Q26" s="33"/>
      <c r="R26" s="33"/>
      <c r="S26" s="34"/>
      <c r="T26" s="34">
        <v>0</v>
      </c>
      <c r="U26" s="49">
        <f t="shared" si="1"/>
        <v>11904.44</v>
      </c>
      <c r="V26" s="34">
        <f t="shared" si="2"/>
        <v>1190.4440000000002</v>
      </c>
      <c r="W26" s="34">
        <f t="shared" si="3"/>
        <v>10713.996000000001</v>
      </c>
      <c r="X26" s="33">
        <f t="shared" si="4"/>
        <v>0</v>
      </c>
      <c r="Y26" s="33">
        <v>13.23</v>
      </c>
      <c r="Z26" s="33">
        <f t="shared" si="5"/>
        <v>0</v>
      </c>
      <c r="AA26" s="49">
        <f t="shared" si="6"/>
        <v>11917.67</v>
      </c>
      <c r="AB26" s="55"/>
      <c r="AC26" s="55"/>
      <c r="AD26" s="50">
        <f>+AB26+AC26-W26</f>
        <v>-10713.996000000001</v>
      </c>
      <c r="AE26" s="78">
        <v>56708881426</v>
      </c>
      <c r="AF26" s="36"/>
      <c r="AG26" s="18" t="s">
        <v>158</v>
      </c>
    </row>
    <row r="27" spans="1:34" s="18" customFormat="1">
      <c r="A27" s="80" t="s">
        <v>28</v>
      </c>
      <c r="B27" s="34" t="s">
        <v>107</v>
      </c>
      <c r="C27" s="34"/>
      <c r="D27" s="34" t="s">
        <v>120</v>
      </c>
      <c r="E27" s="53">
        <v>42480</v>
      </c>
      <c r="F27" s="35">
        <v>700</v>
      </c>
      <c r="G27" s="35"/>
      <c r="H27" s="35"/>
      <c r="I27" s="49">
        <f t="shared" si="0"/>
        <v>700</v>
      </c>
      <c r="J27" s="35"/>
      <c r="K27" s="65"/>
      <c r="L27" s="35"/>
      <c r="M27" s="35">
        <v>0</v>
      </c>
      <c r="N27" s="66"/>
      <c r="O27" s="66"/>
      <c r="P27" s="35"/>
      <c r="Q27" s="33"/>
      <c r="R27" s="33"/>
      <c r="S27" s="34"/>
      <c r="T27" s="34">
        <v>0</v>
      </c>
      <c r="U27" s="49">
        <f t="shared" si="1"/>
        <v>700</v>
      </c>
      <c r="V27" s="34">
        <f t="shared" ref="V27:V50" si="20">IF(I27&gt;2250,I27*0.1,0)</f>
        <v>0</v>
      </c>
      <c r="W27" s="34">
        <f t="shared" ref="W27:W50" si="21">+U27-V27</f>
        <v>700</v>
      </c>
      <c r="X27" s="33">
        <f t="shared" ref="X27:X50" si="22">IF(I27&lt;2250,I27*0.1,0)</f>
        <v>70</v>
      </c>
      <c r="Y27" s="33">
        <v>17.23</v>
      </c>
      <c r="Z27" s="33">
        <f t="shared" ref="Z27:Z50" si="23">+N27</f>
        <v>0</v>
      </c>
      <c r="AA27" s="49">
        <f t="shared" ref="AA27:AA50" si="24">+I27+X27+Y27+Z27</f>
        <v>787.23</v>
      </c>
      <c r="AB27" s="55"/>
      <c r="AC27" s="55"/>
      <c r="AD27" s="50">
        <f>+AB27+AC27-W27</f>
        <v>-700</v>
      </c>
      <c r="AE27" s="78">
        <v>56708845010</v>
      </c>
      <c r="AF27" s="36"/>
      <c r="AG27" s="18" t="s">
        <v>158</v>
      </c>
    </row>
    <row r="28" spans="1:34" s="18" customFormat="1">
      <c r="A28" s="80" t="s">
        <v>28</v>
      </c>
      <c r="B28" s="34" t="s">
        <v>75</v>
      </c>
      <c r="C28" s="34" t="s">
        <v>74</v>
      </c>
      <c r="D28" s="34" t="s">
        <v>30</v>
      </c>
      <c r="E28" s="53">
        <v>42240</v>
      </c>
      <c r="F28" s="35"/>
      <c r="G28" s="35"/>
      <c r="H28" s="35"/>
      <c r="I28" s="49">
        <f t="shared" si="0"/>
        <v>0</v>
      </c>
      <c r="J28" s="35"/>
      <c r="K28" s="65"/>
      <c r="L28" s="35"/>
      <c r="M28" s="35">
        <v>0</v>
      </c>
      <c r="N28" s="66"/>
      <c r="O28" s="66"/>
      <c r="P28" s="35"/>
      <c r="Q28" s="33"/>
      <c r="R28" s="33"/>
      <c r="S28" s="34"/>
      <c r="T28" s="34">
        <v>0</v>
      </c>
      <c r="U28" s="49">
        <f t="shared" si="1"/>
        <v>0</v>
      </c>
      <c r="V28" s="34">
        <f t="shared" si="20"/>
        <v>0</v>
      </c>
      <c r="W28" s="34">
        <f t="shared" si="21"/>
        <v>0</v>
      </c>
      <c r="X28" s="33">
        <f t="shared" si="22"/>
        <v>0</v>
      </c>
      <c r="Y28" s="33">
        <v>18.23</v>
      </c>
      <c r="Z28" s="33">
        <f t="shared" si="23"/>
        <v>0</v>
      </c>
      <c r="AA28" s="49">
        <f t="shared" si="24"/>
        <v>18.23</v>
      </c>
      <c r="AB28" s="55"/>
      <c r="AC28" s="55"/>
      <c r="AD28" s="50">
        <f>+AB28+AC28-W28</f>
        <v>0</v>
      </c>
      <c r="AE28" s="78">
        <v>56708845024</v>
      </c>
      <c r="AF28" s="36"/>
      <c r="AG28" s="18" t="s">
        <v>158</v>
      </c>
    </row>
    <row r="29" spans="1:34" s="18" customFormat="1">
      <c r="A29" s="80" t="s">
        <v>41</v>
      </c>
      <c r="B29" s="34" t="s">
        <v>160</v>
      </c>
      <c r="C29" s="34"/>
      <c r="D29" s="34" t="s">
        <v>45</v>
      </c>
      <c r="E29" s="53">
        <v>42826</v>
      </c>
      <c r="F29" s="35"/>
      <c r="G29" s="35"/>
      <c r="H29" s="35"/>
      <c r="I29" s="49">
        <f t="shared" si="0"/>
        <v>0</v>
      </c>
      <c r="J29" s="35"/>
      <c r="K29" s="65"/>
      <c r="L29" s="35"/>
      <c r="M29" s="35"/>
      <c r="N29" s="66"/>
      <c r="O29" s="66"/>
      <c r="P29" s="35"/>
      <c r="Q29" s="33"/>
      <c r="R29" s="33"/>
      <c r="S29" s="34"/>
      <c r="T29" s="34"/>
      <c r="U29" s="49">
        <f t="shared" si="1"/>
        <v>0</v>
      </c>
      <c r="V29" s="34">
        <f t="shared" si="20"/>
        <v>0</v>
      </c>
      <c r="W29" s="34"/>
      <c r="X29" s="33">
        <f t="shared" si="22"/>
        <v>0</v>
      </c>
      <c r="Y29" s="33"/>
      <c r="Z29" s="33"/>
      <c r="AA29" s="49"/>
      <c r="AB29" s="55"/>
      <c r="AC29" s="55"/>
      <c r="AD29" s="50"/>
      <c r="AE29" s="78">
        <v>60590035118</v>
      </c>
      <c r="AF29" s="36"/>
      <c r="AG29" s="18" t="s">
        <v>158</v>
      </c>
    </row>
    <row r="30" spans="1:34" s="18" customFormat="1">
      <c r="A30" s="80" t="s">
        <v>27</v>
      </c>
      <c r="B30" s="34" t="s">
        <v>199</v>
      </c>
      <c r="C30" s="34"/>
      <c r="D30" s="34" t="s">
        <v>46</v>
      </c>
      <c r="E30" s="53">
        <v>42916</v>
      </c>
      <c r="F30" s="35">
        <v>214.49</v>
      </c>
      <c r="G30" s="35"/>
      <c r="H30" s="35"/>
      <c r="I30" s="49">
        <f t="shared" si="0"/>
        <v>214.49</v>
      </c>
      <c r="J30" s="35"/>
      <c r="K30" s="65"/>
      <c r="L30" s="35"/>
      <c r="M30" s="35"/>
      <c r="N30" s="66"/>
      <c r="O30" s="66"/>
      <c r="P30" s="35"/>
      <c r="Q30" s="33"/>
      <c r="R30" s="33"/>
      <c r="S30" s="34"/>
      <c r="T30" s="34">
        <v>649.46</v>
      </c>
      <c r="U30" s="49"/>
      <c r="V30" s="34"/>
      <c r="W30" s="34"/>
      <c r="X30" s="33"/>
      <c r="Y30" s="33"/>
      <c r="Z30" s="33"/>
      <c r="AA30" s="49"/>
      <c r="AB30" s="55"/>
      <c r="AC30" s="55"/>
      <c r="AD30" s="50"/>
      <c r="AE30" s="78">
        <v>60584074827</v>
      </c>
      <c r="AF30" s="36"/>
    </row>
    <row r="31" spans="1:34" s="18" customFormat="1">
      <c r="A31" s="80" t="s">
        <v>28</v>
      </c>
      <c r="B31" s="34" t="s">
        <v>137</v>
      </c>
      <c r="C31" s="34"/>
      <c r="D31" s="34" t="s">
        <v>30</v>
      </c>
      <c r="E31" s="53">
        <v>42415</v>
      </c>
      <c r="F31" s="35">
        <v>271.01</v>
      </c>
      <c r="G31" s="35"/>
      <c r="H31" s="35"/>
      <c r="I31" s="49">
        <f t="shared" si="0"/>
        <v>271.01</v>
      </c>
      <c r="J31" s="35"/>
      <c r="K31" s="65"/>
      <c r="L31" s="35"/>
      <c r="M31" s="35"/>
      <c r="N31" s="66"/>
      <c r="O31" s="66"/>
      <c r="P31" s="35"/>
      <c r="Q31" s="33"/>
      <c r="R31" s="33"/>
      <c r="S31" s="34"/>
      <c r="T31" s="34"/>
      <c r="U31" s="49">
        <f t="shared" si="1"/>
        <v>271.01</v>
      </c>
      <c r="V31" s="34">
        <f t="shared" ref="V31" si="25">IF(I31&gt;2250,I31*0.1,0)</f>
        <v>0</v>
      </c>
      <c r="W31" s="34">
        <f t="shared" ref="W31" si="26">+U31-V31</f>
        <v>271.01</v>
      </c>
      <c r="X31" s="33"/>
      <c r="Y31" s="33"/>
      <c r="Z31" s="33"/>
      <c r="AA31" s="49"/>
      <c r="AB31" s="55"/>
      <c r="AC31" s="55"/>
      <c r="AD31" s="50"/>
      <c r="AE31" s="78">
        <v>56708881656</v>
      </c>
      <c r="AF31" s="36"/>
      <c r="AG31" s="18" t="s">
        <v>158</v>
      </c>
    </row>
    <row r="32" spans="1:34" s="18" customFormat="1">
      <c r="A32" s="80" t="s">
        <v>28</v>
      </c>
      <c r="B32" s="34" t="s">
        <v>172</v>
      </c>
      <c r="C32" s="34" t="s">
        <v>76</v>
      </c>
      <c r="D32" s="34" t="s">
        <v>30</v>
      </c>
      <c r="E32" s="53">
        <v>41463</v>
      </c>
      <c r="F32" s="35">
        <v>8715.14</v>
      </c>
      <c r="G32" s="35"/>
      <c r="H32" s="35"/>
      <c r="I32" s="49">
        <f t="shared" si="0"/>
        <v>8715.14</v>
      </c>
      <c r="J32" s="35"/>
      <c r="K32" s="65"/>
      <c r="L32" s="35"/>
      <c r="M32" s="35">
        <v>0</v>
      </c>
      <c r="N32" s="66"/>
      <c r="O32" s="66"/>
      <c r="P32" s="35"/>
      <c r="Q32" s="33"/>
      <c r="R32" s="33"/>
      <c r="S32" s="34"/>
      <c r="T32" s="34">
        <v>0</v>
      </c>
      <c r="U32" s="49">
        <f t="shared" si="1"/>
        <v>8715.14</v>
      </c>
      <c r="V32" s="34">
        <f t="shared" si="20"/>
        <v>871.51400000000001</v>
      </c>
      <c r="W32" s="34">
        <f t="shared" si="21"/>
        <v>7843.6259999999993</v>
      </c>
      <c r="X32" s="33">
        <f t="shared" si="22"/>
        <v>0</v>
      </c>
      <c r="Y32" s="33">
        <v>20.23</v>
      </c>
      <c r="Z32" s="33">
        <f t="shared" si="23"/>
        <v>0</v>
      </c>
      <c r="AA32" s="49">
        <f t="shared" si="24"/>
        <v>8735.369999999999</v>
      </c>
      <c r="AB32" s="55"/>
      <c r="AC32" s="55"/>
      <c r="AD32" s="50">
        <f>+AB32+AC32-W32</f>
        <v>-7843.6259999999993</v>
      </c>
      <c r="AE32" s="78">
        <v>56708881457</v>
      </c>
      <c r="AF32" s="36"/>
      <c r="AG32" s="18" t="s">
        <v>158</v>
      </c>
    </row>
    <row r="33" spans="1:33" s="18" customFormat="1">
      <c r="A33" s="80" t="s">
        <v>26</v>
      </c>
      <c r="B33" s="34" t="s">
        <v>163</v>
      </c>
      <c r="C33" s="34"/>
      <c r="D33" s="34" t="s">
        <v>108</v>
      </c>
      <c r="E33" s="53">
        <v>40618</v>
      </c>
      <c r="F33" s="35">
        <v>4248.72</v>
      </c>
      <c r="G33" s="35"/>
      <c r="H33" s="35"/>
      <c r="I33" s="49">
        <f t="shared" si="0"/>
        <v>4248.72</v>
      </c>
      <c r="J33" s="35">
        <v>528.82000000000005</v>
      </c>
      <c r="K33" s="65"/>
      <c r="L33" s="35"/>
      <c r="M33" s="35">
        <v>0</v>
      </c>
      <c r="N33" s="66"/>
      <c r="O33" s="66"/>
      <c r="P33" s="35"/>
      <c r="Q33" s="33"/>
      <c r="R33" s="33"/>
      <c r="S33" s="34"/>
      <c r="T33" s="34">
        <v>0</v>
      </c>
      <c r="U33" s="49">
        <f t="shared" ref="U33:U40" si="27">+I33-SUM(J33:T33)</f>
        <v>3719.9</v>
      </c>
      <c r="V33" s="34">
        <f t="shared" si="20"/>
        <v>424.87200000000007</v>
      </c>
      <c r="W33" s="34">
        <f t="shared" si="21"/>
        <v>3295.0280000000002</v>
      </c>
      <c r="X33" s="33">
        <f t="shared" si="22"/>
        <v>0</v>
      </c>
      <c r="Y33" s="33">
        <v>21.23</v>
      </c>
      <c r="Z33" s="33">
        <f t="shared" si="23"/>
        <v>0</v>
      </c>
      <c r="AA33" s="49">
        <f t="shared" si="24"/>
        <v>4269.95</v>
      </c>
      <c r="AB33" s="55"/>
      <c r="AC33" s="55"/>
      <c r="AD33" s="50"/>
      <c r="AE33" s="78">
        <v>56708845038</v>
      </c>
      <c r="AF33" s="36" t="s">
        <v>209</v>
      </c>
      <c r="AG33" s="18" t="s">
        <v>158</v>
      </c>
    </row>
    <row r="34" spans="1:33" s="18" customFormat="1">
      <c r="A34" s="80" t="s">
        <v>28</v>
      </c>
      <c r="B34" s="34" t="s">
        <v>100</v>
      </c>
      <c r="C34" s="34" t="s">
        <v>79</v>
      </c>
      <c r="D34" s="34" t="s">
        <v>30</v>
      </c>
      <c r="E34" s="53">
        <v>42296</v>
      </c>
      <c r="F34" s="35"/>
      <c r="G34" s="35"/>
      <c r="H34" s="35"/>
      <c r="I34" s="49">
        <f t="shared" si="0"/>
        <v>0</v>
      </c>
      <c r="J34" s="35"/>
      <c r="K34" s="65"/>
      <c r="L34" s="35"/>
      <c r="M34" s="35">
        <v>0</v>
      </c>
      <c r="N34" s="66"/>
      <c r="O34" s="66"/>
      <c r="P34" s="35"/>
      <c r="Q34" s="33"/>
      <c r="R34" s="33"/>
      <c r="S34" s="34"/>
      <c r="T34" s="34">
        <v>789.75</v>
      </c>
      <c r="U34" s="49">
        <f t="shared" si="27"/>
        <v>-789.75</v>
      </c>
      <c r="V34" s="34">
        <f t="shared" si="20"/>
        <v>0</v>
      </c>
      <c r="W34" s="34">
        <f t="shared" si="21"/>
        <v>-789.75</v>
      </c>
      <c r="X34" s="33">
        <f t="shared" si="22"/>
        <v>0</v>
      </c>
      <c r="Y34" s="33">
        <v>10.23</v>
      </c>
      <c r="Z34" s="33">
        <f t="shared" si="23"/>
        <v>0</v>
      </c>
      <c r="AA34" s="49">
        <f t="shared" si="24"/>
        <v>10.23</v>
      </c>
      <c r="AB34" s="55"/>
      <c r="AC34" s="55"/>
      <c r="AD34" s="50">
        <f>+AB34+AC34-W34</f>
        <v>789.75</v>
      </c>
      <c r="AE34" s="78">
        <v>56708881460</v>
      </c>
      <c r="AF34" s="36"/>
      <c r="AG34" s="18" t="s">
        <v>158</v>
      </c>
    </row>
    <row r="35" spans="1:33" s="18" customFormat="1">
      <c r="A35" s="80" t="s">
        <v>27</v>
      </c>
      <c r="B35" s="34" t="s">
        <v>202</v>
      </c>
      <c r="C35" s="34"/>
      <c r="D35" s="34" t="s">
        <v>46</v>
      </c>
      <c r="E35" s="53">
        <v>42916</v>
      </c>
      <c r="F35" s="35">
        <v>4746.1000000000004</v>
      </c>
      <c r="G35" s="35"/>
      <c r="H35" s="35"/>
      <c r="I35" s="49">
        <f t="shared" si="0"/>
        <v>4746.1000000000004</v>
      </c>
      <c r="J35" s="35"/>
      <c r="K35" s="65"/>
      <c r="L35" s="35"/>
      <c r="M35" s="35"/>
      <c r="N35" s="66"/>
      <c r="O35" s="66"/>
      <c r="P35" s="35"/>
      <c r="Q35" s="33"/>
      <c r="R35" s="33"/>
      <c r="S35" s="34"/>
      <c r="T35" s="34"/>
      <c r="U35" s="49"/>
      <c r="V35" s="34"/>
      <c r="W35" s="34"/>
      <c r="X35" s="33"/>
      <c r="Y35" s="33"/>
      <c r="Z35" s="33"/>
      <c r="AA35" s="49"/>
      <c r="AB35" s="55"/>
      <c r="AC35" s="55"/>
      <c r="AD35" s="50"/>
      <c r="AE35" s="78">
        <v>60592636121</v>
      </c>
      <c r="AF35" s="36"/>
    </row>
    <row r="36" spans="1:33" s="18" customFormat="1">
      <c r="A36" s="80" t="s">
        <v>27</v>
      </c>
      <c r="B36" s="34" t="s">
        <v>36</v>
      </c>
      <c r="C36" s="34" t="s">
        <v>90</v>
      </c>
      <c r="D36" s="34" t="s">
        <v>46</v>
      </c>
      <c r="E36" s="53">
        <v>42199</v>
      </c>
      <c r="F36" s="35">
        <v>5599.04</v>
      </c>
      <c r="G36" s="35"/>
      <c r="H36" s="35"/>
      <c r="I36" s="49">
        <f t="shared" si="0"/>
        <v>5599.04</v>
      </c>
      <c r="J36" s="35"/>
      <c r="K36" s="65"/>
      <c r="L36" s="35"/>
      <c r="M36" s="35">
        <v>0</v>
      </c>
      <c r="N36" s="66"/>
      <c r="O36" s="66"/>
      <c r="P36" s="35"/>
      <c r="Q36" s="33"/>
      <c r="R36" s="33"/>
      <c r="S36" s="34"/>
      <c r="T36" s="34">
        <v>0</v>
      </c>
      <c r="U36" s="49">
        <f t="shared" si="27"/>
        <v>5599.04</v>
      </c>
      <c r="V36" s="33">
        <f t="shared" si="20"/>
        <v>559.904</v>
      </c>
      <c r="W36" s="49">
        <f t="shared" si="21"/>
        <v>5039.1360000000004</v>
      </c>
      <c r="X36" s="33">
        <f t="shared" si="22"/>
        <v>0</v>
      </c>
      <c r="Y36" s="33">
        <v>10.23</v>
      </c>
      <c r="Z36" s="33">
        <f t="shared" si="23"/>
        <v>0</v>
      </c>
      <c r="AA36" s="49">
        <f t="shared" si="24"/>
        <v>5609.2699999999995</v>
      </c>
      <c r="AB36" s="55"/>
      <c r="AC36" s="56"/>
      <c r="AD36" s="50">
        <f>+AB36+AC36-W36</f>
        <v>-5039.1360000000004</v>
      </c>
      <c r="AE36" s="36">
        <v>56708881474</v>
      </c>
      <c r="AF36" s="34"/>
      <c r="AG36" s="18" t="s">
        <v>158</v>
      </c>
    </row>
    <row r="37" spans="1:33" s="18" customFormat="1">
      <c r="A37" s="80" t="s">
        <v>28</v>
      </c>
      <c r="B37" s="34" t="s">
        <v>80</v>
      </c>
      <c r="C37" s="34" t="s">
        <v>79</v>
      </c>
      <c r="D37" s="34" t="s">
        <v>30</v>
      </c>
      <c r="E37" s="53">
        <v>42304</v>
      </c>
      <c r="F37" s="35"/>
      <c r="G37" s="35"/>
      <c r="H37" s="35"/>
      <c r="I37" s="49">
        <f t="shared" si="0"/>
        <v>0</v>
      </c>
      <c r="J37" s="35"/>
      <c r="K37" s="65"/>
      <c r="L37" s="35"/>
      <c r="M37" s="35">
        <v>0</v>
      </c>
      <c r="N37" s="66"/>
      <c r="O37" s="66"/>
      <c r="P37" s="35"/>
      <c r="Q37" s="33"/>
      <c r="R37" s="33"/>
      <c r="S37" s="34"/>
      <c r="T37" s="34">
        <v>0</v>
      </c>
      <c r="U37" s="49">
        <f t="shared" si="27"/>
        <v>0</v>
      </c>
      <c r="V37" s="33">
        <f t="shared" si="20"/>
        <v>0</v>
      </c>
      <c r="W37" s="49">
        <f t="shared" si="21"/>
        <v>0</v>
      </c>
      <c r="X37" s="33">
        <f t="shared" si="22"/>
        <v>0</v>
      </c>
      <c r="Y37" s="33">
        <v>10.23</v>
      </c>
      <c r="Z37" s="33">
        <f t="shared" si="23"/>
        <v>0</v>
      </c>
      <c r="AA37" s="49">
        <f t="shared" si="24"/>
        <v>10.23</v>
      </c>
      <c r="AB37" s="50"/>
      <c r="AC37" s="50"/>
      <c r="AD37" s="50"/>
      <c r="AE37" s="36">
        <v>56708845069</v>
      </c>
      <c r="AF37" s="36"/>
      <c r="AG37" s="18" t="s">
        <v>158</v>
      </c>
    </row>
    <row r="38" spans="1:33" s="18" customFormat="1">
      <c r="A38" s="80" t="s">
        <v>27</v>
      </c>
      <c r="B38" s="34" t="s">
        <v>115</v>
      </c>
      <c r="C38" s="34"/>
      <c r="D38" s="34" t="s">
        <v>46</v>
      </c>
      <c r="E38" s="53">
        <v>42576</v>
      </c>
      <c r="F38" s="35"/>
      <c r="G38" s="35"/>
      <c r="H38" s="35"/>
      <c r="I38" s="49">
        <f t="shared" si="0"/>
        <v>0</v>
      </c>
      <c r="J38" s="35"/>
      <c r="K38" s="65">
        <v>1</v>
      </c>
      <c r="L38" s="35"/>
      <c r="M38" s="35">
        <v>0</v>
      </c>
      <c r="N38" s="66"/>
      <c r="O38" s="66"/>
      <c r="P38" s="35"/>
      <c r="Q38" s="33"/>
      <c r="R38" s="33"/>
      <c r="S38" s="34"/>
      <c r="T38" s="34">
        <v>0</v>
      </c>
      <c r="U38" s="49">
        <f t="shared" si="27"/>
        <v>-1</v>
      </c>
      <c r="V38" s="33">
        <f t="shared" si="20"/>
        <v>0</v>
      </c>
      <c r="W38" s="49">
        <f t="shared" si="21"/>
        <v>-1</v>
      </c>
      <c r="X38" s="33">
        <f t="shared" si="22"/>
        <v>0</v>
      </c>
      <c r="Y38" s="33">
        <v>11.23</v>
      </c>
      <c r="Z38" s="33">
        <f t="shared" si="23"/>
        <v>0</v>
      </c>
      <c r="AA38" s="49">
        <f t="shared" si="24"/>
        <v>11.23</v>
      </c>
      <c r="AB38" s="52"/>
      <c r="AC38" s="52"/>
      <c r="AD38" s="52"/>
      <c r="AE38" s="36">
        <v>56708845072</v>
      </c>
      <c r="AF38" s="36"/>
      <c r="AG38" s="18" t="s">
        <v>158</v>
      </c>
    </row>
    <row r="39" spans="1:33" s="18" customFormat="1">
      <c r="A39" s="80" t="s">
        <v>28</v>
      </c>
      <c r="B39" s="34" t="s">
        <v>97</v>
      </c>
      <c r="C39" s="34" t="s">
        <v>79</v>
      </c>
      <c r="D39" s="34" t="s">
        <v>30</v>
      </c>
      <c r="E39" s="53">
        <v>41622</v>
      </c>
      <c r="F39" s="35">
        <v>2500</v>
      </c>
      <c r="G39" s="35"/>
      <c r="H39" s="35"/>
      <c r="I39" s="49">
        <f t="shared" si="0"/>
        <v>2500</v>
      </c>
      <c r="J39" s="35"/>
      <c r="K39" s="65"/>
      <c r="L39" s="35"/>
      <c r="M39" s="35">
        <v>0</v>
      </c>
      <c r="N39" s="66"/>
      <c r="O39" s="66"/>
      <c r="P39" s="35"/>
      <c r="Q39" s="33"/>
      <c r="R39" s="33"/>
      <c r="S39" s="34"/>
      <c r="T39" s="34">
        <v>0</v>
      </c>
      <c r="U39" s="49">
        <f t="shared" si="27"/>
        <v>2500</v>
      </c>
      <c r="V39" s="33">
        <f t="shared" si="20"/>
        <v>250</v>
      </c>
      <c r="W39" s="49">
        <f t="shared" si="21"/>
        <v>2250</v>
      </c>
      <c r="X39" s="33">
        <f t="shared" si="22"/>
        <v>0</v>
      </c>
      <c r="Y39" s="33">
        <v>10.23</v>
      </c>
      <c r="Z39" s="33">
        <f t="shared" si="23"/>
        <v>0</v>
      </c>
      <c r="AA39" s="49">
        <f t="shared" si="24"/>
        <v>2510.23</v>
      </c>
      <c r="AB39" s="55"/>
      <c r="AC39" s="55"/>
      <c r="AD39" s="50">
        <f t="shared" ref="AD39:AD40" si="28">+AB39+AC39-W39</f>
        <v>-2250</v>
      </c>
      <c r="AE39" s="36">
        <v>56708881491</v>
      </c>
      <c r="AF39" s="34"/>
      <c r="AG39" s="18" t="s">
        <v>158</v>
      </c>
    </row>
    <row r="40" spans="1:33" s="18" customFormat="1">
      <c r="A40" s="80" t="s">
        <v>28</v>
      </c>
      <c r="B40" s="34" t="s">
        <v>103</v>
      </c>
      <c r="C40" s="34" t="s">
        <v>76</v>
      </c>
      <c r="D40" s="34" t="s">
        <v>30</v>
      </c>
      <c r="E40" s="53">
        <v>37834</v>
      </c>
      <c r="F40" s="35"/>
      <c r="G40" s="35"/>
      <c r="H40" s="35"/>
      <c r="I40" s="49">
        <f t="shared" si="0"/>
        <v>0</v>
      </c>
      <c r="J40" s="35"/>
      <c r="K40" s="65"/>
      <c r="L40" s="35"/>
      <c r="M40" s="35">
        <v>0</v>
      </c>
      <c r="N40" s="66"/>
      <c r="O40" s="66"/>
      <c r="P40" s="35"/>
      <c r="Q40" s="33"/>
      <c r="R40" s="33"/>
      <c r="S40" s="34"/>
      <c r="T40" s="34">
        <v>0</v>
      </c>
      <c r="U40" s="49">
        <f t="shared" si="27"/>
        <v>0</v>
      </c>
      <c r="V40" s="33">
        <f t="shared" si="20"/>
        <v>0</v>
      </c>
      <c r="W40" s="49">
        <f t="shared" si="21"/>
        <v>0</v>
      </c>
      <c r="X40" s="33">
        <f t="shared" si="22"/>
        <v>0</v>
      </c>
      <c r="Y40" s="33">
        <v>10.23</v>
      </c>
      <c r="Z40" s="33">
        <f t="shared" si="23"/>
        <v>0</v>
      </c>
      <c r="AA40" s="49">
        <f t="shared" si="24"/>
        <v>10.23</v>
      </c>
      <c r="AB40" s="55"/>
      <c r="AC40" s="56"/>
      <c r="AD40" s="50">
        <f t="shared" si="28"/>
        <v>0</v>
      </c>
      <c r="AE40" s="36">
        <v>56708881503</v>
      </c>
      <c r="AF40" s="36"/>
      <c r="AG40" s="18" t="s">
        <v>158</v>
      </c>
    </row>
    <row r="41" spans="1:33" s="94" customFormat="1">
      <c r="A41" s="84" t="s">
        <v>28</v>
      </c>
      <c r="B41" s="84" t="s">
        <v>131</v>
      </c>
      <c r="C41" s="84"/>
      <c r="D41" s="84" t="s">
        <v>30</v>
      </c>
      <c r="E41" s="85">
        <v>42342</v>
      </c>
      <c r="F41" s="86"/>
      <c r="G41" s="86"/>
      <c r="H41" s="86"/>
      <c r="I41" s="40">
        <f t="shared" si="0"/>
        <v>0</v>
      </c>
      <c r="J41" s="86"/>
      <c r="K41" s="87"/>
      <c r="L41" s="86"/>
      <c r="M41" s="86">
        <v>0</v>
      </c>
      <c r="N41" s="88"/>
      <c r="O41" s="88"/>
      <c r="P41" s="86"/>
      <c r="Q41" s="89"/>
      <c r="R41" s="89"/>
      <c r="S41" s="101"/>
      <c r="T41" s="101"/>
      <c r="U41" s="40">
        <f t="shared" ref="U41:U57" si="29">+I41-SUM(J41:T41)</f>
        <v>0</v>
      </c>
      <c r="V41" s="89">
        <f t="shared" ref="V41" si="30">IF(I41&gt;2250,I41*0.1,0)</f>
        <v>0</v>
      </c>
      <c r="W41" s="40">
        <f t="shared" ref="W41" si="31">+U41-V41</f>
        <v>0</v>
      </c>
      <c r="X41" s="89"/>
      <c r="Y41" s="89"/>
      <c r="Z41" s="89"/>
      <c r="AA41" s="40"/>
      <c r="AB41" s="90"/>
      <c r="AC41" s="99"/>
      <c r="AD41" s="91"/>
      <c r="AE41" s="93">
        <v>56708845101</v>
      </c>
      <c r="AF41" s="93" t="s">
        <v>194</v>
      </c>
      <c r="AG41" s="94" t="s">
        <v>158</v>
      </c>
    </row>
    <row r="42" spans="1:33" s="18" customFormat="1">
      <c r="A42" s="80" t="s">
        <v>28</v>
      </c>
      <c r="B42" s="34" t="s">
        <v>89</v>
      </c>
      <c r="C42" s="34"/>
      <c r="D42" s="34" t="s">
        <v>45</v>
      </c>
      <c r="E42" s="53">
        <v>40813</v>
      </c>
      <c r="F42" s="68"/>
      <c r="G42" s="35"/>
      <c r="H42" s="35"/>
      <c r="I42" s="49">
        <f>SUM(F42:H42)</f>
        <v>0</v>
      </c>
      <c r="J42" s="35"/>
      <c r="K42" s="65"/>
      <c r="L42" s="35"/>
      <c r="M42" s="35"/>
      <c r="N42" s="66"/>
      <c r="O42" s="66"/>
      <c r="P42" s="35"/>
      <c r="Q42" s="33"/>
      <c r="R42" s="33"/>
      <c r="S42" s="51"/>
      <c r="T42" s="51"/>
      <c r="U42" s="49">
        <f t="shared" si="29"/>
        <v>0</v>
      </c>
      <c r="V42" s="33">
        <f t="shared" ref="V42" si="32">+U42*0.05</f>
        <v>0</v>
      </c>
      <c r="W42" s="49">
        <f t="shared" ref="W42" si="33">+U42-Q42-T42</f>
        <v>0</v>
      </c>
      <c r="X42" s="33">
        <f t="shared" ref="X42" si="34">IF(U42&lt;3000,U42*0.1,0)</f>
        <v>0</v>
      </c>
      <c r="Y42" s="33"/>
      <c r="Z42" s="33"/>
      <c r="AA42" s="49">
        <f t="shared" ref="AA42" si="35">+U42+X42+Y42</f>
        <v>0</v>
      </c>
      <c r="AB42" s="55"/>
      <c r="AC42" s="56"/>
      <c r="AD42" s="50"/>
      <c r="AE42" s="36">
        <v>60589552237</v>
      </c>
      <c r="AF42" s="36"/>
      <c r="AG42" s="18" t="s">
        <v>158</v>
      </c>
    </row>
    <row r="43" spans="1:33" s="18" customFormat="1">
      <c r="A43" s="80" t="s">
        <v>28</v>
      </c>
      <c r="B43" s="34" t="s">
        <v>170</v>
      </c>
      <c r="C43" s="34"/>
      <c r="D43" s="34" t="s">
        <v>30</v>
      </c>
      <c r="E43" s="53">
        <v>42772</v>
      </c>
      <c r="F43" s="35"/>
      <c r="G43" s="35"/>
      <c r="H43" s="35"/>
      <c r="I43" s="49">
        <f>SUM(F43:H43)</f>
        <v>0</v>
      </c>
      <c r="J43" s="35">
        <v>1250</v>
      </c>
      <c r="K43" s="65"/>
      <c r="L43" s="35"/>
      <c r="M43" s="35"/>
      <c r="N43" s="66"/>
      <c r="O43" s="66"/>
      <c r="P43" s="35"/>
      <c r="Q43" s="33">
        <v>572.66999999999996</v>
      </c>
      <c r="R43" s="33"/>
      <c r="S43" s="51"/>
      <c r="T43" s="51"/>
      <c r="U43" s="49">
        <f t="shared" si="29"/>
        <v>-1822.67</v>
      </c>
      <c r="V43" s="33"/>
      <c r="W43" s="49"/>
      <c r="X43" s="33"/>
      <c r="Y43" s="33"/>
      <c r="Z43" s="33"/>
      <c r="AA43" s="49"/>
      <c r="AB43" s="55"/>
      <c r="AC43" s="56"/>
      <c r="AD43" s="50"/>
      <c r="AE43" s="36">
        <v>60589624037</v>
      </c>
      <c r="AF43" s="36" t="s">
        <v>179</v>
      </c>
      <c r="AG43" s="18" t="s">
        <v>158</v>
      </c>
    </row>
    <row r="44" spans="1:33" s="18" customFormat="1">
      <c r="A44" s="80" t="s">
        <v>27</v>
      </c>
      <c r="B44" s="34" t="s">
        <v>203</v>
      </c>
      <c r="C44" s="34"/>
      <c r="D44" s="34" t="s">
        <v>30</v>
      </c>
      <c r="E44" s="53">
        <v>42852</v>
      </c>
      <c r="F44" s="35">
        <v>10892.7</v>
      </c>
      <c r="G44" s="35"/>
      <c r="H44" s="35"/>
      <c r="I44" s="49">
        <f>SUM(F44:H44)</f>
        <v>10892.7</v>
      </c>
      <c r="J44" s="35"/>
      <c r="K44" s="65"/>
      <c r="L44" s="35"/>
      <c r="M44" s="35"/>
      <c r="N44" s="66"/>
      <c r="O44" s="66"/>
      <c r="P44" s="35"/>
      <c r="Q44" s="33"/>
      <c r="R44" s="33"/>
      <c r="S44" s="51"/>
      <c r="T44" s="51"/>
      <c r="U44" s="49">
        <f t="shared" si="29"/>
        <v>10892.7</v>
      </c>
      <c r="V44" s="33"/>
      <c r="W44" s="49"/>
      <c r="X44" s="33"/>
      <c r="Y44" s="33"/>
      <c r="Z44" s="33"/>
      <c r="AA44" s="49"/>
      <c r="AB44" s="55"/>
      <c r="AC44" s="56"/>
      <c r="AD44" s="50"/>
      <c r="AE44" s="36">
        <v>60590678030</v>
      </c>
      <c r="AF44" s="36"/>
      <c r="AG44" s="18" t="s">
        <v>158</v>
      </c>
    </row>
    <row r="45" spans="1:33" s="18" customFormat="1">
      <c r="A45" s="80" t="s">
        <v>28</v>
      </c>
      <c r="B45" s="34" t="s">
        <v>134</v>
      </c>
      <c r="C45" s="34"/>
      <c r="D45" s="34" t="s">
        <v>30</v>
      </c>
      <c r="E45" s="53">
        <v>42648</v>
      </c>
      <c r="F45" s="35">
        <v>5662.99</v>
      </c>
      <c r="G45" s="35"/>
      <c r="H45" s="35"/>
      <c r="I45" s="49">
        <f t="shared" si="0"/>
        <v>5662.99</v>
      </c>
      <c r="J45" s="35"/>
      <c r="K45" s="65">
        <v>1</v>
      </c>
      <c r="L45" s="35"/>
      <c r="M45" s="35"/>
      <c r="N45" s="66"/>
      <c r="O45" s="66"/>
      <c r="P45" s="35"/>
      <c r="Q45" s="33"/>
      <c r="R45" s="33"/>
      <c r="S45" s="51"/>
      <c r="T45" s="51"/>
      <c r="U45" s="49">
        <f t="shared" si="29"/>
        <v>5661.99</v>
      </c>
      <c r="V45" s="33">
        <f t="shared" ref="V45" si="36">IF(I45&gt;2250,I45*0.1,0)</f>
        <v>566.29899999999998</v>
      </c>
      <c r="W45" s="49">
        <f t="shared" ref="W45" si="37">+U45-V45</f>
        <v>5095.6909999999998</v>
      </c>
      <c r="X45" s="33"/>
      <c r="Y45" s="33"/>
      <c r="Z45" s="33"/>
      <c r="AA45" s="49"/>
      <c r="AB45" s="55"/>
      <c r="AC45" s="56"/>
      <c r="AD45" s="50"/>
      <c r="AE45" s="36">
        <v>56708845115</v>
      </c>
      <c r="AF45" s="36"/>
      <c r="AG45" s="18" t="s">
        <v>158</v>
      </c>
    </row>
    <row r="46" spans="1:33" s="18" customFormat="1">
      <c r="A46" s="80" t="s">
        <v>27</v>
      </c>
      <c r="B46" s="34" t="s">
        <v>138</v>
      </c>
      <c r="C46" s="34"/>
      <c r="D46" s="34" t="s">
        <v>185</v>
      </c>
      <c r="E46" s="53">
        <v>42644</v>
      </c>
      <c r="F46" s="35">
        <v>2464.52</v>
      </c>
      <c r="G46" s="35"/>
      <c r="H46" s="35"/>
      <c r="I46" s="49">
        <f t="shared" si="0"/>
        <v>2464.52</v>
      </c>
      <c r="J46" s="35"/>
      <c r="K46" s="65"/>
      <c r="L46" s="35"/>
      <c r="M46" s="35"/>
      <c r="N46" s="66"/>
      <c r="O46" s="66"/>
      <c r="P46" s="35"/>
      <c r="Q46" s="33"/>
      <c r="R46" s="33"/>
      <c r="S46" s="51"/>
      <c r="T46" s="51"/>
      <c r="U46" s="49">
        <f t="shared" si="29"/>
        <v>2464.52</v>
      </c>
      <c r="V46" s="33">
        <f t="shared" ref="V46" si="38">IF(I46&gt;2250,I46*0.1,0)</f>
        <v>246.452</v>
      </c>
      <c r="W46" s="49">
        <f t="shared" ref="W46" si="39">+U46-V46</f>
        <v>2218.0680000000002</v>
      </c>
      <c r="X46" s="33"/>
      <c r="Y46" s="33"/>
      <c r="Z46" s="33"/>
      <c r="AA46" s="49"/>
      <c r="AB46" s="55"/>
      <c r="AC46" s="56"/>
      <c r="AD46" s="50"/>
      <c r="AE46" s="36">
        <v>56708845530</v>
      </c>
      <c r="AF46" s="36"/>
      <c r="AG46" s="18" t="s">
        <v>158</v>
      </c>
    </row>
    <row r="47" spans="1:33" s="18" customFormat="1">
      <c r="A47" s="80" t="s">
        <v>28</v>
      </c>
      <c r="B47" s="34" t="s">
        <v>184</v>
      </c>
      <c r="C47" s="34"/>
      <c r="D47" s="34" t="s">
        <v>30</v>
      </c>
      <c r="E47" s="53">
        <v>42751</v>
      </c>
      <c r="F47" s="35"/>
      <c r="G47" s="35"/>
      <c r="H47" s="35"/>
      <c r="I47" s="49">
        <f t="shared" si="0"/>
        <v>0</v>
      </c>
      <c r="J47" s="35"/>
      <c r="K47" s="65"/>
      <c r="L47" s="35"/>
      <c r="M47" s="35"/>
      <c r="N47" s="66"/>
      <c r="O47" s="66"/>
      <c r="P47" s="35"/>
      <c r="Q47" s="33"/>
      <c r="R47" s="33"/>
      <c r="S47" s="34"/>
      <c r="T47" s="34"/>
      <c r="U47" s="49">
        <f t="shared" si="29"/>
        <v>0</v>
      </c>
      <c r="V47" s="33">
        <f t="shared" ref="V47" si="40">IF(I47&gt;2250,I47*0.1,0)</f>
        <v>0</v>
      </c>
      <c r="W47" s="49">
        <f t="shared" ref="W47" si="41">+U47-V47</f>
        <v>0</v>
      </c>
      <c r="X47" s="33"/>
      <c r="Y47" s="33"/>
      <c r="Z47" s="33"/>
      <c r="AA47" s="49"/>
      <c r="AB47" s="55"/>
      <c r="AC47" s="56"/>
      <c r="AD47" s="50"/>
      <c r="AE47" s="36">
        <v>60589665774</v>
      </c>
      <c r="AF47" s="34"/>
      <c r="AG47" s="18" t="s">
        <v>158</v>
      </c>
    </row>
    <row r="48" spans="1:33" s="18" customFormat="1">
      <c r="A48" s="95" t="s">
        <v>28</v>
      </c>
      <c r="B48" s="95" t="s">
        <v>211</v>
      </c>
      <c r="C48" s="95"/>
      <c r="D48" s="95" t="s">
        <v>30</v>
      </c>
      <c r="E48" s="96">
        <v>42921</v>
      </c>
      <c r="F48" s="97">
        <v>4000</v>
      </c>
      <c r="G48" s="97"/>
      <c r="H48" s="97"/>
      <c r="I48" s="49"/>
      <c r="J48" s="35"/>
      <c r="K48" s="65"/>
      <c r="L48" s="35"/>
      <c r="M48" s="35"/>
      <c r="N48" s="66"/>
      <c r="O48" s="66"/>
      <c r="P48" s="35"/>
      <c r="Q48" s="33"/>
      <c r="R48" s="33"/>
      <c r="S48" s="34"/>
      <c r="T48" s="34"/>
      <c r="U48" s="49"/>
      <c r="V48" s="33"/>
      <c r="W48" s="49"/>
      <c r="X48" s="33"/>
      <c r="Y48" s="33"/>
      <c r="Z48" s="33"/>
      <c r="AA48" s="49"/>
      <c r="AB48" s="55"/>
      <c r="AC48" s="56"/>
      <c r="AD48" s="50"/>
      <c r="AE48" s="98">
        <v>56708881702</v>
      </c>
      <c r="AF48" s="98"/>
    </row>
    <row r="49" spans="1:33" s="18" customFormat="1">
      <c r="A49" s="80" t="s">
        <v>41</v>
      </c>
      <c r="B49" s="34" t="s">
        <v>178</v>
      </c>
      <c r="C49" s="34"/>
      <c r="D49" s="34" t="s">
        <v>45</v>
      </c>
      <c r="E49" s="53">
        <v>42891</v>
      </c>
      <c r="F49" s="35"/>
      <c r="G49" s="35"/>
      <c r="H49" s="35"/>
      <c r="I49" s="49">
        <f t="shared" si="0"/>
        <v>0</v>
      </c>
      <c r="J49" s="35"/>
      <c r="K49" s="65"/>
      <c r="L49" s="35"/>
      <c r="M49" s="35"/>
      <c r="N49" s="66"/>
      <c r="O49" s="66"/>
      <c r="P49" s="35"/>
      <c r="Q49" s="33"/>
      <c r="R49" s="33"/>
      <c r="S49" s="34"/>
      <c r="T49" s="34"/>
      <c r="U49" s="49">
        <f t="shared" si="29"/>
        <v>0</v>
      </c>
      <c r="V49" s="33"/>
      <c r="W49" s="49"/>
      <c r="X49" s="33"/>
      <c r="Y49" s="33"/>
      <c r="Z49" s="33"/>
      <c r="AA49" s="49"/>
      <c r="AB49" s="55"/>
      <c r="AC49" s="56"/>
      <c r="AD49" s="50"/>
      <c r="AE49" s="36">
        <v>60590340221</v>
      </c>
      <c r="AF49" s="34"/>
    </row>
    <row r="50" spans="1:33" s="18" customFormat="1">
      <c r="A50" s="80" t="s">
        <v>39</v>
      </c>
      <c r="B50" s="34" t="s">
        <v>106</v>
      </c>
      <c r="C50" s="34"/>
      <c r="D50" s="34" t="s">
        <v>29</v>
      </c>
      <c r="E50" s="53">
        <v>42506</v>
      </c>
      <c r="F50" s="35">
        <v>3996.41</v>
      </c>
      <c r="G50" s="35"/>
      <c r="H50" s="35"/>
      <c r="I50" s="49">
        <f t="shared" si="0"/>
        <v>3996.41</v>
      </c>
      <c r="J50" s="35"/>
      <c r="K50" s="65"/>
      <c r="L50" s="35"/>
      <c r="M50" s="35">
        <v>0</v>
      </c>
      <c r="N50" s="66"/>
      <c r="O50" s="66"/>
      <c r="P50" s="35"/>
      <c r="Q50" s="33"/>
      <c r="R50" s="33"/>
      <c r="S50" s="34"/>
      <c r="T50" s="34"/>
      <c r="U50" s="49">
        <f t="shared" si="29"/>
        <v>3996.41</v>
      </c>
      <c r="V50" s="33">
        <f t="shared" si="20"/>
        <v>399.64100000000002</v>
      </c>
      <c r="W50" s="49">
        <f t="shared" si="21"/>
        <v>3596.7689999999998</v>
      </c>
      <c r="X50" s="33">
        <f t="shared" si="22"/>
        <v>0</v>
      </c>
      <c r="Y50" s="33">
        <v>10.23</v>
      </c>
      <c r="Z50" s="33">
        <f t="shared" si="23"/>
        <v>0</v>
      </c>
      <c r="AA50" s="49">
        <f t="shared" si="24"/>
        <v>4006.64</v>
      </c>
      <c r="AB50" s="55"/>
      <c r="AC50" s="55"/>
      <c r="AD50" s="50">
        <f t="shared" ref="AD50" si="42">+AB50+AC50-W50</f>
        <v>-3596.7689999999998</v>
      </c>
      <c r="AE50" s="36">
        <v>56708881551</v>
      </c>
      <c r="AF50" s="36"/>
      <c r="AG50" s="18" t="s">
        <v>158</v>
      </c>
    </row>
    <row r="51" spans="1:33" s="18" customFormat="1">
      <c r="A51" s="80" t="s">
        <v>28</v>
      </c>
      <c r="B51" s="34" t="s">
        <v>189</v>
      </c>
      <c r="C51" s="34"/>
      <c r="D51" s="34" t="s">
        <v>30</v>
      </c>
      <c r="E51" s="53">
        <v>42907</v>
      </c>
      <c r="F51" s="35"/>
      <c r="G51" s="35"/>
      <c r="H51" s="35"/>
      <c r="I51" s="49">
        <f t="shared" si="0"/>
        <v>0</v>
      </c>
      <c r="J51" s="35"/>
      <c r="K51" s="65"/>
      <c r="L51" s="35"/>
      <c r="M51" s="35"/>
      <c r="N51" s="66"/>
      <c r="O51" s="66"/>
      <c r="P51" s="35"/>
      <c r="Q51" s="33"/>
      <c r="R51" s="33"/>
      <c r="S51" s="34"/>
      <c r="T51" s="34"/>
      <c r="U51" s="49">
        <f t="shared" si="29"/>
        <v>0</v>
      </c>
      <c r="V51" s="33"/>
      <c r="W51" s="49"/>
      <c r="X51" s="33"/>
      <c r="Y51" s="33"/>
      <c r="Z51" s="33"/>
      <c r="AA51" s="49"/>
      <c r="AB51" s="55"/>
      <c r="AC51" s="55"/>
      <c r="AD51" s="50"/>
      <c r="AE51" s="36">
        <v>60592337307</v>
      </c>
      <c r="AF51" s="36"/>
    </row>
    <row r="52" spans="1:33" s="18" customFormat="1">
      <c r="A52" s="80" t="s">
        <v>28</v>
      </c>
      <c r="B52" s="34" t="s">
        <v>146</v>
      </c>
      <c r="C52" s="34"/>
      <c r="D52" s="34" t="s">
        <v>30</v>
      </c>
      <c r="E52" s="53">
        <v>42730</v>
      </c>
      <c r="F52" s="35">
        <v>6828.86</v>
      </c>
      <c r="G52" s="35"/>
      <c r="H52" s="35"/>
      <c r="I52" s="49">
        <f t="shared" si="0"/>
        <v>6828.86</v>
      </c>
      <c r="J52" s="35"/>
      <c r="K52" s="65"/>
      <c r="L52" s="35"/>
      <c r="M52" s="35"/>
      <c r="N52" s="66"/>
      <c r="O52" s="66"/>
      <c r="P52" s="35"/>
      <c r="Q52" s="33"/>
      <c r="R52" s="33"/>
      <c r="S52" s="34"/>
      <c r="T52" s="34"/>
      <c r="U52" s="49">
        <f t="shared" si="29"/>
        <v>6828.86</v>
      </c>
      <c r="V52" s="33">
        <f t="shared" ref="V52" si="43">IF(I52&gt;2250,I52*0.1,0)</f>
        <v>682.88599999999997</v>
      </c>
      <c r="W52" s="49">
        <f t="shared" ref="W52" si="44">+U52-V52</f>
        <v>6145.9740000000002</v>
      </c>
      <c r="X52" s="33"/>
      <c r="Y52" s="33"/>
      <c r="Z52" s="33"/>
      <c r="AA52" s="49"/>
      <c r="AB52" s="55"/>
      <c r="AC52" s="55"/>
      <c r="AD52" s="50"/>
      <c r="AE52" s="36">
        <v>60589669043</v>
      </c>
      <c r="AF52" s="36"/>
      <c r="AG52" s="18" t="s">
        <v>158</v>
      </c>
    </row>
    <row r="53" spans="1:33" s="18" customFormat="1">
      <c r="A53" s="80" t="s">
        <v>28</v>
      </c>
      <c r="B53" s="34" t="s">
        <v>110</v>
      </c>
      <c r="C53" s="34"/>
      <c r="D53" s="34" t="s">
        <v>30</v>
      </c>
      <c r="E53" s="53">
        <v>42522</v>
      </c>
      <c r="F53" s="35">
        <v>1084.08</v>
      </c>
      <c r="G53" s="35"/>
      <c r="H53" s="35"/>
      <c r="I53" s="49">
        <f t="shared" si="0"/>
        <v>1084.08</v>
      </c>
      <c r="J53" s="35"/>
      <c r="K53" s="65">
        <v>2</v>
      </c>
      <c r="L53" s="35"/>
      <c r="M53" s="35">
        <v>0</v>
      </c>
      <c r="N53" s="66"/>
      <c r="O53" s="66"/>
      <c r="P53" s="35"/>
      <c r="Q53" s="33">
        <v>1000</v>
      </c>
      <c r="R53" s="33"/>
      <c r="S53" s="34"/>
      <c r="T53" s="34"/>
      <c r="U53" s="49">
        <f t="shared" si="29"/>
        <v>82.079999999999927</v>
      </c>
      <c r="V53" s="33">
        <f t="shared" ref="V53:V59" si="45">IF(I53&gt;2250,I53*0.1,0)</f>
        <v>0</v>
      </c>
      <c r="W53" s="49">
        <f t="shared" ref="W53:W69" si="46">+U53-V53</f>
        <v>82.079999999999927</v>
      </c>
      <c r="X53" s="33">
        <f t="shared" ref="X53:X68" si="47">IF(I53&lt;2250,I53*0.1,0)</f>
        <v>108.408</v>
      </c>
      <c r="Y53" s="33">
        <v>10.23</v>
      </c>
      <c r="Z53" s="33">
        <f t="shared" ref="Z53:Z68" si="48">+N53</f>
        <v>0</v>
      </c>
      <c r="AA53" s="49">
        <f t="shared" ref="AA53:AA68" si="49">+I53+X53+Y53+Z53</f>
        <v>1202.7179999999998</v>
      </c>
      <c r="AB53" s="55"/>
      <c r="AC53" s="55"/>
      <c r="AD53" s="50"/>
      <c r="AE53" s="36">
        <v>56708845237</v>
      </c>
      <c r="AF53" s="36"/>
      <c r="AG53" s="18" t="s">
        <v>158</v>
      </c>
    </row>
    <row r="54" spans="1:33" s="18" customFormat="1">
      <c r="A54" s="80" t="s">
        <v>28</v>
      </c>
      <c r="B54" s="34" t="s">
        <v>63</v>
      </c>
      <c r="C54" s="34" t="s">
        <v>76</v>
      </c>
      <c r="D54" s="34" t="s">
        <v>30</v>
      </c>
      <c r="E54" s="53">
        <v>42396</v>
      </c>
      <c r="F54" s="35"/>
      <c r="G54" s="35"/>
      <c r="H54" s="35"/>
      <c r="I54" s="49">
        <f t="shared" si="0"/>
        <v>0</v>
      </c>
      <c r="J54" s="35"/>
      <c r="K54" s="65"/>
      <c r="L54" s="35"/>
      <c r="M54" s="35">
        <v>0</v>
      </c>
      <c r="N54" s="66"/>
      <c r="O54" s="66"/>
      <c r="P54" s="35"/>
      <c r="Q54" s="33" t="s">
        <v>192</v>
      </c>
      <c r="R54" s="33"/>
      <c r="S54" s="34"/>
      <c r="T54" s="34">
        <v>500</v>
      </c>
      <c r="U54" s="49">
        <f t="shared" si="29"/>
        <v>-500</v>
      </c>
      <c r="V54" s="33">
        <f t="shared" si="45"/>
        <v>0</v>
      </c>
      <c r="W54" s="49">
        <f t="shared" si="46"/>
        <v>-500</v>
      </c>
      <c r="X54" s="33">
        <f t="shared" si="47"/>
        <v>0</v>
      </c>
      <c r="Y54" s="33">
        <v>10.23</v>
      </c>
      <c r="Z54" s="33">
        <f t="shared" si="48"/>
        <v>0</v>
      </c>
      <c r="AA54" s="49">
        <f t="shared" si="49"/>
        <v>10.23</v>
      </c>
      <c r="AB54" s="55"/>
      <c r="AC54" s="55"/>
      <c r="AD54" s="50">
        <f t="shared" ref="AD54:AD59" si="50">+AB54+AC54-W54</f>
        <v>500</v>
      </c>
      <c r="AE54" s="36">
        <v>56708881579</v>
      </c>
      <c r="AF54" s="36"/>
      <c r="AG54" s="18" t="s">
        <v>158</v>
      </c>
    </row>
    <row r="55" spans="1:33" s="18" customFormat="1">
      <c r="A55" s="80" t="s">
        <v>39</v>
      </c>
      <c r="B55" s="34" t="s">
        <v>71</v>
      </c>
      <c r="C55" s="34"/>
      <c r="D55" s="34" t="s">
        <v>45</v>
      </c>
      <c r="E55" s="53">
        <v>42321</v>
      </c>
      <c r="F55" s="68"/>
      <c r="G55" s="35"/>
      <c r="H55" s="35"/>
      <c r="I55" s="49">
        <f t="shared" si="0"/>
        <v>0</v>
      </c>
      <c r="J55" s="35"/>
      <c r="K55" s="65"/>
      <c r="L55" s="35"/>
      <c r="M55" s="35">
        <v>0</v>
      </c>
      <c r="N55" s="66"/>
      <c r="O55" s="66"/>
      <c r="P55" s="35"/>
      <c r="Q55" s="33"/>
      <c r="R55" s="33"/>
      <c r="S55" s="34"/>
      <c r="T55" s="34"/>
      <c r="U55" s="49">
        <f t="shared" si="29"/>
        <v>0</v>
      </c>
      <c r="V55" s="33">
        <f t="shared" si="45"/>
        <v>0</v>
      </c>
      <c r="W55" s="49">
        <f t="shared" si="46"/>
        <v>0</v>
      </c>
      <c r="X55" s="33">
        <f t="shared" si="47"/>
        <v>0</v>
      </c>
      <c r="Y55" s="33">
        <v>10.23</v>
      </c>
      <c r="Z55" s="33">
        <f t="shared" si="48"/>
        <v>0</v>
      </c>
      <c r="AA55" s="49">
        <f t="shared" si="49"/>
        <v>10.23</v>
      </c>
      <c r="AB55" s="55"/>
      <c r="AC55" s="56"/>
      <c r="AD55" s="50">
        <f t="shared" si="50"/>
        <v>0</v>
      </c>
      <c r="AE55" s="36">
        <v>56708845240</v>
      </c>
      <c r="AF55" s="34"/>
      <c r="AG55" s="18" t="s">
        <v>158</v>
      </c>
    </row>
    <row r="56" spans="1:33" s="18" customFormat="1">
      <c r="A56" s="80" t="s">
        <v>27</v>
      </c>
      <c r="B56" s="34" t="s">
        <v>188</v>
      </c>
      <c r="C56" s="34"/>
      <c r="D56" s="34" t="s">
        <v>126</v>
      </c>
      <c r="E56" s="53">
        <v>42908</v>
      </c>
      <c r="F56" s="35"/>
      <c r="G56" s="35"/>
      <c r="H56" s="35"/>
      <c r="I56" s="49">
        <f t="shared" si="0"/>
        <v>0</v>
      </c>
      <c r="J56" s="35"/>
      <c r="K56" s="65"/>
      <c r="L56" s="35"/>
      <c r="M56" s="35"/>
      <c r="N56" s="66"/>
      <c r="O56" s="66"/>
      <c r="P56" s="35"/>
      <c r="Q56" s="33"/>
      <c r="R56" s="33"/>
      <c r="S56" s="34"/>
      <c r="T56" s="34"/>
      <c r="U56" s="49">
        <f t="shared" si="29"/>
        <v>0</v>
      </c>
      <c r="V56" s="33"/>
      <c r="W56" s="49"/>
      <c r="X56" s="33"/>
      <c r="Y56" s="33"/>
      <c r="Z56" s="33"/>
      <c r="AA56" s="49"/>
      <c r="AB56" s="55"/>
      <c r="AC56" s="55"/>
      <c r="AD56" s="50"/>
      <c r="AE56" s="36">
        <v>56707771884</v>
      </c>
      <c r="AF56" s="36"/>
    </row>
    <row r="57" spans="1:33" s="18" customFormat="1">
      <c r="A57" s="80" t="s">
        <v>39</v>
      </c>
      <c r="B57" s="34" t="s">
        <v>130</v>
      </c>
      <c r="C57" s="34"/>
      <c r="D57" s="34" t="s">
        <v>29</v>
      </c>
      <c r="E57" s="53">
        <v>42646</v>
      </c>
      <c r="F57" s="35">
        <v>1019.67</v>
      </c>
      <c r="G57" s="35"/>
      <c r="H57" s="35"/>
      <c r="I57" s="49">
        <f t="shared" si="0"/>
        <v>1019.67</v>
      </c>
      <c r="J57" s="35"/>
      <c r="K57" s="65"/>
      <c r="L57" s="35"/>
      <c r="M57" s="35">
        <v>0</v>
      </c>
      <c r="N57" s="66"/>
      <c r="O57" s="66"/>
      <c r="P57" s="35"/>
      <c r="Q57" s="33"/>
      <c r="R57" s="33"/>
      <c r="S57" s="34"/>
      <c r="T57" s="34"/>
      <c r="U57" s="49">
        <f t="shared" si="29"/>
        <v>1019.67</v>
      </c>
      <c r="V57" s="33">
        <f t="shared" ref="V57" si="51">IF(I57&gt;2250,I57*0.1,0)</f>
        <v>0</v>
      </c>
      <c r="W57" s="49">
        <f t="shared" ref="W57" si="52">+U57-V57</f>
        <v>1019.67</v>
      </c>
      <c r="X57" s="33"/>
      <c r="Y57" s="33"/>
      <c r="Z57" s="33"/>
      <c r="AA57" s="49"/>
      <c r="AB57" s="55"/>
      <c r="AC57" s="56"/>
      <c r="AD57" s="50"/>
      <c r="AE57" s="36">
        <v>56708881582</v>
      </c>
      <c r="AF57" s="36"/>
      <c r="AG57" s="18" t="s">
        <v>158</v>
      </c>
    </row>
    <row r="58" spans="1:33" s="18" customFormat="1">
      <c r="A58" s="80" t="s">
        <v>39</v>
      </c>
      <c r="B58" s="34" t="s">
        <v>70</v>
      </c>
      <c r="C58" s="34"/>
      <c r="D58" s="34" t="s">
        <v>29</v>
      </c>
      <c r="E58" s="53">
        <v>42065</v>
      </c>
      <c r="F58" s="35">
        <v>1232.8800000000001</v>
      </c>
      <c r="G58" s="35"/>
      <c r="H58" s="35"/>
      <c r="I58" s="49">
        <f t="shared" si="0"/>
        <v>1232.8800000000001</v>
      </c>
      <c r="J58" s="35"/>
      <c r="K58" s="65"/>
      <c r="L58" s="35"/>
      <c r="M58" s="35">
        <v>0</v>
      </c>
      <c r="N58" s="66"/>
      <c r="O58" s="66"/>
      <c r="P58" s="35"/>
      <c r="Q58" s="33"/>
      <c r="R58" s="33"/>
      <c r="S58" s="34"/>
      <c r="T58" s="34"/>
      <c r="U58" s="49">
        <f t="shared" ref="U58:U69" si="53">+I58-SUM(J58:T58)</f>
        <v>1232.8800000000001</v>
      </c>
      <c r="V58" s="33">
        <f t="shared" si="45"/>
        <v>0</v>
      </c>
      <c r="W58" s="49">
        <f t="shared" si="46"/>
        <v>1232.8800000000001</v>
      </c>
      <c r="X58" s="33">
        <f t="shared" si="47"/>
        <v>123.28800000000001</v>
      </c>
      <c r="Y58" s="33">
        <v>10.23</v>
      </c>
      <c r="Z58" s="33">
        <f t="shared" si="48"/>
        <v>0</v>
      </c>
      <c r="AA58" s="49">
        <f t="shared" si="49"/>
        <v>1366.3980000000001</v>
      </c>
      <c r="AB58" s="55"/>
      <c r="AC58" s="56"/>
      <c r="AD58" s="50">
        <f t="shared" si="50"/>
        <v>-1232.8800000000001</v>
      </c>
      <c r="AE58" s="36">
        <v>56708845254</v>
      </c>
      <c r="AF58" s="36"/>
      <c r="AG58" s="18" t="s">
        <v>158</v>
      </c>
    </row>
    <row r="59" spans="1:33" s="18" customFormat="1">
      <c r="A59" s="80" t="s">
        <v>28</v>
      </c>
      <c r="B59" s="34" t="s">
        <v>38</v>
      </c>
      <c r="C59" s="34" t="s">
        <v>74</v>
      </c>
      <c r="D59" s="34" t="s">
        <v>30</v>
      </c>
      <c r="E59" s="53">
        <v>41218</v>
      </c>
      <c r="F59" s="35">
        <v>12455.88</v>
      </c>
      <c r="G59" s="35"/>
      <c r="H59" s="35"/>
      <c r="I59" s="49">
        <f t="shared" si="0"/>
        <v>12455.88</v>
      </c>
      <c r="J59" s="35"/>
      <c r="K59" s="65"/>
      <c r="L59" s="35"/>
      <c r="M59" s="35">
        <v>0</v>
      </c>
      <c r="N59" s="66"/>
      <c r="O59" s="66"/>
      <c r="P59" s="35"/>
      <c r="Q59" s="33">
        <v>6349.16</v>
      </c>
      <c r="R59" s="33"/>
      <c r="S59" s="34"/>
      <c r="T59" s="34"/>
      <c r="U59" s="49">
        <f t="shared" si="53"/>
        <v>6106.7199999999993</v>
      </c>
      <c r="V59" s="33">
        <f t="shared" si="45"/>
        <v>1245.588</v>
      </c>
      <c r="W59" s="49">
        <f t="shared" si="46"/>
        <v>4861.1319999999996</v>
      </c>
      <c r="X59" s="33">
        <f t="shared" si="47"/>
        <v>0</v>
      </c>
      <c r="Y59" s="33">
        <v>10.23</v>
      </c>
      <c r="Z59" s="33">
        <f t="shared" si="48"/>
        <v>0</v>
      </c>
      <c r="AA59" s="49">
        <f t="shared" si="49"/>
        <v>12466.109999999999</v>
      </c>
      <c r="AB59" s="55"/>
      <c r="AC59" s="56"/>
      <c r="AD59" s="50">
        <f t="shared" si="50"/>
        <v>-4861.1319999999996</v>
      </c>
      <c r="AE59" s="36">
        <v>56708881596</v>
      </c>
      <c r="AF59" s="34"/>
      <c r="AG59" s="18" t="s">
        <v>158</v>
      </c>
    </row>
    <row r="60" spans="1:33" s="18" customFormat="1">
      <c r="A60" s="80" t="s">
        <v>26</v>
      </c>
      <c r="B60" s="34" t="s">
        <v>128</v>
      </c>
      <c r="C60" s="34"/>
      <c r="D60" s="34" t="s">
        <v>126</v>
      </c>
      <c r="E60" s="53">
        <v>42241</v>
      </c>
      <c r="F60" s="35"/>
      <c r="G60" s="35"/>
      <c r="H60" s="35"/>
      <c r="I60" s="49">
        <f t="shared" si="0"/>
        <v>0</v>
      </c>
      <c r="J60" s="35"/>
      <c r="K60" s="65">
        <v>1</v>
      </c>
      <c r="L60" s="35"/>
      <c r="M60" s="35"/>
      <c r="N60" s="66"/>
      <c r="O60" s="66"/>
      <c r="P60" s="35"/>
      <c r="Q60" s="33"/>
      <c r="R60" s="33"/>
      <c r="S60" s="34"/>
      <c r="T60" s="34"/>
      <c r="U60" s="49">
        <f t="shared" ref="U60" si="54">+I60-SUM(J60:T60)</f>
        <v>-1</v>
      </c>
      <c r="V60" s="33">
        <f t="shared" ref="V60" si="55">IF(I60&gt;2250,I60*0.1,0)</f>
        <v>0</v>
      </c>
      <c r="W60" s="49">
        <f t="shared" ref="W60" si="56">+U60-V60</f>
        <v>-1</v>
      </c>
      <c r="X60" s="33">
        <f t="shared" si="47"/>
        <v>0</v>
      </c>
      <c r="Y60" s="33"/>
      <c r="Z60" s="33"/>
      <c r="AA60" s="49"/>
      <c r="AB60" s="55"/>
      <c r="AC60" s="56"/>
      <c r="AD60" s="50"/>
      <c r="AE60" s="36">
        <v>56708845268</v>
      </c>
      <c r="AF60" s="36"/>
      <c r="AG60" s="18" t="s">
        <v>158</v>
      </c>
    </row>
    <row r="61" spans="1:33" s="18" customFormat="1">
      <c r="A61" s="80" t="s">
        <v>41</v>
      </c>
      <c r="B61" s="34" t="s">
        <v>91</v>
      </c>
      <c r="C61" s="34"/>
      <c r="D61" s="34" t="s">
        <v>45</v>
      </c>
      <c r="E61" s="53">
        <v>42333</v>
      </c>
      <c r="F61" s="68"/>
      <c r="G61" s="35"/>
      <c r="H61" s="35"/>
      <c r="I61" s="49">
        <f t="shared" si="0"/>
        <v>0</v>
      </c>
      <c r="J61" s="35"/>
      <c r="K61" s="65"/>
      <c r="L61" s="35"/>
      <c r="M61" s="35">
        <v>0</v>
      </c>
      <c r="N61" s="66"/>
      <c r="O61" s="66"/>
      <c r="P61" s="35"/>
      <c r="Q61" s="33"/>
      <c r="R61" s="33"/>
      <c r="S61" s="34"/>
      <c r="T61" s="34">
        <v>349.79</v>
      </c>
      <c r="U61" s="49">
        <f t="shared" si="53"/>
        <v>-349.79</v>
      </c>
      <c r="V61" s="33">
        <f t="shared" ref="V61:V69" si="57">IF(I61&gt;2250,I61*0.1,0)</f>
        <v>0</v>
      </c>
      <c r="W61" s="49">
        <f t="shared" si="46"/>
        <v>-349.79</v>
      </c>
      <c r="X61" s="33">
        <f t="shared" si="47"/>
        <v>0</v>
      </c>
      <c r="Y61" s="33">
        <v>10.23</v>
      </c>
      <c r="Z61" s="33">
        <f t="shared" si="48"/>
        <v>0</v>
      </c>
      <c r="AA61" s="49">
        <f t="shared" si="49"/>
        <v>10.23</v>
      </c>
      <c r="AB61" s="55"/>
      <c r="AC61" s="56"/>
      <c r="AD61" s="50">
        <f>+AB61+AC61-W61</f>
        <v>349.79</v>
      </c>
      <c r="AE61" s="36">
        <v>60589939521</v>
      </c>
      <c r="AF61" s="34"/>
      <c r="AG61" s="18" t="s">
        <v>158</v>
      </c>
    </row>
    <row r="62" spans="1:33" s="18" customFormat="1">
      <c r="A62" s="80" t="s">
        <v>28</v>
      </c>
      <c r="B62" s="34" t="s">
        <v>116</v>
      </c>
      <c r="C62" s="34"/>
      <c r="D62" s="34" t="s">
        <v>30</v>
      </c>
      <c r="E62" s="53">
        <v>42459</v>
      </c>
      <c r="F62" s="35">
        <v>5276.31</v>
      </c>
      <c r="G62" s="35"/>
      <c r="H62" s="35"/>
      <c r="I62" s="49">
        <f t="shared" si="0"/>
        <v>5276.31</v>
      </c>
      <c r="J62" s="35"/>
      <c r="K62" s="65"/>
      <c r="L62" s="35"/>
      <c r="M62" s="35">
        <v>0</v>
      </c>
      <c r="N62" s="66"/>
      <c r="O62" s="66"/>
      <c r="P62" s="35"/>
      <c r="Q62" s="33"/>
      <c r="R62" s="33"/>
      <c r="S62" s="34"/>
      <c r="T62" s="34"/>
      <c r="U62" s="49">
        <f t="shared" si="53"/>
        <v>5276.31</v>
      </c>
      <c r="V62" s="33">
        <f t="shared" si="57"/>
        <v>527.63100000000009</v>
      </c>
      <c r="W62" s="49">
        <f t="shared" si="46"/>
        <v>4748.6790000000001</v>
      </c>
      <c r="X62" s="33">
        <f t="shared" si="47"/>
        <v>0</v>
      </c>
      <c r="Y62" s="33">
        <v>10.23</v>
      </c>
      <c r="Z62" s="33">
        <f t="shared" si="48"/>
        <v>0</v>
      </c>
      <c r="AA62" s="49">
        <f t="shared" si="49"/>
        <v>5286.54</v>
      </c>
      <c r="AB62" s="60"/>
      <c r="AC62" s="56"/>
      <c r="AD62" s="50">
        <f>+AB62+AC62-W62</f>
        <v>-4748.6790000000001</v>
      </c>
      <c r="AE62" s="36">
        <v>60589627948</v>
      </c>
      <c r="AF62" s="36"/>
      <c r="AG62" s="18" t="s">
        <v>158</v>
      </c>
    </row>
    <row r="63" spans="1:33" s="18" customFormat="1">
      <c r="A63" s="80" t="s">
        <v>26</v>
      </c>
      <c r="B63" s="34" t="s">
        <v>168</v>
      </c>
      <c r="C63" s="34"/>
      <c r="D63" s="34" t="s">
        <v>29</v>
      </c>
      <c r="E63" s="53">
        <v>42849</v>
      </c>
      <c r="F63" s="35">
        <v>663.86</v>
      </c>
      <c r="G63" s="35"/>
      <c r="H63" s="35"/>
      <c r="I63" s="49">
        <f t="shared" si="0"/>
        <v>663.86</v>
      </c>
      <c r="J63" s="35"/>
      <c r="K63" s="65"/>
      <c r="L63" s="35"/>
      <c r="M63" s="35"/>
      <c r="N63" s="66"/>
      <c r="O63" s="66"/>
      <c r="P63" s="35"/>
      <c r="Q63" s="33"/>
      <c r="R63" s="33"/>
      <c r="S63" s="34"/>
      <c r="T63" s="34"/>
      <c r="U63" s="49">
        <f t="shared" si="53"/>
        <v>663.86</v>
      </c>
      <c r="V63" s="33"/>
      <c r="W63" s="49"/>
      <c r="X63" s="33"/>
      <c r="Y63" s="33"/>
      <c r="Z63" s="33"/>
      <c r="AA63" s="49"/>
      <c r="AB63" s="60"/>
      <c r="AC63" s="56"/>
      <c r="AD63" s="50"/>
      <c r="AE63" s="36">
        <v>60590412629</v>
      </c>
      <c r="AF63" s="36"/>
      <c r="AG63" s="18" t="s">
        <v>158</v>
      </c>
    </row>
    <row r="64" spans="1:33" s="18" customFormat="1">
      <c r="A64" s="80" t="s">
        <v>26</v>
      </c>
      <c r="B64" s="34" t="s">
        <v>113</v>
      </c>
      <c r="C64" s="34"/>
      <c r="D64" s="34" t="s">
        <v>44</v>
      </c>
      <c r="E64" s="53">
        <v>42566</v>
      </c>
      <c r="F64" s="35">
        <v>1980</v>
      </c>
      <c r="G64" s="35"/>
      <c r="H64" s="35"/>
      <c r="I64" s="49">
        <f t="shared" si="0"/>
        <v>1980</v>
      </c>
      <c r="J64" s="35"/>
      <c r="K64" s="65">
        <v>1</v>
      </c>
      <c r="L64" s="35">
        <v>43.9</v>
      </c>
      <c r="M64" s="35"/>
      <c r="N64" s="66"/>
      <c r="O64" s="66"/>
      <c r="P64" s="35"/>
      <c r="Q64" s="33"/>
      <c r="R64" s="33"/>
      <c r="S64" s="34"/>
      <c r="T64" s="34"/>
      <c r="U64" s="49">
        <f t="shared" si="53"/>
        <v>1935.1</v>
      </c>
      <c r="V64" s="33">
        <f t="shared" si="57"/>
        <v>0</v>
      </c>
      <c r="W64" s="49">
        <f t="shared" si="46"/>
        <v>1935.1</v>
      </c>
      <c r="X64" s="33">
        <f t="shared" si="47"/>
        <v>198</v>
      </c>
      <c r="Y64" s="33">
        <v>21.23</v>
      </c>
      <c r="Z64" s="33">
        <f t="shared" si="48"/>
        <v>0</v>
      </c>
      <c r="AA64" s="49">
        <f t="shared" si="49"/>
        <v>2199.23</v>
      </c>
      <c r="AB64" s="60"/>
      <c r="AC64" s="56"/>
      <c r="AD64" s="50"/>
      <c r="AE64" s="36"/>
      <c r="AF64" s="36"/>
    </row>
    <row r="65" spans="1:186" s="94" customFormat="1">
      <c r="A65" s="84" t="s">
        <v>28</v>
      </c>
      <c r="B65" s="84" t="s">
        <v>93</v>
      </c>
      <c r="C65" s="84" t="s">
        <v>76</v>
      </c>
      <c r="D65" s="84" t="s">
        <v>30</v>
      </c>
      <c r="E65" s="85">
        <v>42327</v>
      </c>
      <c r="F65" s="86"/>
      <c r="G65" s="86"/>
      <c r="H65" s="86"/>
      <c r="I65" s="40">
        <f t="shared" si="0"/>
        <v>0</v>
      </c>
      <c r="J65" s="86"/>
      <c r="K65" s="87"/>
      <c r="L65" s="86"/>
      <c r="M65" s="86">
        <v>0</v>
      </c>
      <c r="N65" s="88"/>
      <c r="O65" s="88"/>
      <c r="P65" s="86"/>
      <c r="Q65" s="89"/>
      <c r="R65" s="89"/>
      <c r="S65" s="84"/>
      <c r="T65" s="100"/>
      <c r="U65" s="40">
        <f t="shared" si="53"/>
        <v>0</v>
      </c>
      <c r="V65" s="89">
        <f t="shared" si="57"/>
        <v>0</v>
      </c>
      <c r="W65" s="40">
        <f t="shared" si="46"/>
        <v>0</v>
      </c>
      <c r="X65" s="89">
        <f t="shared" si="47"/>
        <v>0</v>
      </c>
      <c r="Y65" s="89">
        <v>10.23</v>
      </c>
      <c r="Z65" s="89">
        <f t="shared" si="48"/>
        <v>0</v>
      </c>
      <c r="AA65" s="40">
        <f t="shared" si="49"/>
        <v>10.23</v>
      </c>
      <c r="AB65" s="90"/>
      <c r="AC65" s="99"/>
      <c r="AD65" s="91">
        <f t="shared" ref="AD65:AD68" si="58">+AB65+AC65-W65</f>
        <v>0</v>
      </c>
      <c r="AE65" s="93">
        <v>56708881807</v>
      </c>
      <c r="AF65" s="93" t="s">
        <v>194</v>
      </c>
      <c r="AG65" s="94" t="s">
        <v>158</v>
      </c>
    </row>
    <row r="66" spans="1:186" s="18" customFormat="1">
      <c r="A66" s="80" t="s">
        <v>27</v>
      </c>
      <c r="B66" s="34" t="s">
        <v>198</v>
      </c>
      <c r="C66" s="34"/>
      <c r="D66" s="34" t="s">
        <v>46</v>
      </c>
      <c r="E66" s="53">
        <v>42916</v>
      </c>
      <c r="F66" s="35">
        <v>3476.77</v>
      </c>
      <c r="G66" s="35"/>
      <c r="H66" s="35"/>
      <c r="I66" s="49">
        <f t="shared" si="0"/>
        <v>3476.77</v>
      </c>
      <c r="J66" s="35"/>
      <c r="K66" s="65"/>
      <c r="L66" s="35"/>
      <c r="M66" s="35"/>
      <c r="N66" s="66"/>
      <c r="O66" s="66"/>
      <c r="P66" s="35"/>
      <c r="Q66" s="33"/>
      <c r="R66" s="33"/>
      <c r="S66" s="34"/>
      <c r="T66" s="34"/>
      <c r="U66" s="49"/>
      <c r="V66" s="33"/>
      <c r="W66" s="49"/>
      <c r="X66" s="33"/>
      <c r="Y66" s="33"/>
      <c r="Z66" s="33"/>
      <c r="AA66" s="49"/>
      <c r="AB66" s="60"/>
      <c r="AC66" s="61"/>
      <c r="AD66" s="50"/>
      <c r="AE66" s="36">
        <v>60592631462</v>
      </c>
      <c r="AF66" s="36"/>
    </row>
    <row r="67" spans="1:186" s="18" customFormat="1">
      <c r="A67" s="80" t="s">
        <v>28</v>
      </c>
      <c r="B67" s="34" t="s">
        <v>164</v>
      </c>
      <c r="C67" s="34"/>
      <c r="D67" s="34" t="s">
        <v>30</v>
      </c>
      <c r="E67" s="53">
        <v>42842</v>
      </c>
      <c r="F67" s="35"/>
      <c r="G67" s="35"/>
      <c r="H67" s="35"/>
      <c r="I67" s="49">
        <f t="shared" si="0"/>
        <v>0</v>
      </c>
      <c r="J67" s="35"/>
      <c r="K67" s="65"/>
      <c r="L67" s="35"/>
      <c r="M67" s="35"/>
      <c r="N67" s="66"/>
      <c r="O67" s="66"/>
      <c r="P67" s="35"/>
      <c r="Q67" s="33"/>
      <c r="R67" s="33"/>
      <c r="S67" s="34"/>
      <c r="T67" s="34"/>
      <c r="U67" s="49"/>
      <c r="V67" s="33"/>
      <c r="W67" s="49"/>
      <c r="X67" s="33"/>
      <c r="Y67" s="33"/>
      <c r="Z67" s="33"/>
      <c r="AA67" s="49"/>
      <c r="AB67" s="60"/>
      <c r="AC67" s="61"/>
      <c r="AD67" s="50"/>
      <c r="AE67" s="36">
        <v>60590199370</v>
      </c>
      <c r="AF67" s="36"/>
      <c r="AG67" s="18" t="s">
        <v>158</v>
      </c>
    </row>
    <row r="68" spans="1:186" s="18" customFormat="1">
      <c r="A68" s="80" t="s">
        <v>28</v>
      </c>
      <c r="B68" s="34" t="s">
        <v>105</v>
      </c>
      <c r="C68" s="34" t="s">
        <v>74</v>
      </c>
      <c r="D68" s="34" t="s">
        <v>30</v>
      </c>
      <c r="E68" s="53">
        <v>42506</v>
      </c>
      <c r="F68" s="35"/>
      <c r="G68" s="35"/>
      <c r="H68" s="35"/>
      <c r="I68" s="49">
        <f t="shared" si="0"/>
        <v>0</v>
      </c>
      <c r="J68" s="35"/>
      <c r="K68" s="65"/>
      <c r="L68" s="35"/>
      <c r="M68" s="35">
        <v>0</v>
      </c>
      <c r="N68" s="66"/>
      <c r="O68" s="66"/>
      <c r="P68" s="35"/>
      <c r="Q68" s="33">
        <v>205</v>
      </c>
      <c r="R68" s="33"/>
      <c r="S68" s="34"/>
      <c r="T68" s="63">
        <v>205.28</v>
      </c>
      <c r="U68" s="49">
        <f t="shared" si="53"/>
        <v>-410.28</v>
      </c>
      <c r="V68" s="33">
        <f t="shared" si="57"/>
        <v>0</v>
      </c>
      <c r="W68" s="49">
        <f t="shared" si="46"/>
        <v>-410.28</v>
      </c>
      <c r="X68" s="33">
        <f t="shared" si="47"/>
        <v>0</v>
      </c>
      <c r="Y68" s="33">
        <v>10.23</v>
      </c>
      <c r="Z68" s="33">
        <f t="shared" si="48"/>
        <v>0</v>
      </c>
      <c r="AA68" s="49">
        <f t="shared" si="49"/>
        <v>10.23</v>
      </c>
      <c r="AB68" s="60"/>
      <c r="AC68" s="60"/>
      <c r="AD68" s="50">
        <f t="shared" si="58"/>
        <v>410.28</v>
      </c>
      <c r="AE68" s="79">
        <v>1179675078</v>
      </c>
      <c r="AF68" s="36"/>
      <c r="AG68" s="18" t="s">
        <v>159</v>
      </c>
      <c r="AH68" s="18" t="s">
        <v>167</v>
      </c>
    </row>
    <row r="69" spans="1:186" s="18" customFormat="1">
      <c r="A69" s="80" t="s">
        <v>26</v>
      </c>
      <c r="B69" s="34" t="s">
        <v>152</v>
      </c>
      <c r="C69" s="34"/>
      <c r="D69" s="34" t="s">
        <v>44</v>
      </c>
      <c r="E69" s="53">
        <v>42597</v>
      </c>
      <c r="F69" s="35">
        <v>2160</v>
      </c>
      <c r="G69" s="35"/>
      <c r="H69" s="35"/>
      <c r="I69" s="49">
        <f t="shared" si="0"/>
        <v>2160</v>
      </c>
      <c r="J69" s="35"/>
      <c r="K69" s="65"/>
      <c r="L69" s="35"/>
      <c r="M69" s="35"/>
      <c r="N69" s="66"/>
      <c r="O69" s="66"/>
      <c r="P69" s="35"/>
      <c r="Q69" s="33"/>
      <c r="R69" s="33"/>
      <c r="S69" s="34"/>
      <c r="T69" s="63"/>
      <c r="U69" s="49">
        <f t="shared" si="53"/>
        <v>2160</v>
      </c>
      <c r="V69" s="33">
        <f t="shared" si="57"/>
        <v>0</v>
      </c>
      <c r="W69" s="49">
        <f t="shared" si="46"/>
        <v>2160</v>
      </c>
      <c r="X69" s="33"/>
      <c r="Y69" s="33"/>
      <c r="Z69" s="33"/>
      <c r="AA69" s="49"/>
      <c r="AB69" s="60"/>
      <c r="AC69" s="60"/>
      <c r="AD69" s="50"/>
      <c r="AE69" s="36">
        <v>56708881838</v>
      </c>
      <c r="AF69" s="36"/>
      <c r="AG69" s="18" t="s">
        <v>158</v>
      </c>
    </row>
    <row r="70" spans="1:186" s="18" customFormat="1">
      <c r="A70" s="80" t="s">
        <v>39</v>
      </c>
      <c r="B70" s="34" t="s">
        <v>139</v>
      </c>
      <c r="C70" s="34"/>
      <c r="D70" s="34" t="s">
        <v>29</v>
      </c>
      <c r="E70" s="53">
        <v>42696</v>
      </c>
      <c r="F70" s="35">
        <v>2607.8200000000002</v>
      </c>
      <c r="G70" s="35"/>
      <c r="H70" s="35"/>
      <c r="I70" s="49">
        <f t="shared" si="0"/>
        <v>2607.8200000000002</v>
      </c>
      <c r="J70" s="35"/>
      <c r="K70" s="65"/>
      <c r="L70" s="35"/>
      <c r="M70" s="35"/>
      <c r="N70" s="66"/>
      <c r="O70" s="66"/>
      <c r="P70" s="35"/>
      <c r="Q70" s="33"/>
      <c r="R70" s="33"/>
      <c r="S70" s="34"/>
      <c r="T70" s="63"/>
      <c r="U70" s="49">
        <f t="shared" ref="U70" si="59">+I70-SUM(J70:T70)</f>
        <v>2607.8200000000002</v>
      </c>
      <c r="V70" s="33">
        <f t="shared" ref="V70" si="60">IF(I70&gt;2250,I70*0.1,0)</f>
        <v>260.78200000000004</v>
      </c>
      <c r="W70" s="49">
        <f t="shared" ref="W70" si="61">+U70-V70</f>
        <v>2347.038</v>
      </c>
      <c r="X70" s="33"/>
      <c r="Y70" s="33"/>
      <c r="Z70" s="33"/>
      <c r="AA70" s="49"/>
      <c r="AB70" s="60"/>
      <c r="AC70" s="60"/>
      <c r="AD70" s="50"/>
      <c r="AE70" s="36">
        <v>56710784605</v>
      </c>
      <c r="AF70" s="36"/>
      <c r="AG70" s="18" t="s">
        <v>158</v>
      </c>
    </row>
    <row r="71" spans="1:186" s="18" customFormat="1">
      <c r="A71" s="80" t="s">
        <v>28</v>
      </c>
      <c r="B71" s="34" t="s">
        <v>141</v>
      </c>
      <c r="C71" s="34"/>
      <c r="D71" s="34" t="s">
        <v>30</v>
      </c>
      <c r="E71" s="53">
        <v>42632</v>
      </c>
      <c r="F71" s="35">
        <v>11670.05</v>
      </c>
      <c r="G71" s="35"/>
      <c r="H71" s="35"/>
      <c r="I71" s="49">
        <f t="shared" si="0"/>
        <v>11670.05</v>
      </c>
      <c r="J71" s="35"/>
      <c r="K71" s="65"/>
      <c r="L71" s="35"/>
      <c r="M71" s="35"/>
      <c r="N71" s="66"/>
      <c r="O71" s="66"/>
      <c r="P71" s="35"/>
      <c r="Q71" s="33">
        <v>3324.97</v>
      </c>
      <c r="R71" s="33"/>
      <c r="S71" s="34"/>
      <c r="T71" s="63"/>
      <c r="U71" s="49">
        <f t="shared" ref="U71:U72" si="62">+I71-SUM(J71:T71)</f>
        <v>8345.08</v>
      </c>
      <c r="V71" s="33">
        <f t="shared" ref="V71" si="63">IF(I71&gt;2250,I71*0.1,0)</f>
        <v>1167.0049999999999</v>
      </c>
      <c r="W71" s="49">
        <f t="shared" ref="W71" si="64">+U71-V71</f>
        <v>7178.0749999999998</v>
      </c>
      <c r="X71" s="33"/>
      <c r="Y71" s="33"/>
      <c r="Z71" s="33"/>
      <c r="AA71" s="49"/>
      <c r="AB71" s="60"/>
      <c r="AC71" s="60"/>
      <c r="AD71" s="50"/>
      <c r="AE71" s="36">
        <v>60589620126</v>
      </c>
      <c r="AF71" s="36"/>
      <c r="AG71" s="18" t="s">
        <v>158</v>
      </c>
    </row>
    <row r="72" spans="1:186" s="18" customFormat="1">
      <c r="A72" s="95" t="s">
        <v>28</v>
      </c>
      <c r="B72" s="95" t="s">
        <v>212</v>
      </c>
      <c r="C72" s="95"/>
      <c r="D72" s="95" t="s">
        <v>30</v>
      </c>
      <c r="E72" s="96">
        <v>42926</v>
      </c>
      <c r="F72" s="97"/>
      <c r="G72" s="97"/>
      <c r="H72" s="97"/>
      <c r="I72" s="49">
        <f t="shared" si="0"/>
        <v>0</v>
      </c>
      <c r="J72" s="35"/>
      <c r="K72" s="65"/>
      <c r="L72" s="35"/>
      <c r="M72" s="35"/>
      <c r="N72" s="66"/>
      <c r="O72" s="66"/>
      <c r="P72" s="35"/>
      <c r="Q72" s="33"/>
      <c r="R72" s="33"/>
      <c r="S72" s="34"/>
      <c r="T72" s="34"/>
      <c r="U72" s="49">
        <f t="shared" si="62"/>
        <v>0</v>
      </c>
      <c r="V72" s="33"/>
      <c r="W72" s="49"/>
      <c r="X72" s="33"/>
      <c r="Y72" s="33"/>
      <c r="Z72" s="33"/>
      <c r="AA72" s="49"/>
      <c r="AB72" s="55"/>
      <c r="AC72" s="56"/>
      <c r="AD72" s="50"/>
      <c r="AE72" s="98">
        <v>56698667325</v>
      </c>
      <c r="AF72" s="98"/>
    </row>
    <row r="73" spans="1:186" s="18" customFormat="1">
      <c r="A73" s="25"/>
      <c r="B73" s="26"/>
      <c r="C73" s="26"/>
      <c r="D73" s="26"/>
      <c r="E73" s="26"/>
      <c r="F73" s="27"/>
      <c r="G73" s="27"/>
      <c r="H73" s="27"/>
      <c r="I73" s="28"/>
      <c r="J73" s="27"/>
      <c r="K73" s="27"/>
      <c r="L73" s="27"/>
      <c r="M73" s="27"/>
      <c r="N73" s="27"/>
      <c r="O73" s="27"/>
      <c r="P73" s="27"/>
      <c r="Q73" s="37"/>
      <c r="R73" s="37"/>
      <c r="S73" s="37"/>
      <c r="T73" s="37"/>
      <c r="U73" s="28"/>
      <c r="V73" s="37"/>
      <c r="W73" s="28"/>
      <c r="X73" s="37"/>
      <c r="Y73" s="37"/>
      <c r="Z73" s="37"/>
      <c r="AA73" s="28"/>
      <c r="AB73" s="46"/>
      <c r="AC73" s="46"/>
      <c r="AD73" s="23"/>
    </row>
    <row r="74" spans="1:186">
      <c r="B74" s="38" t="s">
        <v>1</v>
      </c>
      <c r="C74" s="38"/>
      <c r="D74" s="38"/>
      <c r="E74" s="38"/>
      <c r="F74" s="39">
        <f>SUM(F7:F73)</f>
        <v>142517.29000000004</v>
      </c>
      <c r="G74" s="39">
        <f>SUM(G7:G73)</f>
        <v>0</v>
      </c>
      <c r="H74" s="39">
        <f>SUM(H7:H73)</f>
        <v>0</v>
      </c>
      <c r="I74" s="39">
        <f>SUM(I7:I73)</f>
        <v>138517.29000000004</v>
      </c>
      <c r="J74" s="39">
        <f>SUM(J7:J73)</f>
        <v>3347.19</v>
      </c>
      <c r="K74" s="39"/>
      <c r="L74" s="39">
        <f t="shared" ref="L74:AD74" si="65">SUM(L7:L73)</f>
        <v>43.9</v>
      </c>
      <c r="M74" s="40">
        <f t="shared" si="65"/>
        <v>1300</v>
      </c>
      <c r="N74" s="40">
        <f t="shared" si="65"/>
        <v>0</v>
      </c>
      <c r="O74" s="40">
        <f t="shared" si="65"/>
        <v>0</v>
      </c>
      <c r="P74" s="40">
        <f t="shared" si="65"/>
        <v>0</v>
      </c>
      <c r="Q74" s="39">
        <f t="shared" si="65"/>
        <v>13451.8</v>
      </c>
      <c r="R74" s="39">
        <f t="shared" si="65"/>
        <v>0.6</v>
      </c>
      <c r="S74" s="39">
        <f t="shared" si="65"/>
        <v>0</v>
      </c>
      <c r="T74" s="39">
        <f t="shared" si="65"/>
        <v>6708.0099999999993</v>
      </c>
      <c r="U74" s="39">
        <f t="shared" si="65"/>
        <v>106342.75000000003</v>
      </c>
      <c r="V74" s="39">
        <f t="shared" si="65"/>
        <v>10857.699999999999</v>
      </c>
      <c r="W74" s="39">
        <f t="shared" si="65"/>
        <v>86651.46</v>
      </c>
      <c r="X74" s="39">
        <f t="shared" si="65"/>
        <v>499.69600000000003</v>
      </c>
      <c r="Y74" s="39">
        <f t="shared" si="65"/>
        <v>382.36000000000013</v>
      </c>
      <c r="Z74" s="39">
        <f t="shared" si="65"/>
        <v>0</v>
      </c>
      <c r="AA74" s="39">
        <f t="shared" si="65"/>
        <v>81192.815999999992</v>
      </c>
      <c r="AB74" s="47">
        <f t="shared" si="65"/>
        <v>0</v>
      </c>
      <c r="AC74" s="47">
        <f t="shared" si="65"/>
        <v>0</v>
      </c>
      <c r="AD74" s="41" t="e">
        <f t="shared" si="65"/>
        <v>#REF!</v>
      </c>
      <c r="AE74" s="29"/>
      <c r="AF74" s="29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18"/>
      <c r="DW74" s="18"/>
      <c r="DX74" s="18"/>
      <c r="DY74" s="18"/>
      <c r="DZ74" s="18"/>
      <c r="EA74" s="18"/>
      <c r="EB74" s="18"/>
      <c r="EC74" s="18"/>
      <c r="ED74" s="18"/>
      <c r="EE74" s="18"/>
      <c r="EF74" s="18"/>
      <c r="EG74" s="18"/>
      <c r="EH74" s="18"/>
      <c r="EI74" s="18"/>
      <c r="EJ74" s="18"/>
      <c r="EK74" s="18"/>
      <c r="EL74" s="18"/>
      <c r="EM74" s="18"/>
      <c r="EN74" s="18"/>
      <c r="EO74" s="18"/>
      <c r="EP74" s="18"/>
      <c r="EQ74" s="18"/>
      <c r="ER74" s="18"/>
      <c r="ES74" s="18"/>
      <c r="ET74" s="18"/>
      <c r="EU74" s="18"/>
      <c r="EV74" s="18"/>
      <c r="EW74" s="18"/>
      <c r="EX74" s="18"/>
      <c r="EY74" s="18"/>
      <c r="EZ74" s="18"/>
      <c r="FA74" s="18"/>
      <c r="FB74" s="18"/>
      <c r="FC74" s="18"/>
      <c r="FD74" s="18"/>
      <c r="FE74" s="18"/>
      <c r="FF74" s="18"/>
      <c r="FG74" s="18"/>
      <c r="FH74" s="18"/>
      <c r="FI74" s="18"/>
      <c r="FJ74" s="18"/>
      <c r="FK74" s="18"/>
      <c r="FL74" s="18"/>
      <c r="FM74" s="18"/>
      <c r="FN74" s="18"/>
      <c r="FO74" s="18"/>
      <c r="FP74" s="18"/>
      <c r="FQ74" s="18"/>
      <c r="FR74" s="18"/>
      <c r="FS74" s="18"/>
      <c r="FT74" s="18"/>
      <c r="FU74" s="18"/>
      <c r="FV74" s="18"/>
      <c r="FW74" s="18"/>
      <c r="FX74" s="18"/>
      <c r="FY74" s="18"/>
      <c r="FZ74" s="18"/>
      <c r="GA74" s="18"/>
      <c r="GB74" s="18"/>
      <c r="GC74" s="18"/>
      <c r="GD74" s="18"/>
    </row>
    <row r="75" spans="1:186">
      <c r="AA75" s="14">
        <f>AA74*0.16</f>
        <v>12990.850559999999</v>
      </c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8"/>
      <c r="DV75" s="18"/>
      <c r="DW75" s="18"/>
      <c r="DX75" s="18"/>
      <c r="DY75" s="18"/>
      <c r="DZ75" s="18"/>
      <c r="EA75" s="18"/>
      <c r="EB75" s="18"/>
      <c r="EC75" s="18"/>
      <c r="ED75" s="18"/>
      <c r="EE75" s="18"/>
      <c r="EF75" s="18"/>
      <c r="EG75" s="18"/>
      <c r="EH75" s="18"/>
      <c r="EI75" s="18"/>
      <c r="EJ75" s="18"/>
      <c r="EK75" s="18"/>
      <c r="EL75" s="18"/>
      <c r="EM75" s="18"/>
      <c r="EN75" s="18"/>
      <c r="EO75" s="18"/>
      <c r="EP75" s="18"/>
      <c r="EQ75" s="18"/>
      <c r="ER75" s="18"/>
      <c r="ES75" s="18"/>
      <c r="ET75" s="18"/>
      <c r="EU75" s="18"/>
      <c r="EV75" s="18"/>
      <c r="EW75" s="18"/>
      <c r="EX75" s="18"/>
      <c r="EY75" s="18"/>
      <c r="EZ75" s="18"/>
      <c r="FA75" s="18"/>
      <c r="FB75" s="18"/>
      <c r="FC75" s="18"/>
      <c r="FD75" s="18"/>
      <c r="FE75" s="18"/>
      <c r="FF75" s="18"/>
      <c r="FG75" s="18"/>
      <c r="FH75" s="18"/>
      <c r="FI75" s="18"/>
      <c r="FJ75" s="18"/>
      <c r="FK75" s="18"/>
      <c r="FL75" s="18"/>
      <c r="FM75" s="18"/>
      <c r="FN75" s="18"/>
      <c r="FO75" s="18"/>
      <c r="FP75" s="18"/>
      <c r="FQ75" s="18"/>
      <c r="FR75" s="18"/>
      <c r="FS75" s="18"/>
      <c r="FT75" s="18"/>
      <c r="FU75" s="18"/>
      <c r="FV75" s="18"/>
      <c r="FW75" s="18"/>
      <c r="FX75" s="18"/>
      <c r="FY75" s="18"/>
      <c r="FZ75" s="18"/>
      <c r="GA75" s="18"/>
      <c r="GB75" s="18"/>
      <c r="GC75" s="18"/>
      <c r="GD75" s="18"/>
    </row>
    <row r="76" spans="1:186">
      <c r="A76" s="103" t="s">
        <v>87</v>
      </c>
      <c r="B76" s="103"/>
      <c r="C76" s="42"/>
      <c r="D76" s="29"/>
      <c r="E76" s="29"/>
      <c r="F76" s="31"/>
      <c r="G76" s="31"/>
      <c r="H76" s="31"/>
      <c r="I76" s="39"/>
      <c r="J76" s="31"/>
      <c r="K76" s="31"/>
      <c r="L76" s="31"/>
      <c r="M76" s="35"/>
      <c r="N76" s="35"/>
      <c r="O76" s="35"/>
      <c r="P76" s="35"/>
      <c r="Q76" s="31"/>
      <c r="R76" s="31"/>
      <c r="S76" s="31"/>
      <c r="T76" s="31"/>
      <c r="U76" s="39"/>
      <c r="V76" s="31"/>
      <c r="W76" s="39"/>
      <c r="X76" s="31"/>
      <c r="Y76" s="31"/>
      <c r="Z76" s="31"/>
      <c r="AA76" s="39">
        <f>+AA74+AA75</f>
        <v>94183.666559999983</v>
      </c>
      <c r="AB76" s="47"/>
      <c r="AC76" s="47"/>
      <c r="AD76" s="41"/>
      <c r="AE76" s="29"/>
      <c r="AF76" s="29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  <c r="CJ76" s="18"/>
      <c r="CK76" s="18"/>
      <c r="CL76" s="18"/>
      <c r="CM76" s="18"/>
      <c r="CN76" s="18"/>
      <c r="CO76" s="18"/>
      <c r="CP76" s="18"/>
      <c r="CQ76" s="18"/>
      <c r="CR76" s="18"/>
      <c r="CS76" s="18"/>
      <c r="CT76" s="18"/>
      <c r="CU76" s="18"/>
      <c r="CV76" s="18"/>
      <c r="CW76" s="18"/>
      <c r="CX76" s="18"/>
      <c r="CY76" s="18"/>
      <c r="CZ76" s="18"/>
      <c r="DA76" s="18"/>
      <c r="DB76" s="18"/>
      <c r="DC76" s="18"/>
      <c r="DD76" s="18"/>
      <c r="DE76" s="18"/>
      <c r="DF76" s="18"/>
      <c r="DG76" s="18"/>
      <c r="DH76" s="18"/>
      <c r="DI76" s="18"/>
      <c r="DJ76" s="18"/>
      <c r="DK76" s="18"/>
      <c r="DL76" s="18"/>
      <c r="DM76" s="18"/>
      <c r="DN76" s="18"/>
      <c r="DO76" s="18"/>
      <c r="DP76" s="18"/>
      <c r="DQ76" s="18"/>
      <c r="DR76" s="18"/>
      <c r="DS76" s="18"/>
      <c r="DT76" s="18"/>
      <c r="DU76" s="18"/>
      <c r="DV76" s="18"/>
      <c r="DW76" s="18"/>
      <c r="DX76" s="18"/>
      <c r="DY76" s="18"/>
      <c r="DZ76" s="18"/>
      <c r="EA76" s="18"/>
      <c r="EB76" s="18"/>
      <c r="EC76" s="18"/>
      <c r="ED76" s="18"/>
      <c r="EE76" s="18"/>
      <c r="EF76" s="18"/>
      <c r="EG76" s="18"/>
      <c r="EH76" s="18"/>
      <c r="EI76" s="18"/>
      <c r="EJ76" s="18"/>
      <c r="EK76" s="18"/>
      <c r="EL76" s="18"/>
      <c r="EM76" s="18"/>
      <c r="EN76" s="18"/>
      <c r="EO76" s="18"/>
      <c r="EP76" s="18"/>
      <c r="EQ76" s="18"/>
      <c r="ER76" s="18"/>
      <c r="ES76" s="18"/>
      <c r="ET76" s="18"/>
      <c r="EU76" s="18"/>
      <c r="EV76" s="18"/>
      <c r="EW76" s="18"/>
      <c r="EX76" s="18"/>
      <c r="EY76" s="18"/>
      <c r="EZ76" s="18"/>
      <c r="FA76" s="18"/>
      <c r="FB76" s="18"/>
      <c r="FC76" s="18"/>
      <c r="FD76" s="18"/>
      <c r="FE76" s="18"/>
      <c r="FF76" s="18"/>
      <c r="FG76" s="18"/>
      <c r="FH76" s="18"/>
      <c r="FI76" s="18"/>
      <c r="FJ76" s="18"/>
      <c r="FK76" s="18"/>
      <c r="FL76" s="18"/>
      <c r="FM76" s="18"/>
      <c r="FN76" s="18"/>
      <c r="FO76" s="18"/>
      <c r="FP76" s="18"/>
      <c r="FQ76" s="18"/>
      <c r="FR76" s="18"/>
      <c r="FS76" s="18"/>
      <c r="FT76" s="18"/>
      <c r="FU76" s="18"/>
      <c r="FV76" s="18"/>
      <c r="FW76" s="18"/>
      <c r="FX76" s="18"/>
      <c r="FY76" s="18"/>
      <c r="FZ76" s="18"/>
      <c r="GA76" s="18"/>
      <c r="GB76" s="18"/>
      <c r="GC76" s="18"/>
      <c r="GD76" s="18"/>
    </row>
    <row r="77" spans="1:186">
      <c r="A77" s="34" t="s">
        <v>42</v>
      </c>
      <c r="B77" s="34" t="s">
        <v>88</v>
      </c>
      <c r="C77" s="30"/>
      <c r="D77" s="30" t="s">
        <v>122</v>
      </c>
      <c r="E77" s="54">
        <v>41142</v>
      </c>
      <c r="F77" s="35">
        <f>1201.675+3.736+100.323</f>
        <v>1305.7340000000002</v>
      </c>
      <c r="G77" s="32"/>
      <c r="H77" s="32"/>
      <c r="I77" s="49">
        <f>SUM(F77:H77)</f>
        <v>1305.7340000000002</v>
      </c>
      <c r="J77" s="35">
        <v>134.66999999999999</v>
      </c>
      <c r="K77" s="65">
        <v>1</v>
      </c>
      <c r="L77" s="35"/>
      <c r="M77" s="35"/>
      <c r="N77" s="66" t="s">
        <v>173</v>
      </c>
      <c r="O77" s="66" t="s">
        <v>173</v>
      </c>
      <c r="P77" s="35"/>
      <c r="Q77" s="33"/>
      <c r="R77" s="33"/>
      <c r="S77" s="34"/>
      <c r="T77" s="34"/>
      <c r="U77" s="49">
        <f>+I77-SUM(J77:T77)</f>
        <v>1170.0640000000001</v>
      </c>
      <c r="V77" s="33">
        <f>+U77*0.05</f>
        <v>58.503200000000007</v>
      </c>
      <c r="W77" s="49">
        <f>+U77-Q77-T77</f>
        <v>1170.0640000000001</v>
      </c>
      <c r="X77" s="59">
        <f>IF(U77&lt;3000,U77*0.1,0)</f>
        <v>117.00640000000001</v>
      </c>
      <c r="Y77" s="59">
        <v>0</v>
      </c>
      <c r="Z77" s="59"/>
      <c r="AA77" s="58">
        <f>+U77+X77+Y77</f>
        <v>1287.0704000000001</v>
      </c>
      <c r="AB77" s="48"/>
      <c r="AC77" s="48"/>
      <c r="AD77" s="43"/>
      <c r="AE77" s="36">
        <v>56708845760</v>
      </c>
      <c r="AF77" s="36" t="s">
        <v>148</v>
      </c>
      <c r="AG77" s="18" t="s">
        <v>158</v>
      </c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18"/>
      <c r="CC77" s="18"/>
      <c r="CD77" s="18"/>
      <c r="CE77" s="18"/>
      <c r="CF77" s="18"/>
      <c r="CG77" s="18"/>
      <c r="CH77" s="18"/>
      <c r="CI77" s="18"/>
      <c r="CJ77" s="18"/>
      <c r="CK77" s="18"/>
      <c r="CL77" s="18"/>
      <c r="CM77" s="18"/>
      <c r="CN77" s="18"/>
      <c r="CO77" s="18"/>
      <c r="CP77" s="18"/>
      <c r="CQ77" s="18"/>
      <c r="CR77" s="18"/>
      <c r="CS77" s="18"/>
      <c r="CT77" s="18"/>
      <c r="CU77" s="18"/>
      <c r="CV77" s="18"/>
      <c r="CW77" s="18"/>
      <c r="CX77" s="18"/>
      <c r="CY77" s="18"/>
      <c r="CZ77" s="18"/>
      <c r="DA77" s="18"/>
      <c r="DB77" s="18"/>
      <c r="DC77" s="18"/>
      <c r="DD77" s="18"/>
      <c r="DE77" s="18"/>
      <c r="DF77" s="18"/>
      <c r="DG77" s="18"/>
      <c r="DH77" s="18"/>
      <c r="DI77" s="18"/>
      <c r="DJ77" s="18"/>
      <c r="DK77" s="18"/>
      <c r="DL77" s="18"/>
      <c r="DM77" s="18"/>
      <c r="DN77" s="18"/>
      <c r="DO77" s="18"/>
      <c r="DP77" s="18"/>
      <c r="DQ77" s="18"/>
      <c r="DR77" s="18"/>
      <c r="DS77" s="18"/>
      <c r="DT77" s="18"/>
      <c r="DU77" s="18"/>
      <c r="DV77" s="18"/>
      <c r="DW77" s="18"/>
      <c r="DX77" s="18"/>
      <c r="DY77" s="18"/>
      <c r="DZ77" s="18"/>
      <c r="EA77" s="18"/>
      <c r="EB77" s="18"/>
      <c r="EC77" s="18"/>
      <c r="ED77" s="18"/>
      <c r="EE77" s="18"/>
      <c r="EF77" s="18"/>
      <c r="EG77" s="18"/>
      <c r="EH77" s="18"/>
      <c r="EI77" s="18"/>
      <c r="EJ77" s="18"/>
      <c r="EK77" s="18"/>
      <c r="EL77" s="18"/>
      <c r="EM77" s="18"/>
      <c r="EN77" s="18"/>
      <c r="EO77" s="18"/>
      <c r="EP77" s="18"/>
      <c r="EQ77" s="18"/>
      <c r="ER77" s="18"/>
      <c r="ES77" s="18"/>
      <c r="ET77" s="18"/>
      <c r="EU77" s="18"/>
      <c r="EV77" s="18"/>
      <c r="EW77" s="18"/>
      <c r="EX77" s="18"/>
      <c r="EY77" s="18"/>
      <c r="EZ77" s="18"/>
      <c r="FA77" s="18"/>
      <c r="FB77" s="18"/>
      <c r="FC77" s="18"/>
      <c r="FD77" s="18"/>
      <c r="FE77" s="18"/>
      <c r="FF77" s="18"/>
      <c r="FG77" s="18"/>
      <c r="FH77" s="18"/>
      <c r="FI77" s="18"/>
      <c r="FJ77" s="18"/>
      <c r="FK77" s="18"/>
      <c r="FL77" s="18"/>
      <c r="FM77" s="18"/>
      <c r="FN77" s="18"/>
      <c r="FO77" s="18"/>
      <c r="FP77" s="18"/>
      <c r="FQ77" s="18"/>
      <c r="FR77" s="18"/>
      <c r="FS77" s="18"/>
      <c r="FT77" s="18"/>
      <c r="FU77" s="18"/>
      <c r="FV77" s="18"/>
      <c r="FW77" s="18"/>
      <c r="FX77" s="18"/>
      <c r="FY77" s="18"/>
      <c r="FZ77" s="18"/>
      <c r="GA77" s="18"/>
      <c r="GB77" s="18"/>
      <c r="GC77" s="18"/>
      <c r="GD77" s="18"/>
    </row>
    <row r="78" spans="1:186" s="18" customFormat="1">
      <c r="A78" s="34" t="s">
        <v>42</v>
      </c>
      <c r="B78" s="34" t="s">
        <v>54</v>
      </c>
      <c r="C78" s="34"/>
      <c r="D78" s="34" t="s">
        <v>122</v>
      </c>
      <c r="E78" s="53">
        <v>41381</v>
      </c>
      <c r="F78" s="35">
        <f>5507.21+2.599+37.971</f>
        <v>5547.78</v>
      </c>
      <c r="G78" s="35"/>
      <c r="H78" s="35"/>
      <c r="I78" s="49">
        <f t="shared" ref="I78:I124" si="66">SUM(F78:H78)</f>
        <v>5547.78</v>
      </c>
      <c r="J78" s="35">
        <v>372.75</v>
      </c>
      <c r="K78" s="65"/>
      <c r="L78" s="35"/>
      <c r="M78" s="35">
        <v>0</v>
      </c>
      <c r="N78" s="66" t="s">
        <v>173</v>
      </c>
      <c r="O78" s="66" t="s">
        <v>173</v>
      </c>
      <c r="P78" s="35"/>
      <c r="Q78" s="33"/>
      <c r="R78" s="33"/>
      <c r="S78" s="34"/>
      <c r="T78" s="34">
        <v>0</v>
      </c>
      <c r="U78" s="49">
        <f t="shared" ref="U78:U113" si="67">+I78-SUM(J78:T78)</f>
        <v>5175.03</v>
      </c>
      <c r="V78" s="33">
        <f t="shared" ref="V78:V86" si="68">IF(I78&gt;2250,I78*0.1,0)</f>
        <v>554.77800000000002</v>
      </c>
      <c r="W78" s="49">
        <f t="shared" ref="W78:W86" si="69">+U78-V78</f>
        <v>4620.2519999999995</v>
      </c>
      <c r="X78" s="33">
        <f t="shared" ref="X78:X86" si="70">IF(I78&lt;2250,I78*0.1,0)</f>
        <v>0</v>
      </c>
      <c r="Y78" s="33">
        <v>10.23</v>
      </c>
      <c r="Z78" s="33" t="str">
        <f t="shared" ref="Z78:Z86" si="71">+N78</f>
        <v>XX</v>
      </c>
      <c r="AA78" s="49" t="e">
        <f t="shared" ref="AA78:AA86" si="72">+I78+X78+Y78+Z78</f>
        <v>#VALUE!</v>
      </c>
      <c r="AB78" s="55"/>
      <c r="AC78" s="56"/>
      <c r="AD78" s="50">
        <f t="shared" ref="AD78:AD81" si="73">+AB78+AC78-W78</f>
        <v>-4620.2519999999995</v>
      </c>
      <c r="AE78" s="36">
        <v>56708845774</v>
      </c>
      <c r="AF78" s="36" t="s">
        <v>148</v>
      </c>
      <c r="AG78" s="18" t="s">
        <v>158</v>
      </c>
    </row>
    <row r="79" spans="1:186" s="18" customFormat="1">
      <c r="A79" s="34" t="s">
        <v>42</v>
      </c>
      <c r="B79" s="34" t="s">
        <v>99</v>
      </c>
      <c r="C79" s="34"/>
      <c r="D79" s="34" t="s">
        <v>122</v>
      </c>
      <c r="E79" s="53">
        <v>41740</v>
      </c>
      <c r="F79" s="35">
        <f>3126.889+5.571+389.271</f>
        <v>3521.7310000000002</v>
      </c>
      <c r="G79" s="35"/>
      <c r="H79" s="35"/>
      <c r="I79" s="49">
        <f t="shared" si="66"/>
        <v>3521.7310000000002</v>
      </c>
      <c r="J79" s="35">
        <v>275.38</v>
      </c>
      <c r="K79" s="65"/>
      <c r="L79" s="35"/>
      <c r="M79" s="35">
        <v>300</v>
      </c>
      <c r="N79" s="66" t="s">
        <v>173</v>
      </c>
      <c r="O79" s="66" t="s">
        <v>173</v>
      </c>
      <c r="P79" s="35"/>
      <c r="Q79" s="33"/>
      <c r="R79" s="33"/>
      <c r="S79" s="34"/>
      <c r="T79" s="34">
        <v>0</v>
      </c>
      <c r="U79" s="49">
        <f t="shared" si="67"/>
        <v>2946.3510000000001</v>
      </c>
      <c r="V79" s="33">
        <f t="shared" si="68"/>
        <v>352.17310000000003</v>
      </c>
      <c r="W79" s="49">
        <f t="shared" si="69"/>
        <v>2594.1779000000001</v>
      </c>
      <c r="X79" s="33">
        <f t="shared" si="70"/>
        <v>0</v>
      </c>
      <c r="Y79" s="33">
        <v>10.23</v>
      </c>
      <c r="Z79" s="33" t="str">
        <f t="shared" si="71"/>
        <v>XX</v>
      </c>
      <c r="AA79" s="49" t="e">
        <f t="shared" si="72"/>
        <v>#VALUE!</v>
      </c>
      <c r="AB79" s="55"/>
      <c r="AC79" s="56"/>
      <c r="AD79" s="50">
        <f t="shared" si="73"/>
        <v>-2594.1779000000001</v>
      </c>
      <c r="AE79" s="36">
        <v>56708845788</v>
      </c>
      <c r="AF79" s="36" t="s">
        <v>148</v>
      </c>
      <c r="AG79" s="18" t="s">
        <v>158</v>
      </c>
    </row>
    <row r="80" spans="1:186" s="18" customFormat="1">
      <c r="A80" s="34" t="s">
        <v>42</v>
      </c>
      <c r="B80" s="34" t="s">
        <v>153</v>
      </c>
      <c r="C80" s="34"/>
      <c r="D80" s="34" t="s">
        <v>118</v>
      </c>
      <c r="E80" s="53">
        <v>42779</v>
      </c>
      <c r="F80" s="35">
        <v>1173.6849999999999</v>
      </c>
      <c r="G80" s="35"/>
      <c r="H80" s="35"/>
      <c r="I80" s="49">
        <f t="shared" si="66"/>
        <v>1173.6849999999999</v>
      </c>
      <c r="J80" s="35"/>
      <c r="K80" s="65"/>
      <c r="L80" s="35"/>
      <c r="M80" s="35"/>
      <c r="N80" s="66" t="s">
        <v>173</v>
      </c>
      <c r="O80" s="66" t="s">
        <v>173</v>
      </c>
      <c r="P80" s="35"/>
      <c r="Q80" s="33"/>
      <c r="R80" s="33"/>
      <c r="S80" s="34"/>
      <c r="T80" s="34"/>
      <c r="U80" s="49">
        <f t="shared" si="67"/>
        <v>1173.6849999999999</v>
      </c>
      <c r="V80" s="33"/>
      <c r="W80" s="49"/>
      <c r="X80" s="33"/>
      <c r="Y80" s="33"/>
      <c r="Z80" s="33"/>
      <c r="AA80" s="49"/>
      <c r="AB80" s="55"/>
      <c r="AC80" s="56"/>
      <c r="AD80" s="50"/>
      <c r="AE80" s="36">
        <v>60589582591</v>
      </c>
      <c r="AF80" s="36"/>
      <c r="AG80" s="18" t="s">
        <v>158</v>
      </c>
    </row>
    <row r="81" spans="1:33" s="18" customFormat="1">
      <c r="A81" s="34" t="s">
        <v>42</v>
      </c>
      <c r="B81" s="34" t="s">
        <v>55</v>
      </c>
      <c r="C81" s="34"/>
      <c r="D81" s="34" t="s">
        <v>47</v>
      </c>
      <c r="E81" s="53">
        <v>41227</v>
      </c>
      <c r="F81" s="35">
        <f>2390.02+13.099</f>
        <v>2403.1190000000001</v>
      </c>
      <c r="G81" s="35"/>
      <c r="H81" s="35"/>
      <c r="I81" s="49">
        <f t="shared" si="66"/>
        <v>2403.1190000000001</v>
      </c>
      <c r="J81" s="35"/>
      <c r="K81" s="65">
        <v>1</v>
      </c>
      <c r="L81" s="35"/>
      <c r="M81" s="33">
        <v>700</v>
      </c>
      <c r="N81" s="66" t="s">
        <v>173</v>
      </c>
      <c r="O81" s="66" t="s">
        <v>173</v>
      </c>
      <c r="P81" s="35"/>
      <c r="Q81" s="33"/>
      <c r="R81" s="33"/>
      <c r="S81" s="34"/>
      <c r="T81" s="34">
        <v>0</v>
      </c>
      <c r="U81" s="49">
        <f t="shared" si="67"/>
        <v>1702.1190000000001</v>
      </c>
      <c r="V81" s="33">
        <f t="shared" si="68"/>
        <v>240.31190000000004</v>
      </c>
      <c r="W81" s="49">
        <f t="shared" si="69"/>
        <v>1461.8071</v>
      </c>
      <c r="X81" s="33">
        <f t="shared" si="70"/>
        <v>0</v>
      </c>
      <c r="Y81" s="33">
        <v>10.23</v>
      </c>
      <c r="Z81" s="33" t="str">
        <f t="shared" si="71"/>
        <v>XX</v>
      </c>
      <c r="AA81" s="49" t="e">
        <f t="shared" si="72"/>
        <v>#VALUE!</v>
      </c>
      <c r="AB81" s="55"/>
      <c r="AC81" s="56"/>
      <c r="AD81" s="50">
        <f t="shared" si="73"/>
        <v>-1461.8071</v>
      </c>
      <c r="AE81" s="36">
        <v>56708845791</v>
      </c>
      <c r="AF81" s="36"/>
      <c r="AG81" s="18" t="s">
        <v>158</v>
      </c>
    </row>
    <row r="82" spans="1:33" s="18" customFormat="1">
      <c r="A82" s="34" t="s">
        <v>40</v>
      </c>
      <c r="B82" s="34" t="s">
        <v>94</v>
      </c>
      <c r="C82" s="34"/>
      <c r="D82" s="34" t="s">
        <v>118</v>
      </c>
      <c r="E82" s="53">
        <v>42338</v>
      </c>
      <c r="F82" s="35">
        <f>1399.08+7.428</f>
        <v>1406.508</v>
      </c>
      <c r="G82" s="35"/>
      <c r="H82" s="35"/>
      <c r="I82" s="49">
        <f t="shared" si="66"/>
        <v>1406.508</v>
      </c>
      <c r="J82" s="35"/>
      <c r="K82" s="65"/>
      <c r="L82" s="35"/>
      <c r="M82" s="35">
        <v>0</v>
      </c>
      <c r="N82" s="66"/>
      <c r="O82" s="66"/>
      <c r="P82" s="35"/>
      <c r="Q82" s="33"/>
      <c r="R82" s="33"/>
      <c r="S82" s="34"/>
      <c r="T82" s="34">
        <v>0</v>
      </c>
      <c r="U82" s="49">
        <f t="shared" si="67"/>
        <v>1406.508</v>
      </c>
      <c r="V82" s="33">
        <f t="shared" si="68"/>
        <v>0</v>
      </c>
      <c r="W82" s="49">
        <f t="shared" si="69"/>
        <v>1406.508</v>
      </c>
      <c r="X82" s="33">
        <f t="shared" si="70"/>
        <v>140.6508</v>
      </c>
      <c r="Y82" s="33">
        <v>10.23</v>
      </c>
      <c r="Z82" s="33">
        <f t="shared" si="71"/>
        <v>0</v>
      </c>
      <c r="AA82" s="49">
        <f t="shared" si="72"/>
        <v>1557.3888000000002</v>
      </c>
      <c r="AB82" s="55"/>
      <c r="AC82" s="56"/>
      <c r="AD82" s="50">
        <f>+AB82+AC82-W82</f>
        <v>-1406.508</v>
      </c>
      <c r="AE82" s="36">
        <v>56708881872</v>
      </c>
      <c r="AF82" s="36"/>
      <c r="AG82" s="18" t="s">
        <v>158</v>
      </c>
    </row>
    <row r="83" spans="1:33" s="18" customFormat="1">
      <c r="A83" s="34" t="s">
        <v>42</v>
      </c>
      <c r="B83" s="34" t="s">
        <v>155</v>
      </c>
      <c r="C83" s="34"/>
      <c r="D83" s="34" t="s">
        <v>118</v>
      </c>
      <c r="E83" s="53">
        <v>42807</v>
      </c>
      <c r="F83" s="35">
        <v>456.37700000000001</v>
      </c>
      <c r="G83" s="35"/>
      <c r="H83" s="35"/>
      <c r="I83" s="49">
        <f t="shared" si="66"/>
        <v>456.37700000000001</v>
      </c>
      <c r="J83" s="35"/>
      <c r="K83" s="65"/>
      <c r="L83" s="35"/>
      <c r="M83" s="35"/>
      <c r="N83" s="66" t="s">
        <v>173</v>
      </c>
      <c r="O83" s="66" t="s">
        <v>173</v>
      </c>
      <c r="P83" s="35"/>
      <c r="Q83" s="33"/>
      <c r="R83" s="33"/>
      <c r="S83" s="34"/>
      <c r="T83" s="34"/>
      <c r="U83" s="49">
        <f t="shared" si="67"/>
        <v>456.37700000000001</v>
      </c>
      <c r="V83" s="33"/>
      <c r="W83" s="49"/>
      <c r="X83" s="33"/>
      <c r="Y83" s="33"/>
      <c r="Z83" s="33"/>
      <c r="AA83" s="49"/>
      <c r="AB83" s="55"/>
      <c r="AC83" s="56"/>
      <c r="AD83" s="50"/>
      <c r="AE83" s="36">
        <v>60589642468</v>
      </c>
      <c r="AF83" s="36"/>
      <c r="AG83" s="18" t="s">
        <v>158</v>
      </c>
    </row>
    <row r="84" spans="1:33" s="18" customFormat="1">
      <c r="A84" s="69" t="s">
        <v>40</v>
      </c>
      <c r="B84" s="69" t="s">
        <v>136</v>
      </c>
      <c r="C84" s="69"/>
      <c r="D84" s="69" t="s">
        <v>43</v>
      </c>
      <c r="E84" s="71">
        <v>42681</v>
      </c>
      <c r="F84" s="82"/>
      <c r="G84" s="82"/>
      <c r="H84" s="82"/>
      <c r="I84" s="49">
        <f t="shared" si="66"/>
        <v>0</v>
      </c>
      <c r="J84" s="35"/>
      <c r="K84" s="65"/>
      <c r="L84" s="35"/>
      <c r="M84" s="33" t="s">
        <v>192</v>
      </c>
      <c r="N84" s="66"/>
      <c r="O84" s="66"/>
      <c r="P84" s="35"/>
      <c r="Q84" s="33"/>
      <c r="R84" s="33"/>
      <c r="S84" s="34"/>
      <c r="T84" s="34"/>
      <c r="U84" s="49">
        <f t="shared" si="67"/>
        <v>0</v>
      </c>
      <c r="V84" s="33">
        <f t="shared" ref="V84" si="74">IF(I84&gt;2250,I84*0.1,0)</f>
        <v>0</v>
      </c>
      <c r="W84" s="49">
        <f t="shared" ref="W84" si="75">+U84-V84</f>
        <v>0</v>
      </c>
      <c r="X84" s="33"/>
      <c r="Y84" s="33"/>
      <c r="Z84" s="33"/>
      <c r="AA84" s="49"/>
      <c r="AB84" s="55"/>
      <c r="AC84" s="56"/>
      <c r="AD84" s="50"/>
      <c r="AE84" s="83">
        <v>56710773131</v>
      </c>
      <c r="AF84" s="83" t="s">
        <v>181</v>
      </c>
      <c r="AG84" s="18" t="s">
        <v>158</v>
      </c>
    </row>
    <row r="85" spans="1:33" s="18" customFormat="1">
      <c r="A85" s="34" t="s">
        <v>42</v>
      </c>
      <c r="B85" s="34" t="s">
        <v>104</v>
      </c>
      <c r="C85" s="34"/>
      <c r="D85" s="34" t="s">
        <v>122</v>
      </c>
      <c r="E85" s="53">
        <v>41227</v>
      </c>
      <c r="F85" s="35">
        <f>2116.778+2.599</f>
        <v>2119.377</v>
      </c>
      <c r="G85" s="35"/>
      <c r="H85" s="35"/>
      <c r="I85" s="49">
        <f t="shared" si="66"/>
        <v>2119.377</v>
      </c>
      <c r="J85" s="35">
        <v>199.21</v>
      </c>
      <c r="K85" s="65">
        <v>1</v>
      </c>
      <c r="L85" s="35"/>
      <c r="M85" s="33">
        <v>500</v>
      </c>
      <c r="N85" s="66" t="s">
        <v>173</v>
      </c>
      <c r="O85" s="66" t="s">
        <v>173</v>
      </c>
      <c r="P85" s="35"/>
      <c r="Q85" s="33"/>
      <c r="R85" s="33"/>
      <c r="S85" s="34"/>
      <c r="T85" s="34">
        <v>0</v>
      </c>
      <c r="U85" s="49">
        <f t="shared" si="67"/>
        <v>1419.1669999999999</v>
      </c>
      <c r="V85" s="33">
        <f t="shared" si="68"/>
        <v>0</v>
      </c>
      <c r="W85" s="49">
        <f t="shared" si="69"/>
        <v>1419.1669999999999</v>
      </c>
      <c r="X85" s="33">
        <f t="shared" si="70"/>
        <v>211.93770000000001</v>
      </c>
      <c r="Y85" s="33">
        <v>10.23</v>
      </c>
      <c r="Z85" s="33" t="str">
        <f t="shared" si="71"/>
        <v>XX</v>
      </c>
      <c r="AA85" s="49" t="e">
        <f t="shared" si="72"/>
        <v>#VALUE!</v>
      </c>
      <c r="AB85" s="55"/>
      <c r="AC85" s="56"/>
      <c r="AD85" s="50">
        <f>+AB85+AC85-W85</f>
        <v>-1419.1669999999999</v>
      </c>
      <c r="AE85" s="36">
        <v>56708845820</v>
      </c>
      <c r="AF85" s="36" t="s">
        <v>148</v>
      </c>
      <c r="AG85" s="18" t="s">
        <v>158</v>
      </c>
    </row>
    <row r="86" spans="1:33" s="18" customFormat="1">
      <c r="A86" s="34" t="s">
        <v>42</v>
      </c>
      <c r="B86" s="34" t="s">
        <v>66</v>
      </c>
      <c r="C86" s="34"/>
      <c r="D86" s="34" t="s">
        <v>122</v>
      </c>
      <c r="E86" s="53">
        <v>41227</v>
      </c>
      <c r="F86" s="35">
        <f>4592.4+2.972</f>
        <v>4595.3719999999994</v>
      </c>
      <c r="G86" s="35"/>
      <c r="H86" s="35"/>
      <c r="I86" s="49">
        <f t="shared" si="66"/>
        <v>4595.3719999999994</v>
      </c>
      <c r="J86" s="35"/>
      <c r="K86" s="65"/>
      <c r="L86" s="35"/>
      <c r="M86" s="35">
        <v>1000</v>
      </c>
      <c r="N86" s="66" t="s">
        <v>173</v>
      </c>
      <c r="O86" s="66" t="s">
        <v>173</v>
      </c>
      <c r="P86" s="35"/>
      <c r="Q86" s="33"/>
      <c r="R86" s="33"/>
      <c r="S86" s="34"/>
      <c r="T86" s="34">
        <v>0</v>
      </c>
      <c r="U86" s="49">
        <f t="shared" si="67"/>
        <v>3595.3719999999994</v>
      </c>
      <c r="V86" s="33">
        <f t="shared" si="68"/>
        <v>459.53719999999998</v>
      </c>
      <c r="W86" s="49">
        <f t="shared" si="69"/>
        <v>3135.8347999999996</v>
      </c>
      <c r="X86" s="33">
        <f t="shared" si="70"/>
        <v>0</v>
      </c>
      <c r="Y86" s="33">
        <v>10.23</v>
      </c>
      <c r="Z86" s="33" t="str">
        <f t="shared" si="71"/>
        <v>XX</v>
      </c>
      <c r="AA86" s="49" t="e">
        <f t="shared" si="72"/>
        <v>#VALUE!</v>
      </c>
      <c r="AB86" s="55"/>
      <c r="AC86" s="56"/>
      <c r="AD86" s="50">
        <f>+AB86+AC86-W86</f>
        <v>-3135.8347999999996</v>
      </c>
      <c r="AE86" s="36">
        <v>56708845834</v>
      </c>
      <c r="AF86" s="36"/>
      <c r="AG86" s="18" t="s">
        <v>158</v>
      </c>
    </row>
    <row r="87" spans="1:33" s="18" customFormat="1">
      <c r="A87" s="34" t="s">
        <v>42</v>
      </c>
      <c r="B87" s="34" t="s">
        <v>165</v>
      </c>
      <c r="C87" s="34"/>
      <c r="D87" s="34" t="s">
        <v>142</v>
      </c>
      <c r="E87" s="53">
        <v>42842</v>
      </c>
      <c r="F87" s="35">
        <f>1790+5.571+22.84</f>
        <v>1818.4109999999998</v>
      </c>
      <c r="G87" s="35"/>
      <c r="H87" s="35"/>
      <c r="I87" s="49">
        <f t="shared" si="66"/>
        <v>1818.4109999999998</v>
      </c>
      <c r="J87" s="35">
        <v>500</v>
      </c>
      <c r="K87" s="65"/>
      <c r="L87" s="35"/>
      <c r="M87" s="35"/>
      <c r="N87" s="66" t="s">
        <v>173</v>
      </c>
      <c r="O87" s="66" t="s">
        <v>173</v>
      </c>
      <c r="P87" s="35"/>
      <c r="Q87" s="33"/>
      <c r="R87" s="33"/>
      <c r="S87" s="34"/>
      <c r="T87" s="34"/>
      <c r="U87" s="49">
        <f t="shared" si="67"/>
        <v>1318.4109999999998</v>
      </c>
      <c r="V87" s="33"/>
      <c r="W87" s="49"/>
      <c r="X87" s="33"/>
      <c r="Y87" s="33"/>
      <c r="Z87" s="33"/>
      <c r="AA87" s="49"/>
      <c r="AB87" s="55"/>
      <c r="AC87" s="56"/>
      <c r="AD87" s="50"/>
      <c r="AE87" s="36">
        <v>60590100738</v>
      </c>
      <c r="AF87" s="36"/>
      <c r="AG87" s="18" t="s">
        <v>158</v>
      </c>
    </row>
    <row r="88" spans="1:33" s="18" customFormat="1">
      <c r="A88" s="34" t="s">
        <v>40</v>
      </c>
      <c r="B88" s="34" t="s">
        <v>124</v>
      </c>
      <c r="C88" s="34"/>
      <c r="D88" s="34" t="s">
        <v>142</v>
      </c>
      <c r="E88" s="53">
        <v>42604</v>
      </c>
      <c r="F88" s="35">
        <v>561.56899999999996</v>
      </c>
      <c r="G88" s="35"/>
      <c r="H88" s="35"/>
      <c r="I88" s="49">
        <f t="shared" si="66"/>
        <v>561.56899999999996</v>
      </c>
      <c r="J88" s="35"/>
      <c r="K88" s="65">
        <v>1</v>
      </c>
      <c r="L88" s="35"/>
      <c r="M88" s="35"/>
      <c r="N88" s="66" t="s">
        <v>173</v>
      </c>
      <c r="O88" s="66" t="s">
        <v>173</v>
      </c>
      <c r="P88" s="35"/>
      <c r="Q88" s="33"/>
      <c r="R88" s="33"/>
      <c r="S88" s="34"/>
      <c r="T88" s="34"/>
      <c r="U88" s="49">
        <f t="shared" si="67"/>
        <v>560.56899999999996</v>
      </c>
      <c r="V88" s="33">
        <f t="shared" ref="V88" si="76">IF(I88&gt;2250,I88*0.1,0)</f>
        <v>0</v>
      </c>
      <c r="W88" s="49">
        <f t="shared" ref="W88" si="77">+U88-V88</f>
        <v>560.56899999999996</v>
      </c>
      <c r="X88" s="33"/>
      <c r="Y88" s="33"/>
      <c r="Z88" s="33"/>
      <c r="AA88" s="49"/>
      <c r="AB88" s="55"/>
      <c r="AC88" s="56"/>
      <c r="AD88" s="50"/>
      <c r="AE88" s="36">
        <v>56708845848</v>
      </c>
      <c r="AF88" s="36"/>
      <c r="AG88" s="18" t="s">
        <v>158</v>
      </c>
    </row>
    <row r="89" spans="1:33" s="18" customFormat="1">
      <c r="A89" s="34" t="s">
        <v>42</v>
      </c>
      <c r="B89" s="34" t="s">
        <v>169</v>
      </c>
      <c r="C89" s="34"/>
      <c r="D89" s="34" t="s">
        <v>118</v>
      </c>
      <c r="E89" s="53">
        <v>42864</v>
      </c>
      <c r="F89" s="35">
        <v>685.32299999999998</v>
      </c>
      <c r="G89" s="35"/>
      <c r="H89" s="35"/>
      <c r="I89" s="49">
        <f t="shared" si="66"/>
        <v>685.32299999999998</v>
      </c>
      <c r="J89" s="35"/>
      <c r="K89" s="65"/>
      <c r="L89" s="35"/>
      <c r="M89" s="35"/>
      <c r="N89" s="66" t="s">
        <v>173</v>
      </c>
      <c r="O89" s="66" t="s">
        <v>173</v>
      </c>
      <c r="P89" s="35"/>
      <c r="Q89" s="33"/>
      <c r="R89" s="33"/>
      <c r="S89" s="34"/>
      <c r="T89" s="34"/>
      <c r="U89" s="49">
        <f t="shared" si="67"/>
        <v>685.32299999999998</v>
      </c>
      <c r="V89" s="33"/>
      <c r="W89" s="49"/>
      <c r="X89" s="33"/>
      <c r="Y89" s="33"/>
      <c r="Z89" s="33"/>
      <c r="AA89" s="49"/>
      <c r="AB89" s="55"/>
      <c r="AC89" s="56"/>
      <c r="AD89" s="50"/>
      <c r="AE89" s="36" t="s">
        <v>144</v>
      </c>
      <c r="AF89" s="36"/>
    </row>
    <row r="90" spans="1:33" s="18" customFormat="1">
      <c r="A90" s="34" t="s">
        <v>40</v>
      </c>
      <c r="B90" s="34" t="s">
        <v>67</v>
      </c>
      <c r="C90" s="34"/>
      <c r="D90" s="34" t="s">
        <v>43</v>
      </c>
      <c r="E90" s="53">
        <v>42319</v>
      </c>
      <c r="F90" s="35">
        <f>2611.997+13.099+522.519</f>
        <v>3147.6149999999998</v>
      </c>
      <c r="G90" s="35"/>
      <c r="H90" s="35"/>
      <c r="I90" s="49">
        <f t="shared" si="66"/>
        <v>3147.6149999999998</v>
      </c>
      <c r="J90" s="35"/>
      <c r="K90" s="65"/>
      <c r="L90" s="35"/>
      <c r="M90" s="35">
        <v>0</v>
      </c>
      <c r="N90" s="66"/>
      <c r="O90" s="66"/>
      <c r="P90" s="35"/>
      <c r="Q90" s="33"/>
      <c r="R90" s="33"/>
      <c r="S90" s="34"/>
      <c r="T90" s="34">
        <v>0</v>
      </c>
      <c r="U90" s="49">
        <f t="shared" si="67"/>
        <v>3147.6149999999998</v>
      </c>
      <c r="V90" s="33">
        <f t="shared" ref="V90:V119" si="78">IF(I90&gt;2250,I90*0.1,0)</f>
        <v>314.76150000000001</v>
      </c>
      <c r="W90" s="49">
        <f t="shared" ref="W90:W119" si="79">+U90-V90</f>
        <v>2832.8534999999997</v>
      </c>
      <c r="X90" s="33">
        <f t="shared" ref="X90:X119" si="80">IF(I90&lt;2250,I90*0.1,0)</f>
        <v>0</v>
      </c>
      <c r="Y90" s="33">
        <v>19.23</v>
      </c>
      <c r="Z90" s="33">
        <f t="shared" ref="Z90:Z119" si="81">+N90</f>
        <v>0</v>
      </c>
      <c r="AA90" s="49">
        <f t="shared" ref="AA90:AA119" si="82">+I90+X90+Y90+Z90</f>
        <v>3166.8449999999998</v>
      </c>
      <c r="AB90" s="55"/>
      <c r="AC90" s="56"/>
      <c r="AD90" s="50">
        <f>+AB90+AC90-W90</f>
        <v>-2832.8534999999997</v>
      </c>
      <c r="AE90" s="36">
        <v>56708881901</v>
      </c>
      <c r="AF90" s="36"/>
      <c r="AG90" s="18" t="s">
        <v>158</v>
      </c>
    </row>
    <row r="91" spans="1:33" s="18" customFormat="1">
      <c r="A91" s="34" t="s">
        <v>40</v>
      </c>
      <c r="B91" s="34" t="s">
        <v>175</v>
      </c>
      <c r="C91" s="34"/>
      <c r="D91" s="34" t="s">
        <v>43</v>
      </c>
      <c r="E91" s="53">
        <v>42884</v>
      </c>
      <c r="F91" s="35">
        <f>2976.516+7.428</f>
        <v>2983.944</v>
      </c>
      <c r="G91" s="35"/>
      <c r="H91" s="35"/>
      <c r="I91" s="49">
        <f t="shared" si="66"/>
        <v>2983.944</v>
      </c>
      <c r="J91" s="35"/>
      <c r="K91" s="65"/>
      <c r="L91" s="35"/>
      <c r="M91" s="35"/>
      <c r="N91" s="66"/>
      <c r="O91" s="66"/>
      <c r="P91" s="35"/>
      <c r="Q91" s="33"/>
      <c r="R91" s="33"/>
      <c r="S91" s="34"/>
      <c r="T91" s="34"/>
      <c r="U91" s="49">
        <f t="shared" si="67"/>
        <v>2983.944</v>
      </c>
      <c r="V91" s="33"/>
      <c r="W91" s="49"/>
      <c r="X91" s="33"/>
      <c r="Y91" s="33"/>
      <c r="Z91" s="33"/>
      <c r="AA91" s="49"/>
      <c r="AB91" s="55"/>
      <c r="AC91" s="56"/>
      <c r="AD91" s="50"/>
      <c r="AE91" s="36">
        <v>60592118015</v>
      </c>
      <c r="AF91" s="36"/>
    </row>
    <row r="92" spans="1:33" s="18" customFormat="1">
      <c r="A92" s="34" t="s">
        <v>40</v>
      </c>
      <c r="B92" s="34" t="s">
        <v>193</v>
      </c>
      <c r="C92" s="34"/>
      <c r="D92" s="34" t="s">
        <v>47</v>
      </c>
      <c r="E92" s="53">
        <v>42916</v>
      </c>
      <c r="F92" s="35">
        <f>1257.475+5.571</f>
        <v>1263.0459999999998</v>
      </c>
      <c r="G92" s="35"/>
      <c r="H92" s="35"/>
      <c r="I92" s="49">
        <f t="shared" si="66"/>
        <v>1263.0459999999998</v>
      </c>
      <c r="J92" s="35"/>
      <c r="K92" s="65"/>
      <c r="L92" s="35"/>
      <c r="M92" s="35"/>
      <c r="N92" s="66"/>
      <c r="O92" s="66"/>
      <c r="P92" s="35"/>
      <c r="Q92" s="33"/>
      <c r="R92" s="33"/>
      <c r="S92" s="34"/>
      <c r="T92" s="34"/>
      <c r="U92" s="49"/>
      <c r="V92" s="33"/>
      <c r="W92" s="49"/>
      <c r="X92" s="33"/>
      <c r="Y92" s="33"/>
      <c r="Z92" s="33"/>
      <c r="AA92" s="49"/>
      <c r="AB92" s="55"/>
      <c r="AC92" s="56"/>
      <c r="AD92" s="50"/>
      <c r="AE92" s="36">
        <v>60592515217</v>
      </c>
      <c r="AF92" s="36"/>
    </row>
    <row r="93" spans="1:33" s="18" customFormat="1">
      <c r="A93" s="34" t="s">
        <v>42</v>
      </c>
      <c r="B93" s="34" t="s">
        <v>195</v>
      </c>
      <c r="C93" s="34"/>
      <c r="D93" s="34" t="s">
        <v>47</v>
      </c>
      <c r="E93" s="53">
        <v>42912</v>
      </c>
      <c r="F93" s="35">
        <v>1299.08</v>
      </c>
      <c r="G93" s="35"/>
      <c r="H93" s="35"/>
      <c r="I93" s="49">
        <f t="shared" si="66"/>
        <v>1299.08</v>
      </c>
      <c r="J93" s="35"/>
      <c r="K93" s="65"/>
      <c r="L93" s="35"/>
      <c r="M93" s="35"/>
      <c r="N93" s="66"/>
      <c r="O93" s="66"/>
      <c r="P93" s="35"/>
      <c r="Q93" s="33"/>
      <c r="R93" s="33"/>
      <c r="S93" s="34"/>
      <c r="T93" s="34"/>
      <c r="U93" s="49"/>
      <c r="V93" s="33"/>
      <c r="W93" s="49"/>
      <c r="X93" s="33"/>
      <c r="Y93" s="33"/>
      <c r="Z93" s="33"/>
      <c r="AA93" s="49"/>
      <c r="AB93" s="55"/>
      <c r="AC93" s="56"/>
      <c r="AD93" s="50"/>
      <c r="AE93" s="36">
        <v>56686168111</v>
      </c>
      <c r="AF93" s="36"/>
    </row>
    <row r="94" spans="1:33" s="18" customFormat="1">
      <c r="A94" s="34" t="s">
        <v>42</v>
      </c>
      <c r="B94" s="34" t="s">
        <v>51</v>
      </c>
      <c r="C94" s="34"/>
      <c r="D94" s="34" t="s">
        <v>142</v>
      </c>
      <c r="E94" s="53">
        <v>41981</v>
      </c>
      <c r="F94" s="35">
        <f>1594.787+2.599+16.883</f>
        <v>1614.269</v>
      </c>
      <c r="G94" s="35"/>
      <c r="H94" s="35"/>
      <c r="I94" s="49">
        <f t="shared" si="66"/>
        <v>1614.269</v>
      </c>
      <c r="J94" s="35">
        <v>200</v>
      </c>
      <c r="K94" s="65">
        <v>1</v>
      </c>
      <c r="L94" s="35"/>
      <c r="M94" s="35">
        <v>300</v>
      </c>
      <c r="N94" s="66" t="s">
        <v>173</v>
      </c>
      <c r="O94" s="66" t="s">
        <v>173</v>
      </c>
      <c r="P94" s="35"/>
      <c r="Q94" s="33"/>
      <c r="R94" s="33"/>
      <c r="S94" s="34"/>
      <c r="T94" s="34">
        <v>0</v>
      </c>
      <c r="U94" s="49">
        <f t="shared" si="67"/>
        <v>1113.269</v>
      </c>
      <c r="V94" s="33">
        <f t="shared" si="78"/>
        <v>0</v>
      </c>
      <c r="W94" s="49">
        <f t="shared" si="79"/>
        <v>1113.269</v>
      </c>
      <c r="X94" s="33">
        <f t="shared" si="80"/>
        <v>161.42690000000002</v>
      </c>
      <c r="Y94" s="33">
        <v>10.23</v>
      </c>
      <c r="Z94" s="33" t="str">
        <f t="shared" si="81"/>
        <v>XX</v>
      </c>
      <c r="AA94" s="49" t="e">
        <f t="shared" si="82"/>
        <v>#VALUE!</v>
      </c>
      <c r="AB94" s="55"/>
      <c r="AC94" s="56"/>
      <c r="AD94" s="50">
        <f t="shared" ref="AD94:AD119" si="83">+AB94+AC94-W94</f>
        <v>-1113.269</v>
      </c>
      <c r="AE94" s="36">
        <v>56708845851</v>
      </c>
      <c r="AF94" s="36" t="s">
        <v>207</v>
      </c>
      <c r="AG94" s="18" t="s">
        <v>158</v>
      </c>
    </row>
    <row r="95" spans="1:33" s="18" customFormat="1">
      <c r="A95" s="34" t="s">
        <v>42</v>
      </c>
      <c r="B95" s="34" t="s">
        <v>83</v>
      </c>
      <c r="C95" s="34"/>
      <c r="D95" s="34" t="s">
        <v>122</v>
      </c>
      <c r="E95" s="53">
        <v>41284</v>
      </c>
      <c r="F95" s="35">
        <f>3434.872+2.599+21.375</f>
        <v>3458.846</v>
      </c>
      <c r="G95" s="35"/>
      <c r="H95" s="35"/>
      <c r="I95" s="49">
        <f t="shared" si="66"/>
        <v>3458.846</v>
      </c>
      <c r="J95" s="35">
        <v>246.63</v>
      </c>
      <c r="K95" s="65"/>
      <c r="L95" s="35"/>
      <c r="M95" s="35">
        <v>0</v>
      </c>
      <c r="N95" s="66" t="s">
        <v>173</v>
      </c>
      <c r="O95" s="66" t="s">
        <v>173</v>
      </c>
      <c r="P95" s="35"/>
      <c r="Q95" s="33"/>
      <c r="R95" s="33"/>
      <c r="S95" s="34"/>
      <c r="T95" s="34">
        <v>0</v>
      </c>
      <c r="U95" s="49">
        <f t="shared" si="67"/>
        <v>3212.2159999999999</v>
      </c>
      <c r="V95" s="33">
        <f t="shared" si="78"/>
        <v>345.88460000000003</v>
      </c>
      <c r="W95" s="49">
        <f t="shared" si="79"/>
        <v>2866.3314</v>
      </c>
      <c r="X95" s="33">
        <f t="shared" si="80"/>
        <v>0</v>
      </c>
      <c r="Y95" s="33">
        <v>10.23</v>
      </c>
      <c r="Z95" s="33" t="str">
        <f t="shared" si="81"/>
        <v>XX</v>
      </c>
      <c r="AA95" s="49" t="e">
        <f t="shared" si="82"/>
        <v>#VALUE!</v>
      </c>
      <c r="AB95" s="55"/>
      <c r="AC95" s="56"/>
      <c r="AD95" s="50">
        <f t="shared" si="83"/>
        <v>-2866.3314</v>
      </c>
      <c r="AE95" s="36">
        <v>56708881915</v>
      </c>
      <c r="AF95" s="36" t="s">
        <v>148</v>
      </c>
      <c r="AG95" s="18" t="s">
        <v>158</v>
      </c>
    </row>
    <row r="96" spans="1:33" s="18" customFormat="1">
      <c r="A96" s="34" t="s">
        <v>40</v>
      </c>
      <c r="B96" s="34" t="s">
        <v>161</v>
      </c>
      <c r="C96" s="34"/>
      <c r="D96" s="34" t="s">
        <v>43</v>
      </c>
      <c r="E96" s="53">
        <v>42823</v>
      </c>
      <c r="F96" s="35">
        <f>3863.32+13.099</f>
        <v>3876.4190000000003</v>
      </c>
      <c r="G96" s="35"/>
      <c r="H96" s="35"/>
      <c r="I96" s="49">
        <f t="shared" si="66"/>
        <v>3876.4190000000003</v>
      </c>
      <c r="J96" s="35"/>
      <c r="K96" s="65"/>
      <c r="L96" s="35"/>
      <c r="M96" s="35"/>
      <c r="N96" s="66"/>
      <c r="O96" s="66"/>
      <c r="P96" s="35"/>
      <c r="Q96" s="33"/>
      <c r="R96" s="33"/>
      <c r="S96" s="34"/>
      <c r="T96" s="34"/>
      <c r="U96" s="49">
        <f t="shared" si="67"/>
        <v>3876.4190000000003</v>
      </c>
      <c r="V96" s="33"/>
      <c r="W96" s="49"/>
      <c r="X96" s="33"/>
      <c r="Y96" s="33"/>
      <c r="Z96" s="33"/>
      <c r="AA96" s="49"/>
      <c r="AB96" s="55"/>
      <c r="AC96" s="56"/>
      <c r="AD96" s="50"/>
      <c r="AE96" s="36">
        <v>60589704184</v>
      </c>
      <c r="AF96" s="36"/>
      <c r="AG96" s="18" t="s">
        <v>158</v>
      </c>
    </row>
    <row r="97" spans="1:33" s="18" customFormat="1">
      <c r="A97" s="34" t="s">
        <v>42</v>
      </c>
      <c r="B97" s="34" t="s">
        <v>53</v>
      </c>
      <c r="C97" s="34"/>
      <c r="D97" s="34" t="s">
        <v>122</v>
      </c>
      <c r="E97" s="53">
        <v>41227</v>
      </c>
      <c r="F97" s="35">
        <f>1270.057+2.972+23.602</f>
        <v>1296.6310000000001</v>
      </c>
      <c r="G97" s="35"/>
      <c r="H97" s="35"/>
      <c r="I97" s="49">
        <f t="shared" si="66"/>
        <v>1296.6310000000001</v>
      </c>
      <c r="J97" s="35">
        <v>307.93</v>
      </c>
      <c r="K97" s="65">
        <v>1</v>
      </c>
      <c r="L97" s="35"/>
      <c r="M97" s="35">
        <v>0</v>
      </c>
      <c r="N97" s="66" t="s">
        <v>173</v>
      </c>
      <c r="O97" s="66" t="s">
        <v>173</v>
      </c>
      <c r="P97" s="35"/>
      <c r="Q97" s="33"/>
      <c r="R97" s="33"/>
      <c r="S97" s="34"/>
      <c r="T97" s="34">
        <v>0</v>
      </c>
      <c r="U97" s="49">
        <f t="shared" si="67"/>
        <v>987.70100000000002</v>
      </c>
      <c r="V97" s="33">
        <f t="shared" si="78"/>
        <v>0</v>
      </c>
      <c r="W97" s="49">
        <f t="shared" si="79"/>
        <v>987.70100000000002</v>
      </c>
      <c r="X97" s="33">
        <f t="shared" si="80"/>
        <v>129.66310000000001</v>
      </c>
      <c r="Y97" s="33">
        <v>10.23</v>
      </c>
      <c r="Z97" s="33" t="str">
        <f t="shared" si="81"/>
        <v>XX</v>
      </c>
      <c r="AA97" s="49" t="e">
        <f t="shared" si="82"/>
        <v>#VALUE!</v>
      </c>
      <c r="AB97" s="55"/>
      <c r="AC97" s="56"/>
      <c r="AD97" s="50">
        <f t="shared" si="83"/>
        <v>-987.70100000000002</v>
      </c>
      <c r="AE97" s="36">
        <v>56708845865</v>
      </c>
      <c r="AF97" s="36" t="s">
        <v>148</v>
      </c>
      <c r="AG97" s="18" t="s">
        <v>158</v>
      </c>
    </row>
    <row r="98" spans="1:33" s="18" customFormat="1">
      <c r="A98" s="34" t="s">
        <v>40</v>
      </c>
      <c r="B98" s="34" t="s">
        <v>68</v>
      </c>
      <c r="C98" s="34"/>
      <c r="D98" s="34" t="s">
        <v>43</v>
      </c>
      <c r="E98" s="53">
        <v>41493</v>
      </c>
      <c r="F98" s="35">
        <f>3404.96+13.099</f>
        <v>3418.0590000000002</v>
      </c>
      <c r="G98" s="35"/>
      <c r="H98" s="35"/>
      <c r="I98" s="49">
        <f t="shared" si="66"/>
        <v>3418.0590000000002</v>
      </c>
      <c r="J98" s="35"/>
      <c r="K98" s="65"/>
      <c r="L98" s="35"/>
      <c r="M98" s="35">
        <v>0</v>
      </c>
      <c r="N98" s="66"/>
      <c r="O98" s="66"/>
      <c r="P98" s="35"/>
      <c r="Q98" s="33"/>
      <c r="R98" s="33"/>
      <c r="S98" s="34"/>
      <c r="T98" s="34">
        <v>0</v>
      </c>
      <c r="U98" s="49">
        <f t="shared" si="67"/>
        <v>3418.0590000000002</v>
      </c>
      <c r="V98" s="33">
        <f t="shared" si="78"/>
        <v>341.80590000000007</v>
      </c>
      <c r="W98" s="49">
        <f t="shared" si="79"/>
        <v>3076.2530999999999</v>
      </c>
      <c r="X98" s="33">
        <f t="shared" si="80"/>
        <v>0</v>
      </c>
      <c r="Y98" s="33">
        <v>10.23</v>
      </c>
      <c r="Z98" s="33">
        <f t="shared" si="81"/>
        <v>0</v>
      </c>
      <c r="AA98" s="49">
        <f t="shared" si="82"/>
        <v>3428.2890000000002</v>
      </c>
      <c r="AB98" s="55"/>
      <c r="AC98" s="56"/>
      <c r="AD98" s="50">
        <f t="shared" si="83"/>
        <v>-3076.2530999999999</v>
      </c>
      <c r="AE98" s="36">
        <v>56708845879</v>
      </c>
      <c r="AF98" s="36"/>
      <c r="AG98" s="18" t="s">
        <v>158</v>
      </c>
    </row>
    <row r="99" spans="1:33" s="18" customFormat="1">
      <c r="A99" s="34" t="s">
        <v>42</v>
      </c>
      <c r="B99" s="34" t="s">
        <v>114</v>
      </c>
      <c r="C99" s="34"/>
      <c r="D99" s="34" t="s">
        <v>142</v>
      </c>
      <c r="E99" s="53">
        <v>42493</v>
      </c>
      <c r="F99" s="35">
        <f>162.374+2.599+9.43</f>
        <v>174.40299999999999</v>
      </c>
      <c r="G99" s="35"/>
      <c r="H99" s="35"/>
      <c r="I99" s="49">
        <f t="shared" si="66"/>
        <v>174.40299999999999</v>
      </c>
      <c r="J99" s="35"/>
      <c r="K99" s="65">
        <v>1</v>
      </c>
      <c r="L99" s="35"/>
      <c r="M99" s="35">
        <v>0</v>
      </c>
      <c r="N99" s="66" t="s">
        <v>173</v>
      </c>
      <c r="O99" s="66" t="s">
        <v>173</v>
      </c>
      <c r="P99" s="35"/>
      <c r="Q99" s="33"/>
      <c r="R99" s="33"/>
      <c r="S99" s="34"/>
      <c r="T99" s="34">
        <v>0</v>
      </c>
      <c r="U99" s="49">
        <f t="shared" si="67"/>
        <v>173.40299999999999</v>
      </c>
      <c r="V99" s="33">
        <f t="shared" si="78"/>
        <v>0</v>
      </c>
      <c r="W99" s="49">
        <f t="shared" si="79"/>
        <v>173.40299999999999</v>
      </c>
      <c r="X99" s="33">
        <f t="shared" si="80"/>
        <v>17.440300000000001</v>
      </c>
      <c r="Y99" s="33">
        <v>10.23</v>
      </c>
      <c r="Z99" s="33" t="str">
        <f t="shared" si="81"/>
        <v>XX</v>
      </c>
      <c r="AA99" s="49" t="e">
        <f t="shared" si="82"/>
        <v>#VALUE!</v>
      </c>
      <c r="AB99" s="55"/>
      <c r="AC99" s="56"/>
      <c r="AD99" s="50">
        <f t="shared" si="83"/>
        <v>-173.40299999999999</v>
      </c>
      <c r="AE99" s="36">
        <v>56708845882</v>
      </c>
      <c r="AF99" s="36"/>
      <c r="AG99" s="18" t="s">
        <v>158</v>
      </c>
    </row>
    <row r="100" spans="1:33" s="18" customFormat="1">
      <c r="A100" s="34" t="s">
        <v>42</v>
      </c>
      <c r="B100" s="34" t="s">
        <v>200</v>
      </c>
      <c r="C100" s="34"/>
      <c r="D100" s="34" t="s">
        <v>118</v>
      </c>
      <c r="E100" s="53">
        <v>42916</v>
      </c>
      <c r="F100" s="35">
        <v>14</v>
      </c>
      <c r="G100" s="35"/>
      <c r="H100" s="35"/>
      <c r="I100" s="49">
        <f t="shared" si="66"/>
        <v>14</v>
      </c>
      <c r="J100" s="35"/>
      <c r="K100" s="65"/>
      <c r="L100" s="35"/>
      <c r="M100" s="35"/>
      <c r="N100" s="66"/>
      <c r="O100" s="66"/>
      <c r="P100" s="35"/>
      <c r="Q100" s="33"/>
      <c r="R100" s="33"/>
      <c r="S100" s="34"/>
      <c r="T100" s="34"/>
      <c r="U100" s="49"/>
      <c r="V100" s="33"/>
      <c r="W100" s="49"/>
      <c r="X100" s="33"/>
      <c r="Y100" s="33"/>
      <c r="Z100" s="33"/>
      <c r="AA100" s="49"/>
      <c r="AB100" s="55"/>
      <c r="AC100" s="56"/>
      <c r="AD100" s="50"/>
      <c r="AE100" s="36">
        <v>60592590090</v>
      </c>
      <c r="AF100" s="36"/>
    </row>
    <row r="101" spans="1:33" s="18" customFormat="1">
      <c r="A101" s="34" t="s">
        <v>40</v>
      </c>
      <c r="B101" s="34" t="s">
        <v>180</v>
      </c>
      <c r="C101" s="34"/>
      <c r="D101" s="34" t="s">
        <v>118</v>
      </c>
      <c r="E101" s="53">
        <v>42716</v>
      </c>
      <c r="F101" s="35">
        <f>2125.625+5.571-461</f>
        <v>1670.1959999999999</v>
      </c>
      <c r="G101" s="35"/>
      <c r="H101" s="35"/>
      <c r="I101" s="49">
        <f t="shared" si="66"/>
        <v>1670.1959999999999</v>
      </c>
      <c r="J101" s="35"/>
      <c r="K101" s="65">
        <v>1</v>
      </c>
      <c r="L101" s="35"/>
      <c r="M101" s="35"/>
      <c r="N101" s="66"/>
      <c r="O101" s="66"/>
      <c r="P101" s="35"/>
      <c r="Q101" s="33"/>
      <c r="R101" s="33"/>
      <c r="S101" s="34"/>
      <c r="T101" s="34">
        <v>301.08999999999997</v>
      </c>
      <c r="U101" s="49">
        <f t="shared" si="67"/>
        <v>1368.106</v>
      </c>
      <c r="V101" s="33">
        <f t="shared" ref="V101" si="84">IF(I101&gt;2250,I101*0.1,0)</f>
        <v>0</v>
      </c>
      <c r="W101" s="49">
        <f t="shared" ref="W101" si="85">+U101-V101</f>
        <v>1368.106</v>
      </c>
      <c r="X101" s="33"/>
      <c r="Y101" s="33"/>
      <c r="Z101" s="33">
        <f t="shared" si="81"/>
        <v>0</v>
      </c>
      <c r="AA101" s="49"/>
      <c r="AB101" s="55"/>
      <c r="AC101" s="56"/>
      <c r="AD101" s="50"/>
      <c r="AE101" s="36">
        <v>60589845501</v>
      </c>
      <c r="AF101" s="36"/>
      <c r="AG101" s="18" t="s">
        <v>158</v>
      </c>
    </row>
    <row r="102" spans="1:33" s="18" customFormat="1">
      <c r="A102" s="34" t="s">
        <v>40</v>
      </c>
      <c r="B102" s="34" t="s">
        <v>186</v>
      </c>
      <c r="C102" s="34"/>
      <c r="D102" s="34" t="s">
        <v>43</v>
      </c>
      <c r="E102" s="53">
        <v>42909</v>
      </c>
      <c r="F102" s="35">
        <f>1074+3.736</f>
        <v>1077.7360000000001</v>
      </c>
      <c r="G102" s="35"/>
      <c r="H102" s="35"/>
      <c r="I102" s="49">
        <f t="shared" si="66"/>
        <v>1077.7360000000001</v>
      </c>
      <c r="J102" s="35"/>
      <c r="K102" s="65"/>
      <c r="L102" s="35"/>
      <c r="M102" s="35"/>
      <c r="N102" s="66"/>
      <c r="O102" s="66"/>
      <c r="P102" s="35"/>
      <c r="Q102" s="33"/>
      <c r="R102" s="33"/>
      <c r="S102" s="34"/>
      <c r="T102" s="63"/>
      <c r="U102" s="49">
        <f t="shared" si="67"/>
        <v>1077.7360000000001</v>
      </c>
      <c r="V102" s="33"/>
      <c r="W102" s="49"/>
      <c r="X102" s="33"/>
      <c r="Y102" s="33"/>
      <c r="Z102" s="33"/>
      <c r="AA102" s="49"/>
      <c r="AB102" s="55"/>
      <c r="AC102" s="55"/>
      <c r="AD102" s="50"/>
      <c r="AE102" s="36">
        <v>60592420864</v>
      </c>
      <c r="AF102" s="36"/>
    </row>
    <row r="103" spans="1:33" s="18" customFormat="1">
      <c r="A103" s="34" t="s">
        <v>40</v>
      </c>
      <c r="B103" s="34" t="s">
        <v>95</v>
      </c>
      <c r="C103" s="34"/>
      <c r="D103" s="34" t="s">
        <v>43</v>
      </c>
      <c r="E103" s="53">
        <v>42170</v>
      </c>
      <c r="F103" s="35">
        <f>4190.72+13.099</f>
        <v>4203.8190000000004</v>
      </c>
      <c r="G103" s="35"/>
      <c r="H103" s="35"/>
      <c r="I103" s="49">
        <f t="shared" si="66"/>
        <v>4203.8190000000004</v>
      </c>
      <c r="J103" s="65"/>
      <c r="K103" s="65"/>
      <c r="L103" s="35"/>
      <c r="M103" s="35">
        <v>0</v>
      </c>
      <c r="N103" s="66"/>
      <c r="O103" s="66"/>
      <c r="P103" s="35"/>
      <c r="Q103" s="33"/>
      <c r="R103" s="33"/>
      <c r="S103" s="34"/>
      <c r="T103" s="34">
        <v>0</v>
      </c>
      <c r="U103" s="49">
        <f t="shared" si="67"/>
        <v>4203.8190000000004</v>
      </c>
      <c r="V103" s="33">
        <f t="shared" si="78"/>
        <v>420.38190000000009</v>
      </c>
      <c r="W103" s="49">
        <f t="shared" si="79"/>
        <v>3783.4371000000001</v>
      </c>
      <c r="X103" s="33">
        <f t="shared" si="80"/>
        <v>0</v>
      </c>
      <c r="Y103" s="33">
        <v>10.23</v>
      </c>
      <c r="Z103" s="33">
        <f t="shared" si="81"/>
        <v>0</v>
      </c>
      <c r="AA103" s="49">
        <f t="shared" si="82"/>
        <v>4214.049</v>
      </c>
      <c r="AB103" s="55"/>
      <c r="AC103" s="56"/>
      <c r="AD103" s="50">
        <f t="shared" si="83"/>
        <v>-3783.4371000000001</v>
      </c>
      <c r="AE103" s="36">
        <v>56708881929</v>
      </c>
      <c r="AF103" s="36"/>
      <c r="AG103" s="18" t="s">
        <v>158</v>
      </c>
    </row>
    <row r="104" spans="1:33" s="18" customFormat="1">
      <c r="A104" s="34" t="s">
        <v>42</v>
      </c>
      <c r="B104" s="34" t="s">
        <v>58</v>
      </c>
      <c r="C104" s="34"/>
      <c r="D104" s="34" t="s">
        <v>121</v>
      </c>
      <c r="E104" s="53">
        <v>36868</v>
      </c>
      <c r="F104" s="35">
        <f>279.398+3.714+900</f>
        <v>1183.1120000000001</v>
      </c>
      <c r="G104" s="35"/>
      <c r="H104" s="35"/>
      <c r="I104" s="49">
        <f t="shared" si="66"/>
        <v>1183.1120000000001</v>
      </c>
      <c r="J104" s="35">
        <v>236.31</v>
      </c>
      <c r="K104" s="65"/>
      <c r="L104" s="35"/>
      <c r="M104" s="35">
        <v>0</v>
      </c>
      <c r="N104" s="66" t="s">
        <v>173</v>
      </c>
      <c r="O104" s="66" t="s">
        <v>173</v>
      </c>
      <c r="P104" s="35"/>
      <c r="Q104" s="33"/>
      <c r="R104" s="33"/>
      <c r="S104" s="34"/>
      <c r="T104" s="34">
        <v>0</v>
      </c>
      <c r="U104" s="49">
        <f t="shared" si="67"/>
        <v>946.80200000000013</v>
      </c>
      <c r="V104" s="33">
        <f t="shared" si="78"/>
        <v>0</v>
      </c>
      <c r="W104" s="49">
        <f t="shared" si="79"/>
        <v>946.80200000000013</v>
      </c>
      <c r="X104" s="33">
        <f t="shared" si="80"/>
        <v>118.31120000000001</v>
      </c>
      <c r="Y104" s="33">
        <v>10.23</v>
      </c>
      <c r="Z104" s="33" t="str">
        <f t="shared" si="81"/>
        <v>XX</v>
      </c>
      <c r="AA104" s="49" t="e">
        <f t="shared" si="82"/>
        <v>#VALUE!</v>
      </c>
      <c r="AB104" s="55"/>
      <c r="AC104" s="55"/>
      <c r="AD104" s="50">
        <f t="shared" si="83"/>
        <v>-946.80200000000013</v>
      </c>
      <c r="AE104" s="36">
        <v>56708845911</v>
      </c>
      <c r="AF104" s="36" t="s">
        <v>148</v>
      </c>
      <c r="AG104" s="18" t="s">
        <v>158</v>
      </c>
    </row>
    <row r="105" spans="1:33" s="18" customFormat="1">
      <c r="A105" s="34" t="s">
        <v>42</v>
      </c>
      <c r="B105" s="34" t="s">
        <v>56</v>
      </c>
      <c r="C105" s="34"/>
      <c r="D105" s="34" t="s">
        <v>119</v>
      </c>
      <c r="E105" s="53">
        <v>41949</v>
      </c>
      <c r="F105" s="35">
        <f>2536.5+7.428</f>
        <v>2543.9279999999999</v>
      </c>
      <c r="G105" s="35"/>
      <c r="H105" s="35"/>
      <c r="I105" s="49">
        <f t="shared" si="66"/>
        <v>2543.9279999999999</v>
      </c>
      <c r="J105" s="35"/>
      <c r="K105" s="65"/>
      <c r="L105" s="35"/>
      <c r="M105" s="35">
        <v>250</v>
      </c>
      <c r="N105" s="66" t="s">
        <v>173</v>
      </c>
      <c r="O105" s="66" t="s">
        <v>173</v>
      </c>
      <c r="P105" s="35"/>
      <c r="Q105" s="33"/>
      <c r="R105" s="33"/>
      <c r="S105" s="34"/>
      <c r="T105" s="34">
        <v>0</v>
      </c>
      <c r="U105" s="49">
        <f t="shared" si="67"/>
        <v>2293.9279999999999</v>
      </c>
      <c r="V105" s="33">
        <f t="shared" si="78"/>
        <v>254.39279999999999</v>
      </c>
      <c r="W105" s="49">
        <f t="shared" si="79"/>
        <v>2039.5351999999998</v>
      </c>
      <c r="X105" s="33">
        <f t="shared" si="80"/>
        <v>0</v>
      </c>
      <c r="Y105" s="33">
        <v>10.23</v>
      </c>
      <c r="Z105" s="33" t="str">
        <f t="shared" si="81"/>
        <v>XX</v>
      </c>
      <c r="AA105" s="49" t="e">
        <f t="shared" si="82"/>
        <v>#VALUE!</v>
      </c>
      <c r="AB105" s="55"/>
      <c r="AC105" s="56"/>
      <c r="AD105" s="50">
        <f t="shared" si="83"/>
        <v>-2039.5351999999998</v>
      </c>
      <c r="AE105" s="36">
        <v>56708845925</v>
      </c>
      <c r="AF105" s="34"/>
      <c r="AG105" s="18" t="s">
        <v>158</v>
      </c>
    </row>
    <row r="106" spans="1:33" s="18" customFormat="1">
      <c r="A106" s="34" t="s">
        <v>40</v>
      </c>
      <c r="B106" s="34" t="s">
        <v>34</v>
      </c>
      <c r="C106" s="34"/>
      <c r="D106" s="34" t="s">
        <v>43</v>
      </c>
      <c r="E106" s="53">
        <v>42129</v>
      </c>
      <c r="F106" s="35">
        <f>4678.546+13.099</f>
        <v>4691.6450000000004</v>
      </c>
      <c r="G106" s="35"/>
      <c r="H106" s="35"/>
      <c r="I106" s="49">
        <f t="shared" si="66"/>
        <v>4691.6450000000004</v>
      </c>
      <c r="J106" s="35"/>
      <c r="K106" s="65"/>
      <c r="L106" s="35"/>
      <c r="M106" s="35">
        <v>0</v>
      </c>
      <c r="N106" s="66"/>
      <c r="O106" s="66"/>
      <c r="P106" s="35"/>
      <c r="Q106" s="33"/>
      <c r="R106" s="33"/>
      <c r="S106" s="34"/>
      <c r="T106" s="34">
        <v>0</v>
      </c>
      <c r="U106" s="49">
        <f t="shared" si="67"/>
        <v>4691.6450000000004</v>
      </c>
      <c r="V106" s="33">
        <f t="shared" ref="V106" si="86">IF(I106&gt;2250,I106*0.1,0)</f>
        <v>469.16450000000009</v>
      </c>
      <c r="W106" s="49">
        <f t="shared" ref="W106" si="87">+U106-V106</f>
        <v>4222.4805000000006</v>
      </c>
      <c r="X106" s="33">
        <f t="shared" si="80"/>
        <v>0</v>
      </c>
      <c r="Y106" s="33">
        <v>10.23</v>
      </c>
      <c r="Z106" s="33">
        <f t="shared" si="81"/>
        <v>0</v>
      </c>
      <c r="AA106" s="49">
        <f t="shared" si="82"/>
        <v>4701.875</v>
      </c>
      <c r="AB106" s="55"/>
      <c r="AC106" s="56"/>
      <c r="AD106" s="50">
        <f t="shared" si="83"/>
        <v>-4222.4805000000006</v>
      </c>
      <c r="AE106" s="36">
        <v>56708845939</v>
      </c>
      <c r="AF106" s="36"/>
      <c r="AG106" s="18" t="s">
        <v>158</v>
      </c>
    </row>
    <row r="107" spans="1:33" s="18" customFormat="1">
      <c r="A107" s="34" t="s">
        <v>40</v>
      </c>
      <c r="B107" s="34" t="s">
        <v>174</v>
      </c>
      <c r="C107" s="34"/>
      <c r="D107" s="34" t="s">
        <v>43</v>
      </c>
      <c r="E107" s="53">
        <v>42815</v>
      </c>
      <c r="F107" s="35">
        <f>3097.2+7.428</f>
        <v>3104.6279999999997</v>
      </c>
      <c r="G107" s="35"/>
      <c r="H107" s="35"/>
      <c r="I107" s="49">
        <f t="shared" si="66"/>
        <v>3104.6279999999997</v>
      </c>
      <c r="J107" s="35"/>
      <c r="K107" s="65">
        <v>1</v>
      </c>
      <c r="L107" s="35"/>
      <c r="M107" s="35"/>
      <c r="N107" s="66"/>
      <c r="O107" s="66"/>
      <c r="P107" s="35"/>
      <c r="Q107" s="33"/>
      <c r="R107" s="33"/>
      <c r="S107" s="34"/>
      <c r="T107" s="34"/>
      <c r="U107" s="49">
        <f t="shared" si="67"/>
        <v>3103.6279999999997</v>
      </c>
      <c r="V107" s="33"/>
      <c r="W107" s="49"/>
      <c r="X107" s="33"/>
      <c r="Y107" s="33"/>
      <c r="Z107" s="33"/>
      <c r="AA107" s="49"/>
      <c r="AB107" s="55"/>
      <c r="AC107" s="56"/>
      <c r="AD107" s="50"/>
      <c r="AE107" s="36">
        <v>60589426888</v>
      </c>
      <c r="AF107" s="36"/>
      <c r="AG107" s="18" t="s">
        <v>158</v>
      </c>
    </row>
    <row r="108" spans="1:33" s="18" customFormat="1">
      <c r="A108" s="34" t="s">
        <v>42</v>
      </c>
      <c r="B108" s="34" t="s">
        <v>197</v>
      </c>
      <c r="C108" s="34"/>
      <c r="D108" s="34" t="s">
        <v>196</v>
      </c>
      <c r="E108" s="53">
        <v>42912</v>
      </c>
      <c r="F108" s="35">
        <f>1566.25+5.571+194.985</f>
        <v>1766.806</v>
      </c>
      <c r="G108" s="35"/>
      <c r="H108" s="35"/>
      <c r="I108" s="49">
        <f t="shared" si="66"/>
        <v>1766.806</v>
      </c>
      <c r="J108" s="35"/>
      <c r="K108" s="65"/>
      <c r="L108" s="35"/>
      <c r="M108" s="35"/>
      <c r="N108" s="66"/>
      <c r="O108" s="66"/>
      <c r="P108" s="35"/>
      <c r="Q108" s="33"/>
      <c r="R108" s="33"/>
      <c r="S108" s="34"/>
      <c r="T108" s="34"/>
      <c r="U108" s="49"/>
      <c r="V108" s="33"/>
      <c r="W108" s="49"/>
      <c r="X108" s="33"/>
      <c r="Y108" s="33"/>
      <c r="Z108" s="33"/>
      <c r="AA108" s="49"/>
      <c r="AB108" s="55"/>
      <c r="AC108" s="56"/>
      <c r="AD108" s="50"/>
      <c r="AE108" s="36">
        <v>60592585699</v>
      </c>
      <c r="AF108" s="36"/>
    </row>
    <row r="109" spans="1:33" s="18" customFormat="1">
      <c r="A109" s="34" t="s">
        <v>40</v>
      </c>
      <c r="B109" s="34" t="s">
        <v>85</v>
      </c>
      <c r="C109" s="34"/>
      <c r="D109" s="34" t="s">
        <v>118</v>
      </c>
      <c r="E109" s="53">
        <v>42422</v>
      </c>
      <c r="F109" s="35">
        <f>5247.567+13.099</f>
        <v>5260.6660000000002</v>
      </c>
      <c r="G109" s="35"/>
      <c r="H109" s="35"/>
      <c r="I109" s="49">
        <f t="shared" si="66"/>
        <v>5260.6660000000002</v>
      </c>
      <c r="J109" s="35"/>
      <c r="K109" s="65"/>
      <c r="L109" s="35"/>
      <c r="M109" s="35">
        <v>0</v>
      </c>
      <c r="N109" s="66"/>
      <c r="O109" s="66"/>
      <c r="P109" s="35"/>
      <c r="Q109" s="33"/>
      <c r="R109" s="33"/>
      <c r="S109" s="34"/>
      <c r="T109" s="34">
        <v>0</v>
      </c>
      <c r="U109" s="49">
        <f t="shared" si="67"/>
        <v>5260.6660000000002</v>
      </c>
      <c r="V109" s="33">
        <f t="shared" ref="V109" si="88">IF(I109&gt;2250,I109*0.1,0)</f>
        <v>526.06659999999999</v>
      </c>
      <c r="W109" s="49">
        <f t="shared" ref="W109" si="89">+U109-V109</f>
        <v>4734.5994000000001</v>
      </c>
      <c r="X109" s="33">
        <f t="shared" si="80"/>
        <v>0</v>
      </c>
      <c r="Y109" s="33">
        <v>10.23</v>
      </c>
      <c r="Z109" s="33">
        <f t="shared" si="81"/>
        <v>0</v>
      </c>
      <c r="AA109" s="49">
        <f t="shared" si="82"/>
        <v>5270.8959999999997</v>
      </c>
      <c r="AB109" s="55"/>
      <c r="AC109" s="56"/>
      <c r="AD109" s="50">
        <f t="shared" si="83"/>
        <v>-4734.5994000000001</v>
      </c>
      <c r="AE109" s="36">
        <v>56708845942</v>
      </c>
      <c r="AF109" s="36"/>
      <c r="AG109" s="18" t="s">
        <v>158</v>
      </c>
    </row>
    <row r="110" spans="1:33" s="18" customFormat="1">
      <c r="A110" s="34" t="s">
        <v>42</v>
      </c>
      <c r="B110" s="34" t="s">
        <v>96</v>
      </c>
      <c r="C110" s="34"/>
      <c r="D110" s="34" t="s">
        <v>122</v>
      </c>
      <c r="E110" s="53">
        <v>41227</v>
      </c>
      <c r="F110" s="35">
        <f>4804.739+2.599+300</f>
        <v>5107.3379999999997</v>
      </c>
      <c r="G110" s="35"/>
      <c r="H110" s="35"/>
      <c r="I110" s="49">
        <f t="shared" si="66"/>
        <v>5107.3379999999997</v>
      </c>
      <c r="J110" s="35">
        <f>209.76</f>
        <v>209.76</v>
      </c>
      <c r="K110" s="65"/>
      <c r="L110" s="35"/>
      <c r="M110" s="35">
        <v>400</v>
      </c>
      <c r="N110" s="66" t="s">
        <v>173</v>
      </c>
      <c r="O110" s="66" t="s">
        <v>173</v>
      </c>
      <c r="P110" s="35"/>
      <c r="Q110" s="33"/>
      <c r="R110" s="33"/>
      <c r="S110" s="34"/>
      <c r="T110" s="34">
        <v>0</v>
      </c>
      <c r="U110" s="49">
        <f t="shared" si="67"/>
        <v>4497.5779999999995</v>
      </c>
      <c r="V110" s="33">
        <f t="shared" si="78"/>
        <v>510.73379999999997</v>
      </c>
      <c r="W110" s="49">
        <f t="shared" si="79"/>
        <v>3986.8441999999995</v>
      </c>
      <c r="X110" s="33">
        <f t="shared" si="80"/>
        <v>0</v>
      </c>
      <c r="Y110" s="33">
        <v>10.23</v>
      </c>
      <c r="Z110" s="33" t="str">
        <f t="shared" si="81"/>
        <v>XX</v>
      </c>
      <c r="AA110" s="49" t="e">
        <f t="shared" si="82"/>
        <v>#VALUE!</v>
      </c>
      <c r="AB110" s="55"/>
      <c r="AC110" s="55"/>
      <c r="AD110" s="50">
        <f t="shared" si="83"/>
        <v>-3986.8441999999995</v>
      </c>
      <c r="AE110" s="36">
        <v>56708881946</v>
      </c>
      <c r="AF110" s="36" t="s">
        <v>148</v>
      </c>
      <c r="AG110" s="18" t="s">
        <v>158</v>
      </c>
    </row>
    <row r="111" spans="1:33" s="18" customFormat="1">
      <c r="A111" s="34" t="s">
        <v>40</v>
      </c>
      <c r="B111" s="34" t="s">
        <v>187</v>
      </c>
      <c r="C111" s="34"/>
      <c r="D111" s="34" t="s">
        <v>43</v>
      </c>
      <c r="E111" s="53">
        <v>42907</v>
      </c>
      <c r="F111" s="35">
        <f>443.025+2.599</f>
        <v>445.62399999999997</v>
      </c>
      <c r="G111" s="35"/>
      <c r="H111" s="35"/>
      <c r="I111" s="49">
        <f t="shared" si="66"/>
        <v>445.62399999999997</v>
      </c>
      <c r="J111" s="35"/>
      <c r="K111" s="65">
        <v>1</v>
      </c>
      <c r="L111" s="35"/>
      <c r="M111" s="35"/>
      <c r="N111" s="66"/>
      <c r="O111" s="66"/>
      <c r="P111" s="35"/>
      <c r="Q111" s="33"/>
      <c r="R111" s="33"/>
      <c r="S111" s="34"/>
      <c r="T111" s="63"/>
      <c r="U111" s="49">
        <f t="shared" si="67"/>
        <v>444.62399999999997</v>
      </c>
      <c r="V111" s="33"/>
      <c r="W111" s="49"/>
      <c r="X111" s="33"/>
      <c r="Y111" s="33"/>
      <c r="Z111" s="33"/>
      <c r="AA111" s="49"/>
      <c r="AB111" s="55"/>
      <c r="AC111" s="55"/>
      <c r="AD111" s="50"/>
      <c r="AE111" s="36">
        <v>60592492890</v>
      </c>
      <c r="AF111" s="36"/>
    </row>
    <row r="112" spans="1:33" s="18" customFormat="1">
      <c r="A112" s="34" t="s">
        <v>42</v>
      </c>
      <c r="B112" s="34" t="s">
        <v>129</v>
      </c>
      <c r="C112" s="34"/>
      <c r="D112" s="34" t="s">
        <v>118</v>
      </c>
      <c r="E112" s="53">
        <v>42635</v>
      </c>
      <c r="F112" s="35">
        <f>840+450</f>
        <v>1290</v>
      </c>
      <c r="G112" s="35"/>
      <c r="H112" s="35"/>
      <c r="I112" s="49">
        <f t="shared" si="66"/>
        <v>1290</v>
      </c>
      <c r="J112" s="35"/>
      <c r="K112" s="65"/>
      <c r="L112" s="35"/>
      <c r="M112" s="35"/>
      <c r="N112" s="66" t="s">
        <v>173</v>
      </c>
      <c r="O112" s="66" t="s">
        <v>173</v>
      </c>
      <c r="P112" s="35"/>
      <c r="Q112" s="33"/>
      <c r="R112" s="33"/>
      <c r="S112" s="34"/>
      <c r="T112" s="34"/>
      <c r="U112" s="49">
        <f t="shared" si="67"/>
        <v>1290</v>
      </c>
      <c r="V112" s="33">
        <f t="shared" ref="V112" si="90">IF(I112&gt;2250,I112*0.1,0)</f>
        <v>0</v>
      </c>
      <c r="W112" s="49">
        <f t="shared" ref="W112" si="91">+U112-V112</f>
        <v>1290</v>
      </c>
      <c r="X112" s="33"/>
      <c r="Y112" s="33"/>
      <c r="Z112" s="33"/>
      <c r="AA112" s="49"/>
      <c r="AB112" s="55"/>
      <c r="AC112" s="55"/>
      <c r="AD112" s="50"/>
      <c r="AE112" s="36">
        <v>56708881608</v>
      </c>
      <c r="AF112" s="34"/>
      <c r="AG112" s="18" t="s">
        <v>158</v>
      </c>
    </row>
    <row r="113" spans="1:186" s="18" customFormat="1">
      <c r="A113" s="34" t="s">
        <v>42</v>
      </c>
      <c r="B113" s="34" t="s">
        <v>98</v>
      </c>
      <c r="C113" s="34"/>
      <c r="D113" s="34" t="s">
        <v>122</v>
      </c>
      <c r="E113" s="53">
        <v>41703</v>
      </c>
      <c r="F113" s="35">
        <f>1084.562+1225.11</f>
        <v>2309.6719999999996</v>
      </c>
      <c r="G113" s="35"/>
      <c r="H113" s="35"/>
      <c r="I113" s="49">
        <f t="shared" si="66"/>
        <v>2309.6719999999996</v>
      </c>
      <c r="J113" s="35"/>
      <c r="K113" s="65"/>
      <c r="L113" s="35"/>
      <c r="M113" s="35">
        <v>0</v>
      </c>
      <c r="N113" s="66" t="s">
        <v>173</v>
      </c>
      <c r="O113" s="66" t="s">
        <v>173</v>
      </c>
      <c r="P113" s="35"/>
      <c r="Q113" s="33"/>
      <c r="R113" s="33"/>
      <c r="S113" s="34"/>
      <c r="T113" s="34">
        <v>0</v>
      </c>
      <c r="U113" s="49">
        <f t="shared" si="67"/>
        <v>2309.6719999999996</v>
      </c>
      <c r="V113" s="33">
        <f t="shared" si="78"/>
        <v>230.96719999999996</v>
      </c>
      <c r="W113" s="49">
        <f t="shared" si="79"/>
        <v>2078.7047999999995</v>
      </c>
      <c r="X113" s="33">
        <f t="shared" si="80"/>
        <v>0</v>
      </c>
      <c r="Y113" s="33">
        <v>10.23</v>
      </c>
      <c r="Z113" s="33" t="str">
        <f t="shared" si="81"/>
        <v>XX</v>
      </c>
      <c r="AA113" s="49" t="e">
        <f t="shared" si="82"/>
        <v>#VALUE!</v>
      </c>
      <c r="AB113" s="55"/>
      <c r="AC113" s="55"/>
      <c r="AD113" s="50">
        <f t="shared" si="83"/>
        <v>-2078.7047999999995</v>
      </c>
      <c r="AE113" s="36">
        <v>56708845973</v>
      </c>
      <c r="AF113" s="34"/>
      <c r="AG113" s="18" t="s">
        <v>158</v>
      </c>
    </row>
    <row r="114" spans="1:186" s="18" customFormat="1">
      <c r="A114" s="34" t="s">
        <v>42</v>
      </c>
      <c r="B114" s="34" t="s">
        <v>52</v>
      </c>
      <c r="C114" s="34"/>
      <c r="D114" s="34" t="s">
        <v>122</v>
      </c>
      <c r="E114" s="53">
        <v>41291</v>
      </c>
      <c r="F114" s="35">
        <f>3421.378+2.599+52.755</f>
        <v>3476.7320000000004</v>
      </c>
      <c r="G114" s="35"/>
      <c r="H114" s="35"/>
      <c r="I114" s="49">
        <f t="shared" si="66"/>
        <v>3476.7320000000004</v>
      </c>
      <c r="J114" s="35">
        <v>216.71</v>
      </c>
      <c r="K114" s="65"/>
      <c r="L114" s="35"/>
      <c r="M114" s="35">
        <v>200</v>
      </c>
      <c r="N114" s="66" t="s">
        <v>173</v>
      </c>
      <c r="O114" s="66" t="s">
        <v>173</v>
      </c>
      <c r="P114" s="35">
        <v>343.11</v>
      </c>
      <c r="Q114" s="33"/>
      <c r="R114" s="33"/>
      <c r="S114" s="34"/>
      <c r="T114" s="34">
        <v>0</v>
      </c>
      <c r="U114" s="49">
        <f t="shared" ref="U114:U119" si="92">+I114-SUM(J114:T114)</f>
        <v>2716.9120000000003</v>
      </c>
      <c r="V114" s="33">
        <f t="shared" si="78"/>
        <v>347.67320000000007</v>
      </c>
      <c r="W114" s="49">
        <f t="shared" si="79"/>
        <v>2369.2388000000001</v>
      </c>
      <c r="X114" s="33">
        <f t="shared" si="80"/>
        <v>0</v>
      </c>
      <c r="Y114" s="33">
        <v>10.23</v>
      </c>
      <c r="Z114" s="33" t="str">
        <f t="shared" si="81"/>
        <v>XX</v>
      </c>
      <c r="AA114" s="49" t="e">
        <f t="shared" si="82"/>
        <v>#VALUE!</v>
      </c>
      <c r="AB114" s="55"/>
      <c r="AC114" s="55"/>
      <c r="AD114" s="50">
        <f t="shared" si="83"/>
        <v>-2369.2388000000001</v>
      </c>
      <c r="AE114" s="36">
        <v>56708881963</v>
      </c>
      <c r="AF114" s="36" t="s">
        <v>148</v>
      </c>
      <c r="AG114" s="18" t="s">
        <v>158</v>
      </c>
    </row>
    <row r="115" spans="1:186" s="18" customFormat="1">
      <c r="A115" s="34" t="s">
        <v>40</v>
      </c>
      <c r="B115" s="34" t="s">
        <v>60</v>
      </c>
      <c r="C115" s="34"/>
      <c r="D115" s="34" t="s">
        <v>43</v>
      </c>
      <c r="E115" s="53">
        <v>41666</v>
      </c>
      <c r="F115" s="35">
        <f>3123.9+7.428</f>
        <v>3131.328</v>
      </c>
      <c r="G115" s="35"/>
      <c r="H115" s="35"/>
      <c r="I115" s="49">
        <f t="shared" si="66"/>
        <v>3131.328</v>
      </c>
      <c r="J115" s="35"/>
      <c r="K115" s="65"/>
      <c r="L115" s="35"/>
      <c r="M115" s="35">
        <v>200</v>
      </c>
      <c r="N115" s="66"/>
      <c r="O115" s="66"/>
      <c r="P115" s="35"/>
      <c r="Q115" s="33"/>
      <c r="R115" s="33"/>
      <c r="S115" s="34"/>
      <c r="T115" s="81">
        <v>442.08</v>
      </c>
      <c r="U115" s="49">
        <f t="shared" si="92"/>
        <v>2489.248</v>
      </c>
      <c r="V115" s="33">
        <f t="shared" si="78"/>
        <v>313.13280000000003</v>
      </c>
      <c r="W115" s="49">
        <f t="shared" si="79"/>
        <v>2176.1152000000002</v>
      </c>
      <c r="X115" s="33">
        <f t="shared" si="80"/>
        <v>0</v>
      </c>
      <c r="Y115" s="33">
        <v>10.23</v>
      </c>
      <c r="Z115" s="33">
        <f t="shared" si="81"/>
        <v>0</v>
      </c>
      <c r="AA115" s="49">
        <f t="shared" si="82"/>
        <v>3141.558</v>
      </c>
      <c r="AB115" s="55"/>
      <c r="AC115" s="56"/>
      <c r="AD115" s="50">
        <f t="shared" si="83"/>
        <v>-2176.1152000000002</v>
      </c>
      <c r="AE115" s="36">
        <v>56708845990</v>
      </c>
      <c r="AF115" s="34"/>
      <c r="AG115" s="18" t="s">
        <v>158</v>
      </c>
    </row>
    <row r="116" spans="1:186" s="18" customFormat="1">
      <c r="A116" s="34" t="s">
        <v>40</v>
      </c>
      <c r="B116" s="34" t="s">
        <v>156</v>
      </c>
      <c r="C116" s="34"/>
      <c r="D116" s="34" t="s">
        <v>43</v>
      </c>
      <c r="E116" s="53">
        <v>42809</v>
      </c>
      <c r="F116" s="35">
        <f>3928.8+13.099</f>
        <v>3941.8990000000003</v>
      </c>
      <c r="G116" s="35"/>
      <c r="H116" s="35"/>
      <c r="I116" s="49">
        <f t="shared" si="66"/>
        <v>3941.8990000000003</v>
      </c>
      <c r="J116" s="35"/>
      <c r="K116" s="65"/>
      <c r="L116" s="35"/>
      <c r="M116" s="35"/>
      <c r="N116" s="66"/>
      <c r="O116" s="66"/>
      <c r="P116" s="35"/>
      <c r="Q116" s="33"/>
      <c r="R116" s="33"/>
      <c r="S116" s="34"/>
      <c r="T116" s="34"/>
      <c r="U116" s="49">
        <f t="shared" si="92"/>
        <v>3941.8990000000003</v>
      </c>
      <c r="V116" s="33"/>
      <c r="W116" s="49"/>
      <c r="X116" s="33"/>
      <c r="Y116" s="33"/>
      <c r="Z116" s="33"/>
      <c r="AA116" s="49"/>
      <c r="AB116" s="55"/>
      <c r="AC116" s="56"/>
      <c r="AD116" s="50"/>
      <c r="AE116" s="36">
        <v>60589597089</v>
      </c>
      <c r="AF116" s="36"/>
      <c r="AG116" s="18" t="s">
        <v>158</v>
      </c>
    </row>
    <row r="117" spans="1:186" s="18" customFormat="1">
      <c r="A117" s="95" t="s">
        <v>40</v>
      </c>
      <c r="B117" s="95" t="s">
        <v>210</v>
      </c>
      <c r="C117" s="95"/>
      <c r="D117" s="95" t="s">
        <v>43</v>
      </c>
      <c r="E117" s="96">
        <v>42923</v>
      </c>
      <c r="F117" s="97">
        <v>0</v>
      </c>
      <c r="G117" s="97"/>
      <c r="H117" s="97"/>
      <c r="I117" s="49">
        <f t="shared" si="66"/>
        <v>0</v>
      </c>
      <c r="J117" s="35"/>
      <c r="K117" s="65"/>
      <c r="L117" s="35"/>
      <c r="M117" s="35"/>
      <c r="N117" s="66"/>
      <c r="O117" s="66"/>
      <c r="P117" s="35"/>
      <c r="Q117" s="33"/>
      <c r="R117" s="33"/>
      <c r="S117" s="34"/>
      <c r="T117" s="34"/>
      <c r="U117" s="49">
        <f t="shared" si="92"/>
        <v>0</v>
      </c>
      <c r="V117" s="33"/>
      <c r="W117" s="49"/>
      <c r="X117" s="33"/>
      <c r="Y117" s="33"/>
      <c r="Z117" s="33"/>
      <c r="AA117" s="49"/>
      <c r="AB117" s="55"/>
      <c r="AC117" s="56"/>
      <c r="AD117" s="50"/>
      <c r="AE117" s="98">
        <v>56708881977</v>
      </c>
      <c r="AF117" s="98"/>
    </row>
    <row r="118" spans="1:186" s="18" customFormat="1">
      <c r="A118" s="34" t="s">
        <v>42</v>
      </c>
      <c r="B118" s="34" t="s">
        <v>147</v>
      </c>
      <c r="C118" s="34"/>
      <c r="D118" s="34" t="s">
        <v>118</v>
      </c>
      <c r="E118" s="53">
        <v>42752</v>
      </c>
      <c r="F118" s="35">
        <v>1117.338</v>
      </c>
      <c r="G118" s="35"/>
      <c r="H118" s="35"/>
      <c r="I118" s="49">
        <f t="shared" si="66"/>
        <v>1117.338</v>
      </c>
      <c r="J118" s="35"/>
      <c r="K118" s="65"/>
      <c r="L118" s="35"/>
      <c r="M118" s="35"/>
      <c r="N118" s="66" t="s">
        <v>173</v>
      </c>
      <c r="O118" s="66" t="s">
        <v>173</v>
      </c>
      <c r="P118" s="35"/>
      <c r="Q118" s="33"/>
      <c r="R118" s="33"/>
      <c r="S118" s="34"/>
      <c r="T118" s="34"/>
      <c r="U118" s="49">
        <f t="shared" ref="U118" si="93">+I118-SUM(J118:T118)</f>
        <v>1117.338</v>
      </c>
      <c r="V118" s="33">
        <f t="shared" ref="V118" si="94">IF(I118&gt;2250,I118*0.1,0)</f>
        <v>0</v>
      </c>
      <c r="W118" s="49">
        <f t="shared" ref="W118" si="95">+U118-V118</f>
        <v>1117.338</v>
      </c>
      <c r="X118" s="33"/>
      <c r="Y118" s="33"/>
      <c r="Z118" s="33"/>
      <c r="AA118" s="49"/>
      <c r="AB118" s="55"/>
      <c r="AC118" s="56"/>
      <c r="AD118" s="50"/>
      <c r="AE118" s="36">
        <v>60589634536</v>
      </c>
      <c r="AF118" s="36"/>
      <c r="AG118" s="18" t="s">
        <v>158</v>
      </c>
    </row>
    <row r="119" spans="1:186" s="18" customFormat="1">
      <c r="A119" s="34" t="s">
        <v>42</v>
      </c>
      <c r="B119" s="34" t="s">
        <v>117</v>
      </c>
      <c r="C119" s="34"/>
      <c r="D119" s="34" t="s">
        <v>121</v>
      </c>
      <c r="E119" s="53">
        <v>29733</v>
      </c>
      <c r="F119" s="35">
        <f>3676.601+3.714</f>
        <v>3680.3150000000001</v>
      </c>
      <c r="G119" s="35"/>
      <c r="H119" s="35"/>
      <c r="I119" s="49">
        <f t="shared" si="66"/>
        <v>3680.3150000000001</v>
      </c>
      <c r="J119" s="35">
        <v>470.2</v>
      </c>
      <c r="K119" s="65"/>
      <c r="L119" s="35"/>
      <c r="M119" s="35">
        <v>150</v>
      </c>
      <c r="N119" s="66" t="s">
        <v>173</v>
      </c>
      <c r="O119" s="66" t="s">
        <v>173</v>
      </c>
      <c r="P119" s="35"/>
      <c r="Q119" s="33"/>
      <c r="R119" s="33"/>
      <c r="S119" s="34"/>
      <c r="T119" s="34">
        <v>0</v>
      </c>
      <c r="U119" s="49">
        <f t="shared" si="92"/>
        <v>3060.1149999999998</v>
      </c>
      <c r="V119" s="33">
        <f t="shared" si="78"/>
        <v>368.03150000000005</v>
      </c>
      <c r="W119" s="49">
        <f t="shared" si="79"/>
        <v>2692.0834999999997</v>
      </c>
      <c r="X119" s="33">
        <f t="shared" si="80"/>
        <v>0</v>
      </c>
      <c r="Y119" s="33">
        <v>10.23</v>
      </c>
      <c r="Z119" s="33" t="str">
        <f t="shared" si="81"/>
        <v>XX</v>
      </c>
      <c r="AA119" s="49" t="e">
        <f t="shared" si="82"/>
        <v>#VALUE!</v>
      </c>
      <c r="AB119" s="55"/>
      <c r="AC119" s="56"/>
      <c r="AD119" s="50">
        <f t="shared" si="83"/>
        <v>-2692.0834999999997</v>
      </c>
      <c r="AE119" s="36">
        <v>60589747903</v>
      </c>
      <c r="AF119" s="36" t="s">
        <v>148</v>
      </c>
      <c r="AG119" s="18" t="s">
        <v>158</v>
      </c>
    </row>
    <row r="120" spans="1:186" s="18" customFormat="1">
      <c r="A120" s="34" t="s">
        <v>40</v>
      </c>
      <c r="B120" s="34" t="s">
        <v>125</v>
      </c>
      <c r="C120" s="34"/>
      <c r="D120" s="34" t="s">
        <v>142</v>
      </c>
      <c r="E120" s="53">
        <v>42604</v>
      </c>
      <c r="F120" s="35">
        <v>158.423</v>
      </c>
      <c r="G120" s="35"/>
      <c r="H120" s="35"/>
      <c r="I120" s="49">
        <f t="shared" si="66"/>
        <v>158.423</v>
      </c>
      <c r="J120" s="35"/>
      <c r="K120" s="65"/>
      <c r="L120" s="35"/>
      <c r="M120" s="35"/>
      <c r="N120" s="66" t="s">
        <v>173</v>
      </c>
      <c r="O120" s="66" t="s">
        <v>173</v>
      </c>
      <c r="P120" s="35"/>
      <c r="Q120" s="33"/>
      <c r="R120" s="33"/>
      <c r="S120" s="34"/>
      <c r="T120" s="34"/>
      <c r="U120" s="49">
        <f t="shared" ref="U120" si="96">+I120-SUM(J120:T120)</f>
        <v>158.423</v>
      </c>
      <c r="V120" s="33">
        <f t="shared" ref="V120" si="97">IF(I120&gt;2250,I120*0.1,0)</f>
        <v>0</v>
      </c>
      <c r="W120" s="49">
        <f t="shared" ref="W120" si="98">+U120-V120</f>
        <v>158.423</v>
      </c>
      <c r="X120" s="33"/>
      <c r="Y120" s="33"/>
      <c r="Z120" s="33"/>
      <c r="AA120" s="49"/>
      <c r="AB120" s="55"/>
      <c r="AC120" s="61"/>
      <c r="AD120" s="50"/>
      <c r="AE120" s="36">
        <v>60590218306</v>
      </c>
      <c r="AF120" s="34"/>
      <c r="AG120" s="18" t="s">
        <v>158</v>
      </c>
    </row>
    <row r="121" spans="1:186" s="18" customFormat="1">
      <c r="A121" s="34" t="s">
        <v>40</v>
      </c>
      <c r="B121" s="34" t="s">
        <v>35</v>
      </c>
      <c r="C121" s="34"/>
      <c r="D121" s="34" t="s">
        <v>43</v>
      </c>
      <c r="E121" s="53">
        <v>42361</v>
      </c>
      <c r="F121" s="35">
        <f>2803.5+7.428</f>
        <v>2810.9279999999999</v>
      </c>
      <c r="G121" s="35"/>
      <c r="H121" s="35"/>
      <c r="I121" s="49">
        <f t="shared" si="66"/>
        <v>2810.9279999999999</v>
      </c>
      <c r="J121" s="35"/>
      <c r="K121" s="65"/>
      <c r="L121" s="35"/>
      <c r="M121" s="35">
        <v>0</v>
      </c>
      <c r="N121" s="66"/>
      <c r="O121" s="66"/>
      <c r="P121" s="35"/>
      <c r="Q121" s="33"/>
      <c r="R121" s="33"/>
      <c r="S121" s="34"/>
      <c r="T121" s="34">
        <v>0</v>
      </c>
      <c r="U121" s="49">
        <f>+I121-SUM(J121:T121)</f>
        <v>2810.9279999999999</v>
      </c>
      <c r="V121" s="33">
        <f>IF(I121&gt;2250,I121*0.1,0)</f>
        <v>281.09280000000001</v>
      </c>
      <c r="W121" s="49">
        <f>+U121-V121</f>
        <v>2529.8352</v>
      </c>
      <c r="X121" s="33">
        <f>IF(I121&lt;2250,I121*0.1,0)</f>
        <v>0</v>
      </c>
      <c r="Y121" s="33">
        <v>10.23</v>
      </c>
      <c r="Z121" s="33">
        <f>+N121</f>
        <v>0</v>
      </c>
      <c r="AA121" s="49">
        <f>+I121+X121+Y121+Z121</f>
        <v>2821.1579999999999</v>
      </c>
      <c r="AB121" s="55"/>
      <c r="AC121" s="60"/>
      <c r="AD121" s="50">
        <f>+AB121+AC121-W121</f>
        <v>-2529.8352</v>
      </c>
      <c r="AE121" s="36">
        <v>56708846047</v>
      </c>
      <c r="AF121" s="36"/>
      <c r="AG121" s="18" t="s">
        <v>158</v>
      </c>
    </row>
    <row r="122" spans="1:186" s="18" customFormat="1">
      <c r="A122" s="34" t="s">
        <v>40</v>
      </c>
      <c r="B122" s="34" t="s">
        <v>59</v>
      </c>
      <c r="C122" s="34"/>
      <c r="D122" s="34" t="s">
        <v>43</v>
      </c>
      <c r="E122" s="53">
        <v>41549</v>
      </c>
      <c r="F122" s="35">
        <f>5254.115+13.099</f>
        <v>5267.2139999999999</v>
      </c>
      <c r="G122" s="35"/>
      <c r="H122" s="35"/>
      <c r="I122" s="49">
        <f t="shared" si="66"/>
        <v>5267.2139999999999</v>
      </c>
      <c r="J122" s="35"/>
      <c r="K122" s="65"/>
      <c r="L122" s="35"/>
      <c r="M122" s="35">
        <v>500</v>
      </c>
      <c r="N122" s="66"/>
      <c r="O122" s="66"/>
      <c r="P122" s="35"/>
      <c r="Q122" s="33"/>
      <c r="R122" s="33"/>
      <c r="S122" s="34"/>
      <c r="T122" s="34">
        <v>0</v>
      </c>
      <c r="U122" s="49">
        <f>+I122-SUM(J122:T122)</f>
        <v>4767.2139999999999</v>
      </c>
      <c r="V122" s="33">
        <f>IF(I122&gt;2250,I122*0.1,0)</f>
        <v>526.72140000000002</v>
      </c>
      <c r="W122" s="49">
        <f>+U122-V122</f>
        <v>4240.4925999999996</v>
      </c>
      <c r="X122" s="33">
        <f>IF(I122&lt;2250,I122*0.1,0)</f>
        <v>0</v>
      </c>
      <c r="Y122" s="33">
        <v>10.23</v>
      </c>
      <c r="Z122" s="33">
        <f>+N122</f>
        <v>0</v>
      </c>
      <c r="AA122" s="49">
        <f>+I122+X122+Y122+Z122</f>
        <v>5277.4439999999995</v>
      </c>
      <c r="AB122" s="55"/>
      <c r="AC122" s="56"/>
      <c r="AD122" s="50">
        <f>+AB122+AC122-W122</f>
        <v>-4240.4925999999996</v>
      </c>
      <c r="AE122" s="36">
        <v>56708846050</v>
      </c>
      <c r="AF122" s="36"/>
      <c r="AG122" s="18" t="s">
        <v>158</v>
      </c>
    </row>
    <row r="123" spans="1:186">
      <c r="A123" s="29"/>
      <c r="B123" s="34"/>
      <c r="C123" s="29"/>
      <c r="D123" s="29"/>
      <c r="E123" s="64"/>
      <c r="F123" s="31"/>
      <c r="G123" s="31"/>
      <c r="H123" s="31"/>
      <c r="I123" s="49">
        <f t="shared" si="66"/>
        <v>0</v>
      </c>
      <c r="J123" s="35"/>
      <c r="K123" s="35"/>
      <c r="L123" s="35"/>
      <c r="M123" s="35"/>
      <c r="N123" s="35"/>
      <c r="O123" s="35"/>
      <c r="P123" s="35"/>
      <c r="Q123" s="33"/>
      <c r="R123" s="33"/>
      <c r="S123" s="33"/>
      <c r="T123" s="33"/>
      <c r="U123" s="49"/>
      <c r="V123" s="33"/>
      <c r="W123" s="49"/>
      <c r="X123" s="59"/>
      <c r="Y123" s="59"/>
      <c r="Z123" s="59"/>
      <c r="AA123" s="58"/>
      <c r="AB123" s="47"/>
      <c r="AC123" s="47"/>
      <c r="AD123" s="41"/>
      <c r="AE123" s="29"/>
      <c r="AF123" s="29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</row>
    <row r="124" spans="1:186">
      <c r="A124" s="29"/>
      <c r="B124" s="36" t="s">
        <v>151</v>
      </c>
      <c r="C124" s="29"/>
      <c r="D124" s="29"/>
      <c r="E124" s="64"/>
      <c r="F124" s="39">
        <f>SUM(F77:F122)</f>
        <v>106380.64500000002</v>
      </c>
      <c r="G124" s="39">
        <f t="shared" ref="G124:W124" si="99">SUM(G77:G122)</f>
        <v>0</v>
      </c>
      <c r="H124" s="39">
        <f t="shared" si="99"/>
        <v>0</v>
      </c>
      <c r="I124" s="49">
        <f t="shared" si="66"/>
        <v>106380.64500000002</v>
      </c>
      <c r="J124" s="39">
        <f t="shared" si="99"/>
        <v>3369.5499999999993</v>
      </c>
      <c r="K124" s="39">
        <f t="shared" si="99"/>
        <v>10</v>
      </c>
      <c r="L124" s="39">
        <f t="shared" si="99"/>
        <v>0</v>
      </c>
      <c r="M124" s="39">
        <f t="shared" si="99"/>
        <v>4500</v>
      </c>
      <c r="N124" s="39">
        <f t="shared" si="99"/>
        <v>0</v>
      </c>
      <c r="O124" s="39">
        <f t="shared" si="99"/>
        <v>0</v>
      </c>
      <c r="P124" s="39">
        <f t="shared" si="99"/>
        <v>343.11</v>
      </c>
      <c r="Q124" s="39">
        <f t="shared" si="99"/>
        <v>0</v>
      </c>
      <c r="R124" s="39">
        <f t="shared" si="99"/>
        <v>0</v>
      </c>
      <c r="S124" s="39">
        <f t="shared" si="99"/>
        <v>0</v>
      </c>
      <c r="T124" s="39">
        <f t="shared" si="99"/>
        <v>743.17</v>
      </c>
      <c r="U124" s="39">
        <f t="shared" si="99"/>
        <v>93071.883000000002</v>
      </c>
      <c r="V124" s="39">
        <f t="shared" si="99"/>
        <v>6916.1139000000021</v>
      </c>
      <c r="W124" s="39">
        <f t="shared" si="99"/>
        <v>67152.226299999995</v>
      </c>
      <c r="X124" s="59"/>
      <c r="Y124" s="59"/>
      <c r="Z124" s="59"/>
      <c r="AA124" s="58"/>
      <c r="AB124" s="47"/>
      <c r="AC124" s="47"/>
      <c r="AD124" s="41"/>
      <c r="AE124" s="29"/>
      <c r="AF124" s="29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</row>
    <row r="125" spans="1:186">
      <c r="B125" s="20"/>
      <c r="C125" s="20"/>
      <c r="AA125" s="14" t="e">
        <f>+#REF!*0.16</f>
        <v>#REF!</v>
      </c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</row>
    <row r="126" spans="1:186"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</row>
    <row r="127" spans="1:186"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  <c r="DU127" s="18"/>
      <c r="DV127" s="18"/>
      <c r="DW127" s="18"/>
      <c r="DX127" s="18"/>
      <c r="DY127" s="18"/>
      <c r="DZ127" s="18"/>
      <c r="EA127" s="18"/>
      <c r="EB127" s="18"/>
      <c r="EC127" s="18"/>
      <c r="ED127" s="18"/>
      <c r="EE127" s="18"/>
      <c r="EF127" s="18"/>
      <c r="EG127" s="18"/>
      <c r="EH127" s="18"/>
      <c r="EI127" s="18"/>
      <c r="EJ127" s="18"/>
      <c r="EK127" s="18"/>
      <c r="EL127" s="18"/>
      <c r="EM127" s="18"/>
      <c r="EN127" s="18"/>
      <c r="EO127" s="18"/>
      <c r="EP127" s="18"/>
      <c r="EQ127" s="18"/>
      <c r="ER127" s="18"/>
      <c r="ES127" s="18"/>
      <c r="ET127" s="18"/>
      <c r="EU127" s="18"/>
      <c r="EV127" s="18"/>
      <c r="EW127" s="18"/>
      <c r="EX127" s="18"/>
      <c r="EY127" s="18"/>
      <c r="EZ127" s="18"/>
      <c r="FA127" s="18"/>
      <c r="FB127" s="18"/>
      <c r="FC127" s="18"/>
      <c r="FD127" s="18"/>
      <c r="FE127" s="18"/>
      <c r="FF127" s="18"/>
      <c r="FG127" s="18"/>
      <c r="FH127" s="18"/>
      <c r="FI127" s="18"/>
      <c r="FJ127" s="18"/>
      <c r="FK127" s="18"/>
      <c r="FL127" s="18"/>
      <c r="FM127" s="18"/>
      <c r="FN127" s="18"/>
      <c r="FO127" s="18"/>
      <c r="FP127" s="18"/>
      <c r="FQ127" s="18"/>
      <c r="FR127" s="18"/>
      <c r="FS127" s="18"/>
      <c r="FT127" s="18"/>
      <c r="FU127" s="18"/>
      <c r="FV127" s="18"/>
      <c r="FW127" s="18"/>
      <c r="FX127" s="18"/>
      <c r="FY127" s="18"/>
      <c r="FZ127" s="18"/>
      <c r="GA127" s="18"/>
      <c r="GB127" s="18"/>
      <c r="GC127" s="18"/>
      <c r="GD127" s="18"/>
    </row>
    <row r="128" spans="1:186"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  <c r="DU128" s="18"/>
      <c r="DV128" s="18"/>
      <c r="DW128" s="18"/>
      <c r="DX128" s="18"/>
      <c r="DY128" s="18"/>
      <c r="DZ128" s="18"/>
      <c r="EA128" s="18"/>
      <c r="EB128" s="18"/>
      <c r="EC128" s="18"/>
      <c r="ED128" s="18"/>
      <c r="EE128" s="18"/>
      <c r="EF128" s="18"/>
      <c r="EG128" s="18"/>
      <c r="EH128" s="18"/>
      <c r="EI128" s="18"/>
      <c r="EJ128" s="18"/>
      <c r="EK128" s="18"/>
      <c r="EL128" s="18"/>
      <c r="EM128" s="18"/>
      <c r="EN128" s="18"/>
      <c r="EO128" s="18"/>
      <c r="EP128" s="18"/>
      <c r="EQ128" s="18"/>
      <c r="ER128" s="18"/>
      <c r="ES128" s="18"/>
      <c r="ET128" s="18"/>
      <c r="EU128" s="18"/>
      <c r="EV128" s="18"/>
      <c r="EW128" s="18"/>
      <c r="EX128" s="18"/>
      <c r="EY128" s="18"/>
      <c r="EZ128" s="18"/>
      <c r="FA128" s="18"/>
      <c r="FB128" s="18"/>
      <c r="FC128" s="18"/>
      <c r="FD128" s="18"/>
      <c r="FE128" s="18"/>
      <c r="FF128" s="18"/>
      <c r="FG128" s="18"/>
      <c r="FH128" s="18"/>
      <c r="FI128" s="18"/>
      <c r="FJ128" s="18"/>
      <c r="FK128" s="18"/>
      <c r="FL128" s="18"/>
      <c r="FM128" s="18"/>
      <c r="FN128" s="18"/>
      <c r="FO128" s="18"/>
      <c r="FP128" s="18"/>
      <c r="FQ128" s="18"/>
      <c r="FR128" s="18"/>
      <c r="FS128" s="18"/>
      <c r="FT128" s="18"/>
      <c r="FU128" s="18"/>
      <c r="FV128" s="18"/>
      <c r="FW128" s="18"/>
      <c r="FX128" s="18"/>
      <c r="FY128" s="18"/>
      <c r="FZ128" s="18"/>
      <c r="GA128" s="18"/>
      <c r="GB128" s="18"/>
      <c r="GC128" s="18"/>
      <c r="GD128" s="18"/>
    </row>
    <row r="129" spans="1:186" ht="23.25">
      <c r="A129" s="114" t="s">
        <v>25</v>
      </c>
      <c r="B129" s="114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  <c r="DX129" s="18"/>
      <c r="DY129" s="18"/>
      <c r="DZ129" s="18"/>
      <c r="EA129" s="18"/>
      <c r="EB129" s="18"/>
      <c r="EC129" s="18"/>
      <c r="ED129" s="18"/>
      <c r="EE129" s="18"/>
      <c r="EF129" s="18"/>
      <c r="EG129" s="18"/>
      <c r="EH129" s="18"/>
      <c r="EI129" s="18"/>
      <c r="EJ129" s="18"/>
      <c r="EK129" s="18"/>
      <c r="EL129" s="18"/>
      <c r="EM129" s="18"/>
      <c r="EN129" s="18"/>
      <c r="EO129" s="18"/>
      <c r="EP129" s="18"/>
      <c r="EQ129" s="18"/>
      <c r="ER129" s="18"/>
      <c r="ES129" s="18"/>
      <c r="ET129" s="18"/>
      <c r="EU129" s="18"/>
      <c r="EV129" s="18"/>
      <c r="EW129" s="18"/>
      <c r="EX129" s="18"/>
      <c r="EY129" s="18"/>
      <c r="EZ129" s="18"/>
      <c r="FA129" s="18"/>
      <c r="FB129" s="18"/>
      <c r="FC129" s="18"/>
      <c r="FD129" s="18"/>
      <c r="FE129" s="18"/>
      <c r="FF129" s="18"/>
      <c r="FG129" s="18"/>
      <c r="FH129" s="18"/>
      <c r="FI129" s="18"/>
      <c r="FJ129" s="18"/>
      <c r="FK129" s="18"/>
      <c r="FL129" s="18"/>
      <c r="FM129" s="18"/>
      <c r="FN129" s="18"/>
      <c r="FO129" s="18"/>
      <c r="FP129" s="18"/>
      <c r="FQ129" s="18"/>
      <c r="FR129" s="18"/>
      <c r="FS129" s="18"/>
      <c r="FT129" s="18"/>
      <c r="FU129" s="18"/>
      <c r="FV129" s="18"/>
      <c r="FW129" s="18"/>
      <c r="FX129" s="18"/>
      <c r="FY129" s="18"/>
      <c r="FZ129" s="18"/>
      <c r="GA129" s="18"/>
      <c r="GB129" s="18"/>
      <c r="GC129" s="18"/>
      <c r="GD129" s="18"/>
    </row>
    <row r="130" spans="1:186" s="18" customFormat="1" ht="15.75">
      <c r="A130" s="69" t="s">
        <v>41</v>
      </c>
      <c r="B130" s="69" t="s">
        <v>135</v>
      </c>
      <c r="C130" s="69"/>
      <c r="D130" s="69" t="s">
        <v>45</v>
      </c>
      <c r="E130" s="71"/>
      <c r="F130" s="35"/>
      <c r="G130" s="35"/>
      <c r="H130" s="35"/>
      <c r="I130" s="49">
        <f t="shared" ref="I130:I134" si="100">SUM(F130:H130)</f>
        <v>0</v>
      </c>
      <c r="J130" s="35"/>
      <c r="K130" s="65"/>
      <c r="L130" s="35"/>
      <c r="M130" s="35">
        <v>150</v>
      </c>
      <c r="N130" s="66"/>
      <c r="O130" s="66"/>
      <c r="P130" s="35"/>
      <c r="Q130" s="33"/>
      <c r="R130" s="67"/>
      <c r="S130" s="34"/>
      <c r="T130" s="62"/>
      <c r="U130" s="49">
        <v>-150</v>
      </c>
      <c r="V130" s="33">
        <v>0</v>
      </c>
      <c r="W130" s="49">
        <v>-150</v>
      </c>
      <c r="X130" s="33"/>
      <c r="Y130" s="33"/>
      <c r="Z130" s="33"/>
      <c r="AA130" s="49"/>
      <c r="AB130" s="57"/>
      <c r="AC130" s="55"/>
      <c r="AD130" s="50"/>
      <c r="AE130" s="34">
        <v>60590405464</v>
      </c>
      <c r="AF130" s="72" t="s">
        <v>182</v>
      </c>
      <c r="AG130" s="18" t="s">
        <v>158</v>
      </c>
    </row>
    <row r="131" spans="1:186">
      <c r="A131" s="69" t="s">
        <v>39</v>
      </c>
      <c r="B131" s="69" t="s">
        <v>123</v>
      </c>
      <c r="C131" s="69"/>
      <c r="D131" s="69" t="s">
        <v>45</v>
      </c>
      <c r="E131" s="70">
        <v>34275</v>
      </c>
      <c r="F131" s="35"/>
      <c r="G131" s="35"/>
      <c r="H131" s="35"/>
      <c r="I131" s="49">
        <f t="shared" si="100"/>
        <v>0</v>
      </c>
      <c r="J131" s="35"/>
      <c r="K131" s="65"/>
      <c r="L131" s="35"/>
      <c r="M131" s="35"/>
      <c r="N131" s="66"/>
      <c r="O131" s="66"/>
      <c r="P131" s="35"/>
      <c r="Q131" s="33"/>
      <c r="R131" s="33"/>
      <c r="S131" s="34"/>
      <c r="T131" s="34"/>
      <c r="U131" s="49">
        <v>0</v>
      </c>
      <c r="V131" s="33">
        <v>0</v>
      </c>
      <c r="W131" s="49">
        <v>0</v>
      </c>
      <c r="X131" s="59"/>
      <c r="Y131" s="59"/>
      <c r="Z131" s="59"/>
      <c r="AA131" s="58"/>
      <c r="AB131" s="47"/>
      <c r="AC131" s="47"/>
      <c r="AD131" s="41"/>
      <c r="AE131" s="29">
        <v>60590317373</v>
      </c>
      <c r="AF131" s="72" t="s">
        <v>182</v>
      </c>
      <c r="AG131" s="18" t="s">
        <v>158</v>
      </c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8"/>
      <c r="DF131" s="18"/>
      <c r="DG131" s="18"/>
      <c r="DH131" s="18"/>
      <c r="DI131" s="18"/>
      <c r="DJ131" s="18"/>
      <c r="DK131" s="18"/>
      <c r="DL131" s="18"/>
      <c r="DM131" s="18"/>
      <c r="DN131" s="18"/>
      <c r="DO131" s="18"/>
      <c r="DP131" s="18"/>
      <c r="DQ131" s="18"/>
      <c r="DR131" s="18"/>
      <c r="DS131" s="18"/>
      <c r="DT131" s="18"/>
      <c r="DU131" s="18"/>
      <c r="DV131" s="18"/>
      <c r="DW131" s="18"/>
      <c r="DX131" s="18"/>
      <c r="DY131" s="18"/>
      <c r="DZ131" s="18"/>
      <c r="EA131" s="18"/>
      <c r="EB131" s="18"/>
      <c r="EC131" s="18"/>
      <c r="ED131" s="18"/>
      <c r="EE131" s="18"/>
      <c r="EF131" s="18"/>
      <c r="EG131" s="18"/>
      <c r="EH131" s="18"/>
      <c r="EI131" s="18"/>
      <c r="EJ131" s="18"/>
      <c r="EK131" s="18"/>
      <c r="EL131" s="18"/>
      <c r="EM131" s="18"/>
      <c r="EN131" s="18"/>
      <c r="EO131" s="18"/>
      <c r="EP131" s="18"/>
      <c r="EQ131" s="18"/>
      <c r="ER131" s="18"/>
      <c r="ES131" s="18"/>
      <c r="ET131" s="18"/>
      <c r="EU131" s="18"/>
      <c r="EV131" s="18"/>
      <c r="EW131" s="18"/>
      <c r="EX131" s="18"/>
      <c r="EY131" s="18"/>
      <c r="EZ131" s="18"/>
      <c r="FA131" s="18"/>
      <c r="FB131" s="18"/>
      <c r="FC131" s="18"/>
      <c r="FD131" s="18"/>
      <c r="FE131" s="18"/>
      <c r="FF131" s="18"/>
      <c r="FG131" s="18"/>
      <c r="FH131" s="18"/>
      <c r="FI131" s="18"/>
      <c r="FJ131" s="18"/>
      <c r="FK131" s="18"/>
      <c r="FL131" s="18"/>
      <c r="FM131" s="18"/>
      <c r="FN131" s="18"/>
      <c r="FO131" s="18"/>
      <c r="FP131" s="18"/>
      <c r="FQ131" s="18"/>
      <c r="FR131" s="18"/>
      <c r="FS131" s="18"/>
      <c r="FT131" s="18"/>
      <c r="FU131" s="18"/>
      <c r="FV131" s="18"/>
      <c r="FW131" s="18"/>
      <c r="FX131" s="18"/>
      <c r="FY131" s="18"/>
      <c r="FZ131" s="18"/>
      <c r="GA131" s="18"/>
      <c r="GB131" s="18"/>
      <c r="GC131" s="18"/>
      <c r="GD131" s="18"/>
    </row>
    <row r="132" spans="1:186">
      <c r="A132" s="69" t="s">
        <v>41</v>
      </c>
      <c r="B132" s="69" t="s">
        <v>149</v>
      </c>
      <c r="C132" s="69"/>
      <c r="D132" s="69" t="s">
        <v>150</v>
      </c>
      <c r="E132" s="70">
        <v>38825</v>
      </c>
      <c r="F132" s="35"/>
      <c r="G132" s="35"/>
      <c r="H132" s="35"/>
      <c r="I132" s="49">
        <f t="shared" si="100"/>
        <v>0</v>
      </c>
      <c r="J132" s="35"/>
      <c r="K132" s="65"/>
      <c r="L132" s="35"/>
      <c r="M132" s="35"/>
      <c r="N132" s="66"/>
      <c r="O132" s="66"/>
      <c r="P132" s="35"/>
      <c r="Q132" s="33"/>
      <c r="R132" s="33"/>
      <c r="S132" s="34"/>
      <c r="T132" s="34"/>
      <c r="U132" s="49"/>
      <c r="V132" s="33"/>
      <c r="W132" s="49"/>
      <c r="X132" s="59"/>
      <c r="Y132" s="59"/>
      <c r="Z132" s="59"/>
      <c r="AA132" s="58"/>
      <c r="AB132" s="47"/>
      <c r="AC132" s="47"/>
      <c r="AD132" s="41"/>
      <c r="AE132" s="29">
        <v>56708845376</v>
      </c>
      <c r="AF132" s="72" t="s">
        <v>157</v>
      </c>
      <c r="AG132" s="18" t="s">
        <v>158</v>
      </c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  <c r="CF132" s="18"/>
      <c r="CG132" s="18"/>
      <c r="CH132" s="18"/>
      <c r="CI132" s="18"/>
      <c r="CJ132" s="18"/>
      <c r="CK132" s="18"/>
      <c r="CL132" s="18"/>
      <c r="CM132" s="18"/>
      <c r="CN132" s="18"/>
      <c r="CO132" s="18"/>
      <c r="CP132" s="18"/>
      <c r="CQ132" s="18"/>
      <c r="CR132" s="18"/>
      <c r="CS132" s="18"/>
      <c r="CT132" s="18"/>
      <c r="CU132" s="18"/>
      <c r="CV132" s="18"/>
      <c r="CW132" s="18"/>
      <c r="CX132" s="18"/>
      <c r="CY132" s="18"/>
      <c r="CZ132" s="18"/>
      <c r="DA132" s="18"/>
      <c r="DB132" s="18"/>
      <c r="DC132" s="18"/>
      <c r="DD132" s="18"/>
      <c r="DE132" s="18"/>
      <c r="DF132" s="18"/>
      <c r="DG132" s="18"/>
      <c r="DH132" s="18"/>
      <c r="DI132" s="18"/>
      <c r="DJ132" s="18"/>
      <c r="DK132" s="18"/>
      <c r="DL132" s="18"/>
      <c r="DM132" s="18"/>
      <c r="DN132" s="18"/>
      <c r="DO132" s="18"/>
      <c r="DP132" s="18"/>
      <c r="DQ132" s="18"/>
      <c r="DR132" s="18"/>
      <c r="DS132" s="18"/>
      <c r="DT132" s="18"/>
      <c r="DU132" s="18"/>
      <c r="DV132" s="18"/>
      <c r="DW132" s="18"/>
      <c r="DX132" s="18"/>
      <c r="DY132" s="18"/>
      <c r="DZ132" s="18"/>
      <c r="EA132" s="18"/>
      <c r="EB132" s="18"/>
      <c r="EC132" s="18"/>
      <c r="ED132" s="18"/>
      <c r="EE132" s="18"/>
      <c r="EF132" s="18"/>
      <c r="EG132" s="18"/>
      <c r="EH132" s="18"/>
      <c r="EI132" s="18"/>
      <c r="EJ132" s="18"/>
      <c r="EK132" s="18"/>
      <c r="EL132" s="18"/>
      <c r="EM132" s="18"/>
      <c r="EN132" s="18"/>
      <c r="EO132" s="18"/>
      <c r="EP132" s="18"/>
      <c r="EQ132" s="18"/>
      <c r="ER132" s="18"/>
      <c r="ES132" s="18"/>
      <c r="ET132" s="18"/>
      <c r="EU132" s="18"/>
      <c r="EV132" s="18"/>
      <c r="EW132" s="18"/>
      <c r="EX132" s="18"/>
      <c r="EY132" s="18"/>
      <c r="EZ132" s="18"/>
      <c r="FA132" s="18"/>
      <c r="FB132" s="18"/>
      <c r="FC132" s="18"/>
      <c r="FD132" s="18"/>
      <c r="FE132" s="18"/>
      <c r="FF132" s="18"/>
      <c r="FG132" s="18"/>
      <c r="FH132" s="18"/>
      <c r="FI132" s="18"/>
      <c r="FJ132" s="18"/>
      <c r="FK132" s="18"/>
      <c r="FL132" s="18"/>
      <c r="FM132" s="18"/>
      <c r="FN132" s="18"/>
      <c r="FO132" s="18"/>
      <c r="FP132" s="18"/>
      <c r="FQ132" s="18"/>
      <c r="FR132" s="18"/>
      <c r="FS132" s="18"/>
      <c r="FT132" s="18"/>
      <c r="FU132" s="18"/>
      <c r="FV132" s="18"/>
      <c r="FW132" s="18"/>
      <c r="FX132" s="18"/>
      <c r="FY132" s="18"/>
      <c r="FZ132" s="18"/>
      <c r="GA132" s="18"/>
      <c r="GB132" s="18"/>
      <c r="GC132" s="18"/>
      <c r="GD132" s="18"/>
    </row>
    <row r="133" spans="1:186">
      <c r="A133" s="69" t="s">
        <v>42</v>
      </c>
      <c r="B133" s="69" t="s">
        <v>154</v>
      </c>
      <c r="C133" s="69"/>
      <c r="D133" s="69" t="s">
        <v>118</v>
      </c>
      <c r="E133" s="70">
        <v>42807</v>
      </c>
      <c r="F133" s="35">
        <v>573.02300000000002</v>
      </c>
      <c r="G133" s="35"/>
      <c r="H133" s="35"/>
      <c r="I133" s="49">
        <f t="shared" si="100"/>
        <v>573.02300000000002</v>
      </c>
      <c r="J133" s="35"/>
      <c r="K133" s="65">
        <v>2</v>
      </c>
      <c r="L133" s="35"/>
      <c r="M133" s="35"/>
      <c r="N133" s="66"/>
      <c r="O133" s="66"/>
      <c r="P133" s="35"/>
      <c r="Q133" s="33"/>
      <c r="R133" s="33"/>
      <c r="S133" s="34"/>
      <c r="T133" s="34"/>
      <c r="U133" s="49">
        <f t="shared" ref="U133" si="101">+I133-SUM(J133:T133)</f>
        <v>571.02300000000002</v>
      </c>
      <c r="V133" s="33"/>
      <c r="W133" s="49"/>
      <c r="X133" s="59"/>
      <c r="Y133" s="59"/>
      <c r="Z133" s="59"/>
      <c r="AA133" s="58"/>
      <c r="AB133" s="47"/>
      <c r="AC133" s="47"/>
      <c r="AD133" s="41"/>
      <c r="AE133" s="38" t="s">
        <v>144</v>
      </c>
      <c r="AF133" s="72" t="s">
        <v>162</v>
      </c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18"/>
      <c r="CO133" s="18"/>
      <c r="CP133" s="18"/>
      <c r="CQ133" s="18"/>
      <c r="CR133" s="18"/>
      <c r="CS133" s="18"/>
      <c r="CT133" s="18"/>
      <c r="CU133" s="18"/>
      <c r="CV133" s="18"/>
      <c r="CW133" s="18"/>
      <c r="CX133" s="18"/>
      <c r="CY133" s="18"/>
      <c r="CZ133" s="18"/>
      <c r="DA133" s="18"/>
      <c r="DB133" s="18"/>
      <c r="DC133" s="18"/>
      <c r="DD133" s="18"/>
      <c r="DE133" s="18"/>
      <c r="DF133" s="18"/>
      <c r="DG133" s="18"/>
      <c r="DH133" s="18"/>
      <c r="DI133" s="18"/>
      <c r="DJ133" s="18"/>
      <c r="DK133" s="18"/>
      <c r="DL133" s="18"/>
      <c r="DM133" s="18"/>
      <c r="DN133" s="18"/>
      <c r="DO133" s="18"/>
      <c r="DP133" s="18"/>
      <c r="DQ133" s="18"/>
      <c r="DR133" s="18"/>
      <c r="DS133" s="18"/>
      <c r="DT133" s="18"/>
      <c r="DU133" s="18"/>
      <c r="DV133" s="18"/>
      <c r="DW133" s="18"/>
      <c r="DX133" s="18"/>
      <c r="DY133" s="18"/>
      <c r="DZ133" s="18"/>
      <c r="EA133" s="18"/>
      <c r="EB133" s="18"/>
      <c r="EC133" s="18"/>
      <c r="ED133" s="18"/>
      <c r="EE133" s="18"/>
      <c r="EF133" s="18"/>
      <c r="EG133" s="18"/>
      <c r="EH133" s="18"/>
      <c r="EI133" s="18"/>
      <c r="EJ133" s="18"/>
      <c r="EK133" s="18"/>
      <c r="EL133" s="18"/>
      <c r="EM133" s="18"/>
      <c r="EN133" s="18"/>
      <c r="EO133" s="18"/>
      <c r="EP133" s="18"/>
      <c r="EQ133" s="18"/>
      <c r="ER133" s="18"/>
      <c r="ES133" s="18"/>
      <c r="ET133" s="18"/>
      <c r="EU133" s="18"/>
      <c r="EV133" s="18"/>
      <c r="EW133" s="18"/>
      <c r="EX133" s="18"/>
      <c r="EY133" s="18"/>
      <c r="EZ133" s="18"/>
      <c r="FA133" s="18"/>
      <c r="FB133" s="18"/>
      <c r="FC133" s="18"/>
      <c r="FD133" s="18"/>
      <c r="FE133" s="18"/>
      <c r="FF133" s="18"/>
      <c r="FG133" s="18"/>
      <c r="FH133" s="18"/>
      <c r="FI133" s="18"/>
      <c r="FJ133" s="18"/>
      <c r="FK133" s="18"/>
      <c r="FL133" s="18"/>
      <c r="FM133" s="18"/>
      <c r="FN133" s="18"/>
      <c r="FO133" s="18"/>
      <c r="FP133" s="18"/>
      <c r="FQ133" s="18"/>
      <c r="FR133" s="18"/>
      <c r="FS133" s="18"/>
      <c r="FT133" s="18"/>
      <c r="FU133" s="18"/>
      <c r="FV133" s="18"/>
      <c r="FW133" s="18"/>
      <c r="FX133" s="18"/>
      <c r="FY133" s="18"/>
      <c r="FZ133" s="18"/>
      <c r="GA133" s="18"/>
      <c r="GB133" s="18"/>
      <c r="GC133" s="18"/>
      <c r="GD133" s="18"/>
    </row>
    <row r="134" spans="1:186">
      <c r="A134" s="80" t="s">
        <v>39</v>
      </c>
      <c r="B134" s="69" t="s">
        <v>127</v>
      </c>
      <c r="C134" s="69"/>
      <c r="D134" s="69" t="s">
        <v>126</v>
      </c>
      <c r="E134" s="70">
        <v>42809</v>
      </c>
      <c r="F134" s="35"/>
      <c r="G134" s="35"/>
      <c r="H134" s="35"/>
      <c r="I134" s="49">
        <f t="shared" si="100"/>
        <v>0</v>
      </c>
      <c r="J134" s="35">
        <v>166.66</v>
      </c>
      <c r="K134" s="65"/>
      <c r="L134" s="35"/>
      <c r="M134" s="35"/>
      <c r="N134" s="66"/>
      <c r="O134" s="66"/>
      <c r="P134" s="35"/>
      <c r="Q134" s="33"/>
      <c r="R134" s="33"/>
      <c r="S134" s="34"/>
      <c r="T134" s="34"/>
      <c r="U134" s="49"/>
      <c r="V134" s="33"/>
      <c r="W134" s="49"/>
      <c r="X134" s="59"/>
      <c r="Y134" s="59"/>
      <c r="Z134" s="59"/>
      <c r="AA134" s="58"/>
      <c r="AB134" s="47"/>
      <c r="AC134" s="47"/>
      <c r="AD134" s="41"/>
      <c r="AE134" s="29">
        <v>60590314454</v>
      </c>
      <c r="AF134" s="72" t="s">
        <v>208</v>
      </c>
      <c r="AG134" s="18" t="s">
        <v>158</v>
      </c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/>
      <c r="CD134" s="18"/>
      <c r="CE134" s="18"/>
      <c r="CF134" s="18"/>
      <c r="CG134" s="18"/>
      <c r="CH134" s="18"/>
      <c r="CI134" s="18"/>
      <c r="CJ134" s="18"/>
      <c r="CK134" s="18"/>
      <c r="CL134" s="18"/>
      <c r="CM134" s="18"/>
      <c r="CN134" s="18"/>
      <c r="CO134" s="18"/>
      <c r="CP134" s="18"/>
      <c r="CQ134" s="18"/>
      <c r="CR134" s="18"/>
      <c r="CS134" s="18"/>
      <c r="CT134" s="18"/>
      <c r="CU134" s="18"/>
      <c r="CV134" s="18"/>
      <c r="CW134" s="18"/>
      <c r="CX134" s="18"/>
      <c r="CY134" s="18"/>
      <c r="CZ134" s="18"/>
      <c r="DA134" s="18"/>
      <c r="DB134" s="18"/>
      <c r="DC134" s="18"/>
      <c r="DD134" s="18"/>
      <c r="DE134" s="18"/>
      <c r="DF134" s="18"/>
      <c r="DG134" s="18"/>
      <c r="DH134" s="18"/>
      <c r="DI134" s="18"/>
      <c r="DJ134" s="18"/>
      <c r="DK134" s="18"/>
      <c r="DL134" s="18"/>
      <c r="DM134" s="18"/>
      <c r="DN134" s="18"/>
      <c r="DO134" s="18"/>
      <c r="DP134" s="18"/>
      <c r="DQ134" s="18"/>
      <c r="DR134" s="18"/>
      <c r="DS134" s="18"/>
      <c r="DT134" s="18"/>
      <c r="DU134" s="18"/>
      <c r="DV134" s="18"/>
      <c r="DW134" s="18"/>
      <c r="DX134" s="18"/>
      <c r="DY134" s="18"/>
      <c r="DZ134" s="18"/>
      <c r="EA134" s="18"/>
      <c r="EB134" s="18"/>
      <c r="EC134" s="18"/>
      <c r="ED134" s="18"/>
      <c r="EE134" s="18"/>
      <c r="EF134" s="18"/>
      <c r="EG134" s="18"/>
      <c r="EH134" s="18"/>
      <c r="EI134" s="18"/>
      <c r="EJ134" s="18"/>
      <c r="EK134" s="18"/>
      <c r="EL134" s="18"/>
      <c r="EM134" s="18"/>
      <c r="EN134" s="18"/>
      <c r="EO134" s="18"/>
      <c r="EP134" s="18"/>
      <c r="EQ134" s="18"/>
      <c r="ER134" s="18"/>
      <c r="ES134" s="18"/>
      <c r="ET134" s="18"/>
      <c r="EU134" s="18"/>
      <c r="EV134" s="18"/>
      <c r="EW134" s="18"/>
      <c r="EX134" s="18"/>
      <c r="EY134" s="18"/>
      <c r="EZ134" s="18"/>
      <c r="FA134" s="18"/>
      <c r="FB134" s="18"/>
      <c r="FC134" s="18"/>
      <c r="FD134" s="18"/>
      <c r="FE134" s="18"/>
      <c r="FF134" s="18"/>
      <c r="FG134" s="18"/>
      <c r="FH134" s="18"/>
      <c r="FI134" s="18"/>
      <c r="FJ134" s="18"/>
      <c r="FK134" s="18"/>
      <c r="FL134" s="18"/>
      <c r="FM134" s="18"/>
      <c r="FN134" s="18"/>
      <c r="FO134" s="18"/>
      <c r="FP134" s="18"/>
      <c r="FQ134" s="18"/>
      <c r="FR134" s="18"/>
      <c r="FS134" s="18"/>
      <c r="FT134" s="18"/>
      <c r="FU134" s="18"/>
      <c r="FV134" s="18"/>
      <c r="FW134" s="18"/>
      <c r="FX134" s="18"/>
      <c r="FY134" s="18"/>
      <c r="FZ134" s="18"/>
      <c r="GA134" s="18"/>
      <c r="GB134" s="18"/>
      <c r="GC134" s="18"/>
      <c r="GD134" s="18"/>
    </row>
    <row r="135" spans="1:186"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18"/>
      <c r="DC135" s="18"/>
      <c r="DD135" s="18"/>
      <c r="DE135" s="18"/>
      <c r="DF135" s="18"/>
      <c r="DG135" s="18"/>
      <c r="DH135" s="18"/>
      <c r="DI135" s="18"/>
      <c r="DJ135" s="18"/>
      <c r="DK135" s="18"/>
      <c r="DL135" s="18"/>
      <c r="DM135" s="18"/>
      <c r="DN135" s="18"/>
      <c r="DO135" s="18"/>
      <c r="DP135" s="18"/>
      <c r="DQ135" s="18"/>
      <c r="DR135" s="18"/>
      <c r="DS135" s="18"/>
      <c r="DT135" s="18"/>
      <c r="DU135" s="18"/>
      <c r="DV135" s="18"/>
      <c r="DW135" s="18"/>
      <c r="DX135" s="18"/>
      <c r="DY135" s="18"/>
      <c r="DZ135" s="18"/>
      <c r="EA135" s="18"/>
      <c r="EB135" s="18"/>
      <c r="EC135" s="18"/>
      <c r="ED135" s="18"/>
      <c r="EE135" s="18"/>
      <c r="EF135" s="18"/>
      <c r="EG135" s="18"/>
      <c r="EH135" s="18"/>
      <c r="EI135" s="18"/>
      <c r="EJ135" s="18"/>
      <c r="EK135" s="18"/>
      <c r="EL135" s="18"/>
      <c r="EM135" s="18"/>
      <c r="EN135" s="18"/>
      <c r="EO135" s="18"/>
      <c r="EP135" s="18"/>
      <c r="EQ135" s="18"/>
      <c r="ER135" s="18"/>
      <c r="ES135" s="18"/>
      <c r="ET135" s="18"/>
      <c r="EU135" s="18"/>
      <c r="EV135" s="18"/>
      <c r="EW135" s="18"/>
      <c r="EX135" s="18"/>
      <c r="EY135" s="18"/>
      <c r="EZ135" s="18"/>
      <c r="FA135" s="18"/>
      <c r="FB135" s="18"/>
      <c r="FC135" s="18"/>
      <c r="FD135" s="18"/>
      <c r="FE135" s="18"/>
      <c r="FF135" s="18"/>
      <c r="FG135" s="18"/>
      <c r="FH135" s="18"/>
      <c r="FI135" s="18"/>
      <c r="FJ135" s="18"/>
      <c r="FK135" s="18"/>
      <c r="FL135" s="18"/>
      <c r="FM135" s="18"/>
      <c r="FN135" s="18"/>
      <c r="FO135" s="18"/>
      <c r="FP135" s="18"/>
      <c r="FQ135" s="18"/>
      <c r="FR135" s="18"/>
      <c r="FS135" s="18"/>
      <c r="FT135" s="18"/>
      <c r="FU135" s="18"/>
      <c r="FV135" s="18"/>
      <c r="FW135" s="18"/>
      <c r="FX135" s="18"/>
      <c r="FY135" s="18"/>
      <c r="FZ135" s="18"/>
      <c r="GA135" s="18"/>
      <c r="GB135" s="18"/>
      <c r="GC135" s="18"/>
      <c r="GD135" s="18"/>
    </row>
    <row r="136" spans="1:186"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  <c r="CD136" s="18"/>
      <c r="CE136" s="18"/>
      <c r="CF136" s="18"/>
      <c r="CG136" s="18"/>
      <c r="CH136" s="18"/>
      <c r="CI136" s="18"/>
      <c r="CJ136" s="18"/>
      <c r="CK136" s="18"/>
      <c r="CL136" s="18"/>
      <c r="CM136" s="18"/>
      <c r="CN136" s="18"/>
      <c r="CO136" s="18"/>
      <c r="CP136" s="18"/>
      <c r="CQ136" s="18"/>
      <c r="CR136" s="18"/>
      <c r="CS136" s="18"/>
      <c r="CT136" s="18"/>
      <c r="CU136" s="18"/>
      <c r="CV136" s="18"/>
      <c r="CW136" s="18"/>
      <c r="CX136" s="18"/>
      <c r="CY136" s="18"/>
      <c r="CZ136" s="18"/>
      <c r="DA136" s="18"/>
      <c r="DB136" s="18"/>
      <c r="DC136" s="18"/>
      <c r="DD136" s="18"/>
      <c r="DE136" s="18"/>
      <c r="DF136" s="18"/>
      <c r="DG136" s="18"/>
      <c r="DH136" s="18"/>
      <c r="DI136" s="18"/>
      <c r="DJ136" s="18"/>
      <c r="DK136" s="18"/>
      <c r="DL136" s="18"/>
      <c r="DM136" s="18"/>
      <c r="DN136" s="18"/>
      <c r="DO136" s="18"/>
      <c r="DP136" s="18"/>
      <c r="DQ136" s="18"/>
      <c r="DR136" s="18"/>
      <c r="DS136" s="18"/>
      <c r="DT136" s="18"/>
      <c r="DU136" s="18"/>
      <c r="DV136" s="18"/>
      <c r="DW136" s="18"/>
      <c r="DX136" s="18"/>
      <c r="DY136" s="18"/>
      <c r="DZ136" s="18"/>
      <c r="EA136" s="18"/>
      <c r="EB136" s="18"/>
      <c r="EC136" s="18"/>
      <c r="ED136" s="18"/>
      <c r="EE136" s="18"/>
      <c r="EF136" s="18"/>
      <c r="EG136" s="18"/>
      <c r="EH136" s="18"/>
      <c r="EI136" s="18"/>
      <c r="EJ136" s="18"/>
      <c r="EK136" s="18"/>
      <c r="EL136" s="18"/>
      <c r="EM136" s="18"/>
      <c r="EN136" s="18"/>
      <c r="EO136" s="18"/>
      <c r="EP136" s="18"/>
      <c r="EQ136" s="18"/>
      <c r="ER136" s="18"/>
      <c r="ES136" s="18"/>
      <c r="ET136" s="18"/>
      <c r="EU136" s="18"/>
      <c r="EV136" s="18"/>
      <c r="EW136" s="18"/>
      <c r="EX136" s="18"/>
      <c r="EY136" s="18"/>
      <c r="EZ136" s="18"/>
      <c r="FA136" s="18"/>
      <c r="FB136" s="18"/>
      <c r="FC136" s="18"/>
      <c r="FD136" s="18"/>
      <c r="FE136" s="18"/>
      <c r="FF136" s="18"/>
      <c r="FG136" s="18"/>
      <c r="FH136" s="18"/>
      <c r="FI136" s="18"/>
      <c r="FJ136" s="18"/>
      <c r="FK136" s="18"/>
      <c r="FL136" s="18"/>
      <c r="FM136" s="18"/>
      <c r="FN136" s="18"/>
      <c r="FO136" s="18"/>
      <c r="FP136" s="18"/>
      <c r="FQ136" s="18"/>
      <c r="FR136" s="18"/>
      <c r="FS136" s="18"/>
      <c r="FT136" s="18"/>
      <c r="FU136" s="18"/>
      <c r="FV136" s="18"/>
      <c r="FW136" s="18"/>
      <c r="FX136" s="18"/>
      <c r="FY136" s="18"/>
      <c r="FZ136" s="18"/>
      <c r="GA136" s="18"/>
      <c r="GB136" s="18"/>
      <c r="GC136" s="18"/>
      <c r="GD136" s="18"/>
    </row>
    <row r="137" spans="1:186"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  <c r="CX137" s="18"/>
      <c r="CY137" s="18"/>
      <c r="CZ137" s="18"/>
      <c r="DA137" s="18"/>
      <c r="DB137" s="18"/>
      <c r="DC137" s="18"/>
      <c r="DD137" s="18"/>
      <c r="DE137" s="18"/>
      <c r="DF137" s="18"/>
      <c r="DG137" s="18"/>
      <c r="DH137" s="18"/>
      <c r="DI137" s="18"/>
      <c r="DJ137" s="18"/>
      <c r="DK137" s="18"/>
      <c r="DL137" s="18"/>
      <c r="DM137" s="18"/>
      <c r="DN137" s="18"/>
      <c r="DO137" s="18"/>
      <c r="DP137" s="18"/>
      <c r="DQ137" s="18"/>
      <c r="DR137" s="18"/>
      <c r="DS137" s="18"/>
      <c r="DT137" s="18"/>
      <c r="DU137" s="18"/>
      <c r="DV137" s="18"/>
      <c r="DW137" s="18"/>
      <c r="DX137" s="18"/>
      <c r="DY137" s="18"/>
      <c r="DZ137" s="18"/>
      <c r="EA137" s="18"/>
      <c r="EB137" s="18"/>
      <c r="EC137" s="18"/>
      <c r="ED137" s="18"/>
      <c r="EE137" s="18"/>
      <c r="EF137" s="18"/>
      <c r="EG137" s="18"/>
      <c r="EH137" s="18"/>
      <c r="EI137" s="18"/>
      <c r="EJ137" s="18"/>
      <c r="EK137" s="18"/>
      <c r="EL137" s="18"/>
      <c r="EM137" s="18"/>
      <c r="EN137" s="18"/>
      <c r="EO137" s="18"/>
      <c r="EP137" s="18"/>
      <c r="EQ137" s="18"/>
      <c r="ER137" s="18"/>
      <c r="ES137" s="18"/>
      <c r="ET137" s="18"/>
      <c r="EU137" s="18"/>
      <c r="EV137" s="18"/>
      <c r="EW137" s="18"/>
      <c r="EX137" s="18"/>
      <c r="EY137" s="18"/>
      <c r="EZ137" s="18"/>
      <c r="FA137" s="18"/>
      <c r="FB137" s="18"/>
      <c r="FC137" s="18"/>
      <c r="FD137" s="18"/>
      <c r="FE137" s="18"/>
      <c r="FF137" s="18"/>
      <c r="FG137" s="18"/>
      <c r="FH137" s="18"/>
      <c r="FI137" s="18"/>
      <c r="FJ137" s="18"/>
      <c r="FK137" s="18"/>
      <c r="FL137" s="18"/>
      <c r="FM137" s="18"/>
      <c r="FN137" s="18"/>
      <c r="FO137" s="18"/>
      <c r="FP137" s="18"/>
      <c r="FQ137" s="18"/>
      <c r="FR137" s="18"/>
      <c r="FS137" s="18"/>
      <c r="FT137" s="18"/>
      <c r="FU137" s="18"/>
      <c r="FV137" s="18"/>
      <c r="FW137" s="18"/>
      <c r="FX137" s="18"/>
      <c r="FY137" s="18"/>
      <c r="FZ137" s="18"/>
      <c r="GA137" s="18"/>
      <c r="GB137" s="18"/>
      <c r="GC137" s="18"/>
      <c r="GD137" s="18"/>
    </row>
    <row r="138" spans="1:186"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8"/>
      <c r="CB138" s="18"/>
      <c r="CC138" s="18"/>
      <c r="CD138" s="18"/>
      <c r="CE138" s="18"/>
      <c r="CF138" s="18"/>
      <c r="CG138" s="18"/>
      <c r="CH138" s="18"/>
      <c r="CI138" s="18"/>
      <c r="CJ138" s="18"/>
      <c r="CK138" s="18"/>
      <c r="CL138" s="18"/>
      <c r="CM138" s="18"/>
      <c r="CN138" s="18"/>
      <c r="CO138" s="18"/>
      <c r="CP138" s="18"/>
      <c r="CQ138" s="18"/>
      <c r="CR138" s="18"/>
      <c r="CS138" s="18"/>
      <c r="CT138" s="18"/>
      <c r="CU138" s="18"/>
      <c r="CV138" s="18"/>
      <c r="CW138" s="18"/>
      <c r="CX138" s="18"/>
      <c r="CY138" s="18"/>
      <c r="CZ138" s="18"/>
      <c r="DA138" s="18"/>
      <c r="DB138" s="18"/>
      <c r="DC138" s="18"/>
      <c r="DD138" s="18"/>
      <c r="DE138" s="18"/>
      <c r="DF138" s="18"/>
      <c r="DG138" s="18"/>
      <c r="DH138" s="18"/>
      <c r="DI138" s="18"/>
      <c r="DJ138" s="18"/>
      <c r="DK138" s="18"/>
      <c r="DL138" s="18"/>
      <c r="DM138" s="18"/>
      <c r="DN138" s="18"/>
      <c r="DO138" s="18"/>
      <c r="DP138" s="18"/>
      <c r="DQ138" s="18"/>
      <c r="DR138" s="18"/>
      <c r="DS138" s="18"/>
      <c r="DT138" s="18"/>
      <c r="DU138" s="18"/>
      <c r="DV138" s="18"/>
      <c r="DW138" s="18"/>
      <c r="DX138" s="18"/>
      <c r="DY138" s="18"/>
      <c r="DZ138" s="18"/>
      <c r="EA138" s="18"/>
      <c r="EB138" s="18"/>
      <c r="EC138" s="18"/>
      <c r="ED138" s="18"/>
      <c r="EE138" s="18"/>
      <c r="EF138" s="18"/>
      <c r="EG138" s="18"/>
      <c r="EH138" s="18"/>
      <c r="EI138" s="18"/>
      <c r="EJ138" s="18"/>
      <c r="EK138" s="18"/>
      <c r="EL138" s="18"/>
      <c r="EM138" s="18"/>
      <c r="EN138" s="18"/>
      <c r="EO138" s="18"/>
      <c r="EP138" s="18"/>
      <c r="EQ138" s="18"/>
      <c r="ER138" s="18"/>
      <c r="ES138" s="18"/>
      <c r="ET138" s="18"/>
      <c r="EU138" s="18"/>
      <c r="EV138" s="18"/>
      <c r="EW138" s="18"/>
      <c r="EX138" s="18"/>
      <c r="EY138" s="18"/>
      <c r="EZ138" s="18"/>
      <c r="FA138" s="18"/>
      <c r="FB138" s="18"/>
      <c r="FC138" s="18"/>
      <c r="FD138" s="18"/>
      <c r="FE138" s="18"/>
      <c r="FF138" s="18"/>
      <c r="FG138" s="18"/>
      <c r="FH138" s="18"/>
      <c r="FI138" s="18"/>
      <c r="FJ138" s="18"/>
      <c r="FK138" s="18"/>
      <c r="FL138" s="18"/>
      <c r="FM138" s="18"/>
      <c r="FN138" s="18"/>
      <c r="FO138" s="18"/>
      <c r="FP138" s="18"/>
      <c r="FQ138" s="18"/>
      <c r="FR138" s="18"/>
      <c r="FS138" s="18"/>
      <c r="FT138" s="18"/>
      <c r="FU138" s="18"/>
      <c r="FV138" s="18"/>
      <c r="FW138" s="18"/>
      <c r="FX138" s="18"/>
      <c r="FY138" s="18"/>
      <c r="FZ138" s="18"/>
      <c r="GA138" s="18"/>
      <c r="GB138" s="18"/>
      <c r="GC138" s="18"/>
      <c r="GD138" s="18"/>
    </row>
    <row r="139" spans="1:186">
      <c r="A139" s="19" t="s">
        <v>17</v>
      </c>
      <c r="B139" s="13"/>
      <c r="C139" s="13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  <c r="CA139" s="18"/>
      <c r="CB139" s="18"/>
      <c r="CC139" s="18"/>
      <c r="CD139" s="18"/>
      <c r="CE139" s="18"/>
      <c r="CF139" s="18"/>
      <c r="CG139" s="18"/>
      <c r="CH139" s="18"/>
      <c r="CI139" s="18"/>
      <c r="CJ139" s="18"/>
      <c r="CK139" s="18"/>
      <c r="CL139" s="18"/>
      <c r="CM139" s="18"/>
      <c r="CN139" s="18"/>
      <c r="CO139" s="18"/>
      <c r="CP139" s="18"/>
      <c r="CQ139" s="18"/>
      <c r="CR139" s="18"/>
      <c r="CS139" s="18"/>
      <c r="CT139" s="18"/>
      <c r="CU139" s="18"/>
      <c r="CV139" s="18"/>
      <c r="CW139" s="18"/>
      <c r="CX139" s="18"/>
      <c r="CY139" s="18"/>
      <c r="CZ139" s="18"/>
      <c r="DA139" s="18"/>
      <c r="DB139" s="18"/>
      <c r="DC139" s="18"/>
      <c r="DD139" s="18"/>
      <c r="DE139" s="18"/>
      <c r="DF139" s="18"/>
      <c r="DG139" s="18"/>
      <c r="DH139" s="18"/>
      <c r="DI139" s="18"/>
      <c r="DJ139" s="18"/>
      <c r="DK139" s="18"/>
      <c r="DL139" s="18"/>
      <c r="DM139" s="18"/>
      <c r="DN139" s="18"/>
      <c r="DO139" s="18"/>
      <c r="DP139" s="18"/>
      <c r="DQ139" s="18"/>
      <c r="DR139" s="18"/>
      <c r="DS139" s="18"/>
      <c r="DT139" s="18"/>
      <c r="DU139" s="18"/>
      <c r="DV139" s="18"/>
      <c r="DW139" s="18"/>
      <c r="DX139" s="18"/>
      <c r="DY139" s="18"/>
      <c r="DZ139" s="18"/>
      <c r="EA139" s="18"/>
      <c r="EB139" s="18"/>
      <c r="EC139" s="18"/>
      <c r="ED139" s="18"/>
      <c r="EE139" s="18"/>
      <c r="EF139" s="18"/>
      <c r="EG139" s="18"/>
      <c r="EH139" s="18"/>
      <c r="EI139" s="18"/>
      <c r="EJ139" s="18"/>
      <c r="EK139" s="18"/>
      <c r="EL139" s="18"/>
      <c r="EM139" s="18"/>
      <c r="EN139" s="18"/>
      <c r="EO139" s="18"/>
      <c r="EP139" s="18"/>
      <c r="EQ139" s="18"/>
      <c r="ER139" s="18"/>
      <c r="ES139" s="18"/>
      <c r="ET139" s="18"/>
      <c r="EU139" s="18"/>
      <c r="EV139" s="18"/>
      <c r="EW139" s="18"/>
      <c r="EX139" s="18"/>
      <c r="EY139" s="18"/>
      <c r="EZ139" s="18"/>
      <c r="FA139" s="18"/>
      <c r="FB139" s="18"/>
      <c r="FC139" s="18"/>
      <c r="FD139" s="18"/>
      <c r="FE139" s="18"/>
      <c r="FF139" s="18"/>
      <c r="FG139" s="18"/>
      <c r="FH139" s="18"/>
      <c r="FI139" s="18"/>
      <c r="FJ139" s="18"/>
      <c r="FK139" s="18"/>
      <c r="FL139" s="18"/>
      <c r="FM139" s="18"/>
      <c r="FN139" s="18"/>
      <c r="FO139" s="18"/>
      <c r="FP139" s="18"/>
      <c r="FQ139" s="18"/>
      <c r="FR139" s="18"/>
      <c r="FS139" s="18"/>
      <c r="FT139" s="18"/>
      <c r="FU139" s="18"/>
      <c r="FV139" s="18"/>
      <c r="FW139" s="18"/>
      <c r="FX139" s="18"/>
      <c r="FY139" s="18"/>
      <c r="FZ139" s="18"/>
      <c r="GA139" s="18"/>
      <c r="GB139" s="18"/>
      <c r="GC139" s="18"/>
      <c r="GD139" s="18"/>
    </row>
    <row r="140" spans="1:186">
      <c r="A140" s="19" t="s">
        <v>18</v>
      </c>
      <c r="B140" s="13"/>
      <c r="C140" s="13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8"/>
      <c r="BZ140" s="18"/>
      <c r="CA140" s="18"/>
      <c r="CB140" s="18"/>
      <c r="CC140" s="18"/>
      <c r="CD140" s="18"/>
      <c r="CE140" s="18"/>
      <c r="CF140" s="18"/>
      <c r="CG140" s="18"/>
      <c r="CH140" s="18"/>
      <c r="CI140" s="18"/>
      <c r="CJ140" s="18"/>
      <c r="CK140" s="18"/>
      <c r="CL140" s="18"/>
      <c r="CM140" s="18"/>
      <c r="CN140" s="18"/>
      <c r="CO140" s="18"/>
      <c r="CP140" s="18"/>
      <c r="CQ140" s="18"/>
      <c r="CR140" s="18"/>
      <c r="CS140" s="18"/>
      <c r="CT140" s="18"/>
      <c r="CU140" s="18"/>
      <c r="CV140" s="18"/>
      <c r="CW140" s="18"/>
      <c r="CX140" s="18"/>
      <c r="CY140" s="18"/>
      <c r="CZ140" s="18"/>
      <c r="DA140" s="18"/>
      <c r="DB140" s="18"/>
      <c r="DC140" s="18"/>
      <c r="DD140" s="18"/>
      <c r="DE140" s="18"/>
      <c r="DF140" s="18"/>
      <c r="DG140" s="18"/>
      <c r="DH140" s="18"/>
      <c r="DI140" s="18"/>
      <c r="DJ140" s="18"/>
      <c r="DK140" s="18"/>
      <c r="DL140" s="18"/>
      <c r="DM140" s="18"/>
      <c r="DN140" s="18"/>
      <c r="DO140" s="18"/>
      <c r="DP140" s="18"/>
      <c r="DQ140" s="18"/>
      <c r="DR140" s="18"/>
      <c r="DS140" s="18"/>
      <c r="DT140" s="18"/>
      <c r="DU140" s="18"/>
      <c r="DV140" s="18"/>
      <c r="DW140" s="18"/>
      <c r="DX140" s="18"/>
      <c r="DY140" s="18"/>
      <c r="DZ140" s="18"/>
      <c r="EA140" s="18"/>
      <c r="EB140" s="18"/>
      <c r="EC140" s="18"/>
      <c r="ED140" s="18"/>
      <c r="EE140" s="18"/>
      <c r="EF140" s="18"/>
      <c r="EG140" s="18"/>
      <c r="EH140" s="18"/>
      <c r="EI140" s="18"/>
      <c r="EJ140" s="18"/>
      <c r="EK140" s="18"/>
      <c r="EL140" s="18"/>
      <c r="EM140" s="18"/>
      <c r="EN140" s="18"/>
      <c r="EO140" s="18"/>
      <c r="EP140" s="18"/>
      <c r="EQ140" s="18"/>
      <c r="ER140" s="18"/>
      <c r="ES140" s="18"/>
      <c r="ET140" s="18"/>
      <c r="EU140" s="18"/>
      <c r="EV140" s="18"/>
      <c r="EW140" s="18"/>
      <c r="EX140" s="18"/>
      <c r="EY140" s="18"/>
      <c r="EZ140" s="18"/>
      <c r="FA140" s="18"/>
      <c r="FB140" s="18"/>
      <c r="FC140" s="18"/>
      <c r="FD140" s="18"/>
      <c r="FE140" s="18"/>
      <c r="FF140" s="18"/>
      <c r="FG140" s="18"/>
      <c r="FH140" s="18"/>
      <c r="FI140" s="18"/>
      <c r="FJ140" s="18"/>
      <c r="FK140" s="18"/>
      <c r="FL140" s="18"/>
      <c r="FM140" s="18"/>
      <c r="FN140" s="18"/>
      <c r="FO140" s="18"/>
      <c r="FP140" s="18"/>
      <c r="FQ140" s="18"/>
      <c r="FR140" s="18"/>
      <c r="FS140" s="18"/>
      <c r="FT140" s="18"/>
      <c r="FU140" s="18"/>
      <c r="FV140" s="18"/>
      <c r="FW140" s="18"/>
      <c r="FX140" s="18"/>
      <c r="FY140" s="18"/>
      <c r="FZ140" s="18"/>
      <c r="GA140" s="18"/>
      <c r="GB140" s="18"/>
      <c r="GC140" s="18"/>
      <c r="GD140" s="18"/>
    </row>
    <row r="141" spans="1:186">
      <c r="A141" s="19" t="s">
        <v>19</v>
      </c>
      <c r="B141" s="13"/>
      <c r="C141" s="13"/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/>
      <c r="BM141" s="18"/>
      <c r="BN141" s="18"/>
      <c r="BO141" s="18"/>
      <c r="BP141" s="18"/>
      <c r="BQ141" s="18"/>
      <c r="BR141" s="18"/>
      <c r="BS141" s="18"/>
      <c r="BT141" s="18"/>
      <c r="BU141" s="18"/>
      <c r="BV141" s="18"/>
      <c r="BW141" s="18"/>
      <c r="BX141" s="18"/>
      <c r="BY141" s="18"/>
      <c r="BZ141" s="18"/>
      <c r="CA141" s="18"/>
      <c r="CB141" s="18"/>
      <c r="CC141" s="18"/>
      <c r="CD141" s="18"/>
      <c r="CE141" s="18"/>
      <c r="CF141" s="18"/>
      <c r="CG141" s="18"/>
      <c r="CH141" s="18"/>
      <c r="CI141" s="18"/>
      <c r="CJ141" s="18"/>
      <c r="CK141" s="18"/>
      <c r="CL141" s="18"/>
      <c r="CM141" s="18"/>
      <c r="CN141" s="18"/>
      <c r="CO141" s="18"/>
      <c r="CP141" s="18"/>
      <c r="CQ141" s="18"/>
      <c r="CR141" s="18"/>
      <c r="CS141" s="18"/>
      <c r="CT141" s="18"/>
      <c r="CU141" s="18"/>
      <c r="CV141" s="18"/>
      <c r="CW141" s="18"/>
      <c r="CX141" s="18"/>
      <c r="CY141" s="18"/>
      <c r="CZ141" s="18"/>
      <c r="DA141" s="18"/>
      <c r="DB141" s="18"/>
      <c r="DC141" s="18"/>
      <c r="DD141" s="18"/>
      <c r="DE141" s="18"/>
      <c r="DF141" s="18"/>
      <c r="DG141" s="18"/>
      <c r="DH141" s="18"/>
      <c r="DI141" s="18"/>
      <c r="DJ141" s="18"/>
      <c r="DK141" s="18"/>
      <c r="DL141" s="18"/>
      <c r="DM141" s="18"/>
      <c r="DN141" s="18"/>
      <c r="DO141" s="18"/>
      <c r="DP141" s="18"/>
      <c r="DQ141" s="18"/>
      <c r="DR141" s="18"/>
      <c r="DS141" s="18"/>
      <c r="DT141" s="18"/>
      <c r="DU141" s="18"/>
      <c r="DV141" s="18"/>
      <c r="DW141" s="18"/>
      <c r="DX141" s="18"/>
      <c r="DY141" s="18"/>
      <c r="DZ141" s="18"/>
      <c r="EA141" s="18"/>
      <c r="EB141" s="18"/>
      <c r="EC141" s="18"/>
      <c r="ED141" s="18"/>
      <c r="EE141" s="18"/>
      <c r="EF141" s="18"/>
      <c r="EG141" s="18"/>
      <c r="EH141" s="18"/>
      <c r="EI141" s="18"/>
      <c r="EJ141" s="18"/>
      <c r="EK141" s="18"/>
      <c r="EL141" s="18"/>
      <c r="EM141" s="18"/>
      <c r="EN141" s="18"/>
      <c r="EO141" s="18"/>
      <c r="EP141" s="18"/>
      <c r="EQ141" s="18"/>
      <c r="ER141" s="18"/>
      <c r="ES141" s="18"/>
      <c r="ET141" s="18"/>
      <c r="EU141" s="18"/>
      <c r="EV141" s="18"/>
      <c r="EW141" s="18"/>
      <c r="EX141" s="18"/>
      <c r="EY141" s="18"/>
      <c r="EZ141" s="18"/>
      <c r="FA141" s="18"/>
      <c r="FB141" s="18"/>
      <c r="FC141" s="18"/>
      <c r="FD141" s="18"/>
      <c r="FE141" s="18"/>
      <c r="FF141" s="18"/>
      <c r="FG141" s="18"/>
      <c r="FH141" s="18"/>
      <c r="FI141" s="18"/>
      <c r="FJ141" s="18"/>
      <c r="FK141" s="18"/>
      <c r="FL141" s="18"/>
      <c r="FM141" s="18"/>
      <c r="FN141" s="18"/>
      <c r="FO141" s="18"/>
      <c r="FP141" s="18"/>
      <c r="FQ141" s="18"/>
      <c r="FR141" s="18"/>
      <c r="FS141" s="18"/>
      <c r="FT141" s="18"/>
      <c r="FU141" s="18"/>
      <c r="FV141" s="18"/>
      <c r="FW141" s="18"/>
      <c r="FX141" s="18"/>
      <c r="FY141" s="18"/>
      <c r="FZ141" s="18"/>
      <c r="GA141" s="18"/>
      <c r="GB141" s="18"/>
      <c r="GC141" s="18"/>
      <c r="GD141" s="18"/>
    </row>
    <row r="142" spans="1:186">
      <c r="A142" s="19" t="s">
        <v>20</v>
      </c>
      <c r="B142" s="13"/>
      <c r="C142" s="13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8"/>
      <c r="BJ142" s="18"/>
      <c r="BK142" s="18"/>
      <c r="BL142" s="18"/>
      <c r="BM142" s="18"/>
      <c r="BN142" s="18"/>
      <c r="BO142" s="18"/>
      <c r="BP142" s="18"/>
      <c r="BQ142" s="18"/>
      <c r="BR142" s="18"/>
      <c r="BS142" s="18"/>
      <c r="BT142" s="18"/>
      <c r="BU142" s="18"/>
      <c r="BV142" s="18"/>
      <c r="BW142" s="18"/>
      <c r="BX142" s="18"/>
      <c r="BY142" s="18"/>
      <c r="BZ142" s="18"/>
      <c r="CA142" s="18"/>
      <c r="CB142" s="18"/>
      <c r="CC142" s="18"/>
      <c r="CD142" s="18"/>
      <c r="CE142" s="18"/>
      <c r="CF142" s="18"/>
      <c r="CG142" s="18"/>
      <c r="CH142" s="18"/>
      <c r="CI142" s="18"/>
      <c r="CJ142" s="18"/>
      <c r="CK142" s="18"/>
      <c r="CL142" s="18"/>
      <c r="CM142" s="18"/>
      <c r="CN142" s="18"/>
      <c r="CO142" s="18"/>
      <c r="CP142" s="18"/>
      <c r="CQ142" s="18"/>
      <c r="CR142" s="18"/>
      <c r="CS142" s="18"/>
      <c r="CT142" s="18"/>
      <c r="CU142" s="18"/>
      <c r="CV142" s="18"/>
      <c r="CW142" s="18"/>
      <c r="CX142" s="18"/>
      <c r="CY142" s="18"/>
      <c r="CZ142" s="18"/>
      <c r="DA142" s="18"/>
      <c r="DB142" s="18"/>
      <c r="DC142" s="18"/>
      <c r="DD142" s="18"/>
      <c r="DE142" s="18"/>
      <c r="DF142" s="18"/>
      <c r="DG142" s="18"/>
      <c r="DH142" s="18"/>
      <c r="DI142" s="18"/>
      <c r="DJ142" s="18"/>
      <c r="DK142" s="18"/>
      <c r="DL142" s="18"/>
      <c r="DM142" s="18"/>
      <c r="DN142" s="18"/>
      <c r="DO142" s="18"/>
      <c r="DP142" s="18"/>
      <c r="DQ142" s="18"/>
      <c r="DR142" s="18"/>
      <c r="DS142" s="18"/>
      <c r="DT142" s="18"/>
      <c r="DU142" s="18"/>
      <c r="DV142" s="18"/>
      <c r="DW142" s="18"/>
      <c r="DX142" s="18"/>
      <c r="DY142" s="18"/>
      <c r="DZ142" s="18"/>
      <c r="EA142" s="18"/>
      <c r="EB142" s="18"/>
      <c r="EC142" s="18"/>
      <c r="ED142" s="18"/>
      <c r="EE142" s="18"/>
      <c r="EF142" s="18"/>
      <c r="EG142" s="18"/>
      <c r="EH142" s="18"/>
      <c r="EI142" s="18"/>
      <c r="EJ142" s="18"/>
      <c r="EK142" s="18"/>
      <c r="EL142" s="18"/>
      <c r="EM142" s="18"/>
      <c r="EN142" s="18"/>
      <c r="EO142" s="18"/>
      <c r="EP142" s="18"/>
      <c r="EQ142" s="18"/>
      <c r="ER142" s="18"/>
      <c r="ES142" s="18"/>
      <c r="ET142" s="18"/>
      <c r="EU142" s="18"/>
      <c r="EV142" s="18"/>
      <c r="EW142" s="18"/>
      <c r="EX142" s="18"/>
      <c r="EY142" s="18"/>
      <c r="EZ142" s="18"/>
      <c r="FA142" s="18"/>
      <c r="FB142" s="18"/>
      <c r="FC142" s="18"/>
      <c r="FD142" s="18"/>
      <c r="FE142" s="18"/>
      <c r="FF142" s="18"/>
      <c r="FG142" s="18"/>
      <c r="FH142" s="18"/>
      <c r="FI142" s="18"/>
      <c r="FJ142" s="18"/>
      <c r="FK142" s="18"/>
      <c r="FL142" s="18"/>
      <c r="FM142" s="18"/>
      <c r="FN142" s="18"/>
      <c r="FO142" s="18"/>
      <c r="FP142" s="18"/>
      <c r="FQ142" s="18"/>
      <c r="FR142" s="18"/>
      <c r="FS142" s="18"/>
      <c r="FT142" s="18"/>
      <c r="FU142" s="18"/>
      <c r="FV142" s="18"/>
      <c r="FW142" s="18"/>
      <c r="FX142" s="18"/>
      <c r="FY142" s="18"/>
      <c r="FZ142" s="18"/>
      <c r="GA142" s="18"/>
      <c r="GB142" s="18"/>
      <c r="GC142" s="18"/>
      <c r="GD142" s="18"/>
    </row>
    <row r="143" spans="1:186">
      <c r="A143" s="19" t="s">
        <v>21</v>
      </c>
      <c r="B143" s="13"/>
      <c r="C143" s="13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18"/>
      <c r="BQ143" s="18"/>
      <c r="BR143" s="18"/>
      <c r="BS143" s="18"/>
      <c r="BT143" s="18"/>
      <c r="BU143" s="18"/>
      <c r="BV143" s="18"/>
      <c r="BW143" s="18"/>
      <c r="BX143" s="18"/>
      <c r="BY143" s="18"/>
      <c r="BZ143" s="18"/>
      <c r="CA143" s="18"/>
      <c r="CB143" s="18"/>
      <c r="CC143" s="18"/>
      <c r="CD143" s="18"/>
      <c r="CE143" s="18"/>
      <c r="CF143" s="18"/>
      <c r="CG143" s="18"/>
      <c r="CH143" s="18"/>
      <c r="CI143" s="18"/>
      <c r="CJ143" s="18"/>
      <c r="CK143" s="18"/>
      <c r="CL143" s="18"/>
      <c r="CM143" s="18"/>
      <c r="CN143" s="18"/>
      <c r="CO143" s="18"/>
      <c r="CP143" s="18"/>
      <c r="CQ143" s="18"/>
      <c r="CR143" s="18"/>
      <c r="CS143" s="18"/>
      <c r="CT143" s="18"/>
      <c r="CU143" s="18"/>
      <c r="CV143" s="18"/>
      <c r="CW143" s="18"/>
      <c r="CX143" s="18"/>
      <c r="CY143" s="18"/>
      <c r="CZ143" s="18"/>
      <c r="DA143" s="18"/>
      <c r="DB143" s="18"/>
      <c r="DC143" s="18"/>
      <c r="DD143" s="18"/>
      <c r="DE143" s="18"/>
      <c r="DF143" s="18"/>
      <c r="DG143" s="18"/>
      <c r="DH143" s="18"/>
      <c r="DI143" s="18"/>
      <c r="DJ143" s="18"/>
      <c r="DK143" s="18"/>
      <c r="DL143" s="18"/>
      <c r="DM143" s="18"/>
      <c r="DN143" s="18"/>
      <c r="DO143" s="18"/>
      <c r="DP143" s="18"/>
      <c r="DQ143" s="18"/>
      <c r="DR143" s="18"/>
      <c r="DS143" s="18"/>
      <c r="DT143" s="18"/>
      <c r="DU143" s="18"/>
      <c r="DV143" s="18"/>
      <c r="DW143" s="18"/>
      <c r="DX143" s="18"/>
      <c r="DY143" s="18"/>
      <c r="DZ143" s="18"/>
      <c r="EA143" s="18"/>
      <c r="EB143" s="18"/>
      <c r="EC143" s="18"/>
      <c r="ED143" s="18"/>
      <c r="EE143" s="18"/>
      <c r="EF143" s="18"/>
      <c r="EG143" s="18"/>
      <c r="EH143" s="18"/>
      <c r="EI143" s="18"/>
      <c r="EJ143" s="18"/>
      <c r="EK143" s="18"/>
      <c r="EL143" s="18"/>
      <c r="EM143" s="18"/>
      <c r="EN143" s="18"/>
      <c r="EO143" s="18"/>
      <c r="EP143" s="18"/>
      <c r="EQ143" s="18"/>
      <c r="ER143" s="18"/>
      <c r="ES143" s="18"/>
      <c r="ET143" s="18"/>
      <c r="EU143" s="18"/>
      <c r="EV143" s="18"/>
      <c r="EW143" s="18"/>
      <c r="EX143" s="18"/>
      <c r="EY143" s="18"/>
      <c r="EZ143" s="18"/>
      <c r="FA143" s="18"/>
      <c r="FB143" s="18"/>
      <c r="FC143" s="18"/>
      <c r="FD143" s="18"/>
      <c r="FE143" s="18"/>
      <c r="FF143" s="18"/>
      <c r="FG143" s="18"/>
      <c r="FH143" s="18"/>
      <c r="FI143" s="18"/>
      <c r="FJ143" s="18"/>
      <c r="FK143" s="18"/>
      <c r="FL143" s="18"/>
      <c r="FM143" s="18"/>
      <c r="FN143" s="18"/>
      <c r="FO143" s="18"/>
      <c r="FP143" s="18"/>
      <c r="FQ143" s="18"/>
      <c r="FR143" s="18"/>
      <c r="FS143" s="18"/>
      <c r="FT143" s="18"/>
      <c r="FU143" s="18"/>
      <c r="FV143" s="18"/>
      <c r="FW143" s="18"/>
      <c r="FX143" s="18"/>
      <c r="FY143" s="18"/>
      <c r="FZ143" s="18"/>
      <c r="GA143" s="18"/>
      <c r="GB143" s="18"/>
      <c r="GC143" s="18"/>
      <c r="GD143" s="18"/>
    </row>
    <row r="144" spans="1:186">
      <c r="A144" s="19" t="s">
        <v>22</v>
      </c>
      <c r="B144" s="13"/>
      <c r="C144" s="13"/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  <c r="BH144" s="18"/>
      <c r="BI144" s="18"/>
      <c r="BJ144" s="18"/>
      <c r="BK144" s="18"/>
      <c r="BL144" s="18"/>
      <c r="BM144" s="18"/>
      <c r="BN144" s="18"/>
      <c r="BO144" s="18"/>
      <c r="BP144" s="18"/>
      <c r="BQ144" s="18"/>
      <c r="BR144" s="18"/>
      <c r="BS144" s="18"/>
      <c r="BT144" s="18"/>
      <c r="BU144" s="18"/>
      <c r="BV144" s="18"/>
      <c r="BW144" s="18"/>
      <c r="BX144" s="18"/>
      <c r="BY144" s="18"/>
      <c r="BZ144" s="18"/>
      <c r="CA144" s="18"/>
      <c r="CB144" s="18"/>
      <c r="CC144" s="18"/>
      <c r="CD144" s="18"/>
      <c r="CE144" s="18"/>
      <c r="CF144" s="18"/>
      <c r="CG144" s="18"/>
      <c r="CH144" s="18"/>
      <c r="CI144" s="18"/>
      <c r="CJ144" s="18"/>
      <c r="CK144" s="18"/>
      <c r="CL144" s="18"/>
      <c r="CM144" s="18"/>
      <c r="CN144" s="18"/>
      <c r="CO144" s="18"/>
      <c r="CP144" s="18"/>
      <c r="CQ144" s="18"/>
      <c r="CR144" s="18"/>
      <c r="CS144" s="18"/>
      <c r="CT144" s="18"/>
      <c r="CU144" s="18"/>
      <c r="CV144" s="18"/>
      <c r="CW144" s="18"/>
      <c r="CX144" s="18"/>
      <c r="CY144" s="18"/>
      <c r="CZ144" s="18"/>
      <c r="DA144" s="18"/>
      <c r="DB144" s="18"/>
      <c r="DC144" s="18"/>
      <c r="DD144" s="18"/>
      <c r="DE144" s="18"/>
      <c r="DF144" s="18"/>
      <c r="DG144" s="18"/>
      <c r="DH144" s="18"/>
      <c r="DI144" s="18"/>
      <c r="DJ144" s="18"/>
      <c r="DK144" s="18"/>
      <c r="DL144" s="18"/>
      <c r="DM144" s="18"/>
      <c r="DN144" s="18"/>
      <c r="DO144" s="18"/>
      <c r="DP144" s="18"/>
      <c r="DQ144" s="18"/>
      <c r="DR144" s="18"/>
      <c r="DS144" s="18"/>
      <c r="DT144" s="18"/>
      <c r="DU144" s="18"/>
      <c r="DV144" s="18"/>
      <c r="DW144" s="18"/>
      <c r="DX144" s="18"/>
      <c r="DY144" s="18"/>
      <c r="DZ144" s="18"/>
      <c r="EA144" s="18"/>
      <c r="EB144" s="18"/>
      <c r="EC144" s="18"/>
      <c r="ED144" s="18"/>
      <c r="EE144" s="18"/>
      <c r="EF144" s="18"/>
      <c r="EG144" s="18"/>
      <c r="EH144" s="18"/>
      <c r="EI144" s="18"/>
      <c r="EJ144" s="18"/>
      <c r="EK144" s="18"/>
      <c r="EL144" s="18"/>
      <c r="EM144" s="18"/>
      <c r="EN144" s="18"/>
      <c r="EO144" s="18"/>
      <c r="EP144" s="18"/>
      <c r="EQ144" s="18"/>
      <c r="ER144" s="18"/>
      <c r="ES144" s="18"/>
      <c r="ET144" s="18"/>
      <c r="EU144" s="18"/>
      <c r="EV144" s="18"/>
      <c r="EW144" s="18"/>
      <c r="EX144" s="18"/>
      <c r="EY144" s="18"/>
      <c r="EZ144" s="18"/>
      <c r="FA144" s="18"/>
      <c r="FB144" s="18"/>
      <c r="FC144" s="18"/>
      <c r="FD144" s="18"/>
      <c r="FE144" s="18"/>
      <c r="FF144" s="18"/>
      <c r="FG144" s="18"/>
      <c r="FH144" s="18"/>
      <c r="FI144" s="18"/>
      <c r="FJ144" s="18"/>
      <c r="FK144" s="18"/>
      <c r="FL144" s="18"/>
      <c r="FM144" s="18"/>
      <c r="FN144" s="18"/>
      <c r="FO144" s="18"/>
      <c r="FP144" s="18"/>
      <c r="FQ144" s="18"/>
      <c r="FR144" s="18"/>
      <c r="FS144" s="18"/>
      <c r="FT144" s="18"/>
      <c r="FU144" s="18"/>
      <c r="FV144" s="18"/>
      <c r="FW144" s="18"/>
      <c r="FX144" s="18"/>
      <c r="FY144" s="18"/>
      <c r="FZ144" s="18"/>
      <c r="GA144" s="18"/>
      <c r="GB144" s="18"/>
      <c r="GC144" s="18"/>
      <c r="GD144" s="18"/>
    </row>
    <row r="145" spans="2:186"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18"/>
      <c r="BF145" s="18"/>
      <c r="BG145" s="18"/>
      <c r="BH145" s="18"/>
      <c r="BI145" s="18"/>
      <c r="BJ145" s="18"/>
      <c r="BK145" s="18"/>
      <c r="BL145" s="18"/>
      <c r="BM145" s="18"/>
      <c r="BN145" s="18"/>
      <c r="BO145" s="18"/>
      <c r="BP145" s="18"/>
      <c r="BQ145" s="18"/>
      <c r="BR145" s="18"/>
      <c r="BS145" s="18"/>
      <c r="BT145" s="18"/>
      <c r="BU145" s="18"/>
      <c r="BV145" s="18"/>
      <c r="BW145" s="18"/>
      <c r="BX145" s="18"/>
      <c r="BY145" s="18"/>
      <c r="BZ145" s="18"/>
      <c r="CA145" s="18"/>
      <c r="CB145" s="18"/>
      <c r="CC145" s="18"/>
      <c r="CD145" s="18"/>
      <c r="CE145" s="18"/>
      <c r="CF145" s="18"/>
      <c r="CG145" s="18"/>
      <c r="CH145" s="18"/>
      <c r="CI145" s="18"/>
      <c r="CJ145" s="18"/>
      <c r="CK145" s="18"/>
      <c r="CL145" s="18"/>
      <c r="CM145" s="18"/>
      <c r="CN145" s="18"/>
      <c r="CO145" s="18"/>
      <c r="CP145" s="18"/>
      <c r="CQ145" s="18"/>
      <c r="CR145" s="18"/>
      <c r="CS145" s="18"/>
      <c r="CT145" s="18"/>
      <c r="CU145" s="18"/>
      <c r="CV145" s="18"/>
      <c r="CW145" s="18"/>
      <c r="CX145" s="18"/>
      <c r="CY145" s="18"/>
      <c r="CZ145" s="18"/>
      <c r="DA145" s="18"/>
      <c r="DB145" s="18"/>
      <c r="DC145" s="18"/>
      <c r="DD145" s="18"/>
      <c r="DE145" s="18"/>
      <c r="DF145" s="18"/>
      <c r="DG145" s="18"/>
      <c r="DH145" s="18"/>
      <c r="DI145" s="18"/>
      <c r="DJ145" s="18"/>
      <c r="DK145" s="18"/>
      <c r="DL145" s="18"/>
      <c r="DM145" s="18"/>
      <c r="DN145" s="18"/>
      <c r="DO145" s="18"/>
      <c r="DP145" s="18"/>
      <c r="DQ145" s="18"/>
      <c r="DR145" s="18"/>
      <c r="DS145" s="18"/>
      <c r="DT145" s="18"/>
      <c r="DU145" s="18"/>
      <c r="DV145" s="18"/>
      <c r="DW145" s="18"/>
      <c r="DX145" s="18"/>
      <c r="DY145" s="18"/>
      <c r="DZ145" s="18"/>
      <c r="EA145" s="18"/>
      <c r="EB145" s="18"/>
      <c r="EC145" s="18"/>
      <c r="ED145" s="18"/>
      <c r="EE145" s="18"/>
      <c r="EF145" s="18"/>
      <c r="EG145" s="18"/>
      <c r="EH145" s="18"/>
      <c r="EI145" s="18"/>
      <c r="EJ145" s="18"/>
      <c r="EK145" s="18"/>
      <c r="EL145" s="18"/>
      <c r="EM145" s="18"/>
      <c r="EN145" s="18"/>
      <c r="EO145" s="18"/>
      <c r="EP145" s="18"/>
      <c r="EQ145" s="18"/>
      <c r="ER145" s="18"/>
      <c r="ES145" s="18"/>
      <c r="ET145" s="18"/>
      <c r="EU145" s="18"/>
      <c r="EV145" s="18"/>
      <c r="EW145" s="18"/>
      <c r="EX145" s="18"/>
      <c r="EY145" s="18"/>
      <c r="EZ145" s="18"/>
      <c r="FA145" s="18"/>
      <c r="FB145" s="18"/>
      <c r="FC145" s="18"/>
      <c r="FD145" s="18"/>
      <c r="FE145" s="18"/>
      <c r="FF145" s="18"/>
      <c r="FG145" s="18"/>
      <c r="FH145" s="18"/>
      <c r="FI145" s="18"/>
      <c r="FJ145" s="18"/>
      <c r="FK145" s="18"/>
      <c r="FL145" s="18"/>
      <c r="FM145" s="18"/>
      <c r="FN145" s="18"/>
      <c r="FO145" s="18"/>
      <c r="FP145" s="18"/>
      <c r="FQ145" s="18"/>
      <c r="FR145" s="18"/>
      <c r="FS145" s="18"/>
      <c r="FT145" s="18"/>
      <c r="FU145" s="18"/>
      <c r="FV145" s="18"/>
      <c r="FW145" s="18"/>
      <c r="FX145" s="18"/>
      <c r="FY145" s="18"/>
      <c r="FZ145" s="18"/>
      <c r="GA145" s="18"/>
      <c r="GB145" s="18"/>
      <c r="GC145" s="18"/>
      <c r="GD145" s="18"/>
    </row>
    <row r="146" spans="2:186"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  <c r="BL146" s="18"/>
      <c r="BM146" s="18"/>
      <c r="BN146" s="18"/>
      <c r="BO146" s="18"/>
      <c r="BP146" s="18"/>
      <c r="BQ146" s="18"/>
      <c r="BR146" s="18"/>
      <c r="BS146" s="18"/>
      <c r="BT146" s="18"/>
      <c r="BU146" s="18"/>
      <c r="BV146" s="18"/>
      <c r="BW146" s="18"/>
      <c r="BX146" s="18"/>
      <c r="BY146" s="18"/>
      <c r="BZ146" s="18"/>
      <c r="CA146" s="18"/>
      <c r="CB146" s="18"/>
      <c r="CC146" s="18"/>
      <c r="CD146" s="18"/>
      <c r="CE146" s="18"/>
      <c r="CF146" s="18"/>
      <c r="CG146" s="18"/>
      <c r="CH146" s="18"/>
      <c r="CI146" s="18"/>
      <c r="CJ146" s="18"/>
      <c r="CK146" s="18"/>
      <c r="CL146" s="18"/>
      <c r="CM146" s="18"/>
      <c r="CN146" s="18"/>
      <c r="CO146" s="18"/>
      <c r="CP146" s="18"/>
      <c r="CQ146" s="18"/>
      <c r="CR146" s="18"/>
      <c r="CS146" s="18"/>
      <c r="CT146" s="18"/>
      <c r="CU146" s="18"/>
      <c r="CV146" s="18"/>
      <c r="CW146" s="18"/>
      <c r="CX146" s="18"/>
      <c r="CY146" s="18"/>
      <c r="CZ146" s="18"/>
      <c r="DA146" s="18"/>
      <c r="DB146" s="18"/>
      <c r="DC146" s="18"/>
      <c r="DD146" s="18"/>
      <c r="DE146" s="18"/>
      <c r="DF146" s="18"/>
      <c r="DG146" s="18"/>
      <c r="DH146" s="18"/>
      <c r="DI146" s="18"/>
      <c r="DJ146" s="18"/>
      <c r="DK146" s="18"/>
      <c r="DL146" s="18"/>
      <c r="DM146" s="18"/>
      <c r="DN146" s="18"/>
      <c r="DO146" s="18"/>
      <c r="DP146" s="18"/>
      <c r="DQ146" s="18"/>
      <c r="DR146" s="18"/>
      <c r="DS146" s="18"/>
      <c r="DT146" s="18"/>
      <c r="DU146" s="18"/>
      <c r="DV146" s="18"/>
      <c r="DW146" s="18"/>
      <c r="DX146" s="18"/>
      <c r="DY146" s="18"/>
      <c r="DZ146" s="18"/>
      <c r="EA146" s="18"/>
      <c r="EB146" s="18"/>
      <c r="EC146" s="18"/>
      <c r="ED146" s="18"/>
      <c r="EE146" s="18"/>
      <c r="EF146" s="18"/>
      <c r="EG146" s="18"/>
      <c r="EH146" s="18"/>
      <c r="EI146" s="18"/>
      <c r="EJ146" s="18"/>
      <c r="EK146" s="18"/>
      <c r="EL146" s="18"/>
      <c r="EM146" s="18"/>
      <c r="EN146" s="18"/>
      <c r="EO146" s="18"/>
      <c r="EP146" s="18"/>
      <c r="EQ146" s="18"/>
      <c r="ER146" s="18"/>
      <c r="ES146" s="18"/>
      <c r="ET146" s="18"/>
      <c r="EU146" s="18"/>
      <c r="EV146" s="18"/>
      <c r="EW146" s="18"/>
      <c r="EX146" s="18"/>
      <c r="EY146" s="18"/>
      <c r="EZ146" s="18"/>
      <c r="FA146" s="18"/>
      <c r="FB146" s="18"/>
      <c r="FC146" s="18"/>
      <c r="FD146" s="18"/>
      <c r="FE146" s="18"/>
      <c r="FF146" s="18"/>
      <c r="FG146" s="18"/>
      <c r="FH146" s="18"/>
      <c r="FI146" s="18"/>
      <c r="FJ146" s="18"/>
      <c r="FK146" s="18"/>
      <c r="FL146" s="18"/>
      <c r="FM146" s="18"/>
      <c r="FN146" s="18"/>
      <c r="FO146" s="18"/>
      <c r="FP146" s="18"/>
      <c r="FQ146" s="18"/>
      <c r="FR146" s="18"/>
      <c r="FS146" s="18"/>
      <c r="FT146" s="18"/>
      <c r="FU146" s="18"/>
      <c r="FV146" s="18"/>
      <c r="FW146" s="18"/>
      <c r="FX146" s="18"/>
      <c r="FY146" s="18"/>
      <c r="FZ146" s="18"/>
      <c r="GA146" s="18"/>
      <c r="GB146" s="18"/>
      <c r="GC146" s="18"/>
      <c r="GD146" s="18"/>
    </row>
    <row r="148" spans="2:186">
      <c r="B148" s="17"/>
      <c r="C148" s="21"/>
    </row>
    <row r="149" spans="2:186">
      <c r="B149" s="17"/>
      <c r="C149" s="21"/>
    </row>
    <row r="150" spans="2:186">
      <c r="B150" s="17"/>
      <c r="C150" s="21"/>
    </row>
  </sheetData>
  <sheetProtection selectLockedCells="1" selectUnlockedCells="1"/>
  <autoFilter ref="A5:AF71">
    <filterColumn colId="3"/>
    <filterColumn colId="27" showButton="0"/>
    <sortState ref="A8:AH99">
      <sortCondition ref="B5:B99"/>
    </sortState>
  </autoFilter>
  <mergeCells count="32">
    <mergeCell ref="A129:B129"/>
    <mergeCell ref="F5:F6"/>
    <mergeCell ref="A5:A6"/>
    <mergeCell ref="B5:B6"/>
    <mergeCell ref="C5:C6"/>
    <mergeCell ref="D5:D6"/>
    <mergeCell ref="E5:E6"/>
    <mergeCell ref="R5:R6"/>
    <mergeCell ref="S5:S6"/>
    <mergeCell ref="G5:G6"/>
    <mergeCell ref="H5:H6"/>
    <mergeCell ref="I5:I6"/>
    <mergeCell ref="J5:J6"/>
    <mergeCell ref="M5:M6"/>
    <mergeCell ref="K5:K6"/>
    <mergeCell ref="L5:L6"/>
    <mergeCell ref="AF5:AF6"/>
    <mergeCell ref="A76:B76"/>
    <mergeCell ref="AA5:AA6"/>
    <mergeCell ref="AB5:AC5"/>
    <mergeCell ref="AD5:AD6"/>
    <mergeCell ref="AE5:AE6"/>
    <mergeCell ref="T5:T6"/>
    <mergeCell ref="U5:U6"/>
    <mergeCell ref="V5:V6"/>
    <mergeCell ref="W5:W6"/>
    <mergeCell ref="X5:X6"/>
    <mergeCell ref="Y5:Y6"/>
    <mergeCell ref="N5:N6"/>
    <mergeCell ref="O5:O6"/>
    <mergeCell ref="P5:P6"/>
    <mergeCell ref="Q5:Q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NOMINA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2017-07-14T00:17:41Z</dcterms:modified>
</cp:coreProperties>
</file>