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IFERENCIA" sheetId="5" r:id="rId2"/>
  </sheets>
  <definedNames>
    <definedName name="_xlnm._FilterDatabase" localSheetId="0" hidden="1">'FORMATO NOMINA'!$A$5:$AF$67</definedName>
  </definedNames>
  <calcPr calcId="124519"/>
</workbook>
</file>

<file path=xl/calcChain.xml><?xml version="1.0" encoding="utf-8"?>
<calcChain xmlns="http://schemas.openxmlformats.org/spreadsheetml/2006/main">
  <c r="F42" i="5"/>
  <c r="G42" s="1"/>
  <c r="E42"/>
  <c r="F41"/>
  <c r="E41"/>
  <c r="G41" s="1"/>
  <c r="G40"/>
  <c r="F39"/>
  <c r="E39"/>
  <c r="G39" s="1"/>
  <c r="G38"/>
  <c r="F37"/>
  <c r="E37"/>
  <c r="G37" s="1"/>
  <c r="G36"/>
  <c r="F36"/>
  <c r="E36"/>
  <c r="G35"/>
  <c r="F35"/>
  <c r="E35"/>
  <c r="G34"/>
  <c r="G33"/>
  <c r="G32"/>
  <c r="F32"/>
  <c r="E32"/>
  <c r="G31"/>
  <c r="F31"/>
  <c r="E31"/>
  <c r="F30"/>
  <c r="G30" s="1"/>
  <c r="E30"/>
  <c r="F29"/>
  <c r="E29"/>
  <c r="G29" s="1"/>
  <c r="G28"/>
  <c r="F27"/>
  <c r="E27"/>
  <c r="G27" s="1"/>
  <c r="G26"/>
  <c r="F26"/>
  <c r="E26"/>
  <c r="G25"/>
  <c r="F25"/>
  <c r="E25"/>
  <c r="F24"/>
  <c r="G24" s="1"/>
  <c r="E24"/>
  <c r="F23"/>
  <c r="E23"/>
  <c r="G23" s="1"/>
  <c r="G22"/>
  <c r="F22"/>
  <c r="E22"/>
  <c r="G21"/>
  <c r="F21"/>
  <c r="E21"/>
  <c r="F20"/>
  <c r="G20" s="1"/>
  <c r="E20"/>
  <c r="F19"/>
  <c r="E19"/>
  <c r="G19" s="1"/>
  <c r="G18"/>
  <c r="F18"/>
  <c r="E18"/>
  <c r="G17"/>
  <c r="F17"/>
  <c r="E17"/>
  <c r="F16"/>
  <c r="G16" s="1"/>
  <c r="G15"/>
  <c r="F15"/>
  <c r="G14"/>
  <c r="G13"/>
  <c r="F13"/>
  <c r="F12"/>
  <c r="E12"/>
  <c r="G12" s="1"/>
  <c r="G11"/>
  <c r="F11"/>
  <c r="E11"/>
  <c r="G10"/>
  <c r="F10"/>
  <c r="E10"/>
  <c r="G9"/>
  <c r="G8"/>
  <c r="G7"/>
  <c r="F7"/>
  <c r="E7"/>
  <c r="G6"/>
  <c r="F6"/>
  <c r="E6"/>
  <c r="G5"/>
  <c r="G4"/>
  <c r="F4"/>
  <c r="E4"/>
  <c r="F3"/>
  <c r="G3" s="1"/>
  <c r="E3"/>
  <c r="F2"/>
  <c r="E2"/>
  <c r="G2" s="1"/>
  <c r="F74" i="4" l="1"/>
  <c r="F95"/>
  <c r="F99"/>
  <c r="F101"/>
  <c r="F77"/>
  <c r="F92"/>
  <c r="F90"/>
  <c r="F112"/>
  <c r="F106"/>
  <c r="F107"/>
  <c r="F80"/>
  <c r="F102"/>
  <c r="F81"/>
  <c r="F111"/>
  <c r="F97"/>
  <c r="F76"/>
  <c r="F109"/>
  <c r="F100"/>
  <c r="F93"/>
  <c r="F96"/>
  <c r="F73"/>
  <c r="F91"/>
  <c r="F105"/>
  <c r="F94"/>
  <c r="F87"/>
  <c r="F82"/>
  <c r="F88"/>
  <c r="F89"/>
  <c r="F72"/>
  <c r="F46" l="1"/>
  <c r="I21" l="1"/>
  <c r="U21" s="1"/>
  <c r="I48" l="1"/>
  <c r="U48" s="1"/>
  <c r="I14" l="1"/>
  <c r="U14" s="1"/>
  <c r="I25"/>
  <c r="U25" s="1"/>
  <c r="I86"/>
  <c r="U86" s="1"/>
  <c r="I97"/>
  <c r="I98"/>
  <c r="U98" s="1"/>
  <c r="I103"/>
  <c r="I104"/>
  <c r="I95" l="1"/>
  <c r="I99"/>
  <c r="I101"/>
  <c r="I92"/>
  <c r="I90"/>
  <c r="I102"/>
  <c r="I100" l="1"/>
  <c r="I93"/>
  <c r="I96"/>
  <c r="I91"/>
  <c r="I94"/>
  <c r="I87"/>
  <c r="U87" s="1"/>
  <c r="I88"/>
  <c r="U88" s="1"/>
  <c r="I89"/>
  <c r="I39"/>
  <c r="X39" s="1"/>
  <c r="T69"/>
  <c r="V39" l="1"/>
  <c r="Z94"/>
  <c r="I30"/>
  <c r="X30" s="1"/>
  <c r="V30" l="1"/>
  <c r="I43" l="1"/>
  <c r="U43" s="1"/>
  <c r="I84" l="1"/>
  <c r="U84" s="1"/>
  <c r="Q69" l="1"/>
  <c r="I44" l="1"/>
  <c r="U44" s="1"/>
  <c r="I60" l="1"/>
  <c r="U60" s="1"/>
  <c r="I82" l="1"/>
  <c r="U82" s="1"/>
  <c r="I63"/>
  <c r="I124" l="1"/>
  <c r="I120"/>
  <c r="I121"/>
  <c r="I122"/>
  <c r="I123"/>
  <c r="I73"/>
  <c r="I74"/>
  <c r="I75"/>
  <c r="I76"/>
  <c r="I77"/>
  <c r="I78"/>
  <c r="I79"/>
  <c r="I80"/>
  <c r="I81"/>
  <c r="I83"/>
  <c r="I85"/>
  <c r="I42"/>
  <c r="I105"/>
  <c r="I106"/>
  <c r="I107"/>
  <c r="I108"/>
  <c r="I109"/>
  <c r="I110"/>
  <c r="I111"/>
  <c r="I112"/>
  <c r="I113"/>
  <c r="I7"/>
  <c r="I8"/>
  <c r="I9"/>
  <c r="I10"/>
  <c r="I11"/>
  <c r="I12"/>
  <c r="I13"/>
  <c r="I15"/>
  <c r="I16"/>
  <c r="I17"/>
  <c r="I18"/>
  <c r="I19"/>
  <c r="U19" s="1"/>
  <c r="I20"/>
  <c r="U20" s="1"/>
  <c r="I22"/>
  <c r="I23"/>
  <c r="I24"/>
  <c r="I26"/>
  <c r="U26" s="1"/>
  <c r="I27"/>
  <c r="I28"/>
  <c r="I29"/>
  <c r="I31"/>
  <c r="I32"/>
  <c r="I33"/>
  <c r="I34"/>
  <c r="I35"/>
  <c r="I36"/>
  <c r="I37"/>
  <c r="I38"/>
  <c r="I40"/>
  <c r="I41"/>
  <c r="I45"/>
  <c r="I46"/>
  <c r="I47"/>
  <c r="I49"/>
  <c r="I50"/>
  <c r="I51"/>
  <c r="I52"/>
  <c r="I53"/>
  <c r="I54"/>
  <c r="I55"/>
  <c r="I56"/>
  <c r="I57"/>
  <c r="I58"/>
  <c r="I59"/>
  <c r="I61"/>
  <c r="I62"/>
  <c r="I64"/>
  <c r="I65"/>
  <c r="I66"/>
  <c r="I67"/>
  <c r="F69" l="1"/>
  <c r="U107" l="1"/>
  <c r="J102" l="1"/>
  <c r="U123" l="1"/>
  <c r="U76" l="1"/>
  <c r="U77"/>
  <c r="U78"/>
  <c r="U79"/>
  <c r="U80"/>
  <c r="U81"/>
  <c r="U83"/>
  <c r="U85"/>
  <c r="U10" l="1"/>
  <c r="U24"/>
  <c r="U16" l="1"/>
  <c r="U75"/>
  <c r="J114" l="1"/>
  <c r="K114"/>
  <c r="L114"/>
  <c r="M114"/>
  <c r="N114"/>
  <c r="O114"/>
  <c r="P114"/>
  <c r="Q114"/>
  <c r="R114"/>
  <c r="S114"/>
  <c r="T114"/>
  <c r="G114"/>
  <c r="H114"/>
  <c r="F114"/>
  <c r="I114" l="1"/>
  <c r="U42" l="1"/>
  <c r="U99" l="1"/>
  <c r="V99"/>
  <c r="W42"/>
  <c r="X42"/>
  <c r="AA42" s="1"/>
  <c r="V42"/>
  <c r="W99" l="1"/>
  <c r="V108"/>
  <c r="V47"/>
  <c r="U108" l="1"/>
  <c r="W108" s="1"/>
  <c r="U47"/>
  <c r="W47" s="1"/>
  <c r="V50" l="1"/>
  <c r="L69"/>
  <c r="U50" l="1"/>
  <c r="W50" s="1"/>
  <c r="V9"/>
  <c r="U9" l="1"/>
  <c r="W9" s="1"/>
  <c r="V94" l="1"/>
  <c r="U94" l="1"/>
  <c r="W94" s="1"/>
  <c r="U11"/>
  <c r="V11" l="1"/>
  <c r="W11" s="1"/>
  <c r="V66" l="1"/>
  <c r="U66" l="1"/>
  <c r="W66" s="1"/>
  <c r="V46"/>
  <c r="U46" l="1"/>
  <c r="W46" s="1"/>
  <c r="V31" l="1"/>
  <c r="U31" l="1"/>
  <c r="W31" s="1"/>
  <c r="V79" l="1"/>
  <c r="W79" s="1"/>
  <c r="U45" l="1"/>
  <c r="V45" l="1"/>
  <c r="W45" s="1"/>
  <c r="V23"/>
  <c r="V41"/>
  <c r="U41" l="1"/>
  <c r="W41" s="1"/>
  <c r="U23"/>
  <c r="W23" s="1"/>
  <c r="V54"/>
  <c r="U54" l="1"/>
  <c r="W54" s="1"/>
  <c r="V103"/>
  <c r="U103" l="1"/>
  <c r="W103" s="1"/>
  <c r="V67" l="1"/>
  <c r="U67" l="1"/>
  <c r="W67" s="1"/>
  <c r="U57" l="1"/>
  <c r="V57" l="1"/>
  <c r="W57" s="1"/>
  <c r="X57"/>
  <c r="U110" l="1"/>
  <c r="V83" l="1"/>
  <c r="W83" s="1"/>
  <c r="V110"/>
  <c r="W110" s="1"/>
  <c r="V65" l="1"/>
  <c r="U65" l="1"/>
  <c r="W65" s="1"/>
  <c r="X37" l="1"/>
  <c r="Z37"/>
  <c r="U61"/>
  <c r="Z61"/>
  <c r="AA37" l="1"/>
  <c r="U37"/>
  <c r="V37"/>
  <c r="X61"/>
  <c r="AA61" s="1"/>
  <c r="V61"/>
  <c r="W61" s="1"/>
  <c r="Z27"/>
  <c r="W37" l="1"/>
  <c r="X27"/>
  <c r="AA27" s="1"/>
  <c r="U27"/>
  <c r="V27"/>
  <c r="W27" l="1"/>
  <c r="AD27" s="1"/>
  <c r="Z51" l="1"/>
  <c r="U51"/>
  <c r="X51" l="1"/>
  <c r="AA51" s="1"/>
  <c r="V51"/>
  <c r="W51" s="1"/>
  <c r="Z22" l="1"/>
  <c r="Z26"/>
  <c r="Z28"/>
  <c r="Z29"/>
  <c r="Z85"/>
  <c r="Z32"/>
  <c r="Z33"/>
  <c r="U22"/>
  <c r="X22" l="1"/>
  <c r="AA22" s="1"/>
  <c r="V22"/>
  <c r="W22" s="1"/>
  <c r="X33" l="1"/>
  <c r="AA33" s="1"/>
  <c r="U33"/>
  <c r="V33"/>
  <c r="W33" l="1"/>
  <c r="V85" l="1"/>
  <c r="X85"/>
  <c r="AA85" s="1"/>
  <c r="W85" l="1"/>
  <c r="Z64" l="1"/>
  <c r="Z49"/>
  <c r="X28" l="1"/>
  <c r="AA28" s="1"/>
  <c r="U28"/>
  <c r="V28"/>
  <c r="U64"/>
  <c r="X64"/>
  <c r="AA64" s="1"/>
  <c r="V49"/>
  <c r="X49"/>
  <c r="AA49" s="1"/>
  <c r="V64"/>
  <c r="U49"/>
  <c r="Z53"/>
  <c r="X53"/>
  <c r="W28" l="1"/>
  <c r="AD28" s="1"/>
  <c r="W64"/>
  <c r="W49"/>
  <c r="AA53"/>
  <c r="U53"/>
  <c r="V53"/>
  <c r="W53" l="1"/>
  <c r="AD64" l="1"/>
  <c r="AD49" l="1"/>
  <c r="Z58"/>
  <c r="V93" l="1"/>
  <c r="X93"/>
  <c r="Z93"/>
  <c r="AA93" l="1"/>
  <c r="U93"/>
  <c r="W93" s="1"/>
  <c r="AD93" s="1"/>
  <c r="Z19" l="1"/>
  <c r="V19" l="1"/>
  <c r="X19"/>
  <c r="AA19" s="1"/>
  <c r="V20"/>
  <c r="W19" l="1"/>
  <c r="W20"/>
  <c r="AD19" l="1"/>
  <c r="Z52" l="1"/>
  <c r="V29" l="1"/>
  <c r="X29"/>
  <c r="AA29" s="1"/>
  <c r="U29"/>
  <c r="Z59"/>
  <c r="X59" l="1"/>
  <c r="W29"/>
  <c r="V59" l="1"/>
  <c r="U59"/>
  <c r="AA59"/>
  <c r="W59" l="1"/>
  <c r="AD59" s="1"/>
  <c r="V102" l="1"/>
  <c r="X102"/>
  <c r="Z112"/>
  <c r="Z111"/>
  <c r="Z62"/>
  <c r="Z106"/>
  <c r="Z56"/>
  <c r="Z55"/>
  <c r="Z101"/>
  <c r="Z99"/>
  <c r="Z95"/>
  <c r="Z40"/>
  <c r="Z38"/>
  <c r="Z92"/>
  <c r="Z36"/>
  <c r="Z35"/>
  <c r="Z34"/>
  <c r="Z18"/>
  <c r="Z77"/>
  <c r="Z17"/>
  <c r="Z15"/>
  <c r="Z13"/>
  <c r="Z12"/>
  <c r="Z8"/>
  <c r="Z7"/>
  <c r="Z102" l="1"/>
  <c r="AA102" l="1"/>
  <c r="U102"/>
  <c r="W102" s="1"/>
  <c r="AD102" s="1"/>
  <c r="V101" l="1"/>
  <c r="U101"/>
  <c r="X101"/>
  <c r="AA101" s="1"/>
  <c r="Y69"/>
  <c r="I72"/>
  <c r="AC69"/>
  <c r="AB69"/>
  <c r="P69"/>
  <c r="J69"/>
  <c r="H69"/>
  <c r="G69"/>
  <c r="X58"/>
  <c r="U92"/>
  <c r="U91"/>
  <c r="U89"/>
  <c r="W101" l="1"/>
  <c r="AD101" s="1"/>
  <c r="U32"/>
  <c r="V32"/>
  <c r="X32"/>
  <c r="AA32" s="1"/>
  <c r="V35"/>
  <c r="X35"/>
  <c r="AA35" s="1"/>
  <c r="V36"/>
  <c r="X36"/>
  <c r="V17"/>
  <c r="X17"/>
  <c r="V34"/>
  <c r="X34"/>
  <c r="V38"/>
  <c r="X38"/>
  <c r="AA38" s="1"/>
  <c r="V40"/>
  <c r="X40"/>
  <c r="V8"/>
  <c r="X8"/>
  <c r="AA8" s="1"/>
  <c r="V12"/>
  <c r="X12"/>
  <c r="AA12" s="1"/>
  <c r="V15"/>
  <c r="X15"/>
  <c r="AA15" s="1"/>
  <c r="V74"/>
  <c r="X74"/>
  <c r="X99"/>
  <c r="AA99" s="1"/>
  <c r="V77"/>
  <c r="X77"/>
  <c r="AA77" s="1"/>
  <c r="V76"/>
  <c r="X76"/>
  <c r="V96"/>
  <c r="X96"/>
  <c r="V73"/>
  <c r="X73"/>
  <c r="V88"/>
  <c r="X88"/>
  <c r="V80"/>
  <c r="X80"/>
  <c r="V95"/>
  <c r="X95"/>
  <c r="AA95" s="1"/>
  <c r="V92"/>
  <c r="X92"/>
  <c r="AA92" s="1"/>
  <c r="V56"/>
  <c r="X56"/>
  <c r="V109"/>
  <c r="X109"/>
  <c r="V106"/>
  <c r="X106"/>
  <c r="AA106" s="1"/>
  <c r="V112"/>
  <c r="X112"/>
  <c r="AA112" s="1"/>
  <c r="V55"/>
  <c r="X55"/>
  <c r="AA55" s="1"/>
  <c r="V105"/>
  <c r="X105"/>
  <c r="V104"/>
  <c r="X104"/>
  <c r="V111"/>
  <c r="X111"/>
  <c r="AA111" s="1"/>
  <c r="U52"/>
  <c r="X52"/>
  <c r="AA52" s="1"/>
  <c r="V97"/>
  <c r="X97"/>
  <c r="V91"/>
  <c r="X91"/>
  <c r="V89"/>
  <c r="X89"/>
  <c r="V81"/>
  <c r="X81"/>
  <c r="V58"/>
  <c r="V52"/>
  <c r="R69"/>
  <c r="Z89"/>
  <c r="AA58"/>
  <c r="Z80"/>
  <c r="S69"/>
  <c r="Z76"/>
  <c r="U95"/>
  <c r="AD29"/>
  <c r="U12"/>
  <c r="U106"/>
  <c r="U15"/>
  <c r="Z91"/>
  <c r="U111"/>
  <c r="Z88"/>
  <c r="U8"/>
  <c r="Z74"/>
  <c r="Z81"/>
  <c r="Z73"/>
  <c r="AD53"/>
  <c r="U38"/>
  <c r="Z96"/>
  <c r="Z97"/>
  <c r="Z109"/>
  <c r="U35"/>
  <c r="U55"/>
  <c r="Z104"/>
  <c r="Z105"/>
  <c r="U58"/>
  <c r="U112"/>
  <c r="X26" l="1"/>
  <c r="AA26" s="1"/>
  <c r="V26"/>
  <c r="W32"/>
  <c r="W112"/>
  <c r="AD112" s="1"/>
  <c r="W35"/>
  <c r="AD35" s="1"/>
  <c r="W92"/>
  <c r="AD92" s="1"/>
  <c r="V18"/>
  <c r="X18"/>
  <c r="AA18" s="1"/>
  <c r="X13"/>
  <c r="AA13" s="1"/>
  <c r="V7"/>
  <c r="X7"/>
  <c r="AA7" s="1"/>
  <c r="W111"/>
  <c r="AD111" s="1"/>
  <c r="V62"/>
  <c r="X62"/>
  <c r="AA62" s="1"/>
  <c r="U72"/>
  <c r="W52"/>
  <c r="AD52" s="1"/>
  <c r="U13"/>
  <c r="V13"/>
  <c r="U62"/>
  <c r="U18"/>
  <c r="AD85"/>
  <c r="W95"/>
  <c r="AD95" s="1"/>
  <c r="W38"/>
  <c r="AD38" s="1"/>
  <c r="W15"/>
  <c r="AD15" s="1"/>
  <c r="W8"/>
  <c r="AD8" s="1"/>
  <c r="AD99"/>
  <c r="W77"/>
  <c r="AD77" s="1"/>
  <c r="W106"/>
  <c r="AD106" s="1"/>
  <c r="W55"/>
  <c r="AD55" s="1"/>
  <c r="W12"/>
  <c r="AD12" s="1"/>
  <c r="W58"/>
  <c r="AD58" s="1"/>
  <c r="AA81"/>
  <c r="AA109"/>
  <c r="AA105"/>
  <c r="AA89"/>
  <c r="AA88"/>
  <c r="AA91"/>
  <c r="AA76"/>
  <c r="AA73"/>
  <c r="AA96"/>
  <c r="AA80"/>
  <c r="AA74"/>
  <c r="AA97"/>
  <c r="AA104"/>
  <c r="Z69"/>
  <c r="W89"/>
  <c r="AD89" s="1"/>
  <c r="W91"/>
  <c r="AD91" s="1"/>
  <c r="U105"/>
  <c r="W105" s="1"/>
  <c r="AD105" s="1"/>
  <c r="W80"/>
  <c r="AD80" s="1"/>
  <c r="U34"/>
  <c r="AA34"/>
  <c r="AA17"/>
  <c r="AA56"/>
  <c r="U36"/>
  <c r="AA36"/>
  <c r="U40"/>
  <c r="AA40"/>
  <c r="W76"/>
  <c r="AD76" s="1"/>
  <c r="U17"/>
  <c r="U96"/>
  <c r="W96" s="1"/>
  <c r="AD96" s="1"/>
  <c r="U97"/>
  <c r="W97" s="1"/>
  <c r="AD97" s="1"/>
  <c r="W88"/>
  <c r="AD88" s="1"/>
  <c r="W81"/>
  <c r="AD81" s="1"/>
  <c r="U74"/>
  <c r="W74" s="1"/>
  <c r="AD74" s="1"/>
  <c r="M69"/>
  <c r="U109"/>
  <c r="W109" s="1"/>
  <c r="AD109" s="1"/>
  <c r="N69"/>
  <c r="O69"/>
  <c r="U7"/>
  <c r="U56"/>
  <c r="U73"/>
  <c r="W73" s="1"/>
  <c r="AD73" s="1"/>
  <c r="U104"/>
  <c r="W104" s="1"/>
  <c r="AD104" s="1"/>
  <c r="V72" l="1"/>
  <c r="V114" s="1"/>
  <c r="U114"/>
  <c r="W26"/>
  <c r="AD26" s="1"/>
  <c r="W18"/>
  <c r="AD18" s="1"/>
  <c r="W62"/>
  <c r="AD62" s="1"/>
  <c r="W72"/>
  <c r="W114" s="1"/>
  <c r="X72"/>
  <c r="AA72" s="1"/>
  <c r="AA115" s="1"/>
  <c r="W13"/>
  <c r="AD13" s="1"/>
  <c r="AD32"/>
  <c r="W17"/>
  <c r="AD17" s="1"/>
  <c r="W36"/>
  <c r="W34"/>
  <c r="AD34" s="1"/>
  <c r="W56"/>
  <c r="AD56" s="1"/>
  <c r="W40"/>
  <c r="AD40" s="1"/>
  <c r="W7"/>
  <c r="AD7" s="1"/>
  <c r="I69" l="1"/>
  <c r="X69"/>
  <c r="V69"/>
  <c r="U69" l="1"/>
  <c r="AA69"/>
  <c r="W69" l="1"/>
  <c r="AD69"/>
  <c r="AA70"/>
  <c r="AA71" s="1"/>
</calcChain>
</file>

<file path=xl/sharedStrings.xml><?xml version="1.0" encoding="utf-8"?>
<sst xmlns="http://schemas.openxmlformats.org/spreadsheetml/2006/main" count="690" uniqueCount="204">
  <si>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</si>
  <si>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</si>
  <si>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</si>
  <si>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</si>
  <si>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</si>
  <si>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</si>
  <si>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</si>
  <si>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</si>
  <si>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</si>
  <si>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</si>
  <si>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</si>
  <si>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</si>
  <si>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</si>
  <si>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</si>
  <si>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</si>
  <si>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</si>
  <si>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</si>
  <si>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</si>
  <si>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</si>
  <si>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</si>
  <si>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</si>
  <si>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</si>
  <si>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</si>
  <si>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</si>
  <si>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</si>
  <si>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</si>
  <si>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</si>
  <si>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</si>
  <si>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</si>
  <si>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</si>
  <si>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</si>
  <si>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</si>
  <si>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</si>
  <si>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</si>
  <si>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</si>
  <si>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</si>
  <si>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</si>
  <si>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</si>
  <si>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</si>
  <si>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</si>
  <si>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</si>
  <si>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</si>
  <si>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</si>
  <si>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</si>
  <si>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</si>
  <si>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</si>
  <si>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</si>
  <si>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</si>
  <si>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</si>
  <si>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</si>
  <si>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</si>
  <si>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</si>
  <si>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</si>
  <si>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</si>
  <si>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</si>
  <si>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</si>
  <si>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</si>
  <si>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</si>
  <si>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</si>
  <si>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</si>
  <si>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</si>
  <si>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</si>
  <si>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</si>
  <si>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</si>
  <si>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</si>
  <si>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</si>
  <si>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</si>
  <si>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</si>
  <si>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</si>
  <si>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</si>
  <si>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</si>
  <si>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</si>
  <si>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</si>
  <si>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</si>
  <si>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</si>
  <si>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</si>
  <si>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</si>
  <si>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</si>
  <si>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</si>
  <si>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</si>
  <si>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</si>
  <si>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</si>
  <si>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</si>
  <si>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</si>
  <si>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</si>
  <si>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</si>
  <si>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</si>
  <si>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</si>
  <si>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</si>
  <si>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</si>
  <si>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OSCAR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</si>
  <si>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</si>
  <si>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</si>
  <si>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</si>
  <si>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</si>
  <si>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</si>
  <si>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</si>
  <si>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</si>
  <si>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</si>
  <si>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</si>
  <si>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</si>
  <si>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</si>
  <si>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</si>
  <si>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</si>
  <si>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</si>
  <si>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</si>
  <si>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</si>
  <si>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</si>
  <si>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</si>
  <si>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</si>
  <si>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</si>
  <si>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</si>
  <si>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</si>
  <si>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</si>
  <si>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</si>
  <si>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</si>
  <si>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</si>
  <si>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</si>
  <si>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</si>
  <si>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</si>
  <si>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</si>
  <si>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</si>
  <si>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</si>
  <si>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</si>
  <si>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</si>
  <si>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</si>
  <si>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</si>
  <si>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</si>
  <si>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</si>
  <si>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</si>
  <si>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</si>
  <si>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</si>
  <si>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</si>
  <si>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</si>
  <si>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</si>
  <si>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</si>
  <si>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</si>
  <si>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</si>
  <si>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</si>
  <si>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</si>
  <si>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</si>
  <si>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</si>
  <si>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</si>
  <si>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</si>
  <si>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</si>
  <si>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</si>
  <si>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</si>
  <si>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</si>
  <si>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</si>
  <si>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</si>
  <si>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</si>
  <si>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</si>
  <si>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</si>
  <si>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</si>
  <si>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</si>
  <si>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</si>
  <si>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ALARCON ORTIZ JOSE AURELIO</t>
  </si>
  <si>
    <t>JUAREZ URIBE MICHEL</t>
  </si>
  <si>
    <t>DE JESUS PADILLA ALFREDO</t>
  </si>
  <si>
    <t>SAUCEDO MAGAÑA VICTOR HUGO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</si>
  <si>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</si>
  <si>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</si>
  <si>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</si>
  <si>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</si>
  <si>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</si>
  <si>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</si>
  <si>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</si>
  <si>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</si>
  <si>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</si>
  <si>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</si>
  <si>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</si>
  <si>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</si>
  <si>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</si>
  <si>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</si>
  <si>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</si>
  <si>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</si>
  <si>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MORENO VALERO NORMA</t>
  </si>
  <si>
    <t>HERNANDEZ MARTINEZ EDUARDO RENE</t>
  </si>
  <si>
    <t>LUNA RAMIREZ JAIRO FERNANDO</t>
  </si>
  <si>
    <t>MORANO AVEDAÑO FABIOLA</t>
  </si>
  <si>
    <t>GONZALEZ RODRIGUEZ ERIK</t>
  </si>
  <si>
    <t>HERNANDEZ SOLIS GUMECINDO</t>
  </si>
  <si>
    <t>XX</t>
  </si>
  <si>
    <t>PUEBLA MARTINEZ JOSE ANDRES</t>
  </si>
  <si>
    <t>PAREDES RODRIGUEZ LEOPOLDO DE LA CRUZ</t>
  </si>
  <si>
    <t>JUAREZ MARTINEZ LUIS MIGUEL</t>
  </si>
  <si>
    <t>GONZALEZ SANDOVAL CELENE GUADALUPE</t>
  </si>
  <si>
    <t>BERDEJA LEON FRANCISCO GERARDO</t>
  </si>
  <si>
    <t>PADILLA RUIZ JOSE ANTONIO</t>
  </si>
  <si>
    <t>DESCUENTO CTA 254 POR CONCEPTO DE PRESTAMO</t>
  </si>
  <si>
    <t>BAJA</t>
  </si>
  <si>
    <t>NAVA RUBIO JAVIER ($739)</t>
  </si>
  <si>
    <t>INCAPACIDAD 7 DIAS</t>
  </si>
  <si>
    <t>SUELDO SEMANAL $1,633</t>
  </si>
  <si>
    <t>FLORES VENTURA PAULINA SOLEDAD</t>
  </si>
  <si>
    <t>OLIVAS MANCILLA JESUS SADIEL</t>
  </si>
  <si>
    <t>XXX</t>
  </si>
  <si>
    <t>Periodo Semana 25</t>
  </si>
  <si>
    <t>14/06/17 AL 20/06/17</t>
  </si>
  <si>
    <t>DESCUENTO CTA 254 POR CONCEPTO DE TRAJES 13/24</t>
  </si>
  <si>
    <t>DESCUENTO CTA 254 POR DAÑO A VEHICULO 2/4</t>
  </si>
  <si>
    <t>COACH DE VENTAS SEM</t>
  </si>
  <si>
    <t>NOMBRE</t>
  </si>
  <si>
    <t>CORRECTA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</si>
</sst>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2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3" fontId="6" fillId="7" borderId="7" xfId="2" applyFont="1" applyFill="1" applyBorder="1"/>
    <xf numFmtId="0" fontId="7" fillId="7" borderId="7" xfId="0" applyFont="1" applyFill="1" applyBorder="1"/>
    <xf numFmtId="4" fontId="12" fillId="9" borderId="7" xfId="0" applyNumberFormat="1" applyFont="1" applyFill="1" applyBorder="1" applyAlignment="1">
      <alignment wrapText="1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6" fillId="9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18" fillId="0" borderId="7" xfId="0" applyFont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140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197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198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7" t="s">
        <v>13</v>
      </c>
      <c r="B5" s="117" t="s">
        <v>14</v>
      </c>
      <c r="C5" s="117" t="s">
        <v>77</v>
      </c>
      <c r="D5" s="117" t="s">
        <v>0</v>
      </c>
      <c r="E5" s="119" t="s">
        <v>73</v>
      </c>
      <c r="F5" s="111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11" t="s">
        <v>111</v>
      </c>
      <c r="L5" s="111" t="s">
        <v>86</v>
      </c>
      <c r="M5" s="112" t="s">
        <v>48</v>
      </c>
      <c r="N5" s="112" t="s">
        <v>62</v>
      </c>
      <c r="O5" s="112" t="s">
        <v>61</v>
      </c>
      <c r="P5" s="112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05" t="s">
        <v>3</v>
      </c>
      <c r="W5" s="105" t="s">
        <v>7</v>
      </c>
      <c r="X5" s="105" t="s">
        <v>2</v>
      </c>
      <c r="Y5" s="105" t="s">
        <v>4</v>
      </c>
      <c r="Z5" s="24"/>
      <c r="AA5" s="105" t="s">
        <v>5</v>
      </c>
      <c r="AB5" s="107" t="s">
        <v>92</v>
      </c>
      <c r="AC5" s="108"/>
      <c r="AD5" s="109" t="s">
        <v>50</v>
      </c>
      <c r="AE5" s="103" t="s">
        <v>81</v>
      </c>
      <c r="AF5" s="103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9" customFormat="1" ht="39" customHeight="1">
      <c r="A6" s="118"/>
      <c r="B6" s="118"/>
      <c r="C6" s="118"/>
      <c r="D6" s="118"/>
      <c r="E6" s="120"/>
      <c r="F6" s="116"/>
      <c r="G6" s="111"/>
      <c r="H6" s="111"/>
      <c r="I6" s="111"/>
      <c r="J6" s="111"/>
      <c r="K6" s="114"/>
      <c r="L6" s="114"/>
      <c r="M6" s="113"/>
      <c r="N6" s="113"/>
      <c r="O6" s="113"/>
      <c r="P6" s="113"/>
      <c r="Q6" s="111"/>
      <c r="R6" s="111"/>
      <c r="S6" s="111"/>
      <c r="T6" s="111"/>
      <c r="U6" s="111"/>
      <c r="V6" s="106"/>
      <c r="W6" s="106"/>
      <c r="X6" s="106"/>
      <c r="Y6" s="106"/>
      <c r="Z6" s="76"/>
      <c r="AA6" s="106"/>
      <c r="AB6" s="77" t="s">
        <v>24</v>
      </c>
      <c r="AC6" s="77" t="s">
        <v>25</v>
      </c>
      <c r="AD6" s="109"/>
      <c r="AE6" s="103"/>
      <c r="AF6" s="103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s="18" customFormat="1">
      <c r="A7" s="82" t="s">
        <v>39</v>
      </c>
      <c r="B7" s="34" t="s">
        <v>69</v>
      </c>
      <c r="C7" s="34"/>
      <c r="D7" s="34" t="s">
        <v>29</v>
      </c>
      <c r="E7" s="54">
        <v>42062</v>
      </c>
      <c r="F7" s="35">
        <v>1959.63</v>
      </c>
      <c r="G7" s="35"/>
      <c r="H7" s="35"/>
      <c r="I7" s="49">
        <f t="shared" ref="I7:I67" si="0">SUM(F7:H7)</f>
        <v>1959.63</v>
      </c>
      <c r="J7" s="35"/>
      <c r="K7" s="67"/>
      <c r="L7" s="35"/>
      <c r="M7" s="35">
        <v>0</v>
      </c>
      <c r="N7" s="68"/>
      <c r="O7" s="68"/>
      <c r="P7" s="35"/>
      <c r="Q7" s="33"/>
      <c r="R7" s="33"/>
      <c r="S7" s="34"/>
      <c r="T7" s="34">
        <v>0</v>
      </c>
      <c r="U7" s="49">
        <f t="shared" ref="U7:U27" si="1">+I7-SUM(J7:T7)</f>
        <v>1959.63</v>
      </c>
      <c r="V7" s="33">
        <f t="shared" ref="V7:V27" si="2">IF(I7&gt;2250,I7*0.1,0)</f>
        <v>0</v>
      </c>
      <c r="W7" s="49">
        <f t="shared" ref="W7:W27" si="3">+U7-V7</f>
        <v>1959.63</v>
      </c>
      <c r="X7" s="33">
        <f t="shared" ref="X7:X27" si="4">IF(I7&lt;2250,I7*0.1,0)</f>
        <v>195.96300000000002</v>
      </c>
      <c r="Y7" s="33">
        <v>10.23</v>
      </c>
      <c r="Z7" s="33">
        <f t="shared" ref="Z7:Z27" si="5">+N7</f>
        <v>0</v>
      </c>
      <c r="AA7" s="49">
        <f t="shared" ref="AA7:AA27" si="6">+I7+X7+Y7+Z7</f>
        <v>2165.8230000000003</v>
      </c>
      <c r="AB7" s="56"/>
      <c r="AC7" s="57"/>
      <c r="AD7" s="50">
        <f t="shared" ref="AD7:AD13" si="7">+AB7+AC7-W7</f>
        <v>-1959.63</v>
      </c>
      <c r="AE7" s="36">
        <v>56708844887</v>
      </c>
      <c r="AF7" s="34"/>
      <c r="AG7" s="18" t="s">
        <v>161</v>
      </c>
    </row>
    <row r="8" spans="1:46" s="18" customFormat="1">
      <c r="A8" s="82" t="s">
        <v>28</v>
      </c>
      <c r="B8" s="34" t="s">
        <v>64</v>
      </c>
      <c r="C8" s="34" t="s">
        <v>77</v>
      </c>
      <c r="D8" s="34" t="s">
        <v>31</v>
      </c>
      <c r="E8" s="54">
        <v>41797</v>
      </c>
      <c r="F8" s="35"/>
      <c r="G8" s="35"/>
      <c r="H8" s="35"/>
      <c r="I8" s="49">
        <f t="shared" si="0"/>
        <v>0</v>
      </c>
      <c r="J8" s="35">
        <v>327</v>
      </c>
      <c r="K8" s="67"/>
      <c r="L8" s="67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>+I8-SUM(J8:T8)</f>
        <v>-327</v>
      </c>
      <c r="V8" s="33">
        <f>IF(I8&gt;2250,I8*0.1,0)</f>
        <v>0</v>
      </c>
      <c r="W8" s="49">
        <f>+U8-V8</f>
        <v>-327</v>
      </c>
      <c r="X8" s="33">
        <f>IF(I8&lt;2250,I8*0.1,0)</f>
        <v>0</v>
      </c>
      <c r="Y8" s="33">
        <v>10.23</v>
      </c>
      <c r="Z8" s="33">
        <f>+N8</f>
        <v>0</v>
      </c>
      <c r="AA8" s="49">
        <f>+I8+X8+Y8+Z8</f>
        <v>10.23</v>
      </c>
      <c r="AB8" s="56"/>
      <c r="AC8" s="57"/>
      <c r="AD8" s="50">
        <f>+AB8+AC8-W8</f>
        <v>327</v>
      </c>
      <c r="AE8" s="36">
        <v>56708844890</v>
      </c>
      <c r="AF8" s="36" t="s">
        <v>199</v>
      </c>
      <c r="AG8" s="18" t="s">
        <v>161</v>
      </c>
    </row>
    <row r="9" spans="1:46" s="18" customFormat="1">
      <c r="A9" s="82" t="s">
        <v>39</v>
      </c>
      <c r="B9" s="34" t="s">
        <v>145</v>
      </c>
      <c r="C9" s="34"/>
      <c r="D9" s="34" t="s">
        <v>29</v>
      </c>
      <c r="E9" s="54">
        <v>42725</v>
      </c>
      <c r="F9" s="35">
        <v>1517.9</v>
      </c>
      <c r="G9" s="35"/>
      <c r="H9" s="35"/>
      <c r="I9" s="49">
        <f t="shared" si="0"/>
        <v>1517.9</v>
      </c>
      <c r="J9" s="35"/>
      <c r="K9" s="67"/>
      <c r="L9" s="67"/>
      <c r="M9" s="35"/>
      <c r="N9" s="68"/>
      <c r="O9" s="68"/>
      <c r="P9" s="35"/>
      <c r="Q9" s="33"/>
      <c r="R9" s="33"/>
      <c r="S9" s="34"/>
      <c r="T9" s="34"/>
      <c r="U9" s="49">
        <f t="shared" ref="U9:U10" si="8">+I9-SUM(J9:T9)</f>
        <v>1517.9</v>
      </c>
      <c r="V9" s="33">
        <f t="shared" ref="V9" si="9">IF(I9&gt;2250,I9*0.1,0)</f>
        <v>0</v>
      </c>
      <c r="W9" s="49">
        <f t="shared" ref="W9" si="10">+U9-V9</f>
        <v>1517.9</v>
      </c>
      <c r="X9" s="33"/>
      <c r="Y9" s="33"/>
      <c r="Z9" s="33"/>
      <c r="AA9" s="49"/>
      <c r="AB9" s="56"/>
      <c r="AC9" s="57"/>
      <c r="AD9" s="50"/>
      <c r="AE9" s="36">
        <v>56708519619</v>
      </c>
      <c r="AF9" s="36"/>
      <c r="AG9" s="18" t="s">
        <v>161</v>
      </c>
    </row>
    <row r="10" spans="1:46" s="94" customFormat="1">
      <c r="A10" s="85" t="s">
        <v>28</v>
      </c>
      <c r="B10" s="85" t="s">
        <v>156</v>
      </c>
      <c r="C10" s="85"/>
      <c r="D10" s="85" t="s">
        <v>30</v>
      </c>
      <c r="E10" s="86">
        <v>42796</v>
      </c>
      <c r="F10" s="87">
        <v>10893.33</v>
      </c>
      <c r="G10" s="87"/>
      <c r="H10" s="87"/>
      <c r="I10" s="40">
        <f t="shared" si="0"/>
        <v>10893.33</v>
      </c>
      <c r="J10" s="87"/>
      <c r="K10" s="88"/>
      <c r="L10" s="87"/>
      <c r="M10" s="87"/>
      <c r="N10" s="89"/>
      <c r="O10" s="89"/>
      <c r="P10" s="87"/>
      <c r="Q10" s="90" t="s">
        <v>196</v>
      </c>
      <c r="R10" s="90"/>
      <c r="S10" s="85"/>
      <c r="T10" s="102" t="s">
        <v>196</v>
      </c>
      <c r="U10" s="40">
        <f t="shared" si="8"/>
        <v>10893.33</v>
      </c>
      <c r="V10" s="90"/>
      <c r="W10" s="40"/>
      <c r="X10" s="90"/>
      <c r="Y10" s="90"/>
      <c r="Z10" s="90"/>
      <c r="AA10" s="40"/>
      <c r="AB10" s="91"/>
      <c r="AC10" s="97"/>
      <c r="AD10" s="92"/>
      <c r="AE10" s="93">
        <v>56676948556</v>
      </c>
      <c r="AF10" s="93" t="s">
        <v>190</v>
      </c>
      <c r="AG10" s="94" t="s">
        <v>161</v>
      </c>
    </row>
    <row r="11" spans="1:46" s="18" customFormat="1">
      <c r="A11" s="82" t="s">
        <v>39</v>
      </c>
      <c r="B11" s="34" t="s">
        <v>143</v>
      </c>
      <c r="C11" s="34"/>
      <c r="D11" s="34" t="s">
        <v>108</v>
      </c>
      <c r="E11" s="54">
        <v>42718</v>
      </c>
      <c r="F11" s="35">
        <v>1726.62</v>
      </c>
      <c r="G11" s="35"/>
      <c r="H11" s="35"/>
      <c r="I11" s="49">
        <f t="shared" si="0"/>
        <v>1726.62</v>
      </c>
      <c r="J11" s="35"/>
      <c r="K11" s="67"/>
      <c r="L11" s="67"/>
      <c r="M11" s="35"/>
      <c r="N11" s="68"/>
      <c r="O11" s="68"/>
      <c r="P11" s="35"/>
      <c r="Q11" s="33"/>
      <c r="R11" s="33"/>
      <c r="S11" s="34"/>
      <c r="T11" s="34">
        <v>1900</v>
      </c>
      <c r="U11" s="49">
        <f t="shared" ref="U11" si="11">+I11-SUM(J11:T11)</f>
        <v>-173.38000000000011</v>
      </c>
      <c r="V11" s="33">
        <f t="shared" ref="V11" si="12">IF(I11&gt;2250,I11*0.1,0)</f>
        <v>0</v>
      </c>
      <c r="W11" s="49">
        <f t="shared" ref="W11" si="13">+U11-V11</f>
        <v>-173.38000000000011</v>
      </c>
      <c r="X11" s="33"/>
      <c r="Y11" s="33"/>
      <c r="Z11" s="33"/>
      <c r="AA11" s="49"/>
      <c r="AB11" s="56"/>
      <c r="AC11" s="57"/>
      <c r="AD11" s="50"/>
      <c r="AE11" s="36">
        <v>60590124291</v>
      </c>
      <c r="AF11" s="34"/>
      <c r="AG11" s="18" t="s">
        <v>161</v>
      </c>
    </row>
    <row r="12" spans="1:46" s="18" customFormat="1">
      <c r="A12" s="82" t="s">
        <v>28</v>
      </c>
      <c r="B12" s="34" t="s">
        <v>37</v>
      </c>
      <c r="C12" s="34" t="s">
        <v>77</v>
      </c>
      <c r="D12" s="34" t="s">
        <v>31</v>
      </c>
      <c r="E12" s="54">
        <v>39508</v>
      </c>
      <c r="F12" s="35"/>
      <c r="G12" s="35"/>
      <c r="H12" s="35"/>
      <c r="I12" s="49">
        <f t="shared" si="0"/>
        <v>0</v>
      </c>
      <c r="J12" s="35">
        <v>413.79</v>
      </c>
      <c r="K12" s="67"/>
      <c r="L12" s="35"/>
      <c r="M12" s="35">
        <v>0</v>
      </c>
      <c r="N12" s="68"/>
      <c r="O12" s="68"/>
      <c r="P12" s="35"/>
      <c r="Q12" s="33"/>
      <c r="R12" s="33"/>
      <c r="S12" s="34"/>
      <c r="T12" s="34">
        <v>0</v>
      </c>
      <c r="U12" s="49">
        <f t="shared" si="1"/>
        <v>-413.79</v>
      </c>
      <c r="V12" s="33">
        <f t="shared" si="2"/>
        <v>0</v>
      </c>
      <c r="W12" s="49">
        <f t="shared" si="3"/>
        <v>-413.79</v>
      </c>
      <c r="X12" s="33">
        <f t="shared" si="4"/>
        <v>0</v>
      </c>
      <c r="Y12" s="33">
        <v>10.23</v>
      </c>
      <c r="Z12" s="33">
        <f t="shared" si="5"/>
        <v>0</v>
      </c>
      <c r="AA12" s="49">
        <f t="shared" si="6"/>
        <v>10.23</v>
      </c>
      <c r="AB12" s="56"/>
      <c r="AC12" s="57"/>
      <c r="AD12" s="50">
        <f t="shared" si="7"/>
        <v>413.79</v>
      </c>
      <c r="AE12" s="36">
        <v>56708881292</v>
      </c>
      <c r="AF12" s="36" t="s">
        <v>199</v>
      </c>
      <c r="AG12" s="18" t="s">
        <v>161</v>
      </c>
    </row>
    <row r="13" spans="1:46" s="18" customFormat="1">
      <c r="A13" s="82" t="s">
        <v>28</v>
      </c>
      <c r="B13" s="34" t="s">
        <v>65</v>
      </c>
      <c r="C13" s="34" t="s">
        <v>74</v>
      </c>
      <c r="D13" s="34" t="s">
        <v>30</v>
      </c>
      <c r="E13" s="54">
        <v>42383</v>
      </c>
      <c r="F13" s="35">
        <v>1141.48</v>
      </c>
      <c r="G13" s="35"/>
      <c r="H13" s="35"/>
      <c r="I13" s="49">
        <f t="shared" si="0"/>
        <v>1141.48</v>
      </c>
      <c r="J13" s="35"/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358.34</v>
      </c>
      <c r="U13" s="49">
        <f t="shared" si="1"/>
        <v>783.1400000000001</v>
      </c>
      <c r="V13" s="33">
        <f t="shared" si="2"/>
        <v>0</v>
      </c>
      <c r="W13" s="49">
        <f t="shared" si="3"/>
        <v>783.1400000000001</v>
      </c>
      <c r="X13" s="33">
        <f t="shared" si="4"/>
        <v>114.14800000000001</v>
      </c>
      <c r="Y13" s="33">
        <v>10.23</v>
      </c>
      <c r="Z13" s="33">
        <f t="shared" si="5"/>
        <v>0</v>
      </c>
      <c r="AA13" s="49">
        <f t="shared" si="6"/>
        <v>1265.8579999999999</v>
      </c>
      <c r="AB13" s="56"/>
      <c r="AC13" s="57"/>
      <c r="AD13" s="50">
        <f t="shared" si="7"/>
        <v>-783.1400000000001</v>
      </c>
      <c r="AE13" s="36">
        <v>56708881304</v>
      </c>
      <c r="AF13" s="34"/>
      <c r="AG13" s="18" t="s">
        <v>161</v>
      </c>
    </row>
    <row r="14" spans="1:46" s="18" customFormat="1" ht="15.75">
      <c r="A14" s="82" t="s">
        <v>28</v>
      </c>
      <c r="B14" s="34" t="s">
        <v>187</v>
      </c>
      <c r="C14" s="34"/>
      <c r="D14" s="34" t="s">
        <v>30</v>
      </c>
      <c r="E14" s="54">
        <v>42878</v>
      </c>
      <c r="F14" s="35"/>
      <c r="G14" s="35"/>
      <c r="H14" s="35"/>
      <c r="I14" s="49">
        <f t="shared" si="0"/>
        <v>0</v>
      </c>
      <c r="J14" s="35"/>
      <c r="K14" s="67">
        <v>1</v>
      </c>
      <c r="L14" s="35"/>
      <c r="M14" s="35"/>
      <c r="N14" s="68"/>
      <c r="O14" s="68"/>
      <c r="P14" s="35"/>
      <c r="Q14" s="33"/>
      <c r="R14" s="75">
        <v>0.3</v>
      </c>
      <c r="S14" s="34"/>
      <c r="T14" s="34">
        <v>400</v>
      </c>
      <c r="U14" s="49">
        <f t="shared" si="1"/>
        <v>-401.3</v>
      </c>
      <c r="V14" s="33"/>
      <c r="W14" s="49"/>
      <c r="X14" s="33"/>
      <c r="Y14" s="33"/>
      <c r="Z14" s="33"/>
      <c r="AA14" s="49"/>
      <c r="AB14" s="56"/>
      <c r="AC14" s="57"/>
      <c r="AD14" s="50"/>
      <c r="AE14" s="36">
        <v>53917427816</v>
      </c>
      <c r="AF14" s="34"/>
    </row>
    <row r="15" spans="1:46" s="18" customFormat="1">
      <c r="A15" s="82" t="s">
        <v>28</v>
      </c>
      <c r="B15" s="34" t="s">
        <v>84</v>
      </c>
      <c r="C15" s="34" t="s">
        <v>77</v>
      </c>
      <c r="D15" s="34" t="s">
        <v>31</v>
      </c>
      <c r="E15" s="54">
        <v>39699</v>
      </c>
      <c r="F15" s="35"/>
      <c r="G15" s="35"/>
      <c r="H15" s="35"/>
      <c r="I15" s="49">
        <f t="shared" si="0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1"/>
        <v>-1413.79</v>
      </c>
      <c r="V15" s="33">
        <f t="shared" si="2"/>
        <v>0</v>
      </c>
      <c r="W15" s="49">
        <f t="shared" si="3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7" si="14">+AB15+AC15-W15</f>
        <v>1413.79</v>
      </c>
      <c r="AE15" s="36">
        <v>56708881349</v>
      </c>
      <c r="AF15" s="36" t="s">
        <v>199</v>
      </c>
      <c r="AG15" s="18" t="s">
        <v>161</v>
      </c>
    </row>
    <row r="16" spans="1:46" s="94" customFormat="1">
      <c r="A16" s="85" t="s">
        <v>28</v>
      </c>
      <c r="B16" s="85" t="s">
        <v>155</v>
      </c>
      <c r="C16" s="85"/>
      <c r="D16" s="85" t="s">
        <v>30</v>
      </c>
      <c r="E16" s="86">
        <v>42776</v>
      </c>
      <c r="F16" s="87">
        <v>8857.4500000000007</v>
      </c>
      <c r="G16" s="87"/>
      <c r="H16" s="87"/>
      <c r="I16" s="40">
        <f t="shared" si="0"/>
        <v>8857.4500000000007</v>
      </c>
      <c r="J16" s="87"/>
      <c r="K16" s="88"/>
      <c r="L16" s="87"/>
      <c r="M16" s="87"/>
      <c r="N16" s="89"/>
      <c r="O16" s="89"/>
      <c r="P16" s="87"/>
      <c r="Q16" s="90"/>
      <c r="R16" s="90"/>
      <c r="S16" s="85"/>
      <c r="T16" s="85" t="s">
        <v>196</v>
      </c>
      <c r="U16" s="40">
        <f t="shared" si="1"/>
        <v>8857.4500000000007</v>
      </c>
      <c r="V16" s="90"/>
      <c r="W16" s="40"/>
      <c r="X16" s="90"/>
      <c r="Y16" s="90"/>
      <c r="Z16" s="90"/>
      <c r="AA16" s="40"/>
      <c r="AB16" s="91"/>
      <c r="AC16" s="97"/>
      <c r="AD16" s="92"/>
      <c r="AE16" s="93">
        <v>60589631591</v>
      </c>
      <c r="AF16" s="93" t="s">
        <v>190</v>
      </c>
      <c r="AG16" s="94" t="s">
        <v>161</v>
      </c>
    </row>
    <row r="17" spans="1:34" s="18" customFormat="1">
      <c r="A17" s="82" t="s">
        <v>27</v>
      </c>
      <c r="B17" s="34" t="s">
        <v>72</v>
      </c>
      <c r="C17" s="34" t="s">
        <v>90</v>
      </c>
      <c r="D17" s="34" t="s">
        <v>46</v>
      </c>
      <c r="E17" s="54">
        <v>42332</v>
      </c>
      <c r="F17" s="35">
        <v>6853.98</v>
      </c>
      <c r="G17" s="35"/>
      <c r="H17" s="35"/>
      <c r="I17" s="49">
        <f t="shared" si="0"/>
        <v>6853.98</v>
      </c>
      <c r="J17" s="35"/>
      <c r="K17" s="67"/>
      <c r="L17" s="35"/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1"/>
        <v>6254</v>
      </c>
      <c r="V17" s="33">
        <f t="shared" si="2"/>
        <v>685.39800000000002</v>
      </c>
      <c r="W17" s="49">
        <f t="shared" si="3"/>
        <v>5568.6019999999999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6864.2099999999991</v>
      </c>
      <c r="AB17" s="56"/>
      <c r="AC17" s="57"/>
      <c r="AD17" s="50">
        <f t="shared" si="14"/>
        <v>-5568.6019999999999</v>
      </c>
      <c r="AE17" s="36">
        <v>56708844947</v>
      </c>
      <c r="AF17" s="36"/>
      <c r="AG17" s="18" t="s">
        <v>161</v>
      </c>
    </row>
    <row r="18" spans="1:34" s="18" customFormat="1" ht="15.75">
      <c r="A18" s="82" t="s">
        <v>78</v>
      </c>
      <c r="B18" s="34" t="s">
        <v>57</v>
      </c>
      <c r="C18" s="34"/>
      <c r="D18" s="34" t="s">
        <v>45</v>
      </c>
      <c r="E18" s="54">
        <v>42205</v>
      </c>
      <c r="F18" s="70"/>
      <c r="G18" s="35"/>
      <c r="H18" s="35"/>
      <c r="I18" s="49">
        <f t="shared" si="0"/>
        <v>0</v>
      </c>
      <c r="J18" s="35"/>
      <c r="K18" s="67"/>
      <c r="L18" s="35"/>
      <c r="M18" s="35">
        <v>300</v>
      </c>
      <c r="N18" s="68"/>
      <c r="O18" s="68"/>
      <c r="P18" s="35"/>
      <c r="Q18" s="33"/>
      <c r="R18" s="75">
        <v>0.3</v>
      </c>
      <c r="S18" s="34"/>
      <c r="T18" s="34">
        <v>0</v>
      </c>
      <c r="U18" s="49">
        <f t="shared" si="1"/>
        <v>-300.3</v>
      </c>
      <c r="V18" s="33">
        <f t="shared" si="2"/>
        <v>0</v>
      </c>
      <c r="W18" s="49">
        <f t="shared" si="3"/>
        <v>-300.3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6"/>
      <c r="AD18" s="50">
        <f t="shared" ref="AD18" si="15">+AB18+AC18-W18</f>
        <v>300.3</v>
      </c>
      <c r="AE18" s="36">
        <v>56708844950</v>
      </c>
      <c r="AF18" s="34"/>
      <c r="AG18" s="18" t="s">
        <v>161</v>
      </c>
    </row>
    <row r="19" spans="1:34" s="18" customFormat="1">
      <c r="A19" s="82" t="s">
        <v>78</v>
      </c>
      <c r="B19" s="34" t="s">
        <v>102</v>
      </c>
      <c r="C19" s="34"/>
      <c r="D19" s="34" t="s">
        <v>45</v>
      </c>
      <c r="E19" s="54">
        <v>42476</v>
      </c>
      <c r="F19" s="35"/>
      <c r="G19" s="35"/>
      <c r="H19" s="35"/>
      <c r="I19" s="49">
        <f t="shared" si="0"/>
        <v>0</v>
      </c>
      <c r="J19" s="35"/>
      <c r="K19" s="67"/>
      <c r="L19" s="35"/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1"/>
        <v>0</v>
      </c>
      <c r="V19" s="34">
        <f t="shared" ref="V19" si="16">IF(I19&gt;2250,I19*0.1,0)</f>
        <v>0</v>
      </c>
      <c r="W19" s="34">
        <f t="shared" ref="W19" si="17">+U19-V19</f>
        <v>0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6"/>
      <c r="AD19" s="50">
        <f>+AB19+AC19-W20</f>
        <v>-1050.3</v>
      </c>
      <c r="AE19" s="80">
        <v>56708844964</v>
      </c>
      <c r="AF19" s="36"/>
      <c r="AG19" s="18" t="s">
        <v>161</v>
      </c>
    </row>
    <row r="20" spans="1:34" s="18" customFormat="1">
      <c r="A20" s="82" t="s">
        <v>39</v>
      </c>
      <c r="B20" s="34" t="s">
        <v>147</v>
      </c>
      <c r="C20" s="34"/>
      <c r="D20" s="34" t="s">
        <v>29</v>
      </c>
      <c r="E20" s="54">
        <v>42740</v>
      </c>
      <c r="F20" s="35">
        <v>1711.75</v>
      </c>
      <c r="G20" s="35"/>
      <c r="H20" s="35"/>
      <c r="I20" s="49">
        <f t="shared" si="0"/>
        <v>1711.75</v>
      </c>
      <c r="J20" s="35"/>
      <c r="K20" s="67">
        <v>1</v>
      </c>
      <c r="L20" s="35"/>
      <c r="M20" s="35"/>
      <c r="N20" s="68"/>
      <c r="O20" s="68"/>
      <c r="P20" s="35"/>
      <c r="Q20" s="33"/>
      <c r="R20" s="33"/>
      <c r="S20" s="34"/>
      <c r="T20" s="34">
        <v>660.45</v>
      </c>
      <c r="U20" s="49">
        <f t="shared" si="1"/>
        <v>1050.3</v>
      </c>
      <c r="V20" s="34">
        <f>IF(I19&gt;2250,I19*0.1,0)</f>
        <v>0</v>
      </c>
      <c r="W20" s="34">
        <f>+U20-V20</f>
        <v>1050.3</v>
      </c>
      <c r="X20" s="33"/>
      <c r="Y20" s="33"/>
      <c r="Z20" s="33"/>
      <c r="AA20" s="49"/>
      <c r="AB20" s="56"/>
      <c r="AC20" s="56"/>
      <c r="AD20" s="50"/>
      <c r="AE20" s="80" t="s">
        <v>164</v>
      </c>
      <c r="AF20" s="36"/>
      <c r="AG20" s="18" t="s">
        <v>162</v>
      </c>
    </row>
    <row r="21" spans="1:34" s="18" customFormat="1">
      <c r="A21" s="98" t="s">
        <v>28</v>
      </c>
      <c r="B21" s="98" t="s">
        <v>194</v>
      </c>
      <c r="C21" s="98"/>
      <c r="D21" s="98" t="s">
        <v>30</v>
      </c>
      <c r="E21" s="99">
        <v>42899</v>
      </c>
      <c r="F21" s="100"/>
      <c r="G21" s="100"/>
      <c r="H21" s="100"/>
      <c r="I21" s="49">
        <f t="shared" si="0"/>
        <v>0</v>
      </c>
      <c r="J21" s="35"/>
      <c r="K21" s="67"/>
      <c r="L21" s="35"/>
      <c r="M21" s="35"/>
      <c r="N21" s="68"/>
      <c r="O21" s="68"/>
      <c r="P21" s="35"/>
      <c r="Q21" s="33"/>
      <c r="R21" s="33"/>
      <c r="S21" s="34"/>
      <c r="T21" s="34"/>
      <c r="U21" s="49">
        <f t="shared" si="1"/>
        <v>0</v>
      </c>
      <c r="V21" s="34"/>
      <c r="W21" s="34"/>
      <c r="X21" s="33"/>
      <c r="Y21" s="33"/>
      <c r="Z21" s="33"/>
      <c r="AA21" s="49"/>
      <c r="AB21" s="56"/>
      <c r="AC21" s="56"/>
      <c r="AD21" s="50"/>
      <c r="AE21" s="101">
        <v>60592030048</v>
      </c>
      <c r="AF21" s="101"/>
    </row>
    <row r="22" spans="1:34" s="18" customFormat="1">
      <c r="A22" s="82" t="s">
        <v>39</v>
      </c>
      <c r="B22" s="34" t="s">
        <v>109</v>
      </c>
      <c r="C22" s="34"/>
      <c r="D22" s="34" t="s">
        <v>108</v>
      </c>
      <c r="E22" s="54">
        <v>42514</v>
      </c>
      <c r="F22" s="35">
        <v>1743.48</v>
      </c>
      <c r="G22" s="35"/>
      <c r="H22" s="35"/>
      <c r="I22" s="49">
        <f t="shared" si="0"/>
        <v>1743.48</v>
      </c>
      <c r="J22" s="35"/>
      <c r="K22" s="67"/>
      <c r="L22" s="35"/>
      <c r="M22" s="35">
        <v>0</v>
      </c>
      <c r="N22" s="68"/>
      <c r="O22" s="68"/>
      <c r="P22" s="35"/>
      <c r="Q22" s="33"/>
      <c r="R22" s="33"/>
      <c r="S22" s="34"/>
      <c r="T22" s="34">
        <v>0</v>
      </c>
      <c r="U22" s="49">
        <f t="shared" si="1"/>
        <v>1743.48</v>
      </c>
      <c r="V22" s="33">
        <f t="shared" si="2"/>
        <v>0</v>
      </c>
      <c r="W22" s="49">
        <f t="shared" si="3"/>
        <v>1743.48</v>
      </c>
      <c r="X22" s="33">
        <f t="shared" si="4"/>
        <v>174.34800000000001</v>
      </c>
      <c r="Y22" s="33">
        <v>11.23</v>
      </c>
      <c r="Z22" s="33">
        <f t="shared" si="5"/>
        <v>0</v>
      </c>
      <c r="AA22" s="49">
        <f t="shared" si="6"/>
        <v>1929.058</v>
      </c>
      <c r="AB22" s="56"/>
      <c r="AC22" s="57"/>
      <c r="AD22" s="50"/>
      <c r="AE22" s="36">
        <v>56708844978</v>
      </c>
      <c r="AF22" s="36"/>
      <c r="AG22" s="18" t="s">
        <v>161</v>
      </c>
    </row>
    <row r="23" spans="1:34" s="18" customFormat="1">
      <c r="A23" s="82" t="s">
        <v>28</v>
      </c>
      <c r="B23" s="34" t="s">
        <v>132</v>
      </c>
      <c r="C23" s="34"/>
      <c r="D23" s="34" t="s">
        <v>133</v>
      </c>
      <c r="E23" s="54">
        <v>41359</v>
      </c>
      <c r="F23" s="35"/>
      <c r="G23" s="35"/>
      <c r="H23" s="35"/>
      <c r="I23" s="49">
        <f t="shared" si="0"/>
        <v>0</v>
      </c>
      <c r="J23" s="35">
        <v>413.79</v>
      </c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ref="U23" si="18">+I23-SUM(J23:T23)</f>
        <v>-413.79</v>
      </c>
      <c r="V23" s="33">
        <f t="shared" ref="V23" si="19">IF(I23&gt;2250,I23*0.1,0)</f>
        <v>0</v>
      </c>
      <c r="W23" s="49">
        <f t="shared" ref="W23" si="20">+U23-V23</f>
        <v>-413.79</v>
      </c>
      <c r="X23" s="33"/>
      <c r="Y23" s="33"/>
      <c r="Z23" s="33"/>
      <c r="AA23" s="49"/>
      <c r="AB23" s="56"/>
      <c r="AC23" s="57"/>
      <c r="AD23" s="50"/>
      <c r="AE23" s="36">
        <v>56708881383</v>
      </c>
      <c r="AF23" s="36" t="s">
        <v>199</v>
      </c>
      <c r="AG23" s="18" t="s">
        <v>161</v>
      </c>
    </row>
    <row r="24" spans="1:34" s="18" customFormat="1">
      <c r="A24" s="82" t="s">
        <v>28</v>
      </c>
      <c r="B24" s="34" t="s">
        <v>180</v>
      </c>
      <c r="C24" s="34"/>
      <c r="D24" s="34" t="s">
        <v>30</v>
      </c>
      <c r="E24" s="54">
        <v>42798</v>
      </c>
      <c r="F24" s="35"/>
      <c r="G24" s="35"/>
      <c r="H24" s="35"/>
      <c r="I24" s="49">
        <f t="shared" si="0"/>
        <v>0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>
        <v>300</v>
      </c>
      <c r="U24" s="49">
        <f t="shared" ref="U24:U26" si="21">+I24-SUM(J24:T24)</f>
        <v>-300</v>
      </c>
      <c r="V24" s="33"/>
      <c r="W24" s="49"/>
      <c r="X24" s="33"/>
      <c r="Y24" s="33"/>
      <c r="Z24" s="33"/>
      <c r="AA24" s="49"/>
      <c r="AB24" s="56"/>
      <c r="AC24" s="57"/>
      <c r="AD24" s="50"/>
      <c r="AE24" s="36">
        <v>1129000062</v>
      </c>
      <c r="AF24" s="34"/>
      <c r="AG24" s="18" t="s">
        <v>163</v>
      </c>
      <c r="AH24" s="18" t="s">
        <v>173</v>
      </c>
    </row>
    <row r="25" spans="1:34" s="18" customFormat="1">
      <c r="A25" s="82" t="s">
        <v>28</v>
      </c>
      <c r="B25" s="34" t="s">
        <v>186</v>
      </c>
      <c r="C25" s="34"/>
      <c r="D25" s="34" t="s">
        <v>30</v>
      </c>
      <c r="E25" s="54">
        <v>42884</v>
      </c>
      <c r="F25" s="35"/>
      <c r="G25" s="35"/>
      <c r="H25" s="35"/>
      <c r="I25" s="49">
        <f t="shared" si="0"/>
        <v>0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si="21"/>
        <v>0</v>
      </c>
      <c r="V25" s="33"/>
      <c r="W25" s="49"/>
      <c r="X25" s="33"/>
      <c r="Y25" s="33"/>
      <c r="Z25" s="33"/>
      <c r="AA25" s="49"/>
      <c r="AB25" s="56"/>
      <c r="AC25" s="57"/>
      <c r="AD25" s="50"/>
      <c r="AE25" s="36">
        <v>60591846598</v>
      </c>
      <c r="AF25" s="34"/>
    </row>
    <row r="26" spans="1:34" s="18" customFormat="1">
      <c r="A26" s="82" t="s">
        <v>28</v>
      </c>
      <c r="B26" s="34" t="s">
        <v>101</v>
      </c>
      <c r="C26" s="34" t="s">
        <v>74</v>
      </c>
      <c r="D26" s="34" t="s">
        <v>30</v>
      </c>
      <c r="E26" s="54">
        <v>42413</v>
      </c>
      <c r="F26" s="35">
        <v>7243.57</v>
      </c>
      <c r="G26" s="35"/>
      <c r="H26" s="35"/>
      <c r="I26" s="49">
        <f t="shared" si="0"/>
        <v>7243.57</v>
      </c>
      <c r="J26" s="35"/>
      <c r="K26" s="67"/>
      <c r="L26" s="35"/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21"/>
        <v>7243.57</v>
      </c>
      <c r="V26" s="33">
        <f t="shared" si="2"/>
        <v>724.35699999999997</v>
      </c>
      <c r="W26" s="49">
        <f t="shared" si="3"/>
        <v>6519.2129999999997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7256.7999999999993</v>
      </c>
      <c r="AB26" s="56"/>
      <c r="AC26" s="57"/>
      <c r="AD26" s="50">
        <f>+AB26+AC26-W26</f>
        <v>-6519.2129999999997</v>
      </c>
      <c r="AE26" s="36">
        <v>60590329504</v>
      </c>
      <c r="AF26" s="36"/>
      <c r="AG26" s="18" t="s">
        <v>161</v>
      </c>
    </row>
    <row r="27" spans="1:34" s="18" customFormat="1">
      <c r="A27" s="82" t="s">
        <v>28</v>
      </c>
      <c r="B27" s="34" t="s">
        <v>112</v>
      </c>
      <c r="C27" s="34"/>
      <c r="D27" s="34" t="s">
        <v>30</v>
      </c>
      <c r="E27" s="54">
        <v>42532</v>
      </c>
      <c r="F27" s="35">
        <v>3890.27</v>
      </c>
      <c r="G27" s="35"/>
      <c r="H27" s="35"/>
      <c r="I27" s="49">
        <f t="shared" si="0"/>
        <v>3890.27</v>
      </c>
      <c r="J27" s="35"/>
      <c r="K27" s="67"/>
      <c r="L27" s="35"/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1"/>
        <v>3890.27</v>
      </c>
      <c r="V27" s="33">
        <f t="shared" si="2"/>
        <v>389.02700000000004</v>
      </c>
      <c r="W27" s="49">
        <f t="shared" si="3"/>
        <v>3501.2429999999999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3903.5</v>
      </c>
      <c r="AB27" s="56"/>
      <c r="AC27" s="57"/>
      <c r="AD27" s="50">
        <f>+AB27+AC27-W27</f>
        <v>-3501.2429999999999</v>
      </c>
      <c r="AE27" s="36">
        <v>56708881426</v>
      </c>
      <c r="AF27" s="36"/>
      <c r="AG27" s="18" t="s">
        <v>161</v>
      </c>
    </row>
    <row r="28" spans="1:34" s="18" customFormat="1">
      <c r="A28" s="82" t="s">
        <v>28</v>
      </c>
      <c r="B28" s="34" t="s">
        <v>107</v>
      </c>
      <c r="C28" s="34"/>
      <c r="D28" s="34" t="s">
        <v>120</v>
      </c>
      <c r="E28" s="54">
        <v>42480</v>
      </c>
      <c r="F28" s="35"/>
      <c r="G28" s="35"/>
      <c r="H28" s="35"/>
      <c r="I28" s="49">
        <f t="shared" si="0"/>
        <v>0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ref="U28:U49" si="22">+I28-SUM(J28:T28)</f>
        <v>0</v>
      </c>
      <c r="V28" s="33">
        <f t="shared" ref="V28:V49" si="23">IF(I28&gt;2250,I28*0.1,0)</f>
        <v>0</v>
      </c>
      <c r="W28" s="49">
        <f t="shared" ref="W28:W49" si="24">+U28-V28</f>
        <v>0</v>
      </c>
      <c r="X28" s="33">
        <f t="shared" ref="X28:X49" si="25">IF(I28&lt;2250,I28*0.1,0)</f>
        <v>0</v>
      </c>
      <c r="Y28" s="33">
        <v>17.23</v>
      </c>
      <c r="Z28" s="33">
        <f t="shared" ref="Z28:Z49" si="26">+N28</f>
        <v>0</v>
      </c>
      <c r="AA28" s="49">
        <f t="shared" ref="AA28:AA49" si="27">+I28+X28+Y28+Z28</f>
        <v>17.23</v>
      </c>
      <c r="AB28" s="56"/>
      <c r="AC28" s="57"/>
      <c r="AD28" s="50">
        <f>+AB28+AC28-W28</f>
        <v>0</v>
      </c>
      <c r="AE28" s="36">
        <v>56708845010</v>
      </c>
      <c r="AF28" s="36"/>
      <c r="AG28" s="18" t="s">
        <v>161</v>
      </c>
    </row>
    <row r="29" spans="1:34" s="18" customFormat="1">
      <c r="A29" s="82" t="s">
        <v>28</v>
      </c>
      <c r="B29" s="34" t="s">
        <v>75</v>
      </c>
      <c r="C29" s="34" t="s">
        <v>74</v>
      </c>
      <c r="D29" s="34" t="s">
        <v>30</v>
      </c>
      <c r="E29" s="54">
        <v>42240</v>
      </c>
      <c r="F29" s="35">
        <v>1250.75</v>
      </c>
      <c r="G29" s="35"/>
      <c r="H29" s="35"/>
      <c r="I29" s="49">
        <f t="shared" si="0"/>
        <v>1250.75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22"/>
        <v>1250.75</v>
      </c>
      <c r="V29" s="33">
        <f t="shared" si="23"/>
        <v>0</v>
      </c>
      <c r="W29" s="49">
        <f t="shared" si="24"/>
        <v>1250.75</v>
      </c>
      <c r="X29" s="33">
        <f t="shared" si="25"/>
        <v>125.075</v>
      </c>
      <c r="Y29" s="33">
        <v>18.23</v>
      </c>
      <c r="Z29" s="33">
        <f t="shared" si="26"/>
        <v>0</v>
      </c>
      <c r="AA29" s="49">
        <f t="shared" si="27"/>
        <v>1394.0550000000001</v>
      </c>
      <c r="AB29" s="58"/>
      <c r="AC29" s="58"/>
      <c r="AD29" s="50">
        <f>+AB29+AC29-W29</f>
        <v>-1250.75</v>
      </c>
      <c r="AE29" s="36">
        <v>56708845024</v>
      </c>
      <c r="AF29" s="36"/>
      <c r="AG29" s="18" t="s">
        <v>161</v>
      </c>
    </row>
    <row r="30" spans="1:34" s="18" customFormat="1">
      <c r="A30" s="82" t="s">
        <v>41</v>
      </c>
      <c r="B30" s="34" t="s">
        <v>167</v>
      </c>
      <c r="C30" s="34"/>
      <c r="D30" s="34" t="s">
        <v>45</v>
      </c>
      <c r="E30" s="54">
        <v>42826</v>
      </c>
      <c r="F30" s="70"/>
      <c r="G30" s="35"/>
      <c r="H30" s="35"/>
      <c r="I30" s="49">
        <f t="shared" si="0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/>
      <c r="V30" s="33">
        <f t="shared" si="23"/>
        <v>0</v>
      </c>
      <c r="W30" s="49"/>
      <c r="X30" s="33">
        <f t="shared" si="25"/>
        <v>0</v>
      </c>
      <c r="Y30" s="33"/>
      <c r="Z30" s="33"/>
      <c r="AA30" s="49"/>
      <c r="AB30" s="58"/>
      <c r="AC30" s="58"/>
      <c r="AD30" s="50"/>
      <c r="AE30" s="36">
        <v>60590035118</v>
      </c>
      <c r="AF30" s="36"/>
      <c r="AG30" s="18" t="s">
        <v>161</v>
      </c>
    </row>
    <row r="31" spans="1:34" s="18" customFormat="1">
      <c r="A31" s="82" t="s">
        <v>28</v>
      </c>
      <c r="B31" s="34" t="s">
        <v>137</v>
      </c>
      <c r="C31" s="34"/>
      <c r="D31" s="34" t="s">
        <v>30</v>
      </c>
      <c r="E31" s="54">
        <v>42415</v>
      </c>
      <c r="F31" s="35">
        <v>1924.35</v>
      </c>
      <c r="G31" s="35"/>
      <c r="H31" s="35"/>
      <c r="I31" s="49">
        <f t="shared" si="0"/>
        <v>1924.35</v>
      </c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>
        <f t="shared" ref="U31" si="28">+I31-SUM(J31:T31)</f>
        <v>1924.35</v>
      </c>
      <c r="V31" s="33">
        <f t="shared" ref="V31" si="29">IF(I31&gt;2250,I31*0.1,0)</f>
        <v>0</v>
      </c>
      <c r="W31" s="49">
        <f t="shared" ref="W31" si="30">+U31-V31</f>
        <v>1924.35</v>
      </c>
      <c r="X31" s="33"/>
      <c r="Y31" s="33"/>
      <c r="Z31" s="33"/>
      <c r="AA31" s="49"/>
      <c r="AB31" s="58"/>
      <c r="AC31" s="58"/>
      <c r="AD31" s="50"/>
      <c r="AE31" s="36">
        <v>56708881656</v>
      </c>
      <c r="AF31" s="36"/>
      <c r="AG31" s="18" t="s">
        <v>161</v>
      </c>
    </row>
    <row r="32" spans="1:34" s="18" customFormat="1">
      <c r="A32" s="82" t="s">
        <v>28</v>
      </c>
      <c r="B32" s="34" t="s">
        <v>181</v>
      </c>
      <c r="C32" s="34" t="s">
        <v>76</v>
      </c>
      <c r="D32" s="34" t="s">
        <v>30</v>
      </c>
      <c r="E32" s="54">
        <v>41463</v>
      </c>
      <c r="F32" s="35">
        <v>10209.94</v>
      </c>
      <c r="G32" s="35"/>
      <c r="H32" s="35"/>
      <c r="I32" s="49">
        <f t="shared" si="0"/>
        <v>10209.94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2"/>
        <v>10209.94</v>
      </c>
      <c r="V32" s="33">
        <f t="shared" si="23"/>
        <v>1020.9940000000001</v>
      </c>
      <c r="W32" s="49">
        <f t="shared" si="24"/>
        <v>9188.9459999999999</v>
      </c>
      <c r="X32" s="33">
        <f t="shared" si="25"/>
        <v>0</v>
      </c>
      <c r="Y32" s="33">
        <v>20.23</v>
      </c>
      <c r="Z32" s="33">
        <f t="shared" si="26"/>
        <v>0</v>
      </c>
      <c r="AA32" s="49">
        <f t="shared" si="27"/>
        <v>10230.17</v>
      </c>
      <c r="AB32" s="56"/>
      <c r="AC32" s="57"/>
      <c r="AD32" s="50">
        <f>+AB32+AC32-W32</f>
        <v>-9188.9459999999999</v>
      </c>
      <c r="AE32" s="36">
        <v>56708881457</v>
      </c>
      <c r="AF32" s="34"/>
      <c r="AG32" s="18" t="s">
        <v>161</v>
      </c>
    </row>
    <row r="33" spans="1:33" s="18" customFormat="1">
      <c r="A33" s="82" t="s">
        <v>26</v>
      </c>
      <c r="B33" s="34" t="s">
        <v>170</v>
      </c>
      <c r="C33" s="34"/>
      <c r="D33" s="34" t="s">
        <v>108</v>
      </c>
      <c r="E33" s="59">
        <v>40618</v>
      </c>
      <c r="F33" s="35">
        <v>3033.42</v>
      </c>
      <c r="G33" s="35"/>
      <c r="H33" s="35"/>
      <c r="I33" s="49">
        <f t="shared" si="0"/>
        <v>3033.42</v>
      </c>
      <c r="J33" s="35"/>
      <c r="K33" s="67"/>
      <c r="L33" s="35"/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2"/>
        <v>3033.42</v>
      </c>
      <c r="V33" s="33">
        <f t="shared" si="23"/>
        <v>303.34200000000004</v>
      </c>
      <c r="W33" s="49">
        <f t="shared" si="24"/>
        <v>2730.078</v>
      </c>
      <c r="X33" s="33">
        <f t="shared" si="25"/>
        <v>0</v>
      </c>
      <c r="Y33" s="33">
        <v>21.23</v>
      </c>
      <c r="Z33" s="33">
        <f t="shared" si="26"/>
        <v>0</v>
      </c>
      <c r="AA33" s="49">
        <f t="shared" si="27"/>
        <v>3054.65</v>
      </c>
      <c r="AB33" s="56"/>
      <c r="AC33" s="57"/>
      <c r="AD33" s="50"/>
      <c r="AE33" s="36">
        <v>56708845038</v>
      </c>
      <c r="AF33" s="36"/>
      <c r="AG33" s="18" t="s">
        <v>161</v>
      </c>
    </row>
    <row r="34" spans="1:33" s="18" customFormat="1">
      <c r="A34" s="82" t="s">
        <v>28</v>
      </c>
      <c r="B34" s="34" t="s">
        <v>100</v>
      </c>
      <c r="C34" s="34" t="s">
        <v>79</v>
      </c>
      <c r="D34" s="34" t="s">
        <v>30</v>
      </c>
      <c r="E34" s="54">
        <v>42296</v>
      </c>
      <c r="F34" s="35">
        <v>1424.55</v>
      </c>
      <c r="G34" s="35"/>
      <c r="H34" s="35"/>
      <c r="I34" s="49">
        <f t="shared" si="0"/>
        <v>1424.55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802.69</v>
      </c>
      <c r="U34" s="49">
        <f t="shared" si="22"/>
        <v>621.8599999999999</v>
      </c>
      <c r="V34" s="33">
        <f t="shared" si="23"/>
        <v>0</v>
      </c>
      <c r="W34" s="49">
        <f t="shared" si="24"/>
        <v>621.8599999999999</v>
      </c>
      <c r="X34" s="33">
        <f t="shared" si="25"/>
        <v>142.45500000000001</v>
      </c>
      <c r="Y34" s="33">
        <v>10.23</v>
      </c>
      <c r="Z34" s="33">
        <f t="shared" si="26"/>
        <v>0</v>
      </c>
      <c r="AA34" s="49">
        <f t="shared" si="27"/>
        <v>1577.2349999999999</v>
      </c>
      <c r="AB34" s="56"/>
      <c r="AC34" s="57"/>
      <c r="AD34" s="50">
        <f>+AB34+AC34-W34</f>
        <v>-621.8599999999999</v>
      </c>
      <c r="AE34" s="36">
        <v>56708881460</v>
      </c>
      <c r="AF34" s="36"/>
      <c r="AG34" s="18" t="s">
        <v>161</v>
      </c>
    </row>
    <row r="35" spans="1:33" s="18" customFormat="1">
      <c r="A35" s="82" t="s">
        <v>27</v>
      </c>
      <c r="B35" s="34" t="s">
        <v>36</v>
      </c>
      <c r="C35" s="34" t="s">
        <v>90</v>
      </c>
      <c r="D35" s="34" t="s">
        <v>46</v>
      </c>
      <c r="E35" s="54">
        <v>42199</v>
      </c>
      <c r="F35" s="35">
        <v>11260.1</v>
      </c>
      <c r="G35" s="35"/>
      <c r="H35" s="35"/>
      <c r="I35" s="49">
        <f t="shared" si="0"/>
        <v>11260.1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2"/>
        <v>11260.1</v>
      </c>
      <c r="V35" s="33">
        <f t="shared" si="23"/>
        <v>1126.01</v>
      </c>
      <c r="W35" s="49">
        <f t="shared" si="24"/>
        <v>10134.09</v>
      </c>
      <c r="X35" s="33">
        <f t="shared" si="25"/>
        <v>0</v>
      </c>
      <c r="Y35" s="33">
        <v>10.23</v>
      </c>
      <c r="Z35" s="33">
        <f t="shared" si="26"/>
        <v>0</v>
      </c>
      <c r="AA35" s="49">
        <f t="shared" si="27"/>
        <v>11270.33</v>
      </c>
      <c r="AB35" s="56"/>
      <c r="AC35" s="57"/>
      <c r="AD35" s="50">
        <f>+AB35+AC35-W35</f>
        <v>-10134.09</v>
      </c>
      <c r="AE35" s="36">
        <v>56708881474</v>
      </c>
      <c r="AF35" s="34"/>
      <c r="AG35" s="18" t="s">
        <v>161</v>
      </c>
    </row>
    <row r="36" spans="1:33" s="18" customFormat="1">
      <c r="A36" s="82" t="s">
        <v>28</v>
      </c>
      <c r="B36" s="34" t="s">
        <v>80</v>
      </c>
      <c r="C36" s="34" t="s">
        <v>79</v>
      </c>
      <c r="D36" s="34" t="s">
        <v>30</v>
      </c>
      <c r="E36" s="54">
        <v>42304</v>
      </c>
      <c r="F36" s="35">
        <v>21413.9</v>
      </c>
      <c r="G36" s="35"/>
      <c r="H36" s="35"/>
      <c r="I36" s="49">
        <f t="shared" si="0"/>
        <v>21413.9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2"/>
        <v>21413.9</v>
      </c>
      <c r="V36" s="33">
        <f t="shared" si="23"/>
        <v>2141.3900000000003</v>
      </c>
      <c r="W36" s="49">
        <f t="shared" si="24"/>
        <v>19272.510000000002</v>
      </c>
      <c r="X36" s="33">
        <f t="shared" si="25"/>
        <v>0</v>
      </c>
      <c r="Y36" s="33">
        <v>10.23</v>
      </c>
      <c r="Z36" s="33">
        <f t="shared" si="26"/>
        <v>0</v>
      </c>
      <c r="AA36" s="49">
        <f t="shared" si="27"/>
        <v>21424.13</v>
      </c>
      <c r="AB36" s="50"/>
      <c r="AC36" s="50"/>
      <c r="AD36" s="50"/>
      <c r="AE36" s="36">
        <v>56708845069</v>
      </c>
      <c r="AF36" s="36"/>
      <c r="AG36" s="18" t="s">
        <v>161</v>
      </c>
    </row>
    <row r="37" spans="1:33" s="18" customFormat="1">
      <c r="A37" s="82" t="s">
        <v>27</v>
      </c>
      <c r="B37" s="34" t="s">
        <v>115</v>
      </c>
      <c r="C37" s="34"/>
      <c r="D37" s="34" t="s">
        <v>46</v>
      </c>
      <c r="E37" s="54">
        <v>42576</v>
      </c>
      <c r="F37" s="35">
        <v>12800</v>
      </c>
      <c r="G37" s="35"/>
      <c r="H37" s="35"/>
      <c r="I37" s="49">
        <f t="shared" si="0"/>
        <v>12800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2"/>
        <v>12800</v>
      </c>
      <c r="V37" s="33">
        <f t="shared" si="23"/>
        <v>1280</v>
      </c>
      <c r="W37" s="49">
        <f t="shared" si="24"/>
        <v>11520</v>
      </c>
      <c r="X37" s="33">
        <f t="shared" si="25"/>
        <v>0</v>
      </c>
      <c r="Y37" s="33">
        <v>11.23</v>
      </c>
      <c r="Z37" s="33">
        <f t="shared" si="26"/>
        <v>0</v>
      </c>
      <c r="AA37" s="49">
        <f t="shared" si="27"/>
        <v>12811.23</v>
      </c>
      <c r="AB37" s="52"/>
      <c r="AC37" s="52"/>
      <c r="AD37" s="52"/>
      <c r="AE37" s="36">
        <v>56708845072</v>
      </c>
      <c r="AF37" s="36"/>
      <c r="AG37" s="18" t="s">
        <v>161</v>
      </c>
    </row>
    <row r="38" spans="1:33" s="18" customFormat="1">
      <c r="A38" s="82" t="s">
        <v>28</v>
      </c>
      <c r="B38" s="34" t="s">
        <v>97</v>
      </c>
      <c r="C38" s="34" t="s">
        <v>79</v>
      </c>
      <c r="D38" s="34" t="s">
        <v>30</v>
      </c>
      <c r="E38" s="54">
        <v>41622</v>
      </c>
      <c r="F38" s="35">
        <v>1000</v>
      </c>
      <c r="G38" s="35"/>
      <c r="H38" s="35"/>
      <c r="I38" s="49">
        <f t="shared" si="0"/>
        <v>1000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2"/>
        <v>1000</v>
      </c>
      <c r="V38" s="33">
        <f t="shared" si="23"/>
        <v>0</v>
      </c>
      <c r="W38" s="49">
        <f t="shared" si="24"/>
        <v>1000</v>
      </c>
      <c r="X38" s="33">
        <f t="shared" si="25"/>
        <v>100</v>
      </c>
      <c r="Y38" s="33">
        <v>10.23</v>
      </c>
      <c r="Z38" s="33">
        <f t="shared" si="26"/>
        <v>0</v>
      </c>
      <c r="AA38" s="49">
        <f t="shared" si="27"/>
        <v>1110.23</v>
      </c>
      <c r="AB38" s="56"/>
      <c r="AC38" s="56"/>
      <c r="AD38" s="50">
        <f t="shared" ref="AD38:AD40" si="31">+AB38+AC38-W38</f>
        <v>-1000</v>
      </c>
      <c r="AE38" s="36">
        <v>56708881491</v>
      </c>
      <c r="AF38" s="34"/>
      <c r="AG38" s="18" t="s">
        <v>161</v>
      </c>
    </row>
    <row r="39" spans="1:33" s="18" customFormat="1">
      <c r="A39" s="82" t="s">
        <v>28</v>
      </c>
      <c r="B39" s="34" t="s">
        <v>166</v>
      </c>
      <c r="C39" s="34"/>
      <c r="D39" s="34" t="s">
        <v>30</v>
      </c>
      <c r="E39" s="54">
        <v>42828</v>
      </c>
      <c r="F39" s="35">
        <v>250.16</v>
      </c>
      <c r="G39" s="35"/>
      <c r="H39" s="35"/>
      <c r="I39" s="49">
        <f t="shared" si="0"/>
        <v>250.16</v>
      </c>
      <c r="J39" s="35"/>
      <c r="K39" s="67"/>
      <c r="L39" s="35"/>
      <c r="M39" s="35"/>
      <c r="N39" s="68"/>
      <c r="O39" s="68"/>
      <c r="P39" s="35"/>
      <c r="Q39" s="33"/>
      <c r="R39" s="33"/>
      <c r="S39" s="34"/>
      <c r="T39" s="34"/>
      <c r="U39" s="49"/>
      <c r="V39" s="33">
        <f t="shared" si="23"/>
        <v>0</v>
      </c>
      <c r="W39" s="49"/>
      <c r="X39" s="33">
        <f t="shared" si="25"/>
        <v>25.016000000000002</v>
      </c>
      <c r="Y39" s="33"/>
      <c r="Z39" s="33"/>
      <c r="AA39" s="49"/>
      <c r="AB39" s="58"/>
      <c r="AC39" s="58"/>
      <c r="AD39" s="50"/>
      <c r="AE39" s="36">
        <v>60589861092</v>
      </c>
      <c r="AF39" s="36"/>
      <c r="AG39" s="18" t="s">
        <v>161</v>
      </c>
    </row>
    <row r="40" spans="1:33" s="18" customFormat="1">
      <c r="A40" s="82" t="s">
        <v>28</v>
      </c>
      <c r="B40" s="34" t="s">
        <v>103</v>
      </c>
      <c r="C40" s="34" t="s">
        <v>76</v>
      </c>
      <c r="D40" s="34" t="s">
        <v>30</v>
      </c>
      <c r="E40" s="54">
        <v>37834</v>
      </c>
      <c r="F40" s="35">
        <v>1465.41</v>
      </c>
      <c r="G40" s="35"/>
      <c r="H40" s="35"/>
      <c r="I40" s="49">
        <f t="shared" si="0"/>
        <v>1465.41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2"/>
        <v>1465.41</v>
      </c>
      <c r="V40" s="33">
        <f t="shared" si="23"/>
        <v>0</v>
      </c>
      <c r="W40" s="49">
        <f t="shared" si="24"/>
        <v>1465.41</v>
      </c>
      <c r="X40" s="33">
        <f t="shared" si="25"/>
        <v>146.54100000000003</v>
      </c>
      <c r="Y40" s="33">
        <v>10.23</v>
      </c>
      <c r="Z40" s="33">
        <f t="shared" si="26"/>
        <v>0</v>
      </c>
      <c r="AA40" s="49">
        <f t="shared" si="27"/>
        <v>1622.181</v>
      </c>
      <c r="AB40" s="56"/>
      <c r="AC40" s="57"/>
      <c r="AD40" s="50">
        <f t="shared" si="31"/>
        <v>-1465.41</v>
      </c>
      <c r="AE40" s="36">
        <v>56708881503</v>
      </c>
      <c r="AF40" s="36"/>
      <c r="AG40" s="18" t="s">
        <v>161</v>
      </c>
    </row>
    <row r="41" spans="1:33" s="18" customFormat="1">
      <c r="A41" s="82" t="s">
        <v>28</v>
      </c>
      <c r="B41" s="34" t="s">
        <v>131</v>
      </c>
      <c r="C41" s="34"/>
      <c r="D41" s="34" t="s">
        <v>30</v>
      </c>
      <c r="E41" s="54">
        <v>42342</v>
      </c>
      <c r="F41" s="35">
        <v>1450.75</v>
      </c>
      <c r="G41" s="35"/>
      <c r="H41" s="35"/>
      <c r="I41" s="49">
        <f t="shared" si="0"/>
        <v>1450.75</v>
      </c>
      <c r="J41" s="35"/>
      <c r="K41" s="67"/>
      <c r="L41" s="35"/>
      <c r="M41" s="35">
        <v>0</v>
      </c>
      <c r="N41" s="68"/>
      <c r="O41" s="68"/>
      <c r="P41" s="35"/>
      <c r="Q41" s="33">
        <v>257.3</v>
      </c>
      <c r="R41" s="33"/>
      <c r="S41" s="51"/>
      <c r="T41" s="51"/>
      <c r="U41" s="49">
        <f t="shared" ref="U41" si="32">+I41-SUM(J41:T41)</f>
        <v>1193.45</v>
      </c>
      <c r="V41" s="33">
        <f t="shared" ref="V41" si="33">IF(I41&gt;2250,I41*0.1,0)</f>
        <v>0</v>
      </c>
      <c r="W41" s="49">
        <f t="shared" ref="W41" si="34">+U41-V41</f>
        <v>1193.45</v>
      </c>
      <c r="X41" s="33"/>
      <c r="Y41" s="33"/>
      <c r="Z41" s="33"/>
      <c r="AA41" s="49"/>
      <c r="AB41" s="56"/>
      <c r="AC41" s="57"/>
      <c r="AD41" s="50"/>
      <c r="AE41" s="36">
        <v>56708845101</v>
      </c>
      <c r="AF41" s="36"/>
      <c r="AG41" s="18" t="s">
        <v>161</v>
      </c>
    </row>
    <row r="42" spans="1:33" s="18" customFormat="1">
      <c r="A42" s="82" t="s">
        <v>28</v>
      </c>
      <c r="B42" s="34" t="s">
        <v>89</v>
      </c>
      <c r="C42" s="34"/>
      <c r="D42" s="34" t="s">
        <v>45</v>
      </c>
      <c r="E42" s="54">
        <v>40813</v>
      </c>
      <c r="F42" s="70"/>
      <c r="G42" s="35"/>
      <c r="H42" s="35"/>
      <c r="I42" s="49">
        <f>SUM(F42:H42)</f>
        <v>0</v>
      </c>
      <c r="J42" s="35"/>
      <c r="K42" s="67"/>
      <c r="L42" s="35"/>
      <c r="M42" s="35"/>
      <c r="N42" s="68"/>
      <c r="O42" s="68"/>
      <c r="P42" s="35"/>
      <c r="Q42" s="33"/>
      <c r="R42" s="33"/>
      <c r="S42" s="51"/>
      <c r="T42" s="51"/>
      <c r="U42" s="49">
        <f>+I42-SUM(J42:T42)</f>
        <v>0</v>
      </c>
      <c r="V42" s="33">
        <f t="shared" ref="V42" si="35">+U42*0.05</f>
        <v>0</v>
      </c>
      <c r="W42" s="49">
        <f t="shared" ref="W42" si="36">+U42-Q42-T42</f>
        <v>0</v>
      </c>
      <c r="X42" s="33">
        <f t="shared" ref="X42" si="37">IF(U42&lt;3000,U42*0.1,0)</f>
        <v>0</v>
      </c>
      <c r="Y42" s="33"/>
      <c r="Z42" s="33"/>
      <c r="AA42" s="49">
        <f t="shared" ref="AA42" si="38">+U42+X42+Y42</f>
        <v>0</v>
      </c>
      <c r="AB42" s="56"/>
      <c r="AC42" s="57"/>
      <c r="AD42" s="50"/>
      <c r="AE42" s="36">
        <v>60589552237</v>
      </c>
      <c r="AF42" s="36"/>
      <c r="AG42" s="18" t="s">
        <v>161</v>
      </c>
    </row>
    <row r="43" spans="1:33" s="18" customFormat="1">
      <c r="A43" s="82" t="s">
        <v>28</v>
      </c>
      <c r="B43" s="34" t="s">
        <v>179</v>
      </c>
      <c r="C43" s="34"/>
      <c r="D43" s="34" t="s">
        <v>30</v>
      </c>
      <c r="E43" s="54">
        <v>42772</v>
      </c>
      <c r="F43" s="35">
        <v>2382.4</v>
      </c>
      <c r="G43" s="35"/>
      <c r="H43" s="35"/>
      <c r="I43" s="49">
        <f>SUM(F43:H43)</f>
        <v>2382.4</v>
      </c>
      <c r="J43" s="35">
        <v>2000</v>
      </c>
      <c r="K43" s="67"/>
      <c r="L43" s="35"/>
      <c r="M43" s="35"/>
      <c r="N43" s="68"/>
      <c r="O43" s="68"/>
      <c r="P43" s="35"/>
      <c r="Q43" s="33">
        <v>572.66999999999996</v>
      </c>
      <c r="R43" s="33"/>
      <c r="S43" s="51"/>
      <c r="T43" s="51"/>
      <c r="U43" s="49">
        <f>+I43-SUM(J43:T43)</f>
        <v>-190.26999999999998</v>
      </c>
      <c r="V43" s="33"/>
      <c r="W43" s="49"/>
      <c r="X43" s="33"/>
      <c r="Y43" s="33"/>
      <c r="Z43" s="33"/>
      <c r="AA43" s="49"/>
      <c r="AB43" s="56"/>
      <c r="AC43" s="57"/>
      <c r="AD43" s="50"/>
      <c r="AE43" s="36">
        <v>60589624037</v>
      </c>
      <c r="AF43" s="36" t="s">
        <v>189</v>
      </c>
      <c r="AG43" s="18" t="s">
        <v>161</v>
      </c>
    </row>
    <row r="44" spans="1:33" s="18" customFormat="1">
      <c r="A44" s="82" t="s">
        <v>27</v>
      </c>
      <c r="B44" s="34" t="s">
        <v>176</v>
      </c>
      <c r="C44" s="34"/>
      <c r="D44" s="34" t="s">
        <v>30</v>
      </c>
      <c r="E44" s="54">
        <v>42852</v>
      </c>
      <c r="F44" s="35"/>
      <c r="G44" s="35"/>
      <c r="H44" s="35"/>
      <c r="I44" s="49">
        <f>SUM(F44:H44)</f>
        <v>0</v>
      </c>
      <c r="J44" s="35"/>
      <c r="K44" s="67"/>
      <c r="L44" s="35"/>
      <c r="M44" s="35"/>
      <c r="N44" s="68"/>
      <c r="O44" s="68"/>
      <c r="P44" s="35"/>
      <c r="Q44" s="33"/>
      <c r="R44" s="33"/>
      <c r="S44" s="51"/>
      <c r="T44" s="51"/>
      <c r="U44" s="49">
        <f>+I44-SUM(J44:T44)</f>
        <v>0</v>
      </c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60590678030</v>
      </c>
      <c r="AF44" s="36"/>
      <c r="AG44" s="18" t="s">
        <v>161</v>
      </c>
    </row>
    <row r="45" spans="1:33" s="18" customFormat="1">
      <c r="A45" s="82" t="s">
        <v>28</v>
      </c>
      <c r="B45" s="34" t="s">
        <v>134</v>
      </c>
      <c r="C45" s="34"/>
      <c r="D45" s="34" t="s">
        <v>30</v>
      </c>
      <c r="E45" s="54">
        <v>42648</v>
      </c>
      <c r="F45" s="35">
        <v>2789.08</v>
      </c>
      <c r="G45" s="35"/>
      <c r="H45" s="35"/>
      <c r="I45" s="49">
        <f t="shared" si="0"/>
        <v>2789.08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 t="shared" ref="U45" si="39">+I45-SUM(J45:T45)</f>
        <v>2789.08</v>
      </c>
      <c r="V45" s="33">
        <f t="shared" ref="V45" si="40">IF(I45&gt;2250,I45*0.1,0)</f>
        <v>278.90800000000002</v>
      </c>
      <c r="W45" s="49">
        <f t="shared" ref="W45" si="41">+U45-V45</f>
        <v>2510.172</v>
      </c>
      <c r="X45" s="33"/>
      <c r="Y45" s="33"/>
      <c r="Z45" s="33"/>
      <c r="AA45" s="49"/>
      <c r="AB45" s="56"/>
      <c r="AC45" s="57"/>
      <c r="AD45" s="50"/>
      <c r="AE45" s="36">
        <v>56708845115</v>
      </c>
      <c r="AF45" s="36"/>
      <c r="AG45" s="18" t="s">
        <v>161</v>
      </c>
    </row>
    <row r="46" spans="1:33" s="18" customFormat="1">
      <c r="A46" s="82" t="s">
        <v>27</v>
      </c>
      <c r="B46" s="34" t="s">
        <v>138</v>
      </c>
      <c r="C46" s="34"/>
      <c r="D46" s="34" t="s">
        <v>201</v>
      </c>
      <c r="E46" s="54">
        <v>42644</v>
      </c>
      <c r="F46" s="35">
        <f>2810.43+606.69</f>
        <v>3417.12</v>
      </c>
      <c r="G46" s="35"/>
      <c r="H46" s="35"/>
      <c r="I46" s="49">
        <f t="shared" si="0"/>
        <v>3417.12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 t="shared" ref="U46" si="42">+I46-SUM(J46:T46)</f>
        <v>3417.12</v>
      </c>
      <c r="V46" s="33">
        <f t="shared" ref="V46" si="43">IF(I46&gt;2250,I46*0.1,0)</f>
        <v>341.71199999999999</v>
      </c>
      <c r="W46" s="49">
        <f t="shared" ref="W46" si="44">+U46-V46</f>
        <v>3075.4079999999999</v>
      </c>
      <c r="X46" s="33"/>
      <c r="Y46" s="33"/>
      <c r="Z46" s="33"/>
      <c r="AA46" s="49"/>
      <c r="AB46" s="56"/>
      <c r="AC46" s="57"/>
      <c r="AD46" s="50"/>
      <c r="AE46" s="36">
        <v>56708845530</v>
      </c>
      <c r="AF46" s="36"/>
      <c r="AG46" s="18" t="s">
        <v>161</v>
      </c>
    </row>
    <row r="47" spans="1:33" s="18" customFormat="1">
      <c r="A47" s="82" t="s">
        <v>28</v>
      </c>
      <c r="B47" s="34" t="s">
        <v>195</v>
      </c>
      <c r="C47" s="34"/>
      <c r="D47" s="34" t="s">
        <v>30</v>
      </c>
      <c r="E47" s="54">
        <v>42751</v>
      </c>
      <c r="F47" s="35">
        <v>250.15</v>
      </c>
      <c r="G47" s="35"/>
      <c r="H47" s="35"/>
      <c r="I47" s="49">
        <f t="shared" si="0"/>
        <v>250.15</v>
      </c>
      <c r="J47" s="35"/>
      <c r="K47" s="67">
        <v>1</v>
      </c>
      <c r="L47" s="35"/>
      <c r="M47" s="35"/>
      <c r="N47" s="68"/>
      <c r="O47" s="68"/>
      <c r="P47" s="35"/>
      <c r="Q47" s="33"/>
      <c r="R47" s="33"/>
      <c r="S47" s="34"/>
      <c r="T47" s="34"/>
      <c r="U47" s="49">
        <f t="shared" ref="U47:U48" si="45">+I47-SUM(J47:T47)</f>
        <v>249.15</v>
      </c>
      <c r="V47" s="33">
        <f t="shared" ref="V47" si="46">IF(I47&gt;2250,I47*0.1,0)</f>
        <v>0</v>
      </c>
      <c r="W47" s="49">
        <f t="shared" ref="W47" si="47">+U47-V47</f>
        <v>249.15</v>
      </c>
      <c r="X47" s="33"/>
      <c r="Y47" s="33"/>
      <c r="Z47" s="33"/>
      <c r="AA47" s="49"/>
      <c r="AB47" s="56"/>
      <c r="AC47" s="57"/>
      <c r="AD47" s="50"/>
      <c r="AE47" s="36">
        <v>60589665774</v>
      </c>
      <c r="AF47" s="34"/>
      <c r="AG47" s="18" t="s">
        <v>161</v>
      </c>
    </row>
    <row r="48" spans="1:33" s="18" customFormat="1">
      <c r="A48" s="82" t="s">
        <v>41</v>
      </c>
      <c r="B48" s="34" t="s">
        <v>188</v>
      </c>
      <c r="C48" s="34"/>
      <c r="D48" s="34" t="s">
        <v>45</v>
      </c>
      <c r="E48" s="54">
        <v>42891</v>
      </c>
      <c r="F48" s="35"/>
      <c r="G48" s="35"/>
      <c r="H48" s="35"/>
      <c r="I48" s="49">
        <f t="shared" si="0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si="45"/>
        <v>0</v>
      </c>
      <c r="V48" s="33"/>
      <c r="W48" s="49"/>
      <c r="X48" s="33"/>
      <c r="Y48" s="33"/>
      <c r="Z48" s="33"/>
      <c r="AA48" s="49"/>
      <c r="AB48" s="56"/>
      <c r="AC48" s="57"/>
      <c r="AD48" s="50"/>
      <c r="AE48" s="36">
        <v>60590340221</v>
      </c>
      <c r="AF48" s="34"/>
    </row>
    <row r="49" spans="1:34" s="18" customFormat="1">
      <c r="A49" s="82" t="s">
        <v>39</v>
      </c>
      <c r="B49" s="34" t="s">
        <v>106</v>
      </c>
      <c r="C49" s="34"/>
      <c r="D49" s="34" t="s">
        <v>29</v>
      </c>
      <c r="E49" s="54">
        <v>42506</v>
      </c>
      <c r="F49" s="35">
        <v>2101.6</v>
      </c>
      <c r="G49" s="35"/>
      <c r="H49" s="35"/>
      <c r="I49" s="49">
        <f t="shared" si="0"/>
        <v>2101.6</v>
      </c>
      <c r="J49" s="35"/>
      <c r="K49" s="67"/>
      <c r="L49" s="35"/>
      <c r="M49" s="35">
        <v>0</v>
      </c>
      <c r="N49" s="68"/>
      <c r="O49" s="68"/>
      <c r="P49" s="35"/>
      <c r="Q49" s="33"/>
      <c r="R49" s="33"/>
      <c r="S49" s="34"/>
      <c r="T49" s="34"/>
      <c r="U49" s="49">
        <f t="shared" si="22"/>
        <v>2101.6</v>
      </c>
      <c r="V49" s="33">
        <f t="shared" si="23"/>
        <v>0</v>
      </c>
      <c r="W49" s="49">
        <f t="shared" si="24"/>
        <v>2101.6</v>
      </c>
      <c r="X49" s="33">
        <f t="shared" si="25"/>
        <v>210.16</v>
      </c>
      <c r="Y49" s="33">
        <v>10.23</v>
      </c>
      <c r="Z49" s="33">
        <f t="shared" si="26"/>
        <v>0</v>
      </c>
      <c r="AA49" s="49">
        <f t="shared" si="27"/>
        <v>2321.9899999999998</v>
      </c>
      <c r="AB49" s="56"/>
      <c r="AC49" s="56"/>
      <c r="AD49" s="50">
        <f t="shared" ref="AD49" si="48">+AB49+AC49-W49</f>
        <v>-2101.6</v>
      </c>
      <c r="AE49" s="36">
        <v>56708881551</v>
      </c>
      <c r="AF49" s="36"/>
      <c r="AG49" s="18" t="s">
        <v>161</v>
      </c>
    </row>
    <row r="50" spans="1:34" s="18" customFormat="1">
      <c r="A50" s="82" t="s">
        <v>28</v>
      </c>
      <c r="B50" s="34" t="s">
        <v>146</v>
      </c>
      <c r="C50" s="34"/>
      <c r="D50" s="34" t="s">
        <v>30</v>
      </c>
      <c r="E50" s="54">
        <v>42730</v>
      </c>
      <c r="F50" s="35">
        <v>1563.37</v>
      </c>
      <c r="G50" s="35"/>
      <c r="H50" s="35"/>
      <c r="I50" s="49">
        <f t="shared" si="0"/>
        <v>1563.37</v>
      </c>
      <c r="J50" s="35"/>
      <c r="K50" s="67"/>
      <c r="L50" s="35"/>
      <c r="M50" s="35"/>
      <c r="N50" s="68"/>
      <c r="O50" s="68"/>
      <c r="P50" s="35"/>
      <c r="Q50" s="33"/>
      <c r="R50" s="33"/>
      <c r="S50" s="34"/>
      <c r="T50" s="34"/>
      <c r="U50" s="49">
        <f t="shared" ref="U50" si="49">+I50-SUM(J50:T50)</f>
        <v>1563.37</v>
      </c>
      <c r="V50" s="33">
        <f t="shared" ref="V50" si="50">IF(I50&gt;2250,I50*0.1,0)</f>
        <v>0</v>
      </c>
      <c r="W50" s="49">
        <f t="shared" ref="W50" si="51">+U50-V50</f>
        <v>1563.37</v>
      </c>
      <c r="X50" s="33"/>
      <c r="Y50" s="33"/>
      <c r="Z50" s="33"/>
      <c r="AA50" s="49"/>
      <c r="AB50" s="56"/>
      <c r="AC50" s="56"/>
      <c r="AD50" s="50"/>
      <c r="AE50" s="36">
        <v>60589669043</v>
      </c>
      <c r="AF50" s="36"/>
      <c r="AG50" s="18" t="s">
        <v>161</v>
      </c>
    </row>
    <row r="51" spans="1:34" s="18" customFormat="1">
      <c r="A51" s="82" t="s">
        <v>28</v>
      </c>
      <c r="B51" s="34" t="s">
        <v>110</v>
      </c>
      <c r="C51" s="34"/>
      <c r="D51" s="34" t="s">
        <v>30</v>
      </c>
      <c r="E51" s="54">
        <v>42522</v>
      </c>
      <c r="F51" s="35">
        <v>11423.98</v>
      </c>
      <c r="G51" s="35"/>
      <c r="H51" s="35"/>
      <c r="I51" s="49">
        <f t="shared" si="0"/>
        <v>11423.98</v>
      </c>
      <c r="J51" s="35"/>
      <c r="K51" s="67">
        <v>1</v>
      </c>
      <c r="L51" s="35"/>
      <c r="M51" s="35">
        <v>0</v>
      </c>
      <c r="N51" s="68"/>
      <c r="O51" s="68"/>
      <c r="P51" s="35"/>
      <c r="Q51" s="33">
        <v>3510.85</v>
      </c>
      <c r="R51" s="33"/>
      <c r="S51" s="34"/>
      <c r="T51" s="34"/>
      <c r="U51" s="49">
        <f t="shared" ref="U51:U65" si="52">+I51-SUM(J51:T51)</f>
        <v>7912.1299999999992</v>
      </c>
      <c r="V51" s="33">
        <f t="shared" ref="V51:V56" si="53">IF(I51&gt;2250,I51*0.1,0)</f>
        <v>1142.3979999999999</v>
      </c>
      <c r="W51" s="49">
        <f t="shared" ref="W51:W65" si="54">+U51-V51</f>
        <v>6769.7319999999991</v>
      </c>
      <c r="X51" s="33">
        <f t="shared" ref="X51:X64" si="55">IF(I51&lt;2250,I51*0.1,0)</f>
        <v>0</v>
      </c>
      <c r="Y51" s="33">
        <v>10.23</v>
      </c>
      <c r="Z51" s="33">
        <f t="shared" ref="Z51:Z64" si="56">+N51</f>
        <v>0</v>
      </c>
      <c r="AA51" s="49">
        <f t="shared" ref="AA51:AA64" si="57">+I51+X51+Y51+Z51</f>
        <v>11434.21</v>
      </c>
      <c r="AB51" s="56"/>
      <c r="AC51" s="56"/>
      <c r="AD51" s="50"/>
      <c r="AE51" s="36">
        <v>56708845237</v>
      </c>
      <c r="AF51" s="36"/>
      <c r="AG51" s="18" t="s">
        <v>161</v>
      </c>
    </row>
    <row r="52" spans="1:34" s="18" customFormat="1">
      <c r="A52" s="82" t="s">
        <v>28</v>
      </c>
      <c r="B52" s="34" t="s">
        <v>63</v>
      </c>
      <c r="C52" s="34" t="s">
        <v>76</v>
      </c>
      <c r="D52" s="34" t="s">
        <v>30</v>
      </c>
      <c r="E52" s="54">
        <v>42396</v>
      </c>
      <c r="F52" s="35"/>
      <c r="G52" s="35"/>
      <c r="H52" s="35"/>
      <c r="I52" s="49">
        <f t="shared" si="0"/>
        <v>0</v>
      </c>
      <c r="J52" s="35"/>
      <c r="K52" s="67">
        <v>1</v>
      </c>
      <c r="L52" s="35"/>
      <c r="M52" s="35">
        <v>0</v>
      </c>
      <c r="N52" s="68"/>
      <c r="O52" s="68"/>
      <c r="P52" s="35"/>
      <c r="Q52" s="33">
        <v>500</v>
      </c>
      <c r="R52" s="33"/>
      <c r="S52" s="34"/>
      <c r="T52" s="34">
        <v>300</v>
      </c>
      <c r="U52" s="49">
        <f t="shared" si="52"/>
        <v>-801</v>
      </c>
      <c r="V52" s="33">
        <f t="shared" si="53"/>
        <v>0</v>
      </c>
      <c r="W52" s="49">
        <f t="shared" si="54"/>
        <v>-801</v>
      </c>
      <c r="X52" s="33">
        <f t="shared" si="55"/>
        <v>0</v>
      </c>
      <c r="Y52" s="33">
        <v>10.23</v>
      </c>
      <c r="Z52" s="33">
        <f t="shared" si="56"/>
        <v>0</v>
      </c>
      <c r="AA52" s="49">
        <f t="shared" si="57"/>
        <v>10.23</v>
      </c>
      <c r="AB52" s="56"/>
      <c r="AC52" s="56"/>
      <c r="AD52" s="50">
        <f t="shared" ref="AD52:AD56" si="58">+AB52+AC52-W52</f>
        <v>801</v>
      </c>
      <c r="AE52" s="36">
        <v>56708881579</v>
      </c>
      <c r="AF52" s="36"/>
      <c r="AG52" s="18" t="s">
        <v>161</v>
      </c>
    </row>
    <row r="53" spans="1:34" s="18" customFormat="1">
      <c r="A53" s="82" t="s">
        <v>39</v>
      </c>
      <c r="B53" s="34" t="s">
        <v>71</v>
      </c>
      <c r="C53" s="34"/>
      <c r="D53" s="34" t="s">
        <v>45</v>
      </c>
      <c r="E53" s="54">
        <v>42321</v>
      </c>
      <c r="F53" s="70"/>
      <c r="G53" s="35"/>
      <c r="H53" s="35"/>
      <c r="I53" s="49">
        <f t="shared" si="0"/>
        <v>0</v>
      </c>
      <c r="J53" s="35"/>
      <c r="K53" s="67"/>
      <c r="L53" s="35"/>
      <c r="M53" s="35">
        <v>0</v>
      </c>
      <c r="N53" s="68"/>
      <c r="O53" s="68"/>
      <c r="P53" s="35"/>
      <c r="Q53" s="33"/>
      <c r="R53" s="33"/>
      <c r="S53" s="34"/>
      <c r="T53" s="34"/>
      <c r="U53" s="49">
        <f t="shared" si="52"/>
        <v>0</v>
      </c>
      <c r="V53" s="33">
        <f t="shared" si="53"/>
        <v>0</v>
      </c>
      <c r="W53" s="49">
        <f t="shared" si="54"/>
        <v>0</v>
      </c>
      <c r="X53" s="33">
        <f t="shared" si="55"/>
        <v>0</v>
      </c>
      <c r="Y53" s="33">
        <v>10.23</v>
      </c>
      <c r="Z53" s="33">
        <f t="shared" si="56"/>
        <v>0</v>
      </c>
      <c r="AA53" s="49">
        <f t="shared" si="57"/>
        <v>10.23</v>
      </c>
      <c r="AB53" s="56"/>
      <c r="AC53" s="57"/>
      <c r="AD53" s="50">
        <f t="shared" si="58"/>
        <v>0</v>
      </c>
      <c r="AE53" s="36">
        <v>56708845240</v>
      </c>
      <c r="AF53" s="34"/>
      <c r="AG53" s="18" t="s">
        <v>161</v>
      </c>
    </row>
    <row r="54" spans="1:34" s="18" customFormat="1">
      <c r="A54" s="82" t="s">
        <v>39</v>
      </c>
      <c r="B54" s="34" t="s">
        <v>130</v>
      </c>
      <c r="C54" s="34"/>
      <c r="D54" s="34" t="s">
        <v>29</v>
      </c>
      <c r="E54" s="54">
        <v>42646</v>
      </c>
      <c r="F54" s="35">
        <v>1582</v>
      </c>
      <c r="G54" s="35"/>
      <c r="H54" s="35"/>
      <c r="I54" s="49">
        <f t="shared" si="0"/>
        <v>1582</v>
      </c>
      <c r="J54" s="35"/>
      <c r="K54" s="67"/>
      <c r="L54" s="35"/>
      <c r="M54" s="35">
        <v>0</v>
      </c>
      <c r="N54" s="68"/>
      <c r="O54" s="68"/>
      <c r="P54" s="35"/>
      <c r="Q54" s="33"/>
      <c r="R54" s="33"/>
      <c r="S54" s="34"/>
      <c r="T54" s="34"/>
      <c r="U54" s="49">
        <f t="shared" ref="U54" si="59">+I54-SUM(J54:T54)</f>
        <v>1582</v>
      </c>
      <c r="V54" s="33">
        <f t="shared" ref="V54" si="60">IF(I54&gt;2250,I54*0.1,0)</f>
        <v>0</v>
      </c>
      <c r="W54" s="49">
        <f t="shared" ref="W54" si="61">+U54-V54</f>
        <v>1582</v>
      </c>
      <c r="X54" s="33"/>
      <c r="Y54" s="33"/>
      <c r="Z54" s="33"/>
      <c r="AA54" s="49"/>
      <c r="AB54" s="56"/>
      <c r="AC54" s="57"/>
      <c r="AD54" s="50"/>
      <c r="AE54" s="36">
        <v>56708881582</v>
      </c>
      <c r="AF54" s="36"/>
      <c r="AG54" s="18" t="s">
        <v>161</v>
      </c>
    </row>
    <row r="55" spans="1:34" s="18" customFormat="1">
      <c r="A55" s="82" t="s">
        <v>39</v>
      </c>
      <c r="B55" s="34" t="s">
        <v>70</v>
      </c>
      <c r="C55" s="34"/>
      <c r="D55" s="34" t="s">
        <v>29</v>
      </c>
      <c r="E55" s="54">
        <v>42065</v>
      </c>
      <c r="F55" s="35">
        <v>2159.73</v>
      </c>
      <c r="G55" s="35"/>
      <c r="H55" s="35"/>
      <c r="I55" s="49">
        <f t="shared" si="0"/>
        <v>2159.73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52"/>
        <v>2159.73</v>
      </c>
      <c r="V55" s="33">
        <f t="shared" si="53"/>
        <v>0</v>
      </c>
      <c r="W55" s="49">
        <f t="shared" si="54"/>
        <v>2159.73</v>
      </c>
      <c r="X55" s="33">
        <f t="shared" si="55"/>
        <v>215.97300000000001</v>
      </c>
      <c r="Y55" s="33">
        <v>10.23</v>
      </c>
      <c r="Z55" s="33">
        <f t="shared" si="56"/>
        <v>0</v>
      </c>
      <c r="AA55" s="49">
        <f t="shared" si="57"/>
        <v>2385.933</v>
      </c>
      <c r="AB55" s="56"/>
      <c r="AC55" s="57"/>
      <c r="AD55" s="50">
        <f t="shared" si="58"/>
        <v>-2159.73</v>
      </c>
      <c r="AE55" s="36">
        <v>56708845254</v>
      </c>
      <c r="AF55" s="36"/>
      <c r="AG55" s="18" t="s">
        <v>161</v>
      </c>
    </row>
    <row r="56" spans="1:34" s="18" customFormat="1">
      <c r="A56" s="82" t="s">
        <v>28</v>
      </c>
      <c r="B56" s="34" t="s">
        <v>38</v>
      </c>
      <c r="C56" s="34" t="s">
        <v>74</v>
      </c>
      <c r="D56" s="34" t="s">
        <v>30</v>
      </c>
      <c r="E56" s="54">
        <v>41218</v>
      </c>
      <c r="F56" s="35">
        <v>11131.61</v>
      </c>
      <c r="G56" s="35"/>
      <c r="H56" s="35"/>
      <c r="I56" s="49">
        <f t="shared" si="0"/>
        <v>11131.61</v>
      </c>
      <c r="J56" s="35"/>
      <c r="K56" s="67"/>
      <c r="L56" s="35"/>
      <c r="M56" s="35">
        <v>0</v>
      </c>
      <c r="N56" s="68"/>
      <c r="O56" s="68"/>
      <c r="P56" s="35"/>
      <c r="Q56" s="33">
        <v>4000</v>
      </c>
      <c r="R56" s="33"/>
      <c r="S56" s="34"/>
      <c r="T56" s="34"/>
      <c r="U56" s="49">
        <f t="shared" si="52"/>
        <v>7131.6100000000006</v>
      </c>
      <c r="V56" s="33">
        <f t="shared" si="53"/>
        <v>1113.1610000000001</v>
      </c>
      <c r="W56" s="49">
        <f t="shared" si="54"/>
        <v>6018.4490000000005</v>
      </c>
      <c r="X56" s="33">
        <f t="shared" si="55"/>
        <v>0</v>
      </c>
      <c r="Y56" s="33">
        <v>10.23</v>
      </c>
      <c r="Z56" s="33">
        <f t="shared" si="56"/>
        <v>0</v>
      </c>
      <c r="AA56" s="49">
        <f t="shared" si="57"/>
        <v>11141.84</v>
      </c>
      <c r="AB56" s="56"/>
      <c r="AC56" s="57"/>
      <c r="AD56" s="50">
        <f t="shared" si="58"/>
        <v>-6018.4490000000005</v>
      </c>
      <c r="AE56" s="36">
        <v>56708881596</v>
      </c>
      <c r="AF56" s="34"/>
      <c r="AG56" s="18" t="s">
        <v>161</v>
      </c>
    </row>
    <row r="57" spans="1:34" s="18" customFormat="1">
      <c r="A57" s="82" t="s">
        <v>26</v>
      </c>
      <c r="B57" s="34" t="s">
        <v>128</v>
      </c>
      <c r="C57" s="34"/>
      <c r="D57" s="34" t="s">
        <v>126</v>
      </c>
      <c r="E57" s="54">
        <v>42241</v>
      </c>
      <c r="F57" s="35"/>
      <c r="G57" s="35"/>
      <c r="H57" s="35"/>
      <c r="I57" s="49">
        <f t="shared" si="0"/>
        <v>0</v>
      </c>
      <c r="J57" s="35"/>
      <c r="K57" s="67">
        <v>1</v>
      </c>
      <c r="L57" s="35"/>
      <c r="M57" s="35"/>
      <c r="N57" s="68"/>
      <c r="O57" s="68"/>
      <c r="P57" s="35"/>
      <c r="Q57" s="33"/>
      <c r="R57" s="33"/>
      <c r="S57" s="34"/>
      <c r="T57" s="34"/>
      <c r="U57" s="49">
        <f t="shared" ref="U57" si="62">+I57-SUM(J57:T57)</f>
        <v>-1</v>
      </c>
      <c r="V57" s="33">
        <f t="shared" ref="V57" si="63">IF(I57&gt;2250,I57*0.1,0)</f>
        <v>0</v>
      </c>
      <c r="W57" s="49">
        <f t="shared" ref="W57" si="64">+U57-V57</f>
        <v>-1</v>
      </c>
      <c r="X57" s="33">
        <f t="shared" si="55"/>
        <v>0</v>
      </c>
      <c r="Y57" s="33"/>
      <c r="Z57" s="33"/>
      <c r="AA57" s="49"/>
      <c r="AB57" s="56"/>
      <c r="AC57" s="57"/>
      <c r="AD57" s="50"/>
      <c r="AE57" s="36">
        <v>56708845268</v>
      </c>
      <c r="AF57" s="36"/>
      <c r="AG57" s="18" t="s">
        <v>161</v>
      </c>
    </row>
    <row r="58" spans="1:34" s="18" customFormat="1">
      <c r="A58" s="82" t="s">
        <v>41</v>
      </c>
      <c r="B58" s="34" t="s">
        <v>91</v>
      </c>
      <c r="C58" s="34"/>
      <c r="D58" s="34" t="s">
        <v>45</v>
      </c>
      <c r="E58" s="54">
        <v>42333</v>
      </c>
      <c r="F58" s="70"/>
      <c r="G58" s="35"/>
      <c r="H58" s="35"/>
      <c r="I58" s="49">
        <f t="shared" si="0"/>
        <v>0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>
        <v>355.52</v>
      </c>
      <c r="U58" s="49">
        <f t="shared" si="52"/>
        <v>-355.52</v>
      </c>
      <c r="V58" s="33">
        <f t="shared" ref="V58:V65" si="65">IF(I58&gt;2250,I58*0.1,0)</f>
        <v>0</v>
      </c>
      <c r="W58" s="49">
        <f t="shared" si="54"/>
        <v>-355.52</v>
      </c>
      <c r="X58" s="33">
        <f t="shared" si="55"/>
        <v>0</v>
      </c>
      <c r="Y58" s="33">
        <v>10.23</v>
      </c>
      <c r="Z58" s="33">
        <f t="shared" si="56"/>
        <v>0</v>
      </c>
      <c r="AA58" s="49">
        <f t="shared" si="57"/>
        <v>10.23</v>
      </c>
      <c r="AB58" s="56"/>
      <c r="AC58" s="57"/>
      <c r="AD58" s="50">
        <f>+AB58+AC58-W58</f>
        <v>355.52</v>
      </c>
      <c r="AE58" s="36">
        <v>60589939521</v>
      </c>
      <c r="AF58" s="34"/>
      <c r="AG58" s="18" t="s">
        <v>161</v>
      </c>
    </row>
    <row r="59" spans="1:34" s="18" customFormat="1">
      <c r="A59" s="82" t="s">
        <v>28</v>
      </c>
      <c r="B59" s="34" t="s">
        <v>116</v>
      </c>
      <c r="C59" s="34"/>
      <c r="D59" s="34" t="s">
        <v>30</v>
      </c>
      <c r="E59" s="54">
        <v>42459</v>
      </c>
      <c r="F59" s="35">
        <v>6115.85</v>
      </c>
      <c r="G59" s="35"/>
      <c r="H59" s="35"/>
      <c r="I59" s="49">
        <f t="shared" si="0"/>
        <v>6115.85</v>
      </c>
      <c r="J59" s="35"/>
      <c r="K59" s="67"/>
      <c r="L59" s="35"/>
      <c r="M59" s="35">
        <v>0</v>
      </c>
      <c r="N59" s="68"/>
      <c r="O59" s="68"/>
      <c r="P59" s="35"/>
      <c r="Q59" s="33"/>
      <c r="R59" s="33"/>
      <c r="S59" s="34"/>
      <c r="T59" s="34"/>
      <c r="U59" s="49">
        <f t="shared" si="52"/>
        <v>6115.85</v>
      </c>
      <c r="V59" s="33">
        <f t="shared" si="65"/>
        <v>611.58500000000004</v>
      </c>
      <c r="W59" s="49">
        <f t="shared" si="54"/>
        <v>5504.2650000000003</v>
      </c>
      <c r="X59" s="33">
        <f t="shared" si="55"/>
        <v>0</v>
      </c>
      <c r="Y59" s="33">
        <v>10.23</v>
      </c>
      <c r="Z59" s="33">
        <f t="shared" si="56"/>
        <v>0</v>
      </c>
      <c r="AA59" s="49">
        <f t="shared" si="57"/>
        <v>6126.08</v>
      </c>
      <c r="AB59" s="62"/>
      <c r="AC59" s="57"/>
      <c r="AD59" s="50">
        <f>+AB59+AC59-W59</f>
        <v>-5504.2650000000003</v>
      </c>
      <c r="AE59" s="36">
        <v>60589627948</v>
      </c>
      <c r="AF59" s="36"/>
      <c r="AG59" s="18" t="s">
        <v>161</v>
      </c>
    </row>
    <row r="60" spans="1:34" s="18" customFormat="1">
      <c r="A60" s="82" t="s">
        <v>26</v>
      </c>
      <c r="B60" s="34" t="s">
        <v>175</v>
      </c>
      <c r="C60" s="34"/>
      <c r="D60" s="34" t="s">
        <v>29</v>
      </c>
      <c r="E60" s="54">
        <v>42849</v>
      </c>
      <c r="F60" s="35">
        <v>1256.6400000000001</v>
      </c>
      <c r="G60" s="35"/>
      <c r="H60" s="35"/>
      <c r="I60" s="49">
        <f t="shared" si="0"/>
        <v>1256.6400000000001</v>
      </c>
      <c r="J60" s="35"/>
      <c r="K60" s="67"/>
      <c r="L60" s="35"/>
      <c r="M60" s="35"/>
      <c r="N60" s="68"/>
      <c r="O60" s="68"/>
      <c r="P60" s="35"/>
      <c r="Q60" s="33"/>
      <c r="R60" s="33"/>
      <c r="S60" s="34"/>
      <c r="T60" s="34"/>
      <c r="U60" s="49">
        <f t="shared" si="52"/>
        <v>1256.6400000000001</v>
      </c>
      <c r="V60" s="33"/>
      <c r="W60" s="49"/>
      <c r="X60" s="33"/>
      <c r="Y60" s="33"/>
      <c r="Z60" s="33"/>
      <c r="AA60" s="49"/>
      <c r="AB60" s="62"/>
      <c r="AC60" s="57"/>
      <c r="AD60" s="50"/>
      <c r="AE60" s="36">
        <v>60590412629</v>
      </c>
      <c r="AF60" s="36"/>
      <c r="AG60" s="18" t="s">
        <v>161</v>
      </c>
    </row>
    <row r="61" spans="1:34" s="18" customFormat="1">
      <c r="A61" s="82" t="s">
        <v>26</v>
      </c>
      <c r="B61" s="34" t="s">
        <v>113</v>
      </c>
      <c r="C61" s="34"/>
      <c r="D61" s="34" t="s">
        <v>44</v>
      </c>
      <c r="E61" s="54">
        <v>42566</v>
      </c>
      <c r="F61" s="35">
        <v>1860</v>
      </c>
      <c r="G61" s="35"/>
      <c r="H61" s="35"/>
      <c r="I61" s="49">
        <f t="shared" si="0"/>
        <v>1860</v>
      </c>
      <c r="J61" s="35"/>
      <c r="K61" s="67">
        <v>1</v>
      </c>
      <c r="L61" s="35">
        <v>43.9</v>
      </c>
      <c r="M61" s="35"/>
      <c r="N61" s="68"/>
      <c r="O61" s="68"/>
      <c r="P61" s="35"/>
      <c r="Q61" s="33"/>
      <c r="R61" s="33"/>
      <c r="S61" s="34"/>
      <c r="T61" s="34"/>
      <c r="U61" s="49">
        <f t="shared" si="52"/>
        <v>1815.1</v>
      </c>
      <c r="V61" s="33">
        <f t="shared" si="65"/>
        <v>0</v>
      </c>
      <c r="W61" s="49">
        <f t="shared" si="54"/>
        <v>1815.1</v>
      </c>
      <c r="X61" s="33">
        <f t="shared" si="55"/>
        <v>186</v>
      </c>
      <c r="Y61" s="33">
        <v>21.23</v>
      </c>
      <c r="Z61" s="33">
        <f t="shared" si="56"/>
        <v>0</v>
      </c>
      <c r="AA61" s="49">
        <f t="shared" si="57"/>
        <v>2067.23</v>
      </c>
      <c r="AB61" s="62"/>
      <c r="AC61" s="57"/>
      <c r="AD61" s="50"/>
      <c r="AE61" s="36"/>
      <c r="AF61" s="36"/>
    </row>
    <row r="62" spans="1:34" s="18" customFormat="1">
      <c r="A62" s="82" t="s">
        <v>28</v>
      </c>
      <c r="B62" s="34" t="s">
        <v>93</v>
      </c>
      <c r="C62" s="34" t="s">
        <v>76</v>
      </c>
      <c r="D62" s="34" t="s">
        <v>30</v>
      </c>
      <c r="E62" s="54">
        <v>42327</v>
      </c>
      <c r="F62" s="35"/>
      <c r="G62" s="35"/>
      <c r="H62" s="35"/>
      <c r="I62" s="49">
        <f t="shared" si="0"/>
        <v>0</v>
      </c>
      <c r="J62" s="35"/>
      <c r="K62" s="67"/>
      <c r="L62" s="35"/>
      <c r="M62" s="35">
        <v>0</v>
      </c>
      <c r="N62" s="68"/>
      <c r="O62" s="68"/>
      <c r="P62" s="35"/>
      <c r="Q62" s="33"/>
      <c r="R62" s="33"/>
      <c r="S62" s="34"/>
      <c r="T62" s="65">
        <v>505.56</v>
      </c>
      <c r="U62" s="49">
        <f t="shared" si="52"/>
        <v>-505.56</v>
      </c>
      <c r="V62" s="33">
        <f t="shared" si="65"/>
        <v>0</v>
      </c>
      <c r="W62" s="49">
        <f t="shared" si="54"/>
        <v>-505.56</v>
      </c>
      <c r="X62" s="33">
        <f t="shared" si="55"/>
        <v>0</v>
      </c>
      <c r="Y62" s="33">
        <v>10.23</v>
      </c>
      <c r="Z62" s="33">
        <f t="shared" si="56"/>
        <v>0</v>
      </c>
      <c r="AA62" s="49">
        <f t="shared" si="57"/>
        <v>10.23</v>
      </c>
      <c r="AB62" s="56"/>
      <c r="AC62" s="57"/>
      <c r="AD62" s="50">
        <f t="shared" ref="AD62:AD64" si="66">+AB62+AC62-W62</f>
        <v>505.56</v>
      </c>
      <c r="AE62" s="36">
        <v>56708881807</v>
      </c>
      <c r="AF62" s="36"/>
      <c r="AG62" s="18" t="s">
        <v>161</v>
      </c>
    </row>
    <row r="63" spans="1:34" s="18" customFormat="1">
      <c r="A63" s="82" t="s">
        <v>28</v>
      </c>
      <c r="B63" s="34" t="s">
        <v>171</v>
      </c>
      <c r="C63" s="34"/>
      <c r="D63" s="34" t="s">
        <v>30</v>
      </c>
      <c r="E63" s="54">
        <v>42842</v>
      </c>
      <c r="F63" s="35">
        <v>13740.41</v>
      </c>
      <c r="G63" s="35"/>
      <c r="H63" s="35"/>
      <c r="I63" s="49">
        <f t="shared" si="0"/>
        <v>13740.41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/>
      <c r="V63" s="33"/>
      <c r="W63" s="49"/>
      <c r="X63" s="33"/>
      <c r="Y63" s="33"/>
      <c r="Z63" s="33"/>
      <c r="AA63" s="49"/>
      <c r="AB63" s="62"/>
      <c r="AC63" s="63"/>
      <c r="AD63" s="50"/>
      <c r="AE63" s="36">
        <v>60590199370</v>
      </c>
      <c r="AF63" s="36"/>
      <c r="AG63" s="18" t="s">
        <v>161</v>
      </c>
    </row>
    <row r="64" spans="1:34" s="18" customFormat="1">
      <c r="A64" s="82" t="s">
        <v>28</v>
      </c>
      <c r="B64" s="34" t="s">
        <v>105</v>
      </c>
      <c r="C64" s="34" t="s">
        <v>74</v>
      </c>
      <c r="D64" s="34" t="s">
        <v>30</v>
      </c>
      <c r="E64" s="54">
        <v>42506</v>
      </c>
      <c r="F64" s="35">
        <v>2131.89</v>
      </c>
      <c r="G64" s="35"/>
      <c r="H64" s="35"/>
      <c r="I64" s="49">
        <f t="shared" si="0"/>
        <v>2131.89</v>
      </c>
      <c r="J64" s="35"/>
      <c r="K64" s="67"/>
      <c r="L64" s="35"/>
      <c r="M64" s="35">
        <v>0</v>
      </c>
      <c r="N64" s="68"/>
      <c r="O64" s="68"/>
      <c r="P64" s="35"/>
      <c r="Q64" s="33">
        <v>205</v>
      </c>
      <c r="R64" s="33"/>
      <c r="S64" s="34"/>
      <c r="T64" s="65">
        <v>208.65</v>
      </c>
      <c r="U64" s="49">
        <f t="shared" si="52"/>
        <v>1718.2399999999998</v>
      </c>
      <c r="V64" s="33">
        <f t="shared" si="65"/>
        <v>0</v>
      </c>
      <c r="W64" s="49">
        <f t="shared" si="54"/>
        <v>1718.2399999999998</v>
      </c>
      <c r="X64" s="33">
        <f t="shared" si="55"/>
        <v>213.18899999999999</v>
      </c>
      <c r="Y64" s="33">
        <v>10.23</v>
      </c>
      <c r="Z64" s="33">
        <f t="shared" si="56"/>
        <v>0</v>
      </c>
      <c r="AA64" s="49">
        <f t="shared" si="57"/>
        <v>2355.3089999999997</v>
      </c>
      <c r="AB64" s="62"/>
      <c r="AC64" s="62"/>
      <c r="AD64" s="50">
        <f t="shared" si="66"/>
        <v>-1718.2399999999998</v>
      </c>
      <c r="AE64" s="81">
        <v>1179675078</v>
      </c>
      <c r="AF64" s="36"/>
      <c r="AG64" s="18" t="s">
        <v>163</v>
      </c>
      <c r="AH64" s="18" t="s">
        <v>174</v>
      </c>
    </row>
    <row r="65" spans="1:186" s="18" customFormat="1">
      <c r="A65" s="82" t="s">
        <v>26</v>
      </c>
      <c r="B65" s="34" t="s">
        <v>153</v>
      </c>
      <c r="C65" s="34"/>
      <c r="D65" s="34" t="s">
        <v>44</v>
      </c>
      <c r="E65" s="54">
        <v>42597</v>
      </c>
      <c r="F65" s="35">
        <v>2160</v>
      </c>
      <c r="G65" s="35"/>
      <c r="H65" s="35"/>
      <c r="I65" s="49">
        <f t="shared" si="0"/>
        <v>2160</v>
      </c>
      <c r="J65" s="35"/>
      <c r="K65" s="67"/>
      <c r="L65" s="35"/>
      <c r="M65" s="35"/>
      <c r="N65" s="68"/>
      <c r="O65" s="68"/>
      <c r="P65" s="35"/>
      <c r="Q65" s="33"/>
      <c r="R65" s="33"/>
      <c r="S65" s="34"/>
      <c r="T65" s="65"/>
      <c r="U65" s="49">
        <f t="shared" si="52"/>
        <v>2160</v>
      </c>
      <c r="V65" s="33">
        <f t="shared" si="65"/>
        <v>0</v>
      </c>
      <c r="W65" s="49">
        <f t="shared" si="54"/>
        <v>2160</v>
      </c>
      <c r="X65" s="33"/>
      <c r="Y65" s="33"/>
      <c r="Z65" s="33"/>
      <c r="AA65" s="49"/>
      <c r="AB65" s="62"/>
      <c r="AC65" s="62"/>
      <c r="AD65" s="50"/>
      <c r="AE65" s="36">
        <v>56708881838</v>
      </c>
      <c r="AF65" s="36"/>
      <c r="AG65" s="18" t="s">
        <v>161</v>
      </c>
    </row>
    <row r="66" spans="1:186" s="18" customFormat="1">
      <c r="A66" s="82" t="s">
        <v>39</v>
      </c>
      <c r="B66" s="34" t="s">
        <v>139</v>
      </c>
      <c r="C66" s="34"/>
      <c r="D66" s="34" t="s">
        <v>29</v>
      </c>
      <c r="E66" s="54">
        <v>42696</v>
      </c>
      <c r="F66" s="35">
        <v>2692.34</v>
      </c>
      <c r="G66" s="35"/>
      <c r="H66" s="35"/>
      <c r="I66" s="49">
        <f t="shared" si="0"/>
        <v>2692.34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65"/>
      <c r="U66" s="49">
        <f t="shared" ref="U66" si="67">+I66-SUM(J66:T66)</f>
        <v>2692.34</v>
      </c>
      <c r="V66" s="33">
        <f t="shared" ref="V66" si="68">IF(I66&gt;2250,I66*0.1,0)</f>
        <v>269.23400000000004</v>
      </c>
      <c r="W66" s="49">
        <f t="shared" ref="W66" si="69">+U66-V66</f>
        <v>2423.1060000000002</v>
      </c>
      <c r="X66" s="33"/>
      <c r="Y66" s="33"/>
      <c r="Z66" s="33"/>
      <c r="AA66" s="49"/>
      <c r="AB66" s="62"/>
      <c r="AC66" s="62"/>
      <c r="AD66" s="50"/>
      <c r="AE66" s="36">
        <v>56710784605</v>
      </c>
      <c r="AF66" s="36"/>
      <c r="AG66" s="18" t="s">
        <v>161</v>
      </c>
    </row>
    <row r="67" spans="1:186" s="18" customFormat="1">
      <c r="A67" s="82" t="s">
        <v>28</v>
      </c>
      <c r="B67" s="34" t="s">
        <v>141</v>
      </c>
      <c r="C67" s="34"/>
      <c r="D67" s="34" t="s">
        <v>30</v>
      </c>
      <c r="E67" s="54">
        <v>42632</v>
      </c>
      <c r="F67" s="35">
        <v>890.2</v>
      </c>
      <c r="G67" s="35"/>
      <c r="H67" s="35"/>
      <c r="I67" s="49">
        <f t="shared" si="0"/>
        <v>890.2</v>
      </c>
      <c r="J67" s="35"/>
      <c r="K67" s="67"/>
      <c r="L67" s="35"/>
      <c r="M67" s="35"/>
      <c r="N67" s="68"/>
      <c r="O67" s="68"/>
      <c r="P67" s="35"/>
      <c r="Q67" s="33">
        <v>600</v>
      </c>
      <c r="R67" s="33"/>
      <c r="S67" s="34"/>
      <c r="T67" s="65"/>
      <c r="U67" s="49">
        <f t="shared" ref="U67" si="70">+I67-SUM(J67:T67)</f>
        <v>290.20000000000005</v>
      </c>
      <c r="V67" s="33">
        <f t="shared" ref="V67" si="71">IF(I67&gt;2250,I67*0.1,0)</f>
        <v>0</v>
      </c>
      <c r="W67" s="49">
        <f t="shared" ref="W67" si="72">+U67-V67</f>
        <v>290.20000000000005</v>
      </c>
      <c r="X67" s="33"/>
      <c r="Y67" s="33"/>
      <c r="Z67" s="33"/>
      <c r="AA67" s="49"/>
      <c r="AB67" s="62"/>
      <c r="AC67" s="62"/>
      <c r="AD67" s="50"/>
      <c r="AE67" s="36">
        <v>60589620126</v>
      </c>
      <c r="AF67" s="36"/>
      <c r="AG67" s="18" t="s">
        <v>161</v>
      </c>
    </row>
    <row r="68" spans="1:186" s="18" customFormat="1">
      <c r="A68" s="25"/>
      <c r="B68" s="26"/>
      <c r="C68" s="26"/>
      <c r="D68" s="26"/>
      <c r="E68" s="26"/>
      <c r="F68" s="27"/>
      <c r="G68" s="27"/>
      <c r="H68" s="27"/>
      <c r="I68" s="28"/>
      <c r="J68" s="27"/>
      <c r="K68" s="27"/>
      <c r="L68" s="27"/>
      <c r="M68" s="27"/>
      <c r="N68" s="27"/>
      <c r="O68" s="27"/>
      <c r="P68" s="27"/>
      <c r="Q68" s="37"/>
      <c r="R68" s="37"/>
      <c r="S68" s="37"/>
      <c r="T68" s="37"/>
      <c r="U68" s="28"/>
      <c r="V68" s="37"/>
      <c r="W68" s="28"/>
      <c r="X68" s="37"/>
      <c r="Y68" s="37"/>
      <c r="Z68" s="37"/>
      <c r="AA68" s="28"/>
      <c r="AB68" s="46"/>
      <c r="AC68" s="46"/>
      <c r="AD68" s="23"/>
    </row>
    <row r="69" spans="1:186">
      <c r="B69" s="38" t="s">
        <v>1</v>
      </c>
      <c r="C69" s="38"/>
      <c r="D69" s="38"/>
      <c r="E69" s="38"/>
      <c r="F69" s="39">
        <f>SUM(F7:F68)</f>
        <v>184671.16000000006</v>
      </c>
      <c r="G69" s="39">
        <f>SUM(G7:G68)</f>
        <v>0</v>
      </c>
      <c r="H69" s="39">
        <f>SUM(H7:H68)</f>
        <v>0</v>
      </c>
      <c r="I69" s="39">
        <f>SUM(I7:I68)</f>
        <v>184671.16000000006</v>
      </c>
      <c r="J69" s="39">
        <f>SUM(J7:J68)</f>
        <v>3568.37</v>
      </c>
      <c r="K69" s="39"/>
      <c r="L69" s="39">
        <f t="shared" ref="L69:AD69" si="73">SUM(L7:L68)</f>
        <v>43.9</v>
      </c>
      <c r="M69" s="40">
        <f t="shared" si="73"/>
        <v>1300</v>
      </c>
      <c r="N69" s="40">
        <f t="shared" si="73"/>
        <v>0</v>
      </c>
      <c r="O69" s="40">
        <f t="shared" si="73"/>
        <v>0</v>
      </c>
      <c r="P69" s="40">
        <f t="shared" si="73"/>
        <v>0</v>
      </c>
      <c r="Q69" s="39">
        <f t="shared" si="73"/>
        <v>9645.82</v>
      </c>
      <c r="R69" s="39">
        <f t="shared" si="73"/>
        <v>0.6</v>
      </c>
      <c r="S69" s="39">
        <f t="shared" si="73"/>
        <v>0</v>
      </c>
      <c r="T69" s="39">
        <f t="shared" si="73"/>
        <v>6391.1900000000014</v>
      </c>
      <c r="U69" s="39">
        <f t="shared" si="73"/>
        <v>149723.71000000002</v>
      </c>
      <c r="V69" s="39">
        <f t="shared" si="73"/>
        <v>11427.516</v>
      </c>
      <c r="W69" s="39">
        <f t="shared" si="73"/>
        <v>118180.34399999998</v>
      </c>
      <c r="X69" s="39">
        <f t="shared" si="73"/>
        <v>1848.8680000000002</v>
      </c>
      <c r="Y69" s="39">
        <f t="shared" si="73"/>
        <v>382.36000000000013</v>
      </c>
      <c r="Z69" s="39">
        <f t="shared" si="73"/>
        <v>0</v>
      </c>
      <c r="AA69" s="39">
        <f t="shared" si="73"/>
        <v>125821.35199999998</v>
      </c>
      <c r="AB69" s="47">
        <f t="shared" si="73"/>
        <v>0</v>
      </c>
      <c r="AC69" s="47">
        <f t="shared" si="73"/>
        <v>0</v>
      </c>
      <c r="AD69" s="41">
        <f t="shared" si="73"/>
        <v>-56428.508000000009</v>
      </c>
      <c r="AE69" s="29"/>
      <c r="AF69" s="29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</row>
    <row r="70" spans="1:186">
      <c r="AA70" s="14">
        <f>AA69*0.16</f>
        <v>20131.416319999997</v>
      </c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86">
      <c r="A71" s="104" t="s">
        <v>87</v>
      </c>
      <c r="B71" s="104"/>
      <c r="C71" s="42"/>
      <c r="D71" s="29"/>
      <c r="E71" s="29"/>
      <c r="F71" s="31"/>
      <c r="G71" s="31"/>
      <c r="H71" s="31"/>
      <c r="I71" s="39"/>
      <c r="J71" s="31"/>
      <c r="K71" s="31"/>
      <c r="L71" s="31"/>
      <c r="M71" s="35"/>
      <c r="N71" s="35"/>
      <c r="O71" s="35"/>
      <c r="P71" s="35"/>
      <c r="Q71" s="31"/>
      <c r="R71" s="31"/>
      <c r="S71" s="31"/>
      <c r="T71" s="31"/>
      <c r="U71" s="39"/>
      <c r="V71" s="31"/>
      <c r="W71" s="39"/>
      <c r="X71" s="31"/>
      <c r="Y71" s="31"/>
      <c r="Z71" s="31"/>
      <c r="AA71" s="39">
        <f>+AA69+AA70</f>
        <v>145952.76831999997</v>
      </c>
      <c r="AB71" s="47"/>
      <c r="AC71" s="47"/>
      <c r="AD71" s="41"/>
      <c r="AE71" s="29"/>
      <c r="AF71" s="29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72" s="34" t="s">
        <v>42</v>
      </c>
      <c r="B72" s="34" t="s">
        <v>88</v>
      </c>
      <c r="C72" s="30"/>
      <c r="D72" s="30" t="s">
        <v>122</v>
      </c>
      <c r="E72" s="55">
        <v>41142</v>
      </c>
      <c r="F72" s="35">
        <f>3096.769+5.571+385.521</f>
        <v>3487.8609999999999</v>
      </c>
      <c r="G72" s="32"/>
      <c r="H72" s="32"/>
      <c r="I72" s="49">
        <f>SUM(F72:H72)</f>
        <v>3487.8609999999999</v>
      </c>
      <c r="J72" s="35">
        <v>134.66999999999999</v>
      </c>
      <c r="K72" s="67"/>
      <c r="L72" s="35"/>
      <c r="M72" s="35"/>
      <c r="N72" s="68" t="s">
        <v>182</v>
      </c>
      <c r="O72" s="68" t="s">
        <v>182</v>
      </c>
      <c r="P72" s="35"/>
      <c r="Q72" s="33"/>
      <c r="R72" s="33"/>
      <c r="S72" s="34"/>
      <c r="T72" s="34"/>
      <c r="U72" s="49">
        <f>+I72-SUM(J72:T72)</f>
        <v>3353.1909999999998</v>
      </c>
      <c r="V72" s="33">
        <f>+U72*0.05</f>
        <v>167.65955</v>
      </c>
      <c r="W72" s="49">
        <f>+U72-Q72-T72</f>
        <v>3353.1909999999998</v>
      </c>
      <c r="X72" s="61">
        <f>IF(U72&lt;3000,U72*0.1,0)</f>
        <v>0</v>
      </c>
      <c r="Y72" s="61">
        <v>0</v>
      </c>
      <c r="Z72" s="61"/>
      <c r="AA72" s="60">
        <f>+U72+X72+Y72</f>
        <v>3353.1909999999998</v>
      </c>
      <c r="AB72" s="48"/>
      <c r="AC72" s="48"/>
      <c r="AD72" s="43"/>
      <c r="AE72" s="36">
        <v>56708845760</v>
      </c>
      <c r="AF72" s="36" t="s">
        <v>149</v>
      </c>
      <c r="AG72" s="18" t="s">
        <v>161</v>
      </c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 s="18" customFormat="1">
      <c r="A73" s="34" t="s">
        <v>42</v>
      </c>
      <c r="B73" s="34" t="s">
        <v>54</v>
      </c>
      <c r="C73" s="34"/>
      <c r="D73" s="34" t="s">
        <v>122</v>
      </c>
      <c r="E73" s="54">
        <v>41381</v>
      </c>
      <c r="F73" s="35">
        <f>3514.596+2.599+15.941</f>
        <v>3533.136</v>
      </c>
      <c r="G73" s="35"/>
      <c r="H73" s="35"/>
      <c r="I73" s="49">
        <f t="shared" ref="I73:I114" si="74">SUM(F73:H73)</f>
        <v>3533.136</v>
      </c>
      <c r="J73" s="35">
        <v>372.75</v>
      </c>
      <c r="K73" s="67"/>
      <c r="L73" s="35"/>
      <c r="M73" s="35">
        <v>0</v>
      </c>
      <c r="N73" s="68" t="s">
        <v>182</v>
      </c>
      <c r="O73" s="68" t="s">
        <v>182</v>
      </c>
      <c r="P73" s="35"/>
      <c r="Q73" s="33"/>
      <c r="R73" s="33"/>
      <c r="S73" s="34"/>
      <c r="T73" s="34">
        <v>0</v>
      </c>
      <c r="U73" s="49">
        <f t="shared" ref="U73:U92" si="75">+I73-SUM(J73:T73)</f>
        <v>3160.386</v>
      </c>
      <c r="V73" s="33">
        <f t="shared" ref="V73:V81" si="76">IF(I73&gt;2250,I73*0.1,0)</f>
        <v>353.31360000000001</v>
      </c>
      <c r="W73" s="49">
        <f t="shared" ref="W73:W81" si="77">+U73-V73</f>
        <v>2807.0724</v>
      </c>
      <c r="X73" s="33">
        <f t="shared" ref="X73:X81" si="78">IF(I73&lt;2250,I73*0.1,0)</f>
        <v>0</v>
      </c>
      <c r="Y73" s="33">
        <v>10.23</v>
      </c>
      <c r="Z73" s="33" t="str">
        <f t="shared" ref="Z73:Z81" si="79">+N73</f>
        <v>XX</v>
      </c>
      <c r="AA73" s="49" t="e">
        <f t="shared" ref="AA73:AA81" si="80">+I73+X73+Y73+Z73</f>
        <v>#VALUE!</v>
      </c>
      <c r="AB73" s="56"/>
      <c r="AC73" s="57"/>
      <c r="AD73" s="50">
        <f t="shared" ref="AD73:AD76" si="81">+AB73+AC73-W73</f>
        <v>-2807.0724</v>
      </c>
      <c r="AE73" s="36">
        <v>56708845774</v>
      </c>
      <c r="AF73" s="36" t="s">
        <v>149</v>
      </c>
      <c r="AG73" s="18" t="s">
        <v>161</v>
      </c>
    </row>
    <row r="74" spans="1:186" s="18" customFormat="1">
      <c r="A74" s="34" t="s">
        <v>42</v>
      </c>
      <c r="B74" s="34" t="s">
        <v>99</v>
      </c>
      <c r="C74" s="34"/>
      <c r="D74" s="34" t="s">
        <v>122</v>
      </c>
      <c r="E74" s="54">
        <v>41740</v>
      </c>
      <c r="F74" s="35">
        <f>1476.75+5.571</f>
        <v>1482.3209999999999</v>
      </c>
      <c r="G74" s="35"/>
      <c r="H74" s="35"/>
      <c r="I74" s="49">
        <f t="shared" si="74"/>
        <v>1482.3209999999999</v>
      </c>
      <c r="J74" s="35">
        <v>275.38</v>
      </c>
      <c r="K74" s="67"/>
      <c r="L74" s="35"/>
      <c r="M74" s="35">
        <v>300</v>
      </c>
      <c r="N74" s="68" t="s">
        <v>182</v>
      </c>
      <c r="O74" s="68" t="s">
        <v>182</v>
      </c>
      <c r="P74" s="35"/>
      <c r="Q74" s="33"/>
      <c r="R74" s="33"/>
      <c r="S74" s="34"/>
      <c r="T74" s="34">
        <v>0</v>
      </c>
      <c r="U74" s="49">
        <f t="shared" si="75"/>
        <v>906.94099999999992</v>
      </c>
      <c r="V74" s="33">
        <f t="shared" si="76"/>
        <v>0</v>
      </c>
      <c r="W74" s="49">
        <f t="shared" si="77"/>
        <v>906.94099999999992</v>
      </c>
      <c r="X74" s="33">
        <f t="shared" si="78"/>
        <v>148.2321</v>
      </c>
      <c r="Y74" s="33">
        <v>10.23</v>
      </c>
      <c r="Z74" s="33" t="str">
        <f t="shared" si="79"/>
        <v>XX</v>
      </c>
      <c r="AA74" s="49" t="e">
        <f t="shared" si="80"/>
        <v>#VALUE!</v>
      </c>
      <c r="AB74" s="56"/>
      <c r="AC74" s="57"/>
      <c r="AD74" s="50">
        <f t="shared" si="81"/>
        <v>-906.94099999999992</v>
      </c>
      <c r="AE74" s="36">
        <v>56708845788</v>
      </c>
      <c r="AF74" s="36" t="s">
        <v>149</v>
      </c>
      <c r="AG74" s="18" t="s">
        <v>161</v>
      </c>
    </row>
    <row r="75" spans="1:186" s="18" customFormat="1">
      <c r="A75" s="34" t="s">
        <v>42</v>
      </c>
      <c r="B75" s="34" t="s">
        <v>154</v>
      </c>
      <c r="C75" s="34"/>
      <c r="D75" s="34" t="s">
        <v>118</v>
      </c>
      <c r="E75" s="54">
        <v>42779</v>
      </c>
      <c r="F75" s="35">
        <v>1067.4459999999999</v>
      </c>
      <c r="G75" s="35"/>
      <c r="H75" s="35"/>
      <c r="I75" s="49">
        <f t="shared" si="74"/>
        <v>1067.4459999999999</v>
      </c>
      <c r="J75" s="35"/>
      <c r="K75" s="67"/>
      <c r="L75" s="35"/>
      <c r="M75" s="35"/>
      <c r="N75" s="68" t="s">
        <v>182</v>
      </c>
      <c r="O75" s="68" t="s">
        <v>182</v>
      </c>
      <c r="P75" s="35"/>
      <c r="Q75" s="33"/>
      <c r="R75" s="33"/>
      <c r="S75" s="34"/>
      <c r="T75" s="34"/>
      <c r="U75" s="49">
        <f t="shared" si="75"/>
        <v>1067.4459999999999</v>
      </c>
      <c r="V75" s="33"/>
      <c r="W75" s="49"/>
      <c r="X75" s="33"/>
      <c r="Y75" s="33"/>
      <c r="Z75" s="33"/>
      <c r="AA75" s="49"/>
      <c r="AB75" s="56"/>
      <c r="AC75" s="57"/>
      <c r="AD75" s="50"/>
      <c r="AE75" s="36">
        <v>60589582591</v>
      </c>
      <c r="AF75" s="36"/>
      <c r="AG75" s="18" t="s">
        <v>161</v>
      </c>
    </row>
    <row r="76" spans="1:186" s="18" customFormat="1">
      <c r="A76" s="34" t="s">
        <v>42</v>
      </c>
      <c r="B76" s="34" t="s">
        <v>55</v>
      </c>
      <c r="C76" s="34"/>
      <c r="D76" s="34" t="s">
        <v>47</v>
      </c>
      <c r="E76" s="54">
        <v>41227</v>
      </c>
      <c r="F76" s="35">
        <f>3862.32+13.099</f>
        <v>3875.4190000000003</v>
      </c>
      <c r="G76" s="35"/>
      <c r="H76" s="35"/>
      <c r="I76" s="49">
        <f t="shared" si="74"/>
        <v>3875.4190000000003</v>
      </c>
      <c r="J76" s="35"/>
      <c r="K76" s="67"/>
      <c r="L76" s="35"/>
      <c r="M76" s="33">
        <v>700</v>
      </c>
      <c r="N76" s="68" t="s">
        <v>182</v>
      </c>
      <c r="O76" s="68" t="s">
        <v>182</v>
      </c>
      <c r="P76" s="35"/>
      <c r="Q76" s="33"/>
      <c r="R76" s="33"/>
      <c r="S76" s="34"/>
      <c r="T76" s="34">
        <v>0</v>
      </c>
      <c r="U76" s="49">
        <f t="shared" si="75"/>
        <v>3175.4190000000003</v>
      </c>
      <c r="V76" s="33">
        <f t="shared" si="76"/>
        <v>387.54190000000006</v>
      </c>
      <c r="W76" s="49">
        <f t="shared" si="77"/>
        <v>2787.8771000000002</v>
      </c>
      <c r="X76" s="33">
        <f t="shared" si="78"/>
        <v>0</v>
      </c>
      <c r="Y76" s="33">
        <v>10.23</v>
      </c>
      <c r="Z76" s="33" t="str">
        <f t="shared" si="79"/>
        <v>XX</v>
      </c>
      <c r="AA76" s="49" t="e">
        <f t="shared" si="80"/>
        <v>#VALUE!</v>
      </c>
      <c r="AB76" s="56"/>
      <c r="AC76" s="57"/>
      <c r="AD76" s="50">
        <f t="shared" si="81"/>
        <v>-2787.8771000000002</v>
      </c>
      <c r="AE76" s="36">
        <v>56708845791</v>
      </c>
      <c r="AF76" s="36"/>
      <c r="AG76" s="18" t="s">
        <v>161</v>
      </c>
    </row>
    <row r="77" spans="1:186" s="18" customFormat="1">
      <c r="A77" s="34" t="s">
        <v>40</v>
      </c>
      <c r="B77" s="34" t="s">
        <v>94</v>
      </c>
      <c r="C77" s="34"/>
      <c r="D77" s="34" t="s">
        <v>118</v>
      </c>
      <c r="E77" s="54">
        <v>42338</v>
      </c>
      <c r="F77" s="35">
        <f>3738+7.428</f>
        <v>3745.4279999999999</v>
      </c>
      <c r="G77" s="35"/>
      <c r="H77" s="35"/>
      <c r="I77" s="49">
        <f t="shared" si="74"/>
        <v>3745.4279999999999</v>
      </c>
      <c r="J77" s="35"/>
      <c r="K77" s="67">
        <v>1</v>
      </c>
      <c r="L77" s="35"/>
      <c r="M77" s="35">
        <v>0</v>
      </c>
      <c r="N77" s="68"/>
      <c r="O77" s="68"/>
      <c r="P77" s="35"/>
      <c r="Q77" s="33"/>
      <c r="R77" s="33"/>
      <c r="S77" s="34"/>
      <c r="T77" s="34">
        <v>0</v>
      </c>
      <c r="U77" s="49">
        <f t="shared" si="75"/>
        <v>3744.4279999999999</v>
      </c>
      <c r="V77" s="33">
        <f t="shared" si="76"/>
        <v>374.5428</v>
      </c>
      <c r="W77" s="49">
        <f t="shared" si="77"/>
        <v>3369.8851999999997</v>
      </c>
      <c r="X77" s="33">
        <f t="shared" si="78"/>
        <v>0</v>
      </c>
      <c r="Y77" s="33">
        <v>10.23</v>
      </c>
      <c r="Z77" s="33">
        <f t="shared" si="79"/>
        <v>0</v>
      </c>
      <c r="AA77" s="49">
        <f t="shared" si="80"/>
        <v>3755.6579999999999</v>
      </c>
      <c r="AB77" s="56"/>
      <c r="AC77" s="57"/>
      <c r="AD77" s="50">
        <f>+AB77+AC77-W77</f>
        <v>-3369.8851999999997</v>
      </c>
      <c r="AE77" s="36">
        <v>56708881872</v>
      </c>
      <c r="AF77" s="36"/>
      <c r="AG77" s="18" t="s">
        <v>161</v>
      </c>
    </row>
    <row r="78" spans="1:186" s="18" customFormat="1">
      <c r="A78" s="34" t="s">
        <v>42</v>
      </c>
      <c r="B78" s="34" t="s">
        <v>158</v>
      </c>
      <c r="C78" s="34"/>
      <c r="D78" s="34" t="s">
        <v>118</v>
      </c>
      <c r="E78" s="54">
        <v>42807</v>
      </c>
      <c r="F78" s="35">
        <v>547.77700000000004</v>
      </c>
      <c r="G78" s="35"/>
      <c r="H78" s="35"/>
      <c r="I78" s="49">
        <f t="shared" si="74"/>
        <v>547.77700000000004</v>
      </c>
      <c r="J78" s="35"/>
      <c r="K78" s="67"/>
      <c r="L78" s="35"/>
      <c r="M78" s="35"/>
      <c r="N78" s="68" t="s">
        <v>182</v>
      </c>
      <c r="O78" s="68" t="s">
        <v>182</v>
      </c>
      <c r="P78" s="35"/>
      <c r="Q78" s="33"/>
      <c r="R78" s="33"/>
      <c r="S78" s="34"/>
      <c r="T78" s="34"/>
      <c r="U78" s="49">
        <f t="shared" si="75"/>
        <v>547.77700000000004</v>
      </c>
      <c r="V78" s="33"/>
      <c r="W78" s="49"/>
      <c r="X78" s="33"/>
      <c r="Y78" s="33"/>
      <c r="Z78" s="33"/>
      <c r="AA78" s="49"/>
      <c r="AB78" s="56"/>
      <c r="AC78" s="57"/>
      <c r="AD78" s="50"/>
      <c r="AE78" s="36">
        <v>60589642468</v>
      </c>
      <c r="AF78" s="36"/>
      <c r="AG78" s="18" t="s">
        <v>161</v>
      </c>
    </row>
    <row r="79" spans="1:186" s="18" customFormat="1">
      <c r="A79" s="71" t="s">
        <v>40</v>
      </c>
      <c r="B79" s="71" t="s">
        <v>136</v>
      </c>
      <c r="C79" s="71"/>
      <c r="D79" s="71" t="s">
        <v>43</v>
      </c>
      <c r="E79" s="73">
        <v>42681</v>
      </c>
      <c r="F79" s="95">
        <v>0</v>
      </c>
      <c r="G79" s="95"/>
      <c r="H79" s="95"/>
      <c r="I79" s="49">
        <f t="shared" si="74"/>
        <v>0</v>
      </c>
      <c r="J79" s="35"/>
      <c r="K79" s="67"/>
      <c r="L79" s="35"/>
      <c r="M79" s="35">
        <v>150</v>
      </c>
      <c r="N79" s="68"/>
      <c r="O79" s="68"/>
      <c r="P79" s="35"/>
      <c r="Q79" s="33"/>
      <c r="R79" s="33"/>
      <c r="S79" s="34"/>
      <c r="T79" s="34"/>
      <c r="U79" s="49">
        <f t="shared" si="75"/>
        <v>-150</v>
      </c>
      <c r="V79" s="33">
        <f t="shared" ref="V79" si="82">IF(I79&gt;2250,I79*0.1,0)</f>
        <v>0</v>
      </c>
      <c r="W79" s="49">
        <f t="shared" ref="W79" si="83">+U79-V79</f>
        <v>-150</v>
      </c>
      <c r="X79" s="33"/>
      <c r="Y79" s="33"/>
      <c r="Z79" s="33"/>
      <c r="AA79" s="49"/>
      <c r="AB79" s="56"/>
      <c r="AC79" s="57"/>
      <c r="AD79" s="50"/>
      <c r="AE79" s="96">
        <v>56710773131</v>
      </c>
      <c r="AF79" s="96" t="s">
        <v>192</v>
      </c>
      <c r="AG79" s="18" t="s">
        <v>161</v>
      </c>
    </row>
    <row r="80" spans="1:186" s="18" customFormat="1">
      <c r="A80" s="34" t="s">
        <v>42</v>
      </c>
      <c r="B80" s="34" t="s">
        <v>104</v>
      </c>
      <c r="C80" s="34"/>
      <c r="D80" s="34" t="s">
        <v>122</v>
      </c>
      <c r="E80" s="54">
        <v>41227</v>
      </c>
      <c r="F80" s="35">
        <f>2099.739+2.599</f>
        <v>2102.3380000000002</v>
      </c>
      <c r="G80" s="35"/>
      <c r="H80" s="35"/>
      <c r="I80" s="49">
        <f t="shared" si="74"/>
        <v>2102.3380000000002</v>
      </c>
      <c r="J80" s="35">
        <v>199.21</v>
      </c>
      <c r="K80" s="83"/>
      <c r="L80" s="35"/>
      <c r="M80" s="33">
        <v>500</v>
      </c>
      <c r="N80" s="68" t="s">
        <v>182</v>
      </c>
      <c r="O80" s="68" t="s">
        <v>182</v>
      </c>
      <c r="P80" s="35"/>
      <c r="Q80" s="33"/>
      <c r="R80" s="33"/>
      <c r="S80" s="34"/>
      <c r="T80" s="34">
        <v>0</v>
      </c>
      <c r="U80" s="49">
        <f t="shared" si="75"/>
        <v>1403.1280000000002</v>
      </c>
      <c r="V80" s="33">
        <f t="shared" si="76"/>
        <v>0</v>
      </c>
      <c r="W80" s="49">
        <f t="shared" si="77"/>
        <v>1403.1280000000002</v>
      </c>
      <c r="X80" s="33">
        <f t="shared" si="78"/>
        <v>210.23380000000003</v>
      </c>
      <c r="Y80" s="33">
        <v>10.23</v>
      </c>
      <c r="Z80" s="33" t="str">
        <f t="shared" si="79"/>
        <v>XX</v>
      </c>
      <c r="AA80" s="49" t="e">
        <f t="shared" si="80"/>
        <v>#VALUE!</v>
      </c>
      <c r="AB80" s="56"/>
      <c r="AC80" s="57"/>
      <c r="AD80" s="50">
        <f>+AB80+AC80-W80</f>
        <v>-1403.1280000000002</v>
      </c>
      <c r="AE80" s="36">
        <v>56708845820</v>
      </c>
      <c r="AF80" s="36" t="s">
        <v>149</v>
      </c>
      <c r="AG80" s="18" t="s">
        <v>161</v>
      </c>
    </row>
    <row r="81" spans="1:33" s="18" customFormat="1">
      <c r="A81" s="34" t="s">
        <v>42</v>
      </c>
      <c r="B81" s="34" t="s">
        <v>66</v>
      </c>
      <c r="C81" s="34"/>
      <c r="D81" s="34" t="s">
        <v>122</v>
      </c>
      <c r="E81" s="54">
        <v>41227</v>
      </c>
      <c r="F81" s="35">
        <f>4298.7+2.972</f>
        <v>4301.6719999999996</v>
      </c>
      <c r="G81" s="35"/>
      <c r="H81" s="35"/>
      <c r="I81" s="49">
        <f t="shared" si="74"/>
        <v>4301.6719999999996</v>
      </c>
      <c r="J81" s="35"/>
      <c r="K81" s="67"/>
      <c r="L81" s="35"/>
      <c r="M81" s="35">
        <v>1000</v>
      </c>
      <c r="N81" s="68" t="s">
        <v>182</v>
      </c>
      <c r="O81" s="68" t="s">
        <v>182</v>
      </c>
      <c r="P81" s="35"/>
      <c r="Q81" s="33"/>
      <c r="R81" s="33"/>
      <c r="S81" s="34"/>
      <c r="T81" s="34">
        <v>0</v>
      </c>
      <c r="U81" s="49">
        <f t="shared" si="75"/>
        <v>3301.6719999999996</v>
      </c>
      <c r="V81" s="33">
        <f t="shared" si="76"/>
        <v>430.16719999999998</v>
      </c>
      <c r="W81" s="49">
        <f t="shared" si="77"/>
        <v>2871.5047999999997</v>
      </c>
      <c r="X81" s="33">
        <f t="shared" si="78"/>
        <v>0</v>
      </c>
      <c r="Y81" s="33">
        <v>10.23</v>
      </c>
      <c r="Z81" s="33" t="str">
        <f t="shared" si="79"/>
        <v>XX</v>
      </c>
      <c r="AA81" s="49" t="e">
        <f t="shared" si="80"/>
        <v>#VALUE!</v>
      </c>
      <c r="AB81" s="56"/>
      <c r="AC81" s="57"/>
      <c r="AD81" s="50">
        <f>+AB81+AC81-W81</f>
        <v>-2871.5047999999997</v>
      </c>
      <c r="AE81" s="36">
        <v>56708845834</v>
      </c>
      <c r="AF81" s="36"/>
      <c r="AG81" s="18" t="s">
        <v>161</v>
      </c>
    </row>
    <row r="82" spans="1:33" s="18" customFormat="1">
      <c r="A82" s="34" t="s">
        <v>42</v>
      </c>
      <c r="B82" s="34" t="s">
        <v>172</v>
      </c>
      <c r="C82" s="34"/>
      <c r="D82" s="34" t="s">
        <v>142</v>
      </c>
      <c r="E82" s="54">
        <v>42842</v>
      </c>
      <c r="F82" s="35">
        <f>1785.525+5.571</f>
        <v>1791.096</v>
      </c>
      <c r="G82" s="35"/>
      <c r="H82" s="35"/>
      <c r="I82" s="49">
        <f t="shared" si="74"/>
        <v>1791.096</v>
      </c>
      <c r="J82" s="35"/>
      <c r="K82" s="67"/>
      <c r="L82" s="35"/>
      <c r="M82" s="35"/>
      <c r="N82" s="68" t="s">
        <v>182</v>
      </c>
      <c r="O82" s="68" t="s">
        <v>182</v>
      </c>
      <c r="P82" s="35"/>
      <c r="Q82" s="33"/>
      <c r="R82" s="33"/>
      <c r="S82" s="34"/>
      <c r="T82" s="34"/>
      <c r="U82" s="49">
        <f t="shared" si="75"/>
        <v>1791.096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60590100738</v>
      </c>
      <c r="AF82" s="36"/>
      <c r="AG82" s="18" t="s">
        <v>161</v>
      </c>
    </row>
    <row r="83" spans="1:33" s="18" customFormat="1">
      <c r="A83" s="34" t="s">
        <v>40</v>
      </c>
      <c r="B83" s="34" t="s">
        <v>124</v>
      </c>
      <c r="C83" s="34"/>
      <c r="D83" s="34" t="s">
        <v>142</v>
      </c>
      <c r="E83" s="54">
        <v>42604</v>
      </c>
      <c r="F83" s="35">
        <v>379.28500000000003</v>
      </c>
      <c r="G83" s="35"/>
      <c r="H83" s="35"/>
      <c r="I83" s="49">
        <f t="shared" si="74"/>
        <v>379.28500000000003</v>
      </c>
      <c r="J83" s="35"/>
      <c r="K83" s="67"/>
      <c r="L83" s="35"/>
      <c r="M83" s="35"/>
      <c r="N83" s="68" t="s">
        <v>182</v>
      </c>
      <c r="O83" s="68" t="s">
        <v>182</v>
      </c>
      <c r="P83" s="35"/>
      <c r="Q83" s="33"/>
      <c r="R83" s="33"/>
      <c r="S83" s="34"/>
      <c r="T83" s="34"/>
      <c r="U83" s="49">
        <f t="shared" si="75"/>
        <v>379.28500000000003</v>
      </c>
      <c r="V83" s="33">
        <f t="shared" ref="V83" si="84">IF(I83&gt;2250,I83*0.1,0)</f>
        <v>0</v>
      </c>
      <c r="W83" s="49">
        <f t="shared" ref="W83" si="85">+U83-V83</f>
        <v>379.28500000000003</v>
      </c>
      <c r="X83" s="33"/>
      <c r="Y83" s="33"/>
      <c r="Z83" s="33"/>
      <c r="AA83" s="49"/>
      <c r="AB83" s="56"/>
      <c r="AC83" s="57"/>
      <c r="AD83" s="50"/>
      <c r="AE83" s="36">
        <v>56708845848</v>
      </c>
      <c r="AF83" s="36"/>
      <c r="AG83" s="18" t="s">
        <v>161</v>
      </c>
    </row>
    <row r="84" spans="1:33" s="18" customFormat="1">
      <c r="A84" s="34" t="s">
        <v>42</v>
      </c>
      <c r="B84" s="34" t="s">
        <v>177</v>
      </c>
      <c r="C84" s="34"/>
      <c r="D84" s="34" t="s">
        <v>118</v>
      </c>
      <c r="E84" s="54">
        <v>42864</v>
      </c>
      <c r="F84" s="35">
        <v>406.608</v>
      </c>
      <c r="G84" s="35"/>
      <c r="H84" s="35"/>
      <c r="I84" s="49">
        <f t="shared" si="74"/>
        <v>406.608</v>
      </c>
      <c r="J84" s="35"/>
      <c r="K84" s="67"/>
      <c r="L84" s="35"/>
      <c r="M84" s="35"/>
      <c r="N84" s="68" t="s">
        <v>182</v>
      </c>
      <c r="O84" s="68" t="s">
        <v>182</v>
      </c>
      <c r="P84" s="35"/>
      <c r="Q84" s="33"/>
      <c r="R84" s="33"/>
      <c r="S84" s="34"/>
      <c r="T84" s="34"/>
      <c r="U84" s="49">
        <f t="shared" si="75"/>
        <v>406.608</v>
      </c>
      <c r="V84" s="33"/>
      <c r="W84" s="49"/>
      <c r="X84" s="33"/>
      <c r="Y84" s="33"/>
      <c r="Z84" s="33"/>
      <c r="AA84" s="49"/>
      <c r="AB84" s="56"/>
      <c r="AC84" s="57"/>
      <c r="AD84" s="50"/>
      <c r="AE84" s="36" t="s">
        <v>144</v>
      </c>
      <c r="AF84" s="36"/>
    </row>
    <row r="85" spans="1:33" s="18" customFormat="1">
      <c r="A85" s="34" t="s">
        <v>40</v>
      </c>
      <c r="B85" s="34" t="s">
        <v>67</v>
      </c>
      <c r="C85" s="34"/>
      <c r="D85" s="34" t="s">
        <v>43</v>
      </c>
      <c r="E85" s="54">
        <v>42319</v>
      </c>
      <c r="F85" s="35">
        <v>0</v>
      </c>
      <c r="G85" s="35"/>
      <c r="H85" s="35"/>
      <c r="I85" s="49">
        <f t="shared" si="74"/>
        <v>0</v>
      </c>
      <c r="J85" s="35"/>
      <c r="K85" s="67">
        <v>1</v>
      </c>
      <c r="L85" s="35"/>
      <c r="M85" s="35">
        <v>0</v>
      </c>
      <c r="N85" s="68"/>
      <c r="O85" s="68"/>
      <c r="P85" s="35"/>
      <c r="Q85" s="33"/>
      <c r="R85" s="33"/>
      <c r="S85" s="34"/>
      <c r="T85" s="34">
        <v>0</v>
      </c>
      <c r="U85" s="49">
        <f t="shared" si="75"/>
        <v>-1</v>
      </c>
      <c r="V85" s="33">
        <f t="shared" ref="V85:V109" si="86">IF(I85&gt;2250,I85*0.1,0)</f>
        <v>0</v>
      </c>
      <c r="W85" s="49">
        <f t="shared" ref="W85:W109" si="87">+U85-V85</f>
        <v>-1</v>
      </c>
      <c r="X85" s="33">
        <f t="shared" ref="X85:X109" si="88">IF(I85&lt;2250,I85*0.1,0)</f>
        <v>0</v>
      </c>
      <c r="Y85" s="33">
        <v>19.23</v>
      </c>
      <c r="Z85" s="33">
        <f t="shared" ref="Z85:Z109" si="89">+N85</f>
        <v>0</v>
      </c>
      <c r="AA85" s="49">
        <f t="shared" ref="AA85:AA109" si="90">+I85+X85+Y85+Z85</f>
        <v>19.23</v>
      </c>
      <c r="AB85" s="56"/>
      <c r="AC85" s="57"/>
      <c r="AD85" s="50">
        <f>+AB85+AC85-W85</f>
        <v>1</v>
      </c>
      <c r="AE85" s="36">
        <v>56708881901</v>
      </c>
      <c r="AF85" s="36"/>
      <c r="AG85" s="18" t="s">
        <v>161</v>
      </c>
    </row>
    <row r="86" spans="1:33" s="18" customFormat="1">
      <c r="A86" s="34" t="s">
        <v>40</v>
      </c>
      <c r="B86" s="34" t="s">
        <v>185</v>
      </c>
      <c r="C86" s="34"/>
      <c r="D86" s="34" t="s">
        <v>43</v>
      </c>
      <c r="E86" s="54">
        <v>42884</v>
      </c>
      <c r="F86" s="35"/>
      <c r="G86" s="35"/>
      <c r="H86" s="35"/>
      <c r="I86" s="49">
        <f t="shared" si="74"/>
        <v>0</v>
      </c>
      <c r="J86" s="35"/>
      <c r="K86" s="67"/>
      <c r="L86" s="35"/>
      <c r="M86" s="35"/>
      <c r="N86" s="68"/>
      <c r="O86" s="68"/>
      <c r="P86" s="35"/>
      <c r="Q86" s="33"/>
      <c r="R86" s="33"/>
      <c r="S86" s="34"/>
      <c r="T86" s="34"/>
      <c r="U86" s="49">
        <f t="shared" si="75"/>
        <v>0</v>
      </c>
      <c r="V86" s="33"/>
      <c r="W86" s="49"/>
      <c r="X86" s="33"/>
      <c r="Y86" s="33"/>
      <c r="Z86" s="33"/>
      <c r="AA86" s="49"/>
      <c r="AB86" s="56"/>
      <c r="AC86" s="57"/>
      <c r="AD86" s="50"/>
      <c r="AE86" s="36">
        <v>60592118015</v>
      </c>
      <c r="AF86" s="36"/>
    </row>
    <row r="87" spans="1:33" s="18" customFormat="1">
      <c r="A87" s="34" t="s">
        <v>42</v>
      </c>
      <c r="B87" s="34" t="s">
        <v>178</v>
      </c>
      <c r="C87" s="34"/>
      <c r="D87" s="34" t="s">
        <v>142</v>
      </c>
      <c r="E87" s="54">
        <v>42863</v>
      </c>
      <c r="F87" s="35">
        <f>1651.723+3.736</f>
        <v>1655.4590000000001</v>
      </c>
      <c r="G87" s="35"/>
      <c r="H87" s="35"/>
      <c r="I87" s="49">
        <f t="shared" si="74"/>
        <v>1655.4590000000001</v>
      </c>
      <c r="J87" s="35"/>
      <c r="K87" s="67"/>
      <c r="L87" s="35"/>
      <c r="M87" s="35"/>
      <c r="N87" s="68" t="s">
        <v>182</v>
      </c>
      <c r="O87" s="68" t="s">
        <v>182</v>
      </c>
      <c r="P87" s="35"/>
      <c r="Q87" s="33"/>
      <c r="R87" s="33"/>
      <c r="S87" s="34"/>
      <c r="T87" s="34"/>
      <c r="U87" s="49">
        <f t="shared" si="75"/>
        <v>1655.4590000000001</v>
      </c>
      <c r="V87" s="33"/>
      <c r="W87" s="49"/>
      <c r="X87" s="33"/>
      <c r="Y87" s="33"/>
      <c r="Z87" s="33"/>
      <c r="AA87" s="49"/>
      <c r="AB87" s="56"/>
      <c r="AC87" s="57"/>
      <c r="AD87" s="50"/>
      <c r="AE87" s="36">
        <v>60590821112</v>
      </c>
      <c r="AF87" s="36"/>
    </row>
    <row r="88" spans="1:33" s="18" customFormat="1">
      <c r="A88" s="34" t="s">
        <v>42</v>
      </c>
      <c r="B88" s="34" t="s">
        <v>51</v>
      </c>
      <c r="C88" s="34"/>
      <c r="D88" s="34" t="s">
        <v>142</v>
      </c>
      <c r="E88" s="54">
        <v>41981</v>
      </c>
      <c r="F88" s="35">
        <f>2003.802+2.599+1000</f>
        <v>3006.4009999999998</v>
      </c>
      <c r="G88" s="35"/>
      <c r="H88" s="35"/>
      <c r="I88" s="49">
        <f t="shared" si="74"/>
        <v>3006.4009999999998</v>
      </c>
      <c r="J88" s="35"/>
      <c r="K88" s="67"/>
      <c r="L88" s="35"/>
      <c r="M88" s="35">
        <v>300</v>
      </c>
      <c r="N88" s="68" t="s">
        <v>182</v>
      </c>
      <c r="O88" s="68" t="s">
        <v>182</v>
      </c>
      <c r="P88" s="35"/>
      <c r="Q88" s="33"/>
      <c r="R88" s="33"/>
      <c r="S88" s="34"/>
      <c r="T88" s="34">
        <v>0</v>
      </c>
      <c r="U88" s="49">
        <f t="shared" si="75"/>
        <v>2706.4009999999998</v>
      </c>
      <c r="V88" s="33">
        <f t="shared" si="86"/>
        <v>300.64010000000002</v>
      </c>
      <c r="W88" s="49">
        <f t="shared" si="87"/>
        <v>2405.7608999999998</v>
      </c>
      <c r="X88" s="33">
        <f t="shared" si="88"/>
        <v>0</v>
      </c>
      <c r="Y88" s="33">
        <v>10.23</v>
      </c>
      <c r="Z88" s="33" t="str">
        <f t="shared" si="89"/>
        <v>XX</v>
      </c>
      <c r="AA88" s="49" t="e">
        <f t="shared" si="90"/>
        <v>#VALUE!</v>
      </c>
      <c r="AB88" s="56"/>
      <c r="AC88" s="57"/>
      <c r="AD88" s="50">
        <f t="shared" ref="AD88:AD109" si="91">+AB88+AC88-W88</f>
        <v>-2405.7608999999998</v>
      </c>
      <c r="AE88" s="36">
        <v>56708845851</v>
      </c>
      <c r="AF88" s="36"/>
      <c r="AG88" s="18" t="s">
        <v>161</v>
      </c>
    </row>
    <row r="89" spans="1:33" s="18" customFormat="1">
      <c r="A89" s="34" t="s">
        <v>42</v>
      </c>
      <c r="B89" s="34" t="s">
        <v>83</v>
      </c>
      <c r="C89" s="34"/>
      <c r="D89" s="34" t="s">
        <v>122</v>
      </c>
      <c r="E89" s="53">
        <v>41284</v>
      </c>
      <c r="F89" s="35">
        <f>2009.447+2.599</f>
        <v>2012.0459999999998</v>
      </c>
      <c r="G89" s="35"/>
      <c r="H89" s="35"/>
      <c r="I89" s="49">
        <f t="shared" si="74"/>
        <v>2012.0459999999998</v>
      </c>
      <c r="J89" s="35">
        <v>246.63</v>
      </c>
      <c r="K89" s="67"/>
      <c r="L89" s="35"/>
      <c r="M89" s="35">
        <v>0</v>
      </c>
      <c r="N89" s="68" t="s">
        <v>182</v>
      </c>
      <c r="O89" s="68" t="s">
        <v>182</v>
      </c>
      <c r="P89" s="35"/>
      <c r="Q89" s="33"/>
      <c r="R89" s="33"/>
      <c r="S89" s="34"/>
      <c r="T89" s="34">
        <v>0</v>
      </c>
      <c r="U89" s="49">
        <f t="shared" si="75"/>
        <v>1765.4159999999997</v>
      </c>
      <c r="V89" s="33">
        <f t="shared" si="86"/>
        <v>0</v>
      </c>
      <c r="W89" s="49">
        <f t="shared" si="87"/>
        <v>1765.4159999999997</v>
      </c>
      <c r="X89" s="33">
        <f t="shared" si="88"/>
        <v>201.2046</v>
      </c>
      <c r="Y89" s="33">
        <v>10.23</v>
      </c>
      <c r="Z89" s="33" t="str">
        <f t="shared" si="89"/>
        <v>XX</v>
      </c>
      <c r="AA89" s="49" t="e">
        <f t="shared" si="90"/>
        <v>#VALUE!</v>
      </c>
      <c r="AB89" s="56"/>
      <c r="AC89" s="57"/>
      <c r="AD89" s="50">
        <f t="shared" si="91"/>
        <v>-1765.4159999999997</v>
      </c>
      <c r="AE89" s="36">
        <v>56708881915</v>
      </c>
      <c r="AF89" s="36" t="s">
        <v>149</v>
      </c>
      <c r="AG89" s="18" t="s">
        <v>161</v>
      </c>
    </row>
    <row r="90" spans="1:33" s="18" customFormat="1">
      <c r="A90" s="34" t="s">
        <v>40</v>
      </c>
      <c r="B90" s="34" t="s">
        <v>168</v>
      </c>
      <c r="C90" s="34"/>
      <c r="D90" s="34" t="s">
        <v>43</v>
      </c>
      <c r="E90" s="54">
        <v>42823</v>
      </c>
      <c r="F90" s="35">
        <f>3274+13.099</f>
        <v>3287.0990000000002</v>
      </c>
      <c r="G90" s="35"/>
      <c r="H90" s="35"/>
      <c r="I90" s="49">
        <f t="shared" si="74"/>
        <v>3287.0990000000002</v>
      </c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/>
      <c r="U90" s="49"/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60589704184</v>
      </c>
      <c r="AF90" s="36"/>
      <c r="AG90" s="18" t="s">
        <v>161</v>
      </c>
    </row>
    <row r="91" spans="1:33" s="18" customFormat="1">
      <c r="A91" s="34" t="s">
        <v>42</v>
      </c>
      <c r="B91" s="34" t="s">
        <v>53</v>
      </c>
      <c r="C91" s="34"/>
      <c r="D91" s="34" t="s">
        <v>122</v>
      </c>
      <c r="E91" s="53">
        <v>41227</v>
      </c>
      <c r="F91" s="35">
        <f>1957.439+2.972+13.152</f>
        <v>1973.5630000000001</v>
      </c>
      <c r="G91" s="35"/>
      <c r="H91" s="35"/>
      <c r="I91" s="49">
        <f t="shared" si="74"/>
        <v>1973.5630000000001</v>
      </c>
      <c r="J91" s="35">
        <v>307.93</v>
      </c>
      <c r="K91" s="67"/>
      <c r="L91" s="35"/>
      <c r="M91" s="35">
        <v>0</v>
      </c>
      <c r="N91" s="68" t="s">
        <v>182</v>
      </c>
      <c r="O91" s="68" t="s">
        <v>182</v>
      </c>
      <c r="P91" s="35"/>
      <c r="Q91" s="33"/>
      <c r="R91" s="33"/>
      <c r="S91" s="34"/>
      <c r="T91" s="34">
        <v>0</v>
      </c>
      <c r="U91" s="49">
        <f t="shared" si="75"/>
        <v>1665.633</v>
      </c>
      <c r="V91" s="33">
        <f t="shared" si="86"/>
        <v>0</v>
      </c>
      <c r="W91" s="49">
        <f t="shared" si="87"/>
        <v>1665.633</v>
      </c>
      <c r="X91" s="33">
        <f t="shared" si="88"/>
        <v>197.35630000000003</v>
      </c>
      <c r="Y91" s="33">
        <v>10.23</v>
      </c>
      <c r="Z91" s="33" t="str">
        <f t="shared" si="89"/>
        <v>XX</v>
      </c>
      <c r="AA91" s="49" t="e">
        <f t="shared" si="90"/>
        <v>#VALUE!</v>
      </c>
      <c r="AB91" s="56"/>
      <c r="AC91" s="56"/>
      <c r="AD91" s="50">
        <f t="shared" si="91"/>
        <v>-1665.633</v>
      </c>
      <c r="AE91" s="36">
        <v>56708845865</v>
      </c>
      <c r="AF91" s="36" t="s">
        <v>149</v>
      </c>
      <c r="AG91" s="18" t="s">
        <v>161</v>
      </c>
    </row>
    <row r="92" spans="1:33" s="18" customFormat="1">
      <c r="A92" s="34" t="s">
        <v>40</v>
      </c>
      <c r="B92" s="34" t="s">
        <v>68</v>
      </c>
      <c r="C92" s="34"/>
      <c r="D92" s="34" t="s">
        <v>43</v>
      </c>
      <c r="E92" s="53">
        <v>41493</v>
      </c>
      <c r="F92" s="35">
        <f>4354.42+13.099</f>
        <v>4367.5190000000002</v>
      </c>
      <c r="G92" s="35"/>
      <c r="H92" s="35"/>
      <c r="I92" s="49">
        <f t="shared" si="74"/>
        <v>4367.5190000000002</v>
      </c>
      <c r="J92" s="35"/>
      <c r="K92" s="67">
        <v>1</v>
      </c>
      <c r="L92" s="35"/>
      <c r="M92" s="35">
        <v>0</v>
      </c>
      <c r="N92" s="68"/>
      <c r="O92" s="68"/>
      <c r="P92" s="35"/>
      <c r="Q92" s="33"/>
      <c r="R92" s="33"/>
      <c r="S92" s="34"/>
      <c r="T92" s="34">
        <v>0</v>
      </c>
      <c r="U92" s="49">
        <f t="shared" si="75"/>
        <v>4366.5190000000002</v>
      </c>
      <c r="V92" s="33">
        <f t="shared" si="86"/>
        <v>436.75190000000003</v>
      </c>
      <c r="W92" s="49">
        <f t="shared" si="87"/>
        <v>3929.7671</v>
      </c>
      <c r="X92" s="33">
        <f t="shared" si="88"/>
        <v>0</v>
      </c>
      <c r="Y92" s="33">
        <v>10.23</v>
      </c>
      <c r="Z92" s="33">
        <f t="shared" si="89"/>
        <v>0</v>
      </c>
      <c r="AA92" s="49">
        <f t="shared" si="90"/>
        <v>4377.7489999999998</v>
      </c>
      <c r="AB92" s="56"/>
      <c r="AC92" s="57"/>
      <c r="AD92" s="50">
        <f t="shared" si="91"/>
        <v>-3929.7671</v>
      </c>
      <c r="AE92" s="36">
        <v>56708845879</v>
      </c>
      <c r="AF92" s="36"/>
      <c r="AG92" s="18" t="s">
        <v>161</v>
      </c>
    </row>
    <row r="93" spans="1:33" s="18" customFormat="1">
      <c r="A93" s="34" t="s">
        <v>42</v>
      </c>
      <c r="B93" s="34" t="s">
        <v>114</v>
      </c>
      <c r="C93" s="34"/>
      <c r="D93" s="34" t="s">
        <v>142</v>
      </c>
      <c r="E93" s="54">
        <v>42493</v>
      </c>
      <c r="F93" s="35">
        <f>176.694+2.599+10.262</f>
        <v>189.55499999999998</v>
      </c>
      <c r="G93" s="35"/>
      <c r="H93" s="35"/>
      <c r="I93" s="49">
        <f t="shared" si="74"/>
        <v>189.55499999999998</v>
      </c>
      <c r="J93" s="35">
        <v>175</v>
      </c>
      <c r="K93" s="67"/>
      <c r="L93" s="35"/>
      <c r="M93" s="35">
        <v>0</v>
      </c>
      <c r="N93" s="68" t="s">
        <v>182</v>
      </c>
      <c r="O93" s="68" t="s">
        <v>182</v>
      </c>
      <c r="P93" s="35"/>
      <c r="Q93" s="33"/>
      <c r="R93" s="33"/>
      <c r="S93" s="34"/>
      <c r="T93" s="34">
        <v>0</v>
      </c>
      <c r="U93" s="49">
        <f t="shared" ref="U93:U109" si="92">+I93-SUM(J93:T93)</f>
        <v>14.554999999999978</v>
      </c>
      <c r="V93" s="33">
        <f t="shared" si="86"/>
        <v>0</v>
      </c>
      <c r="W93" s="49">
        <f t="shared" si="87"/>
        <v>14.554999999999978</v>
      </c>
      <c r="X93" s="33">
        <f t="shared" si="88"/>
        <v>18.955499999999997</v>
      </c>
      <c r="Y93" s="33">
        <v>10.23</v>
      </c>
      <c r="Z93" s="33" t="str">
        <f t="shared" si="89"/>
        <v>XX</v>
      </c>
      <c r="AA93" s="49" t="e">
        <f t="shared" si="90"/>
        <v>#VALUE!</v>
      </c>
      <c r="AB93" s="56"/>
      <c r="AC93" s="56"/>
      <c r="AD93" s="50">
        <f t="shared" si="91"/>
        <v>-14.554999999999978</v>
      </c>
      <c r="AE93" s="36">
        <v>56708845882</v>
      </c>
      <c r="AF93" s="36" t="s">
        <v>200</v>
      </c>
      <c r="AG93" s="18" t="s">
        <v>161</v>
      </c>
    </row>
    <row r="94" spans="1:33" s="18" customFormat="1">
      <c r="A94" s="34" t="s">
        <v>40</v>
      </c>
      <c r="B94" s="34" t="s">
        <v>191</v>
      </c>
      <c r="C94" s="34"/>
      <c r="D94" s="34" t="s">
        <v>118</v>
      </c>
      <c r="E94" s="54">
        <v>42716</v>
      </c>
      <c r="F94" s="35">
        <f>1118.75+3.736-461</f>
        <v>661.4860000000001</v>
      </c>
      <c r="G94" s="35"/>
      <c r="H94" s="35"/>
      <c r="I94" s="49">
        <f t="shared" si="74"/>
        <v>661.4860000000001</v>
      </c>
      <c r="J94" s="35"/>
      <c r="K94" s="67"/>
      <c r="L94" s="35"/>
      <c r="M94" s="35"/>
      <c r="N94" s="68"/>
      <c r="O94" s="68"/>
      <c r="P94" s="35"/>
      <c r="Q94" s="33"/>
      <c r="R94" s="33"/>
      <c r="S94" s="34"/>
      <c r="T94" s="65">
        <v>301.08999999999997</v>
      </c>
      <c r="U94" s="49">
        <f t="shared" ref="U94" si="93">+I94-SUM(J94:T94)</f>
        <v>360.39600000000013</v>
      </c>
      <c r="V94" s="33">
        <f t="shared" ref="V94" si="94">IF(I94&gt;2250,I94*0.1,0)</f>
        <v>0</v>
      </c>
      <c r="W94" s="49">
        <f t="shared" ref="W94" si="95">+U94-V94</f>
        <v>360.39600000000013</v>
      </c>
      <c r="X94" s="33"/>
      <c r="Y94" s="33"/>
      <c r="Z94" s="33">
        <f t="shared" si="89"/>
        <v>0</v>
      </c>
      <c r="AA94" s="49"/>
      <c r="AB94" s="56"/>
      <c r="AC94" s="56"/>
      <c r="AD94" s="50"/>
      <c r="AE94" s="36">
        <v>60589845501</v>
      </c>
      <c r="AF94" s="36"/>
      <c r="AG94" s="18" t="s">
        <v>161</v>
      </c>
    </row>
    <row r="95" spans="1:33" s="18" customFormat="1">
      <c r="A95" s="34" t="s">
        <v>40</v>
      </c>
      <c r="B95" s="34" t="s">
        <v>95</v>
      </c>
      <c r="C95" s="34"/>
      <c r="D95" s="34" t="s">
        <v>43</v>
      </c>
      <c r="E95" s="54">
        <v>42170</v>
      </c>
      <c r="F95" s="35">
        <f>4321.68+13.099</f>
        <v>4334.7790000000005</v>
      </c>
      <c r="G95" s="35"/>
      <c r="H95" s="35"/>
      <c r="I95" s="49">
        <f t="shared" si="74"/>
        <v>4334.7790000000005</v>
      </c>
      <c r="J95" s="67"/>
      <c r="K95" s="67"/>
      <c r="L95" s="35"/>
      <c r="M95" s="35">
        <v>0</v>
      </c>
      <c r="N95" s="68"/>
      <c r="O95" s="68"/>
      <c r="P95" s="35"/>
      <c r="Q95" s="33"/>
      <c r="R95" s="33"/>
      <c r="S95" s="34"/>
      <c r="T95" s="34">
        <v>0</v>
      </c>
      <c r="U95" s="49">
        <f t="shared" si="92"/>
        <v>4334.7790000000005</v>
      </c>
      <c r="V95" s="33">
        <f t="shared" si="86"/>
        <v>433.47790000000009</v>
      </c>
      <c r="W95" s="49">
        <f t="shared" si="87"/>
        <v>3901.3011000000006</v>
      </c>
      <c r="X95" s="33">
        <f t="shared" si="88"/>
        <v>0</v>
      </c>
      <c r="Y95" s="33">
        <v>10.23</v>
      </c>
      <c r="Z95" s="33">
        <f t="shared" si="89"/>
        <v>0</v>
      </c>
      <c r="AA95" s="49">
        <f t="shared" si="90"/>
        <v>4345.009</v>
      </c>
      <c r="AB95" s="56"/>
      <c r="AC95" s="57"/>
      <c r="AD95" s="50">
        <f t="shared" si="91"/>
        <v>-3901.3011000000006</v>
      </c>
      <c r="AE95" s="36">
        <v>56708881929</v>
      </c>
      <c r="AF95" s="36"/>
      <c r="AG95" s="18" t="s">
        <v>161</v>
      </c>
    </row>
    <row r="96" spans="1:33" s="18" customFormat="1">
      <c r="A96" s="34" t="s">
        <v>42</v>
      </c>
      <c r="B96" s="34" t="s">
        <v>58</v>
      </c>
      <c r="C96" s="34"/>
      <c r="D96" s="34" t="s">
        <v>121</v>
      </c>
      <c r="E96" s="54">
        <v>36868</v>
      </c>
      <c r="F96" s="35">
        <f>515.076+3.714</f>
        <v>518.79000000000008</v>
      </c>
      <c r="G96" s="35"/>
      <c r="H96" s="35"/>
      <c r="I96" s="49">
        <f t="shared" si="74"/>
        <v>518.79000000000008</v>
      </c>
      <c r="J96" s="35">
        <v>236.31</v>
      </c>
      <c r="K96" s="67"/>
      <c r="L96" s="35"/>
      <c r="M96" s="35">
        <v>0</v>
      </c>
      <c r="N96" s="68" t="s">
        <v>182</v>
      </c>
      <c r="O96" s="68" t="s">
        <v>182</v>
      </c>
      <c r="P96" s="35"/>
      <c r="Q96" s="33"/>
      <c r="R96" s="33"/>
      <c r="S96" s="34"/>
      <c r="T96" s="34">
        <v>0</v>
      </c>
      <c r="U96" s="49">
        <f t="shared" si="92"/>
        <v>282.48000000000008</v>
      </c>
      <c r="V96" s="33">
        <f t="shared" si="86"/>
        <v>0</v>
      </c>
      <c r="W96" s="49">
        <f t="shared" si="87"/>
        <v>282.48000000000008</v>
      </c>
      <c r="X96" s="33">
        <f t="shared" si="88"/>
        <v>51.879000000000012</v>
      </c>
      <c r="Y96" s="33">
        <v>10.23</v>
      </c>
      <c r="Z96" s="33" t="str">
        <f t="shared" si="89"/>
        <v>XX</v>
      </c>
      <c r="AA96" s="49" t="e">
        <f t="shared" si="90"/>
        <v>#VALUE!</v>
      </c>
      <c r="AB96" s="56"/>
      <c r="AC96" s="56"/>
      <c r="AD96" s="50">
        <f t="shared" si="91"/>
        <v>-282.48000000000008</v>
      </c>
      <c r="AE96" s="36">
        <v>56708845911</v>
      </c>
      <c r="AF96" s="36" t="s">
        <v>149</v>
      </c>
      <c r="AG96" s="18" t="s">
        <v>161</v>
      </c>
    </row>
    <row r="97" spans="1:33" s="18" customFormat="1">
      <c r="A97" s="34" t="s">
        <v>42</v>
      </c>
      <c r="B97" s="34" t="s">
        <v>56</v>
      </c>
      <c r="C97" s="34"/>
      <c r="D97" s="34" t="s">
        <v>119</v>
      </c>
      <c r="E97" s="54">
        <v>41949</v>
      </c>
      <c r="F97" s="35">
        <f>4206.5+5.571</f>
        <v>4212.0709999999999</v>
      </c>
      <c r="G97" s="35"/>
      <c r="H97" s="35"/>
      <c r="I97" s="49">
        <f t="shared" si="74"/>
        <v>4212.0709999999999</v>
      </c>
      <c r="J97" s="35"/>
      <c r="K97" s="67"/>
      <c r="L97" s="35"/>
      <c r="M97" s="35">
        <v>250</v>
      </c>
      <c r="N97" s="68" t="s">
        <v>182</v>
      </c>
      <c r="O97" s="68" t="s">
        <v>182</v>
      </c>
      <c r="P97" s="35"/>
      <c r="Q97" s="33"/>
      <c r="R97" s="33"/>
      <c r="S97" s="34"/>
      <c r="T97" s="34">
        <v>0</v>
      </c>
      <c r="U97" s="49">
        <f t="shared" si="92"/>
        <v>3962.0709999999999</v>
      </c>
      <c r="V97" s="33">
        <f t="shared" si="86"/>
        <v>421.20710000000003</v>
      </c>
      <c r="W97" s="49">
        <f t="shared" si="87"/>
        <v>3540.8638999999998</v>
      </c>
      <c r="X97" s="33">
        <f t="shared" si="88"/>
        <v>0</v>
      </c>
      <c r="Y97" s="33">
        <v>10.23</v>
      </c>
      <c r="Z97" s="33" t="str">
        <f t="shared" si="89"/>
        <v>XX</v>
      </c>
      <c r="AA97" s="49" t="e">
        <f t="shared" si="90"/>
        <v>#VALUE!</v>
      </c>
      <c r="AB97" s="56"/>
      <c r="AC97" s="57"/>
      <c r="AD97" s="50">
        <f t="shared" si="91"/>
        <v>-3540.8638999999998</v>
      </c>
      <c r="AE97" s="36">
        <v>56708845925</v>
      </c>
      <c r="AF97" s="34"/>
      <c r="AG97" s="18" t="s">
        <v>161</v>
      </c>
    </row>
    <row r="98" spans="1:33" s="18" customFormat="1">
      <c r="A98" s="34" t="s">
        <v>42</v>
      </c>
      <c r="B98" s="34" t="s">
        <v>184</v>
      </c>
      <c r="C98" s="34"/>
      <c r="D98" s="34" t="s">
        <v>43</v>
      </c>
      <c r="E98" s="54">
        <v>42885</v>
      </c>
      <c r="F98" s="35">
        <v>0</v>
      </c>
      <c r="G98" s="35"/>
      <c r="H98" s="35"/>
      <c r="I98" s="49">
        <f t="shared" si="74"/>
        <v>0</v>
      </c>
      <c r="J98" s="35"/>
      <c r="K98" s="67">
        <v>1</v>
      </c>
      <c r="L98" s="35"/>
      <c r="M98" s="35"/>
      <c r="N98" s="68"/>
      <c r="O98" s="68"/>
      <c r="P98" s="35"/>
      <c r="Q98" s="33"/>
      <c r="R98" s="33"/>
      <c r="S98" s="34"/>
      <c r="T98" s="34"/>
      <c r="U98" s="49">
        <f t="shared" si="92"/>
        <v>-1</v>
      </c>
      <c r="V98" s="33"/>
      <c r="W98" s="49"/>
      <c r="X98" s="33"/>
      <c r="Y98" s="33"/>
      <c r="Z98" s="33"/>
      <c r="AA98" s="49"/>
      <c r="AB98" s="56"/>
      <c r="AC98" s="57"/>
      <c r="AD98" s="50"/>
      <c r="AE98" s="36">
        <v>60591508620</v>
      </c>
      <c r="AF98" s="36"/>
    </row>
    <row r="99" spans="1:33" s="18" customFormat="1">
      <c r="A99" s="34" t="s">
        <v>40</v>
      </c>
      <c r="B99" s="34" t="s">
        <v>34</v>
      </c>
      <c r="C99" s="34"/>
      <c r="D99" s="34" t="s">
        <v>43</v>
      </c>
      <c r="E99" s="54">
        <v>42129</v>
      </c>
      <c r="F99" s="35">
        <f>2946.6+13.099</f>
        <v>2959.6990000000001</v>
      </c>
      <c r="G99" s="35"/>
      <c r="H99" s="35"/>
      <c r="I99" s="49">
        <f t="shared" si="74"/>
        <v>2959.6990000000001</v>
      </c>
      <c r="J99" s="35"/>
      <c r="K99" s="67"/>
      <c r="L99" s="35"/>
      <c r="M99" s="35">
        <v>0</v>
      </c>
      <c r="N99" s="68"/>
      <c r="O99" s="68"/>
      <c r="P99" s="35"/>
      <c r="Q99" s="33"/>
      <c r="R99" s="33"/>
      <c r="S99" s="34"/>
      <c r="T99" s="34">
        <v>0</v>
      </c>
      <c r="U99" s="49">
        <f t="shared" ref="U99" si="96">+I99-SUM(J99:T99)</f>
        <v>2959.6990000000001</v>
      </c>
      <c r="V99" s="33">
        <f t="shared" ref="V99" si="97">IF(I99&gt;2250,I99*0.1,0)</f>
        <v>295.9699</v>
      </c>
      <c r="W99" s="49">
        <f t="shared" ref="W99" si="98">+U99-V99</f>
        <v>2663.7291</v>
      </c>
      <c r="X99" s="33">
        <f t="shared" si="88"/>
        <v>0</v>
      </c>
      <c r="Y99" s="33">
        <v>10.23</v>
      </c>
      <c r="Z99" s="33">
        <f t="shared" si="89"/>
        <v>0</v>
      </c>
      <c r="AA99" s="49">
        <f t="shared" si="90"/>
        <v>2969.9290000000001</v>
      </c>
      <c r="AB99" s="56"/>
      <c r="AC99" s="57"/>
      <c r="AD99" s="50">
        <f t="shared" si="91"/>
        <v>-2663.7291</v>
      </c>
      <c r="AE99" s="36">
        <v>56708845939</v>
      </c>
      <c r="AF99" s="36"/>
      <c r="AG99" s="18" t="s">
        <v>161</v>
      </c>
    </row>
    <row r="100" spans="1:33" s="18" customFormat="1">
      <c r="A100" s="34" t="s">
        <v>40</v>
      </c>
      <c r="B100" s="34" t="s">
        <v>183</v>
      </c>
      <c r="C100" s="34"/>
      <c r="D100" s="34" t="s">
        <v>43</v>
      </c>
      <c r="E100" s="54">
        <v>42815</v>
      </c>
      <c r="F100" s="35">
        <f>165.54+2.972</f>
        <v>168.512</v>
      </c>
      <c r="G100" s="35"/>
      <c r="H100" s="35"/>
      <c r="I100" s="49">
        <f t="shared" si="74"/>
        <v>168.512</v>
      </c>
      <c r="J100" s="35"/>
      <c r="K100" s="67"/>
      <c r="L100" s="35"/>
      <c r="M100" s="35"/>
      <c r="N100" s="68"/>
      <c r="O100" s="68"/>
      <c r="P100" s="35"/>
      <c r="Q100" s="33"/>
      <c r="R100" s="33"/>
      <c r="S100" s="34"/>
      <c r="T100" s="34"/>
      <c r="U100" s="49"/>
      <c r="V100" s="33"/>
      <c r="W100" s="49"/>
      <c r="X100" s="33"/>
      <c r="Y100" s="33"/>
      <c r="Z100" s="33"/>
      <c r="AA100" s="49"/>
      <c r="AB100" s="56"/>
      <c r="AC100" s="57"/>
      <c r="AD100" s="50"/>
      <c r="AE100" s="36">
        <v>60589426888</v>
      </c>
      <c r="AF100" s="36"/>
      <c r="AG100" s="18" t="s">
        <v>161</v>
      </c>
    </row>
    <row r="101" spans="1:33" s="18" customFormat="1">
      <c r="A101" s="34" t="s">
        <v>40</v>
      </c>
      <c r="B101" s="34" t="s">
        <v>85</v>
      </c>
      <c r="C101" s="34"/>
      <c r="D101" s="34" t="s">
        <v>118</v>
      </c>
      <c r="E101" s="54">
        <v>42422</v>
      </c>
      <c r="F101" s="35">
        <f>2357.28+13.099</f>
        <v>2370.3790000000004</v>
      </c>
      <c r="G101" s="35"/>
      <c r="H101" s="35"/>
      <c r="I101" s="49">
        <f t="shared" si="74"/>
        <v>2370.3790000000004</v>
      </c>
      <c r="J101" s="35"/>
      <c r="K101" s="67"/>
      <c r="L101" s="35"/>
      <c r="M101" s="35">
        <v>0</v>
      </c>
      <c r="N101" s="68"/>
      <c r="O101" s="68"/>
      <c r="P101" s="35"/>
      <c r="Q101" s="33"/>
      <c r="R101" s="33"/>
      <c r="S101" s="34"/>
      <c r="T101" s="34">
        <v>0</v>
      </c>
      <c r="U101" s="49">
        <f t="shared" ref="U101" si="99">+I101-SUM(J101:T101)</f>
        <v>2370.3790000000004</v>
      </c>
      <c r="V101" s="33">
        <f t="shared" ref="V101" si="100">IF(I101&gt;2250,I101*0.1,0)</f>
        <v>237.03790000000004</v>
      </c>
      <c r="W101" s="49">
        <f t="shared" ref="W101" si="101">+U101-V101</f>
        <v>2133.3411000000006</v>
      </c>
      <c r="X101" s="33">
        <f t="shared" si="88"/>
        <v>0</v>
      </c>
      <c r="Y101" s="33">
        <v>10.23</v>
      </c>
      <c r="Z101" s="33">
        <f t="shared" si="89"/>
        <v>0</v>
      </c>
      <c r="AA101" s="49">
        <f t="shared" si="90"/>
        <v>2380.6090000000004</v>
      </c>
      <c r="AB101" s="56"/>
      <c r="AC101" s="57"/>
      <c r="AD101" s="50">
        <f t="shared" si="91"/>
        <v>-2133.3411000000006</v>
      </c>
      <c r="AE101" s="36">
        <v>56708845942</v>
      </c>
      <c r="AF101" s="36"/>
      <c r="AG101" s="18" t="s">
        <v>161</v>
      </c>
    </row>
    <row r="102" spans="1:33" s="18" customFormat="1">
      <c r="A102" s="34" t="s">
        <v>42</v>
      </c>
      <c r="B102" s="34" t="s">
        <v>96</v>
      </c>
      <c r="C102" s="34"/>
      <c r="D102" s="34" t="s">
        <v>122</v>
      </c>
      <c r="E102" s="54">
        <v>41227</v>
      </c>
      <c r="F102" s="35">
        <f>4329.322+2.599</f>
        <v>4331.9210000000003</v>
      </c>
      <c r="G102" s="35"/>
      <c r="H102" s="35"/>
      <c r="I102" s="49">
        <f t="shared" si="74"/>
        <v>4331.9210000000003</v>
      </c>
      <c r="J102" s="35">
        <f>209.76</f>
        <v>209.76</v>
      </c>
      <c r="K102" s="67"/>
      <c r="L102" s="35"/>
      <c r="M102" s="35">
        <v>400</v>
      </c>
      <c r="N102" s="68" t="s">
        <v>182</v>
      </c>
      <c r="O102" s="68" t="s">
        <v>182</v>
      </c>
      <c r="P102" s="35">
        <v>343.11</v>
      </c>
      <c r="Q102" s="33"/>
      <c r="R102" s="33"/>
      <c r="S102" s="34"/>
      <c r="T102" s="34">
        <v>0</v>
      </c>
      <c r="U102" s="49">
        <f t="shared" si="92"/>
        <v>3379.0510000000004</v>
      </c>
      <c r="V102" s="33">
        <f t="shared" si="86"/>
        <v>433.19210000000004</v>
      </c>
      <c r="W102" s="49">
        <f t="shared" si="87"/>
        <v>2945.8589000000002</v>
      </c>
      <c r="X102" s="33">
        <f t="shared" si="88"/>
        <v>0</v>
      </c>
      <c r="Y102" s="33">
        <v>10.23</v>
      </c>
      <c r="Z102" s="33" t="str">
        <f t="shared" si="89"/>
        <v>XX</v>
      </c>
      <c r="AA102" s="49" t="e">
        <f t="shared" si="90"/>
        <v>#VALUE!</v>
      </c>
      <c r="AB102" s="56"/>
      <c r="AC102" s="56"/>
      <c r="AD102" s="50">
        <f t="shared" si="91"/>
        <v>-2945.8589000000002</v>
      </c>
      <c r="AE102" s="36">
        <v>56708881946</v>
      </c>
      <c r="AF102" s="36" t="s">
        <v>149</v>
      </c>
      <c r="AG102" s="18" t="s">
        <v>161</v>
      </c>
    </row>
    <row r="103" spans="1:33" s="18" customFormat="1">
      <c r="A103" s="34" t="s">
        <v>42</v>
      </c>
      <c r="B103" s="34" t="s">
        <v>129</v>
      </c>
      <c r="C103" s="34"/>
      <c r="D103" s="34" t="s">
        <v>118</v>
      </c>
      <c r="E103" s="54">
        <v>42635</v>
      </c>
      <c r="F103" s="35">
        <v>800</v>
      </c>
      <c r="G103" s="35"/>
      <c r="H103" s="35"/>
      <c r="I103" s="49">
        <f t="shared" si="74"/>
        <v>800</v>
      </c>
      <c r="J103" s="35"/>
      <c r="K103" s="67"/>
      <c r="L103" s="35"/>
      <c r="M103" s="35"/>
      <c r="N103" s="68" t="s">
        <v>182</v>
      </c>
      <c r="O103" s="68" t="s">
        <v>182</v>
      </c>
      <c r="P103" s="35"/>
      <c r="Q103" s="33"/>
      <c r="R103" s="33"/>
      <c r="S103" s="34"/>
      <c r="T103" s="34"/>
      <c r="U103" s="49">
        <f t="shared" ref="U103" si="102">+I103-SUM(J103:T103)</f>
        <v>800</v>
      </c>
      <c r="V103" s="33">
        <f t="shared" ref="V103" si="103">IF(I103&gt;2250,I103*0.1,0)</f>
        <v>0</v>
      </c>
      <c r="W103" s="49">
        <f t="shared" ref="W103" si="104">+U103-V103</f>
        <v>800</v>
      </c>
      <c r="X103" s="33"/>
      <c r="Y103" s="33"/>
      <c r="Z103" s="33"/>
      <c r="AA103" s="49"/>
      <c r="AB103" s="56"/>
      <c r="AC103" s="56"/>
      <c r="AD103" s="50"/>
      <c r="AE103" s="36">
        <v>56708881608</v>
      </c>
      <c r="AF103" s="34"/>
      <c r="AG103" s="18" t="s">
        <v>161</v>
      </c>
    </row>
    <row r="104" spans="1:33" s="18" customFormat="1">
      <c r="A104" s="34" t="s">
        <v>42</v>
      </c>
      <c r="B104" s="34" t="s">
        <v>98</v>
      </c>
      <c r="C104" s="34"/>
      <c r="D104" s="34" t="s">
        <v>122</v>
      </c>
      <c r="E104" s="54">
        <v>41703</v>
      </c>
      <c r="F104" s="35">
        <v>724.04600000000005</v>
      </c>
      <c r="G104" s="35"/>
      <c r="H104" s="35"/>
      <c r="I104" s="49">
        <f t="shared" si="74"/>
        <v>724.04600000000005</v>
      </c>
      <c r="J104" s="35"/>
      <c r="K104" s="67"/>
      <c r="L104" s="35"/>
      <c r="M104" s="35">
        <v>0</v>
      </c>
      <c r="N104" s="68" t="s">
        <v>182</v>
      </c>
      <c r="O104" s="68" t="s">
        <v>182</v>
      </c>
      <c r="P104" s="35"/>
      <c r="Q104" s="33"/>
      <c r="R104" s="33"/>
      <c r="S104" s="34"/>
      <c r="T104" s="34">
        <v>0</v>
      </c>
      <c r="U104" s="49">
        <f t="shared" si="92"/>
        <v>724.04600000000005</v>
      </c>
      <c r="V104" s="33">
        <f t="shared" si="86"/>
        <v>0</v>
      </c>
      <c r="W104" s="49">
        <f t="shared" si="87"/>
        <v>724.04600000000005</v>
      </c>
      <c r="X104" s="33">
        <f t="shared" si="88"/>
        <v>72.404600000000002</v>
      </c>
      <c r="Y104" s="33">
        <v>10.23</v>
      </c>
      <c r="Z104" s="33" t="str">
        <f t="shared" si="89"/>
        <v>XX</v>
      </c>
      <c r="AA104" s="49" t="e">
        <f t="shared" si="90"/>
        <v>#VALUE!</v>
      </c>
      <c r="AB104" s="56"/>
      <c r="AC104" s="56"/>
      <c r="AD104" s="50">
        <f t="shared" si="91"/>
        <v>-724.04600000000005</v>
      </c>
      <c r="AE104" s="36">
        <v>56708845973</v>
      </c>
      <c r="AF104" s="34"/>
      <c r="AG104" s="18" t="s">
        <v>161</v>
      </c>
    </row>
    <row r="105" spans="1:33" s="18" customFormat="1">
      <c r="A105" s="34" t="s">
        <v>42</v>
      </c>
      <c r="B105" s="34" t="s">
        <v>52</v>
      </c>
      <c r="C105" s="34"/>
      <c r="D105" s="34" t="s">
        <v>122</v>
      </c>
      <c r="E105" s="54">
        <v>41291</v>
      </c>
      <c r="F105" s="35">
        <f>2681.799+2.599</f>
        <v>2684.3980000000001</v>
      </c>
      <c r="G105" s="35"/>
      <c r="H105" s="35"/>
      <c r="I105" s="49">
        <f t="shared" si="74"/>
        <v>2684.3980000000001</v>
      </c>
      <c r="J105" s="35">
        <v>216.71</v>
      </c>
      <c r="K105" s="67"/>
      <c r="L105" s="35"/>
      <c r="M105" s="35">
        <v>200</v>
      </c>
      <c r="N105" s="68" t="s">
        <v>182</v>
      </c>
      <c r="O105" s="68" t="s">
        <v>182</v>
      </c>
      <c r="P105" s="35">
        <v>343.11</v>
      </c>
      <c r="Q105" s="33"/>
      <c r="R105" s="33"/>
      <c r="S105" s="34"/>
      <c r="T105" s="34">
        <v>0</v>
      </c>
      <c r="U105" s="49">
        <f t="shared" si="92"/>
        <v>1924.578</v>
      </c>
      <c r="V105" s="33">
        <f t="shared" si="86"/>
        <v>268.43980000000005</v>
      </c>
      <c r="W105" s="49">
        <f t="shared" si="87"/>
        <v>1656.1381999999999</v>
      </c>
      <c r="X105" s="33">
        <f t="shared" si="88"/>
        <v>0</v>
      </c>
      <c r="Y105" s="33">
        <v>10.23</v>
      </c>
      <c r="Z105" s="33" t="str">
        <f t="shared" si="89"/>
        <v>XX</v>
      </c>
      <c r="AA105" s="49" t="e">
        <f t="shared" si="90"/>
        <v>#VALUE!</v>
      </c>
      <c r="AB105" s="56"/>
      <c r="AC105" s="56"/>
      <c r="AD105" s="50">
        <f t="shared" si="91"/>
        <v>-1656.1381999999999</v>
      </c>
      <c r="AE105" s="36">
        <v>56708881963</v>
      </c>
      <c r="AF105" s="36" t="s">
        <v>149</v>
      </c>
      <c r="AG105" s="18" t="s">
        <v>161</v>
      </c>
    </row>
    <row r="106" spans="1:33" s="18" customFormat="1">
      <c r="A106" s="34" t="s">
        <v>40</v>
      </c>
      <c r="B106" s="34" t="s">
        <v>60</v>
      </c>
      <c r="C106" s="34"/>
      <c r="D106" s="34" t="s">
        <v>43</v>
      </c>
      <c r="E106" s="54">
        <v>41666</v>
      </c>
      <c r="F106" s="35">
        <f>2349.6+7.428</f>
        <v>2357.0279999999998</v>
      </c>
      <c r="G106" s="35"/>
      <c r="H106" s="35"/>
      <c r="I106" s="49">
        <f t="shared" si="74"/>
        <v>2357.0279999999998</v>
      </c>
      <c r="J106" s="35"/>
      <c r="K106" s="67"/>
      <c r="L106" s="35"/>
      <c r="M106" s="35">
        <v>200</v>
      </c>
      <c r="N106" s="68"/>
      <c r="O106" s="68"/>
      <c r="P106" s="35"/>
      <c r="Q106" s="33"/>
      <c r="R106" s="33"/>
      <c r="S106" s="34"/>
      <c r="T106" s="84">
        <v>442.08</v>
      </c>
      <c r="U106" s="49">
        <f t="shared" si="92"/>
        <v>1714.9479999999999</v>
      </c>
      <c r="V106" s="33">
        <f t="shared" si="86"/>
        <v>235.7028</v>
      </c>
      <c r="W106" s="49">
        <f t="shared" si="87"/>
        <v>1479.2451999999998</v>
      </c>
      <c r="X106" s="33">
        <f t="shared" si="88"/>
        <v>0</v>
      </c>
      <c r="Y106" s="33">
        <v>10.23</v>
      </c>
      <c r="Z106" s="33">
        <f t="shared" si="89"/>
        <v>0</v>
      </c>
      <c r="AA106" s="49">
        <f t="shared" si="90"/>
        <v>2367.2579999999998</v>
      </c>
      <c r="AB106" s="56"/>
      <c r="AC106" s="57"/>
      <c r="AD106" s="50">
        <f t="shared" si="91"/>
        <v>-1479.2451999999998</v>
      </c>
      <c r="AE106" s="36">
        <v>56708845990</v>
      </c>
      <c r="AF106" s="34"/>
      <c r="AG106" s="18" t="s">
        <v>161</v>
      </c>
    </row>
    <row r="107" spans="1:33" s="18" customFormat="1">
      <c r="A107" s="34" t="s">
        <v>40</v>
      </c>
      <c r="B107" s="34" t="s">
        <v>159</v>
      </c>
      <c r="C107" s="34"/>
      <c r="D107" s="34" t="s">
        <v>43</v>
      </c>
      <c r="E107" s="54">
        <v>42809</v>
      </c>
      <c r="F107" s="35">
        <f>3044.82+13.099</f>
        <v>3057.9190000000003</v>
      </c>
      <c r="G107" s="35"/>
      <c r="H107" s="35"/>
      <c r="I107" s="49">
        <f t="shared" si="74"/>
        <v>3057.9190000000003</v>
      </c>
      <c r="J107" s="35"/>
      <c r="K107" s="67">
        <v>1</v>
      </c>
      <c r="L107" s="35"/>
      <c r="M107" s="35"/>
      <c r="N107" s="68"/>
      <c r="O107" s="68"/>
      <c r="P107" s="35"/>
      <c r="Q107" s="33"/>
      <c r="R107" s="33"/>
      <c r="S107" s="34"/>
      <c r="T107" s="34"/>
      <c r="U107" s="49">
        <f t="shared" si="92"/>
        <v>3056.9190000000003</v>
      </c>
      <c r="V107" s="33"/>
      <c r="W107" s="49"/>
      <c r="X107" s="33"/>
      <c r="Y107" s="33"/>
      <c r="Z107" s="33"/>
      <c r="AA107" s="49"/>
      <c r="AB107" s="56"/>
      <c r="AC107" s="57"/>
      <c r="AD107" s="50"/>
      <c r="AE107" s="36">
        <v>60589597089</v>
      </c>
      <c r="AF107" s="36"/>
      <c r="AG107" s="18" t="s">
        <v>161</v>
      </c>
    </row>
    <row r="108" spans="1:33" s="18" customFormat="1">
      <c r="A108" s="34" t="s">
        <v>42</v>
      </c>
      <c r="B108" s="34" t="s">
        <v>148</v>
      </c>
      <c r="C108" s="34"/>
      <c r="D108" s="34" t="s">
        <v>118</v>
      </c>
      <c r="E108" s="54">
        <v>42752</v>
      </c>
      <c r="F108" s="35">
        <v>510</v>
      </c>
      <c r="G108" s="35"/>
      <c r="H108" s="35"/>
      <c r="I108" s="49">
        <f t="shared" si="74"/>
        <v>510</v>
      </c>
      <c r="J108" s="35"/>
      <c r="K108" s="67"/>
      <c r="L108" s="35"/>
      <c r="M108" s="35"/>
      <c r="N108" s="68" t="s">
        <v>182</v>
      </c>
      <c r="O108" s="68" t="s">
        <v>182</v>
      </c>
      <c r="P108" s="35"/>
      <c r="Q108" s="33"/>
      <c r="R108" s="33"/>
      <c r="S108" s="34"/>
      <c r="T108" s="34"/>
      <c r="U108" s="49">
        <f t="shared" ref="U108" si="105">+I108-SUM(J108:T108)</f>
        <v>510</v>
      </c>
      <c r="V108" s="33">
        <f t="shared" ref="V108" si="106">IF(I108&gt;2250,I108*0.1,0)</f>
        <v>0</v>
      </c>
      <c r="W108" s="49">
        <f t="shared" ref="W108" si="107">+U108-V108</f>
        <v>510</v>
      </c>
      <c r="X108" s="33"/>
      <c r="Y108" s="33"/>
      <c r="Z108" s="33"/>
      <c r="AA108" s="49"/>
      <c r="AB108" s="56"/>
      <c r="AC108" s="57"/>
      <c r="AD108" s="50"/>
      <c r="AE108" s="36">
        <v>60589634536</v>
      </c>
      <c r="AF108" s="36"/>
      <c r="AG108" s="18" t="s">
        <v>161</v>
      </c>
    </row>
    <row r="109" spans="1:33" s="18" customFormat="1">
      <c r="A109" s="34" t="s">
        <v>42</v>
      </c>
      <c r="B109" s="34" t="s">
        <v>117</v>
      </c>
      <c r="C109" s="34"/>
      <c r="D109" s="34" t="s">
        <v>121</v>
      </c>
      <c r="E109" s="54">
        <v>29733</v>
      </c>
      <c r="F109" s="35">
        <f>5172.92+7.428</f>
        <v>5180.348</v>
      </c>
      <c r="G109" s="35"/>
      <c r="H109" s="35"/>
      <c r="I109" s="49">
        <f t="shared" si="74"/>
        <v>5180.348</v>
      </c>
      <c r="J109" s="35">
        <v>470.2</v>
      </c>
      <c r="K109" s="67"/>
      <c r="L109" s="35"/>
      <c r="M109" s="35">
        <v>150</v>
      </c>
      <c r="N109" s="68" t="s">
        <v>182</v>
      </c>
      <c r="O109" s="68" t="s">
        <v>182</v>
      </c>
      <c r="P109" s="35"/>
      <c r="Q109" s="33"/>
      <c r="R109" s="33"/>
      <c r="S109" s="34"/>
      <c r="T109" s="34">
        <v>0</v>
      </c>
      <c r="U109" s="49">
        <f t="shared" si="92"/>
        <v>4560.1480000000001</v>
      </c>
      <c r="V109" s="33">
        <f t="shared" si="86"/>
        <v>518.03480000000002</v>
      </c>
      <c r="W109" s="49">
        <f t="shared" si="87"/>
        <v>4042.1132000000002</v>
      </c>
      <c r="X109" s="33">
        <f t="shared" si="88"/>
        <v>0</v>
      </c>
      <c r="Y109" s="33">
        <v>10.23</v>
      </c>
      <c r="Z109" s="33" t="str">
        <f t="shared" si="89"/>
        <v>XX</v>
      </c>
      <c r="AA109" s="49" t="e">
        <f t="shared" si="90"/>
        <v>#VALUE!</v>
      </c>
      <c r="AB109" s="56"/>
      <c r="AC109" s="57"/>
      <c r="AD109" s="50">
        <f t="shared" si="91"/>
        <v>-4042.1132000000002</v>
      </c>
      <c r="AE109" s="36">
        <v>60589747903</v>
      </c>
      <c r="AF109" s="36" t="s">
        <v>149</v>
      </c>
      <c r="AG109" s="18" t="s">
        <v>161</v>
      </c>
    </row>
    <row r="110" spans="1:33" s="18" customFormat="1">
      <c r="A110" s="34" t="s">
        <v>40</v>
      </c>
      <c r="B110" s="34" t="s">
        <v>125</v>
      </c>
      <c r="C110" s="34"/>
      <c r="D110" s="34" t="s">
        <v>142</v>
      </c>
      <c r="E110" s="54">
        <v>42604</v>
      </c>
      <c r="F110" s="35">
        <v>322.30799999999999</v>
      </c>
      <c r="G110" s="35"/>
      <c r="H110" s="35"/>
      <c r="I110" s="49">
        <f t="shared" si="74"/>
        <v>322.30799999999999</v>
      </c>
      <c r="J110" s="35"/>
      <c r="K110" s="67"/>
      <c r="L110" s="35"/>
      <c r="M110" s="35"/>
      <c r="N110" s="68" t="s">
        <v>182</v>
      </c>
      <c r="O110" s="68" t="s">
        <v>182</v>
      </c>
      <c r="P110" s="35"/>
      <c r="Q110" s="33"/>
      <c r="R110" s="33"/>
      <c r="S110" s="34"/>
      <c r="T110" s="34"/>
      <c r="U110" s="49">
        <f t="shared" ref="U110" si="108">+I110-SUM(J110:T110)</f>
        <v>322.30799999999999</v>
      </c>
      <c r="V110" s="33">
        <f t="shared" ref="V110" si="109">IF(I110&gt;2250,I110*0.1,0)</f>
        <v>0</v>
      </c>
      <c r="W110" s="49">
        <f t="shared" ref="W110" si="110">+U110-V110</f>
        <v>322.30799999999999</v>
      </c>
      <c r="X110" s="33"/>
      <c r="Y110" s="33"/>
      <c r="Z110" s="33"/>
      <c r="AA110" s="49"/>
      <c r="AB110" s="56"/>
      <c r="AC110" s="63"/>
      <c r="AD110" s="50"/>
      <c r="AE110" s="36">
        <v>60590218306</v>
      </c>
      <c r="AF110" s="34"/>
      <c r="AG110" s="18" t="s">
        <v>161</v>
      </c>
    </row>
    <row r="111" spans="1:33" s="18" customFormat="1">
      <c r="A111" s="34" t="s">
        <v>40</v>
      </c>
      <c r="B111" s="34" t="s">
        <v>35</v>
      </c>
      <c r="C111" s="34"/>
      <c r="D111" s="34" t="s">
        <v>43</v>
      </c>
      <c r="E111" s="54">
        <v>42361</v>
      </c>
      <c r="F111" s="35">
        <f>130.83+2.972</f>
        <v>133.80200000000002</v>
      </c>
      <c r="G111" s="35"/>
      <c r="H111" s="35"/>
      <c r="I111" s="49">
        <f t="shared" si="74"/>
        <v>133.80200000000002</v>
      </c>
      <c r="J111" s="35"/>
      <c r="K111" s="67"/>
      <c r="L111" s="35"/>
      <c r="M111" s="35">
        <v>0</v>
      </c>
      <c r="N111" s="68"/>
      <c r="O111" s="68"/>
      <c r="P111" s="35"/>
      <c r="Q111" s="33"/>
      <c r="R111" s="33"/>
      <c r="S111" s="34"/>
      <c r="T111" s="34">
        <v>0</v>
      </c>
      <c r="U111" s="49">
        <f>+I111-SUM(J111:T111)</f>
        <v>133.80200000000002</v>
      </c>
      <c r="V111" s="33">
        <f>IF(I111&gt;2250,I111*0.1,0)</f>
        <v>0</v>
      </c>
      <c r="W111" s="49">
        <f>+U111-V111</f>
        <v>133.80200000000002</v>
      </c>
      <c r="X111" s="33">
        <f>IF(I111&lt;2250,I111*0.1,0)</f>
        <v>13.380200000000002</v>
      </c>
      <c r="Y111" s="33">
        <v>10.23</v>
      </c>
      <c r="Z111" s="33">
        <f>+N111</f>
        <v>0</v>
      </c>
      <c r="AA111" s="49">
        <f>+I111+X111+Y111+Z111</f>
        <v>157.41220000000001</v>
      </c>
      <c r="AB111" s="56"/>
      <c r="AC111" s="62"/>
      <c r="AD111" s="50">
        <f>+AB111+AC111-W111</f>
        <v>-133.80200000000002</v>
      </c>
      <c r="AE111" s="36">
        <v>56708846047</v>
      </c>
      <c r="AF111" s="36"/>
      <c r="AG111" s="18" t="s">
        <v>161</v>
      </c>
    </row>
    <row r="112" spans="1:33" s="18" customFormat="1">
      <c r="A112" s="34" t="s">
        <v>40</v>
      </c>
      <c r="B112" s="34" t="s">
        <v>59</v>
      </c>
      <c r="C112" s="34"/>
      <c r="D112" s="34" t="s">
        <v>43</v>
      </c>
      <c r="E112" s="54">
        <v>41549</v>
      </c>
      <c r="F112" s="35">
        <f>4485.38+13.099</f>
        <v>4498.4790000000003</v>
      </c>
      <c r="G112" s="35"/>
      <c r="H112" s="35"/>
      <c r="I112" s="49">
        <f t="shared" si="74"/>
        <v>4498.4790000000003</v>
      </c>
      <c r="J112" s="35"/>
      <c r="K112" s="67">
        <v>1</v>
      </c>
      <c r="L112" s="35"/>
      <c r="M112" s="35">
        <v>500</v>
      </c>
      <c r="N112" s="68"/>
      <c r="O112" s="68"/>
      <c r="P112" s="35"/>
      <c r="Q112" s="33"/>
      <c r="R112" s="33"/>
      <c r="S112" s="34"/>
      <c r="T112" s="34">
        <v>0</v>
      </c>
      <c r="U112" s="49">
        <f>+I112-SUM(J112:T112)</f>
        <v>3997.4790000000003</v>
      </c>
      <c r="V112" s="33">
        <f>IF(I112&gt;2250,I112*0.1,0)</f>
        <v>449.84790000000004</v>
      </c>
      <c r="W112" s="49">
        <f>+U112-V112</f>
        <v>3547.6311000000001</v>
      </c>
      <c r="X112" s="33">
        <f>IF(I112&lt;2250,I112*0.1,0)</f>
        <v>0</v>
      </c>
      <c r="Y112" s="33">
        <v>10.23</v>
      </c>
      <c r="Z112" s="33">
        <f>+N112</f>
        <v>0</v>
      </c>
      <c r="AA112" s="49">
        <f>+I112+X112+Y112+Z112</f>
        <v>4508.7089999999998</v>
      </c>
      <c r="AB112" s="56"/>
      <c r="AC112" s="57"/>
      <c r="AD112" s="50">
        <f>+AB112+AC112-W112</f>
        <v>-3547.6311000000001</v>
      </c>
      <c r="AE112" s="36">
        <v>56708846050</v>
      </c>
      <c r="AF112" s="36"/>
      <c r="AG112" s="18" t="s">
        <v>161</v>
      </c>
    </row>
    <row r="113" spans="1:186">
      <c r="A113" s="29"/>
      <c r="B113" s="34"/>
      <c r="C113" s="29"/>
      <c r="D113" s="29"/>
      <c r="E113" s="66"/>
      <c r="F113" s="31"/>
      <c r="G113" s="31"/>
      <c r="H113" s="31"/>
      <c r="I113" s="49">
        <f t="shared" si="74"/>
        <v>0</v>
      </c>
      <c r="J113" s="35"/>
      <c r="K113" s="35"/>
      <c r="L113" s="35"/>
      <c r="M113" s="35"/>
      <c r="N113" s="35"/>
      <c r="O113" s="35"/>
      <c r="P113" s="35"/>
      <c r="Q113" s="33"/>
      <c r="R113" s="33"/>
      <c r="S113" s="33"/>
      <c r="T113" s="33"/>
      <c r="U113" s="49"/>
      <c r="V113" s="33"/>
      <c r="W113" s="49"/>
      <c r="X113" s="61"/>
      <c r="Y113" s="61"/>
      <c r="Z113" s="61"/>
      <c r="AA113" s="60"/>
      <c r="AB113" s="47"/>
      <c r="AC113" s="47"/>
      <c r="AD113" s="41"/>
      <c r="AE113" s="29"/>
      <c r="AF113" s="29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114" s="29"/>
      <c r="B114" s="36" t="s">
        <v>152</v>
      </c>
      <c r="C114" s="29"/>
      <c r="D114" s="29"/>
      <c r="E114" s="66"/>
      <c r="F114" s="39">
        <f>SUM(F72:F112)</f>
        <v>83037.994000000006</v>
      </c>
      <c r="G114" s="39">
        <f t="shared" ref="G114:W114" si="111">SUM(G72:G112)</f>
        <v>0</v>
      </c>
      <c r="H114" s="39">
        <f t="shared" si="111"/>
        <v>0</v>
      </c>
      <c r="I114" s="49">
        <f t="shared" si="74"/>
        <v>83037.994000000006</v>
      </c>
      <c r="J114" s="39">
        <f t="shared" si="111"/>
        <v>2844.5499999999997</v>
      </c>
      <c r="K114" s="39">
        <f t="shared" si="111"/>
        <v>6</v>
      </c>
      <c r="L114" s="39">
        <f t="shared" si="111"/>
        <v>0</v>
      </c>
      <c r="M114" s="39">
        <f t="shared" si="111"/>
        <v>4650</v>
      </c>
      <c r="N114" s="39">
        <f t="shared" si="111"/>
        <v>0</v>
      </c>
      <c r="O114" s="39">
        <f t="shared" si="111"/>
        <v>0</v>
      </c>
      <c r="P114" s="39">
        <f t="shared" si="111"/>
        <v>686.22</v>
      </c>
      <c r="Q114" s="39">
        <f t="shared" si="111"/>
        <v>0</v>
      </c>
      <c r="R114" s="39">
        <f t="shared" si="111"/>
        <v>0</v>
      </c>
      <c r="S114" s="39">
        <f t="shared" si="111"/>
        <v>0</v>
      </c>
      <c r="T114" s="39">
        <f t="shared" si="111"/>
        <v>743.17</v>
      </c>
      <c r="U114" s="39">
        <f t="shared" si="111"/>
        <v>70652.443000000014</v>
      </c>
      <c r="V114" s="39">
        <f t="shared" si="111"/>
        <v>5743.527250000001</v>
      </c>
      <c r="W114" s="39">
        <f t="shared" si="111"/>
        <v>56552.270299999996</v>
      </c>
      <c r="X114" s="61"/>
      <c r="Y114" s="61"/>
      <c r="Z114" s="61"/>
      <c r="AA114" s="60"/>
      <c r="AB114" s="47"/>
      <c r="AC114" s="47"/>
      <c r="AD114" s="41"/>
      <c r="AE114" s="29"/>
      <c r="AF114" s="29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B115" s="20"/>
      <c r="C115" s="20"/>
      <c r="AA115" s="14" t="e">
        <f>+#REF!*0.16</f>
        <v>#REF!</v>
      </c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 ht="23.25">
      <c r="A119" s="115" t="s">
        <v>25</v>
      </c>
      <c r="B119" s="115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 s="18" customFormat="1" ht="15.75">
      <c r="A120" s="71" t="s">
        <v>41</v>
      </c>
      <c r="B120" s="71" t="s">
        <v>135</v>
      </c>
      <c r="C120" s="71"/>
      <c r="D120" s="71" t="s">
        <v>45</v>
      </c>
      <c r="E120" s="73"/>
      <c r="F120" s="35"/>
      <c r="G120" s="35"/>
      <c r="H120" s="35"/>
      <c r="I120" s="49">
        <f t="shared" ref="I120:I124" si="112">SUM(F120:H120)</f>
        <v>0</v>
      </c>
      <c r="J120" s="35"/>
      <c r="K120" s="67"/>
      <c r="L120" s="35"/>
      <c r="M120" s="35">
        <v>150</v>
      </c>
      <c r="N120" s="68"/>
      <c r="O120" s="68"/>
      <c r="P120" s="35"/>
      <c r="Q120" s="33"/>
      <c r="R120" s="69"/>
      <c r="S120" s="34"/>
      <c r="T120" s="64"/>
      <c r="U120" s="49">
        <v>-150</v>
      </c>
      <c r="V120" s="33">
        <v>0</v>
      </c>
      <c r="W120" s="49">
        <v>-150</v>
      </c>
      <c r="X120" s="33"/>
      <c r="Y120" s="33"/>
      <c r="Z120" s="33"/>
      <c r="AA120" s="49"/>
      <c r="AB120" s="58"/>
      <c r="AC120" s="56"/>
      <c r="AD120" s="50"/>
      <c r="AE120" s="34">
        <v>60590405464</v>
      </c>
      <c r="AF120" s="74" t="s">
        <v>193</v>
      </c>
      <c r="AG120" s="18" t="s">
        <v>161</v>
      </c>
    </row>
    <row r="121" spans="1:186">
      <c r="A121" s="71" t="s">
        <v>39</v>
      </c>
      <c r="B121" s="71" t="s">
        <v>123</v>
      </c>
      <c r="C121" s="71"/>
      <c r="D121" s="71" t="s">
        <v>45</v>
      </c>
      <c r="E121" s="72">
        <v>34275</v>
      </c>
      <c r="F121" s="35"/>
      <c r="G121" s="35"/>
      <c r="H121" s="35"/>
      <c r="I121" s="49">
        <f t="shared" si="112"/>
        <v>0</v>
      </c>
      <c r="J121" s="35"/>
      <c r="K121" s="67"/>
      <c r="L121" s="35"/>
      <c r="M121" s="35"/>
      <c r="N121" s="68"/>
      <c r="O121" s="68"/>
      <c r="P121" s="35"/>
      <c r="Q121" s="33"/>
      <c r="R121" s="33"/>
      <c r="S121" s="34"/>
      <c r="T121" s="34"/>
      <c r="U121" s="49">
        <v>0</v>
      </c>
      <c r="V121" s="33">
        <v>0</v>
      </c>
      <c r="W121" s="49">
        <v>0</v>
      </c>
      <c r="X121" s="61"/>
      <c r="Y121" s="61"/>
      <c r="Z121" s="61"/>
      <c r="AA121" s="60"/>
      <c r="AB121" s="47"/>
      <c r="AC121" s="47"/>
      <c r="AD121" s="41"/>
      <c r="AE121" s="29">
        <v>60590317373</v>
      </c>
      <c r="AF121" s="74" t="s">
        <v>193</v>
      </c>
      <c r="AG121" s="18" t="s">
        <v>161</v>
      </c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71" t="s">
        <v>41</v>
      </c>
      <c r="B122" s="71" t="s">
        <v>150</v>
      </c>
      <c r="C122" s="71"/>
      <c r="D122" s="71" t="s">
        <v>151</v>
      </c>
      <c r="E122" s="72">
        <v>38825</v>
      </c>
      <c r="F122" s="35"/>
      <c r="G122" s="35"/>
      <c r="H122" s="35"/>
      <c r="I122" s="49">
        <f t="shared" si="112"/>
        <v>0</v>
      </c>
      <c r="J122" s="35"/>
      <c r="K122" s="67"/>
      <c r="L122" s="35"/>
      <c r="M122" s="35"/>
      <c r="N122" s="68"/>
      <c r="O122" s="68"/>
      <c r="P122" s="35"/>
      <c r="Q122" s="33"/>
      <c r="R122" s="33"/>
      <c r="S122" s="34"/>
      <c r="T122" s="34"/>
      <c r="U122" s="49"/>
      <c r="V122" s="33"/>
      <c r="W122" s="49"/>
      <c r="X122" s="61"/>
      <c r="Y122" s="61"/>
      <c r="Z122" s="61"/>
      <c r="AA122" s="60"/>
      <c r="AB122" s="47"/>
      <c r="AC122" s="47"/>
      <c r="AD122" s="41"/>
      <c r="AE122" s="29">
        <v>56708845376</v>
      </c>
      <c r="AF122" s="74" t="s">
        <v>160</v>
      </c>
      <c r="AG122" s="18" t="s">
        <v>161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71" t="s">
        <v>42</v>
      </c>
      <c r="B123" s="71" t="s">
        <v>157</v>
      </c>
      <c r="C123" s="71"/>
      <c r="D123" s="71" t="s">
        <v>118</v>
      </c>
      <c r="E123" s="72">
        <v>42807</v>
      </c>
      <c r="F123" s="35">
        <v>569.21500000000003</v>
      </c>
      <c r="G123" s="35"/>
      <c r="H123" s="35"/>
      <c r="I123" s="49">
        <f t="shared" si="112"/>
        <v>569.21500000000003</v>
      </c>
      <c r="J123" s="35"/>
      <c r="K123" s="67"/>
      <c r="L123" s="35"/>
      <c r="M123" s="35"/>
      <c r="N123" s="68"/>
      <c r="O123" s="68"/>
      <c r="P123" s="35"/>
      <c r="Q123" s="33"/>
      <c r="R123" s="33"/>
      <c r="S123" s="34"/>
      <c r="T123" s="34"/>
      <c r="U123" s="49">
        <f t="shared" ref="U123" si="113">+I123-SUM(J123:T123)</f>
        <v>569.21500000000003</v>
      </c>
      <c r="V123" s="33"/>
      <c r="W123" s="49"/>
      <c r="X123" s="61"/>
      <c r="Y123" s="61"/>
      <c r="Z123" s="61"/>
      <c r="AA123" s="60"/>
      <c r="AB123" s="47"/>
      <c r="AC123" s="47"/>
      <c r="AD123" s="41"/>
      <c r="AE123" s="38" t="s">
        <v>144</v>
      </c>
      <c r="AF123" s="74" t="s">
        <v>169</v>
      </c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82" t="s">
        <v>39</v>
      </c>
      <c r="B124" s="71" t="s">
        <v>127</v>
      </c>
      <c r="C124" s="71"/>
      <c r="D124" s="71" t="s">
        <v>126</v>
      </c>
      <c r="E124" s="72">
        <v>42809</v>
      </c>
      <c r="F124" s="35"/>
      <c r="G124" s="35"/>
      <c r="H124" s="35"/>
      <c r="I124" s="49">
        <f t="shared" si="112"/>
        <v>0</v>
      </c>
      <c r="J124" s="35"/>
      <c r="K124" s="67"/>
      <c r="L124" s="35"/>
      <c r="M124" s="35"/>
      <c r="N124" s="68"/>
      <c r="O124" s="68"/>
      <c r="P124" s="35"/>
      <c r="Q124" s="33"/>
      <c r="R124" s="33"/>
      <c r="S124" s="34"/>
      <c r="T124" s="34"/>
      <c r="U124" s="49"/>
      <c r="V124" s="33"/>
      <c r="W124" s="49"/>
      <c r="X124" s="61"/>
      <c r="Y124" s="61"/>
      <c r="Z124" s="61"/>
      <c r="AA124" s="60"/>
      <c r="AB124" s="47"/>
      <c r="AC124" s="47"/>
      <c r="AD124" s="41"/>
      <c r="AE124" s="29">
        <v>60590314454</v>
      </c>
      <c r="AF124" s="74" t="s">
        <v>165</v>
      </c>
      <c r="AG124" s="18" t="s">
        <v>161</v>
      </c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17</v>
      </c>
      <c r="B129" s="13"/>
      <c r="C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18</v>
      </c>
      <c r="B130" s="13"/>
      <c r="C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19</v>
      </c>
      <c r="B131" s="13"/>
      <c r="C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19" t="s">
        <v>20</v>
      </c>
      <c r="B132" s="13"/>
      <c r="C132" s="13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19" t="s">
        <v>21</v>
      </c>
      <c r="B133" s="13"/>
      <c r="C133" s="13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22</v>
      </c>
      <c r="B134" s="13"/>
      <c r="C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8" spans="1:186">
      <c r="B138" s="17"/>
      <c r="C138" s="21"/>
    </row>
    <row r="139" spans="1:186">
      <c r="B139" s="17"/>
      <c r="C139" s="21"/>
    </row>
    <row r="140" spans="1:186">
      <c r="B140" s="17"/>
      <c r="C140" s="21"/>
    </row>
  </sheetData>
  <sheetProtection selectLockedCells="1" selectUnlockedCells="1"/>
  <autoFilter ref="A5:AF67">
    <filterColumn colId="3"/>
    <filterColumn colId="27" showButton="0"/>
    <sortState ref="A8:AH99">
      <sortCondition ref="B5:B99"/>
    </sortState>
  </autoFilter>
  <mergeCells count="32">
    <mergeCell ref="A119:B119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1:B71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/>
  </sheetViews>
  <sheetFormatPr baseColWidth="10" defaultRowHeight="12.75"/>
  <cols>
    <col min="1" max="1" width="12.85546875" bestFit="1" customWidth="1"/>
    <col min="2" max="2" width="40.28515625" bestFit="1" customWidth="1"/>
    <col min="3" max="3" width="14.28515625" customWidth="1"/>
    <col min="4" max="4" width="11.28515625" bestFit="1" customWidth="1"/>
    <col min="5" max="5" width="10.28515625" bestFit="1" customWidth="1"/>
    <col min="6" max="6" width="10.5703125" bestFit="1" customWidth="1"/>
    <col min="7" max="7" width="11.42578125" bestFit="1" customWidth="1"/>
  </cols>
  <sheetData>
    <row r="1" spans="1:7" ht="15">
      <c r="A1" s="121"/>
      <c r="B1" s="121" t="s">
        <v>202</v>
      </c>
      <c r="C1" s="121"/>
      <c r="D1" s="121"/>
      <c r="E1" s="121" t="s">
        <v>32</v>
      </c>
      <c r="F1" s="121" t="s">
        <v>203</v>
      </c>
      <c r="G1" s="121" t="s">
        <v>50</v>
      </c>
    </row>
    <row r="2" spans="1:7" ht="15">
      <c r="A2" s="34" t="s">
        <v>42</v>
      </c>
      <c r="B2" s="34" t="s">
        <v>88</v>
      </c>
      <c r="C2" s="30" t="s">
        <v>122</v>
      </c>
      <c r="D2" s="55">
        <v>41142</v>
      </c>
      <c r="E2" s="35">
        <f>3096.769+5.571+385.521</f>
        <v>3487.8609999999999</v>
      </c>
      <c r="F2" s="35">
        <f>3096.769+5.571+385.521</f>
        <v>3487.8609999999999</v>
      </c>
      <c r="G2" s="35">
        <f>+F2-E2</f>
        <v>0</v>
      </c>
    </row>
    <row r="3" spans="1:7" ht="15">
      <c r="A3" s="34" t="s">
        <v>42</v>
      </c>
      <c r="B3" s="34" t="s">
        <v>54</v>
      </c>
      <c r="C3" s="34" t="s">
        <v>122</v>
      </c>
      <c r="D3" s="54">
        <v>41381</v>
      </c>
      <c r="E3" s="35">
        <f>3514.596+2.599+15.941</f>
        <v>3533.136</v>
      </c>
      <c r="F3" s="35">
        <f>3514.596+2.599+15.941</f>
        <v>3533.136</v>
      </c>
      <c r="G3" s="35">
        <f t="shared" ref="G3:G42" si="0">+F3-E3</f>
        <v>0</v>
      </c>
    </row>
    <row r="4" spans="1:7" ht="15">
      <c r="A4" s="34" t="s">
        <v>42</v>
      </c>
      <c r="B4" s="34" t="s">
        <v>99</v>
      </c>
      <c r="C4" s="34" t="s">
        <v>122</v>
      </c>
      <c r="D4" s="54">
        <v>41740</v>
      </c>
      <c r="E4" s="35">
        <f>1476.75+5.571</f>
        <v>1482.3209999999999</v>
      </c>
      <c r="F4" s="35">
        <f>1476.75+5.571+183.843</f>
        <v>1666.164</v>
      </c>
      <c r="G4" s="35">
        <f t="shared" si="0"/>
        <v>183.84300000000007</v>
      </c>
    </row>
    <row r="5" spans="1:7" ht="15">
      <c r="A5" s="34" t="s">
        <v>42</v>
      </c>
      <c r="B5" s="34" t="s">
        <v>154</v>
      </c>
      <c r="C5" s="34" t="s">
        <v>118</v>
      </c>
      <c r="D5" s="54">
        <v>42779</v>
      </c>
      <c r="E5" s="35">
        <v>1067.4459999999999</v>
      </c>
      <c r="F5" s="35">
        <v>1067.4459999999999</v>
      </c>
      <c r="G5" s="35">
        <f t="shared" si="0"/>
        <v>0</v>
      </c>
    </row>
    <row r="6" spans="1:7" ht="15">
      <c r="A6" s="34" t="s">
        <v>42</v>
      </c>
      <c r="B6" s="34" t="s">
        <v>55</v>
      </c>
      <c r="C6" s="34" t="s">
        <v>47</v>
      </c>
      <c r="D6" s="54">
        <v>41227</v>
      </c>
      <c r="E6" s="35">
        <f>3862.32+13.099</f>
        <v>3875.4190000000003</v>
      </c>
      <c r="F6" s="35">
        <f>3862.32+13.099</f>
        <v>3875.4190000000003</v>
      </c>
      <c r="G6" s="35">
        <f t="shared" si="0"/>
        <v>0</v>
      </c>
    </row>
    <row r="7" spans="1:7" ht="15">
      <c r="A7" s="34" t="s">
        <v>40</v>
      </c>
      <c r="B7" s="34" t="s">
        <v>94</v>
      </c>
      <c r="C7" s="34" t="s">
        <v>118</v>
      </c>
      <c r="D7" s="54">
        <v>42338</v>
      </c>
      <c r="E7" s="35">
        <f>3738+7.428</f>
        <v>3745.4279999999999</v>
      </c>
      <c r="F7" s="35">
        <f>2349.6+7.428</f>
        <v>2357.0279999999998</v>
      </c>
      <c r="G7" s="35">
        <f t="shared" si="0"/>
        <v>-1388.4</v>
      </c>
    </row>
    <row r="8" spans="1:7" ht="15">
      <c r="A8" s="34" t="s">
        <v>42</v>
      </c>
      <c r="B8" s="34" t="s">
        <v>158</v>
      </c>
      <c r="C8" s="34" t="s">
        <v>118</v>
      </c>
      <c r="D8" s="54">
        <v>42807</v>
      </c>
      <c r="E8" s="35">
        <v>547.77700000000004</v>
      </c>
      <c r="F8" s="35">
        <v>547.77700000000004</v>
      </c>
      <c r="G8" s="35">
        <f t="shared" si="0"/>
        <v>0</v>
      </c>
    </row>
    <row r="9" spans="1:7" ht="15">
      <c r="A9" s="71" t="s">
        <v>40</v>
      </c>
      <c r="B9" s="71" t="s">
        <v>136</v>
      </c>
      <c r="C9" s="71" t="s">
        <v>43</v>
      </c>
      <c r="D9" s="73">
        <v>42681</v>
      </c>
      <c r="E9" s="95">
        <v>0</v>
      </c>
      <c r="F9" s="95"/>
      <c r="G9" s="35">
        <f t="shared" si="0"/>
        <v>0</v>
      </c>
    </row>
    <row r="10" spans="1:7" ht="15">
      <c r="A10" s="34" t="s">
        <v>42</v>
      </c>
      <c r="B10" s="34" t="s">
        <v>104</v>
      </c>
      <c r="C10" s="34" t="s">
        <v>122</v>
      </c>
      <c r="D10" s="54">
        <v>41227</v>
      </c>
      <c r="E10" s="35">
        <f>2099.739+2.599</f>
        <v>2102.3380000000002</v>
      </c>
      <c r="F10" s="35">
        <f>2099.739+2.599</f>
        <v>2102.3380000000002</v>
      </c>
      <c r="G10" s="35">
        <f t="shared" si="0"/>
        <v>0</v>
      </c>
    </row>
    <row r="11" spans="1:7" ht="15">
      <c r="A11" s="34" t="s">
        <v>42</v>
      </c>
      <c r="B11" s="34" t="s">
        <v>66</v>
      </c>
      <c r="C11" s="34" t="s">
        <v>122</v>
      </c>
      <c r="D11" s="54">
        <v>41227</v>
      </c>
      <c r="E11" s="35">
        <f>4298.7+2.972</f>
        <v>4301.6719999999996</v>
      </c>
      <c r="F11" s="35">
        <f>4298.7+2.972</f>
        <v>4301.6719999999996</v>
      </c>
      <c r="G11" s="35">
        <f t="shared" si="0"/>
        <v>0</v>
      </c>
    </row>
    <row r="12" spans="1:7" ht="15">
      <c r="A12" s="34" t="s">
        <v>42</v>
      </c>
      <c r="B12" s="34" t="s">
        <v>172</v>
      </c>
      <c r="C12" s="34" t="s">
        <v>142</v>
      </c>
      <c r="D12" s="54">
        <v>42842</v>
      </c>
      <c r="E12" s="35">
        <f>1785.525+5.571</f>
        <v>1791.096</v>
      </c>
      <c r="F12" s="35">
        <f>2311.338+5.571+222.282</f>
        <v>2539.1910000000003</v>
      </c>
      <c r="G12" s="35">
        <f t="shared" si="0"/>
        <v>748.09500000000025</v>
      </c>
    </row>
    <row r="13" spans="1:7" ht="15">
      <c r="A13" s="34" t="s">
        <v>40</v>
      </c>
      <c r="B13" s="34" t="s">
        <v>124</v>
      </c>
      <c r="C13" s="34" t="s">
        <v>142</v>
      </c>
      <c r="D13" s="54">
        <v>42604</v>
      </c>
      <c r="E13" s="35">
        <v>379.28500000000003</v>
      </c>
      <c r="F13" s="35">
        <f>520+300</f>
        <v>820</v>
      </c>
      <c r="G13" s="35">
        <f t="shared" si="0"/>
        <v>440.71499999999997</v>
      </c>
    </row>
    <row r="14" spans="1:7" ht="15">
      <c r="A14" s="34" t="s">
        <v>42</v>
      </c>
      <c r="B14" s="34" t="s">
        <v>177</v>
      </c>
      <c r="C14" s="34" t="s">
        <v>118</v>
      </c>
      <c r="D14" s="54">
        <v>42864</v>
      </c>
      <c r="E14" s="35">
        <v>406.608</v>
      </c>
      <c r="F14" s="35">
        <v>406.608</v>
      </c>
      <c r="G14" s="35">
        <f t="shared" si="0"/>
        <v>0</v>
      </c>
    </row>
    <row r="15" spans="1:7" ht="15">
      <c r="A15" s="34" t="s">
        <v>40</v>
      </c>
      <c r="B15" s="34" t="s">
        <v>67</v>
      </c>
      <c r="C15" s="34" t="s">
        <v>43</v>
      </c>
      <c r="D15" s="54">
        <v>42319</v>
      </c>
      <c r="E15" s="35">
        <v>0</v>
      </c>
      <c r="F15" s="35">
        <f>3732.36+13.099</f>
        <v>3745.4590000000003</v>
      </c>
      <c r="G15" s="35">
        <f t="shared" si="0"/>
        <v>3745.4590000000003</v>
      </c>
    </row>
    <row r="16" spans="1:7" ht="15">
      <c r="A16" s="34" t="s">
        <v>40</v>
      </c>
      <c r="B16" s="34" t="s">
        <v>185</v>
      </c>
      <c r="C16" s="34" t="s">
        <v>43</v>
      </c>
      <c r="D16" s="54">
        <v>42884</v>
      </c>
      <c r="E16" s="35"/>
      <c r="F16" s="35">
        <f>1975.8+7.428</f>
        <v>1983.2280000000001</v>
      </c>
      <c r="G16" s="35">
        <f t="shared" si="0"/>
        <v>1983.2280000000001</v>
      </c>
    </row>
    <row r="17" spans="1:7" ht="15">
      <c r="A17" s="34" t="s">
        <v>42</v>
      </c>
      <c r="B17" s="34" t="s">
        <v>178</v>
      </c>
      <c r="C17" s="34" t="s">
        <v>142</v>
      </c>
      <c r="D17" s="54">
        <v>42863</v>
      </c>
      <c r="E17" s="35">
        <f>1651.723+3.736</f>
        <v>1655.4590000000001</v>
      </c>
      <c r="F17" s="35">
        <f>1651.723+3.736</f>
        <v>1655.4590000000001</v>
      </c>
      <c r="G17" s="35">
        <f t="shared" si="0"/>
        <v>0</v>
      </c>
    </row>
    <row r="18" spans="1:7" ht="15">
      <c r="A18" s="34" t="s">
        <v>42</v>
      </c>
      <c r="B18" s="34" t="s">
        <v>51</v>
      </c>
      <c r="C18" s="34" t="s">
        <v>142</v>
      </c>
      <c r="D18" s="54">
        <v>41981</v>
      </c>
      <c r="E18" s="35">
        <f>2003.802+2.599+1000</f>
        <v>3006.4009999999998</v>
      </c>
      <c r="F18" s="35">
        <f>2003.802+2.599+12.605+1000</f>
        <v>3019.0059999999999</v>
      </c>
      <c r="G18" s="35">
        <f t="shared" si="0"/>
        <v>12.605000000000018</v>
      </c>
    </row>
    <row r="19" spans="1:7" ht="15">
      <c r="A19" s="34" t="s">
        <v>42</v>
      </c>
      <c r="B19" s="34" t="s">
        <v>83</v>
      </c>
      <c r="C19" s="34" t="s">
        <v>122</v>
      </c>
      <c r="D19" s="53">
        <v>41284</v>
      </c>
      <c r="E19" s="35">
        <f>2009.447+2.599</f>
        <v>2012.0459999999998</v>
      </c>
      <c r="F19" s="35">
        <f>2009.447+2.599+11.027</f>
        <v>2023.0729999999999</v>
      </c>
      <c r="G19" s="35">
        <f t="shared" si="0"/>
        <v>11.027000000000044</v>
      </c>
    </row>
    <row r="20" spans="1:7" ht="15">
      <c r="A20" s="34" t="s">
        <v>40</v>
      </c>
      <c r="B20" s="34" t="s">
        <v>168</v>
      </c>
      <c r="C20" s="34" t="s">
        <v>43</v>
      </c>
      <c r="D20" s="54">
        <v>42823</v>
      </c>
      <c r="E20" s="35">
        <f>3274+13.099</f>
        <v>3287.0990000000002</v>
      </c>
      <c r="F20" s="35">
        <f>4387.16+13.099</f>
        <v>4400.259</v>
      </c>
      <c r="G20" s="35">
        <f t="shared" si="0"/>
        <v>1113.1599999999999</v>
      </c>
    </row>
    <row r="21" spans="1:7" ht="15">
      <c r="A21" s="34" t="s">
        <v>42</v>
      </c>
      <c r="B21" s="34" t="s">
        <v>53</v>
      </c>
      <c r="C21" s="34" t="s">
        <v>122</v>
      </c>
      <c r="D21" s="53">
        <v>41227</v>
      </c>
      <c r="E21" s="35">
        <f>1957.439+2.972+13.152</f>
        <v>1973.5630000000001</v>
      </c>
      <c r="F21" s="35">
        <f>1957.439+2.972+13.152</f>
        <v>1973.5630000000001</v>
      </c>
      <c r="G21" s="35">
        <f t="shared" si="0"/>
        <v>0</v>
      </c>
    </row>
    <row r="22" spans="1:7" ht="15">
      <c r="A22" s="34" t="s">
        <v>40</v>
      </c>
      <c r="B22" s="34" t="s">
        <v>68</v>
      </c>
      <c r="C22" s="34" t="s">
        <v>43</v>
      </c>
      <c r="D22" s="53">
        <v>41493</v>
      </c>
      <c r="E22" s="35">
        <f>4354.42+13.099</f>
        <v>4367.5190000000002</v>
      </c>
      <c r="F22" s="35">
        <f>3077.56+13.099</f>
        <v>3090.6590000000001</v>
      </c>
      <c r="G22" s="35">
        <f t="shared" si="0"/>
        <v>-1276.8600000000001</v>
      </c>
    </row>
    <row r="23" spans="1:7" ht="15">
      <c r="A23" s="34" t="s">
        <v>42</v>
      </c>
      <c r="B23" s="34" t="s">
        <v>114</v>
      </c>
      <c r="C23" s="34" t="s">
        <v>142</v>
      </c>
      <c r="D23" s="54">
        <v>42493</v>
      </c>
      <c r="E23" s="35">
        <f>176.694+2.599+10.262</f>
        <v>189.55499999999998</v>
      </c>
      <c r="F23" s="35">
        <f>176.694+2.599+10.262</f>
        <v>189.55499999999998</v>
      </c>
      <c r="G23" s="35">
        <f t="shared" si="0"/>
        <v>0</v>
      </c>
    </row>
    <row r="24" spans="1:7" ht="15">
      <c r="A24" s="34" t="s">
        <v>40</v>
      </c>
      <c r="B24" s="34" t="s">
        <v>191</v>
      </c>
      <c r="C24" s="34" t="s">
        <v>118</v>
      </c>
      <c r="D24" s="54">
        <v>42716</v>
      </c>
      <c r="E24" s="35">
        <f>1118.75+3.736-461</f>
        <v>661.4860000000001</v>
      </c>
      <c r="F24" s="35">
        <f>1432+5.571+178.272-461</f>
        <v>1154.8429999999998</v>
      </c>
      <c r="G24" s="35">
        <f t="shared" si="0"/>
        <v>493.35699999999974</v>
      </c>
    </row>
    <row r="25" spans="1:7" ht="15">
      <c r="A25" s="34" t="s">
        <v>40</v>
      </c>
      <c r="B25" s="34" t="s">
        <v>95</v>
      </c>
      <c r="C25" s="34" t="s">
        <v>43</v>
      </c>
      <c r="D25" s="54">
        <v>42170</v>
      </c>
      <c r="E25" s="35">
        <f>4321.68+13.099</f>
        <v>4334.7790000000005</v>
      </c>
      <c r="F25" s="35">
        <f>4321.68+13.099</f>
        <v>4334.7790000000005</v>
      </c>
      <c r="G25" s="35">
        <f t="shared" si="0"/>
        <v>0</v>
      </c>
    </row>
    <row r="26" spans="1:7" ht="15">
      <c r="A26" s="34" t="s">
        <v>42</v>
      </c>
      <c r="B26" s="34" t="s">
        <v>58</v>
      </c>
      <c r="C26" s="34" t="s">
        <v>121</v>
      </c>
      <c r="D26" s="54">
        <v>36868</v>
      </c>
      <c r="E26" s="35">
        <f>515.076+3.714</f>
        <v>518.79000000000008</v>
      </c>
      <c r="F26" s="35">
        <f>515.076+3.714+951.658</f>
        <v>1470.4480000000001</v>
      </c>
      <c r="G26" s="35">
        <f t="shared" si="0"/>
        <v>951.65800000000002</v>
      </c>
    </row>
    <row r="27" spans="1:7" ht="15">
      <c r="A27" s="34" t="s">
        <v>42</v>
      </c>
      <c r="B27" s="34" t="s">
        <v>56</v>
      </c>
      <c r="C27" s="34" t="s">
        <v>119</v>
      </c>
      <c r="D27" s="54">
        <v>41949</v>
      </c>
      <c r="E27" s="35">
        <f>4206.5+5.571</f>
        <v>4212.0709999999999</v>
      </c>
      <c r="F27" s="35">
        <f>4206.5+5.571</f>
        <v>4212.0709999999999</v>
      </c>
      <c r="G27" s="35">
        <f t="shared" si="0"/>
        <v>0</v>
      </c>
    </row>
    <row r="28" spans="1:7" ht="15">
      <c r="A28" s="34" t="s">
        <v>42</v>
      </c>
      <c r="B28" s="34" t="s">
        <v>184</v>
      </c>
      <c r="C28" s="34" t="s">
        <v>43</v>
      </c>
      <c r="D28" s="54">
        <v>42885</v>
      </c>
      <c r="E28" s="35">
        <v>0</v>
      </c>
      <c r="F28" s="35"/>
      <c r="G28" s="35">
        <f t="shared" si="0"/>
        <v>0</v>
      </c>
    </row>
    <row r="29" spans="1:7" ht="15">
      <c r="A29" s="34" t="s">
        <v>40</v>
      </c>
      <c r="B29" s="34" t="s">
        <v>34</v>
      </c>
      <c r="C29" s="34" t="s">
        <v>43</v>
      </c>
      <c r="D29" s="54">
        <v>42129</v>
      </c>
      <c r="E29" s="35">
        <f>2946.6+13.099</f>
        <v>2959.6990000000001</v>
      </c>
      <c r="F29" s="35">
        <f>4125.24+13.099</f>
        <v>4138.3389999999999</v>
      </c>
      <c r="G29" s="35">
        <f t="shared" si="0"/>
        <v>1178.6399999999999</v>
      </c>
    </row>
    <row r="30" spans="1:7" ht="15">
      <c r="A30" s="34" t="s">
        <v>40</v>
      </c>
      <c r="B30" s="34" t="s">
        <v>183</v>
      </c>
      <c r="C30" s="34" t="s">
        <v>43</v>
      </c>
      <c r="D30" s="54">
        <v>42815</v>
      </c>
      <c r="E30" s="35">
        <f>165.54+2.972</f>
        <v>168.512</v>
      </c>
      <c r="F30" s="35">
        <f>1815.6+7.428</f>
        <v>1823.028</v>
      </c>
      <c r="G30" s="35">
        <f t="shared" si="0"/>
        <v>1654.5160000000001</v>
      </c>
    </row>
    <row r="31" spans="1:7" ht="15">
      <c r="A31" s="34" t="s">
        <v>40</v>
      </c>
      <c r="B31" s="34" t="s">
        <v>85</v>
      </c>
      <c r="C31" s="34" t="s">
        <v>118</v>
      </c>
      <c r="D31" s="54">
        <v>42422</v>
      </c>
      <c r="E31" s="35">
        <f>2357.28+13.099</f>
        <v>2370.3790000000004</v>
      </c>
      <c r="F31" s="35">
        <f>4845.52+13.099</f>
        <v>4858.6190000000006</v>
      </c>
      <c r="G31" s="35">
        <f t="shared" si="0"/>
        <v>2488.2400000000002</v>
      </c>
    </row>
    <row r="32" spans="1:7" ht="15">
      <c r="A32" s="34" t="s">
        <v>42</v>
      </c>
      <c r="B32" s="34" t="s">
        <v>96</v>
      </c>
      <c r="C32" s="34" t="s">
        <v>122</v>
      </c>
      <c r="D32" s="54">
        <v>41227</v>
      </c>
      <c r="E32" s="35">
        <f>4329.322+2.599</f>
        <v>4331.9210000000003</v>
      </c>
      <c r="F32" s="35">
        <f>4329.322+2.599</f>
        <v>4331.9210000000003</v>
      </c>
      <c r="G32" s="35">
        <f t="shared" si="0"/>
        <v>0</v>
      </c>
    </row>
    <row r="33" spans="1:7" ht="15">
      <c r="A33" s="34" t="s">
        <v>42</v>
      </c>
      <c r="B33" s="34" t="s">
        <v>129</v>
      </c>
      <c r="C33" s="34" t="s">
        <v>118</v>
      </c>
      <c r="D33" s="54">
        <v>42635</v>
      </c>
      <c r="E33" s="35">
        <v>800</v>
      </c>
      <c r="F33" s="35">
        <v>800</v>
      </c>
      <c r="G33" s="35">
        <f t="shared" si="0"/>
        <v>0</v>
      </c>
    </row>
    <row r="34" spans="1:7" ht="15">
      <c r="A34" s="34" t="s">
        <v>42</v>
      </c>
      <c r="B34" s="34" t="s">
        <v>98</v>
      </c>
      <c r="C34" s="34" t="s">
        <v>122</v>
      </c>
      <c r="D34" s="54">
        <v>41703</v>
      </c>
      <c r="E34" s="35">
        <v>724.04600000000005</v>
      </c>
      <c r="F34" s="35">
        <v>724.04600000000005</v>
      </c>
      <c r="G34" s="35">
        <f t="shared" si="0"/>
        <v>0</v>
      </c>
    </row>
    <row r="35" spans="1:7" ht="15">
      <c r="A35" s="34" t="s">
        <v>42</v>
      </c>
      <c r="B35" s="34" t="s">
        <v>52</v>
      </c>
      <c r="C35" s="34" t="s">
        <v>122</v>
      </c>
      <c r="D35" s="54">
        <v>41291</v>
      </c>
      <c r="E35" s="35">
        <f>2681.799+2.599</f>
        <v>2684.3980000000001</v>
      </c>
      <c r="F35" s="35">
        <f>2803.75+2.599</f>
        <v>2806.3490000000002</v>
      </c>
      <c r="G35" s="35">
        <f t="shared" si="0"/>
        <v>121.95100000000002</v>
      </c>
    </row>
    <row r="36" spans="1:7" ht="15">
      <c r="A36" s="34" t="s">
        <v>40</v>
      </c>
      <c r="B36" s="34" t="s">
        <v>60</v>
      </c>
      <c r="C36" s="34" t="s">
        <v>43</v>
      </c>
      <c r="D36" s="54">
        <v>41666</v>
      </c>
      <c r="E36" s="35">
        <f>2349.6+7.428</f>
        <v>2357.0279999999998</v>
      </c>
      <c r="F36" s="35">
        <f>2723.4+7.428</f>
        <v>2730.828</v>
      </c>
      <c r="G36" s="35">
        <f t="shared" si="0"/>
        <v>373.80000000000018</v>
      </c>
    </row>
    <row r="37" spans="1:7" ht="15">
      <c r="A37" s="34" t="s">
        <v>40</v>
      </c>
      <c r="B37" s="34" t="s">
        <v>159</v>
      </c>
      <c r="C37" s="34" t="s">
        <v>43</v>
      </c>
      <c r="D37" s="54">
        <v>42809</v>
      </c>
      <c r="E37" s="35">
        <f>3044.82+13.099</f>
        <v>3057.9190000000003</v>
      </c>
      <c r="F37" s="35">
        <f>4780.04+13.099</f>
        <v>4793.1390000000001</v>
      </c>
      <c r="G37" s="35">
        <f t="shared" si="0"/>
        <v>1735.2199999999998</v>
      </c>
    </row>
    <row r="38" spans="1:7" ht="15">
      <c r="A38" s="34" t="s">
        <v>42</v>
      </c>
      <c r="B38" s="34" t="s">
        <v>148</v>
      </c>
      <c r="C38" s="34" t="s">
        <v>118</v>
      </c>
      <c r="D38" s="54">
        <v>42752</v>
      </c>
      <c r="E38" s="35">
        <v>510</v>
      </c>
      <c r="F38" s="35">
        <v>510</v>
      </c>
      <c r="G38" s="35">
        <f t="shared" si="0"/>
        <v>0</v>
      </c>
    </row>
    <row r="39" spans="1:7" ht="15">
      <c r="A39" s="34" t="s">
        <v>42</v>
      </c>
      <c r="B39" s="34" t="s">
        <v>117</v>
      </c>
      <c r="C39" s="34" t="s">
        <v>121</v>
      </c>
      <c r="D39" s="54">
        <v>29733</v>
      </c>
      <c r="E39" s="35">
        <f>5172.92+7.428</f>
        <v>5180.348</v>
      </c>
      <c r="F39" s="35">
        <f>5172.92+7.428</f>
        <v>5180.348</v>
      </c>
      <c r="G39" s="35">
        <f t="shared" si="0"/>
        <v>0</v>
      </c>
    </row>
    <row r="40" spans="1:7" ht="15">
      <c r="A40" s="34" t="s">
        <v>40</v>
      </c>
      <c r="B40" s="34" t="s">
        <v>125</v>
      </c>
      <c r="C40" s="34" t="s">
        <v>142</v>
      </c>
      <c r="D40" s="54">
        <v>42604</v>
      </c>
      <c r="E40" s="35">
        <v>322.30799999999999</v>
      </c>
      <c r="F40" s="35">
        <v>322.30799999999999</v>
      </c>
      <c r="G40" s="35">
        <f t="shared" si="0"/>
        <v>0</v>
      </c>
    </row>
    <row r="41" spans="1:7" ht="15">
      <c r="A41" s="34" t="s">
        <v>40</v>
      </c>
      <c r="B41" s="34" t="s">
        <v>35</v>
      </c>
      <c r="C41" s="34" t="s">
        <v>43</v>
      </c>
      <c r="D41" s="54">
        <v>42361</v>
      </c>
      <c r="E41" s="35">
        <f>130.83+2.972</f>
        <v>133.80200000000002</v>
      </c>
      <c r="F41" s="35">
        <f>2456.4+7.428</f>
        <v>2463.828</v>
      </c>
      <c r="G41" s="35">
        <f t="shared" si="0"/>
        <v>2330.0259999999998</v>
      </c>
    </row>
    <row r="42" spans="1:7" ht="15">
      <c r="A42" s="34" t="s">
        <v>40</v>
      </c>
      <c r="B42" s="34" t="s">
        <v>59</v>
      </c>
      <c r="C42" s="34" t="s">
        <v>43</v>
      </c>
      <c r="D42" s="54">
        <v>41549</v>
      </c>
      <c r="E42" s="35">
        <f>4485.38+13.099</f>
        <v>4498.4790000000003</v>
      </c>
      <c r="F42" s="35">
        <f>4714.56+13.099</f>
        <v>4727.6590000000006</v>
      </c>
      <c r="G42" s="35">
        <f t="shared" si="0"/>
        <v>229.18000000000029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DIFERENCIA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2017-06-24T18:41:36Z</dcterms:modified>
</cp:coreProperties>
</file>