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NOMINA'!$A$5:$AF$69</definedName>
  </definedNames>
  <calcPr calcId="124519"/>
</workbook>
</file>

<file path=xl/calcChain.xml><?xml version="1.0" encoding="utf-8"?>
<calcChain xmlns="http://schemas.openxmlformats.org/spreadsheetml/2006/main">
  <c r="F85" i="4"/>
  <c r="F76"/>
  <c r="T71" l="1"/>
  <c r="F77"/>
  <c r="F98"/>
  <c r="F102"/>
  <c r="F104"/>
  <c r="F81"/>
  <c r="F95"/>
  <c r="F93"/>
  <c r="F117"/>
  <c r="F111"/>
  <c r="F112"/>
  <c r="F84"/>
  <c r="F89"/>
  <c r="F83"/>
  <c r="F105"/>
  <c r="F116"/>
  <c r="F100"/>
  <c r="F80"/>
  <c r="F114"/>
  <c r="F103"/>
  <c r="F96"/>
  <c r="F99"/>
  <c r="F75"/>
  <c r="F94"/>
  <c r="F110"/>
  <c r="F97"/>
  <c r="F90"/>
  <c r="F91"/>
  <c r="F109"/>
  <c r="F92"/>
  <c r="F74"/>
  <c r="Z97" l="1"/>
  <c r="I30"/>
  <c r="X30" s="1"/>
  <c r="V30" l="1"/>
  <c r="Q68" l="1"/>
  <c r="I43" l="1"/>
  <c r="I88" l="1"/>
  <c r="U88" s="1"/>
  <c r="Q71" l="1"/>
  <c r="I44" l="1"/>
  <c r="U44" s="1"/>
  <c r="I106"/>
  <c r="I69"/>
  <c r="U69" s="1"/>
  <c r="I60" l="1"/>
  <c r="U60" s="1"/>
  <c r="I86" l="1"/>
  <c r="U86" s="1"/>
  <c r="I64"/>
  <c r="I129" l="1"/>
  <c r="I125"/>
  <c r="I126"/>
  <c r="I127"/>
  <c r="I128"/>
  <c r="I75"/>
  <c r="I76"/>
  <c r="I77"/>
  <c r="I78"/>
  <c r="I80"/>
  <c r="I81"/>
  <c r="I82"/>
  <c r="I83"/>
  <c r="I84"/>
  <c r="I85"/>
  <c r="I87"/>
  <c r="I89"/>
  <c r="I91"/>
  <c r="I92"/>
  <c r="I94"/>
  <c r="I95"/>
  <c r="I96"/>
  <c r="I42"/>
  <c r="I97"/>
  <c r="I98"/>
  <c r="I99"/>
  <c r="I100"/>
  <c r="I101"/>
  <c r="I102"/>
  <c r="I103"/>
  <c r="I104"/>
  <c r="I105"/>
  <c r="I107"/>
  <c r="I108"/>
  <c r="I109"/>
  <c r="I110"/>
  <c r="I111"/>
  <c r="I112"/>
  <c r="I113"/>
  <c r="I114"/>
  <c r="I115"/>
  <c r="I116"/>
  <c r="I117"/>
  <c r="I118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1"/>
  <c r="I32"/>
  <c r="I33"/>
  <c r="I34"/>
  <c r="I35"/>
  <c r="I36"/>
  <c r="I37"/>
  <c r="I38"/>
  <c r="I40"/>
  <c r="I41"/>
  <c r="I45"/>
  <c r="I46"/>
  <c r="I47"/>
  <c r="I48"/>
  <c r="I49"/>
  <c r="I50"/>
  <c r="I51"/>
  <c r="I52"/>
  <c r="I53"/>
  <c r="I54"/>
  <c r="I55"/>
  <c r="I56"/>
  <c r="I57"/>
  <c r="I58"/>
  <c r="I59"/>
  <c r="I61"/>
  <c r="I62"/>
  <c r="I63"/>
  <c r="I65"/>
  <c r="I66"/>
  <c r="I67"/>
  <c r="I68"/>
  <c r="I7"/>
  <c r="F71" l="1"/>
  <c r="U112" l="1"/>
  <c r="J105" l="1"/>
  <c r="U128" l="1"/>
  <c r="U80" l="1"/>
  <c r="U81"/>
  <c r="U82"/>
  <c r="U83"/>
  <c r="U84"/>
  <c r="U85"/>
  <c r="U87"/>
  <c r="U89"/>
  <c r="U91"/>
  <c r="U109"/>
  <c r="U76" l="1"/>
  <c r="U11"/>
  <c r="U24"/>
  <c r="U27"/>
  <c r="V27" l="1"/>
  <c r="W27" s="1"/>
  <c r="U16" l="1"/>
  <c r="U78"/>
  <c r="J119" l="1"/>
  <c r="K119"/>
  <c r="L119"/>
  <c r="M119"/>
  <c r="N119"/>
  <c r="O119"/>
  <c r="P119"/>
  <c r="Q119"/>
  <c r="R119"/>
  <c r="S119"/>
  <c r="T119"/>
  <c r="G119"/>
  <c r="H119"/>
  <c r="F119"/>
  <c r="I119" l="1"/>
  <c r="U101"/>
  <c r="V101" l="1"/>
  <c r="W101" s="1"/>
  <c r="U42"/>
  <c r="U102" l="1"/>
  <c r="V102"/>
  <c r="W42"/>
  <c r="X42"/>
  <c r="AA42" s="1"/>
  <c r="V42"/>
  <c r="W102" l="1"/>
  <c r="V113"/>
  <c r="V47"/>
  <c r="U113" l="1"/>
  <c r="W113" s="1"/>
  <c r="U47"/>
  <c r="W47" s="1"/>
  <c r="V50" l="1"/>
  <c r="L71"/>
  <c r="U50" l="1"/>
  <c r="W50" s="1"/>
  <c r="V10"/>
  <c r="U10" l="1"/>
  <c r="W10" s="1"/>
  <c r="V97" l="1"/>
  <c r="U97" l="1"/>
  <c r="W97" s="1"/>
  <c r="U12"/>
  <c r="V12" l="1"/>
  <c r="W12" s="1"/>
  <c r="V67" l="1"/>
  <c r="U67" l="1"/>
  <c r="W67" s="1"/>
  <c r="V46"/>
  <c r="U46" l="1"/>
  <c r="W46" s="1"/>
  <c r="U7"/>
  <c r="V7" l="1"/>
  <c r="W7" s="1"/>
  <c r="V31" l="1"/>
  <c r="U31" l="1"/>
  <c r="W31" s="1"/>
  <c r="V83" l="1"/>
  <c r="W83" s="1"/>
  <c r="U45" l="1"/>
  <c r="V45" l="1"/>
  <c r="W45" s="1"/>
  <c r="V23"/>
  <c r="V41"/>
  <c r="U41" l="1"/>
  <c r="W41" s="1"/>
  <c r="U23"/>
  <c r="W23" s="1"/>
  <c r="V54"/>
  <c r="U54" l="1"/>
  <c r="W54" s="1"/>
  <c r="V107"/>
  <c r="U107" l="1"/>
  <c r="W107" s="1"/>
  <c r="V68" l="1"/>
  <c r="U68" l="1"/>
  <c r="W68" s="1"/>
  <c r="U57" l="1"/>
  <c r="V57" l="1"/>
  <c r="W57" s="1"/>
  <c r="X57"/>
  <c r="U115" l="1"/>
  <c r="V87" l="1"/>
  <c r="W87" s="1"/>
  <c r="V115"/>
  <c r="W115" s="1"/>
  <c r="V66" l="1"/>
  <c r="U66" l="1"/>
  <c r="W66" s="1"/>
  <c r="X37" l="1"/>
  <c r="Z37"/>
  <c r="U61"/>
  <c r="Z61"/>
  <c r="AA37" l="1"/>
  <c r="U37"/>
  <c r="V37"/>
  <c r="X61"/>
  <c r="AA61" s="1"/>
  <c r="V61"/>
  <c r="W61" s="1"/>
  <c r="Z26"/>
  <c r="W37" l="1"/>
  <c r="X26"/>
  <c r="AA26" s="1"/>
  <c r="U26"/>
  <c r="V26"/>
  <c r="W26" l="1"/>
  <c r="AD26" s="1"/>
  <c r="Z51" l="1"/>
  <c r="U51"/>
  <c r="X51" l="1"/>
  <c r="AA51" s="1"/>
  <c r="V51"/>
  <c r="W51" s="1"/>
  <c r="Z22" l="1"/>
  <c r="Z25"/>
  <c r="Z28"/>
  <c r="Z29"/>
  <c r="Z89"/>
  <c r="Z32"/>
  <c r="Z33"/>
  <c r="U22"/>
  <c r="X22" l="1"/>
  <c r="AA22" s="1"/>
  <c r="V22"/>
  <c r="W22" s="1"/>
  <c r="X33" l="1"/>
  <c r="AA33" s="1"/>
  <c r="U33"/>
  <c r="V33"/>
  <c r="W33" l="1"/>
  <c r="V89" l="1"/>
  <c r="X89"/>
  <c r="AA89" s="1"/>
  <c r="W89" l="1"/>
  <c r="Z65" l="1"/>
  <c r="Z49"/>
  <c r="X28" l="1"/>
  <c r="AA28" s="1"/>
  <c r="U28"/>
  <c r="V28"/>
  <c r="U65"/>
  <c r="X65"/>
  <c r="AA65" s="1"/>
  <c r="V49"/>
  <c r="X49"/>
  <c r="AA49" s="1"/>
  <c r="V65"/>
  <c r="U49"/>
  <c r="Z53"/>
  <c r="X53"/>
  <c r="W28" l="1"/>
  <c r="AD28" s="1"/>
  <c r="W65"/>
  <c r="W49"/>
  <c r="AA53"/>
  <c r="U53"/>
  <c r="V53"/>
  <c r="W53" l="1"/>
  <c r="AD65" l="1"/>
  <c r="AD49" l="1"/>
  <c r="Z58"/>
  <c r="V96" l="1"/>
  <c r="X96"/>
  <c r="Z96"/>
  <c r="AA96" l="1"/>
  <c r="U96"/>
  <c r="W96" s="1"/>
  <c r="AD96" s="1"/>
  <c r="Z20" l="1"/>
  <c r="V20" l="1"/>
  <c r="U20"/>
  <c r="U21"/>
  <c r="X20"/>
  <c r="AA20" s="1"/>
  <c r="V21"/>
  <c r="W20" l="1"/>
  <c r="W21"/>
  <c r="AD20" l="1"/>
  <c r="Z52" l="1"/>
  <c r="V29" l="1"/>
  <c r="X29"/>
  <c r="AA29" s="1"/>
  <c r="U29"/>
  <c r="Z59"/>
  <c r="X59" l="1"/>
  <c r="W29"/>
  <c r="V59" l="1"/>
  <c r="U59"/>
  <c r="AA59"/>
  <c r="W59" l="1"/>
  <c r="AD59" s="1"/>
  <c r="Z18" l="1"/>
  <c r="V105" l="1"/>
  <c r="X105"/>
  <c r="Z117"/>
  <c r="Z116"/>
  <c r="Z63"/>
  <c r="Z62"/>
  <c r="Z111"/>
  <c r="Z56"/>
  <c r="Z55"/>
  <c r="Z104"/>
  <c r="Z102"/>
  <c r="Z48"/>
  <c r="Z98"/>
  <c r="Z40"/>
  <c r="Z38"/>
  <c r="Z95"/>
  <c r="Z36"/>
  <c r="Z35"/>
  <c r="Z34"/>
  <c r="Z19"/>
  <c r="Z81"/>
  <c r="Z17"/>
  <c r="Z15"/>
  <c r="Z14"/>
  <c r="Z13"/>
  <c r="Z9"/>
  <c r="Z8"/>
  <c r="V18" l="1"/>
  <c r="X18"/>
  <c r="AA18" s="1"/>
  <c r="U18"/>
  <c r="Z105"/>
  <c r="W18" l="1"/>
  <c r="AD18" s="1"/>
  <c r="AA105"/>
  <c r="U105"/>
  <c r="W105" s="1"/>
  <c r="AD105" s="1"/>
  <c r="V104" l="1"/>
  <c r="U104"/>
  <c r="X104"/>
  <c r="AA104" s="1"/>
  <c r="Y71"/>
  <c r="I74"/>
  <c r="AC71"/>
  <c r="AB71"/>
  <c r="P71"/>
  <c r="J71"/>
  <c r="H71"/>
  <c r="G71"/>
  <c r="X58"/>
  <c r="U95"/>
  <c r="U94"/>
  <c r="U92"/>
  <c r="W104" l="1"/>
  <c r="AD104" s="1"/>
  <c r="U32"/>
  <c r="V32"/>
  <c r="X32"/>
  <c r="AA32" s="1"/>
  <c r="V48"/>
  <c r="X48"/>
  <c r="AA48" s="1"/>
  <c r="V35"/>
  <c r="X35"/>
  <c r="AA35" s="1"/>
  <c r="V36"/>
  <c r="X36"/>
  <c r="V17"/>
  <c r="X17"/>
  <c r="V34"/>
  <c r="X34"/>
  <c r="V38"/>
  <c r="X38"/>
  <c r="AA38" s="1"/>
  <c r="V40"/>
  <c r="X40"/>
  <c r="V9"/>
  <c r="X9"/>
  <c r="AA9" s="1"/>
  <c r="V13"/>
  <c r="X13"/>
  <c r="AA13" s="1"/>
  <c r="V15"/>
  <c r="X15"/>
  <c r="AA15" s="1"/>
  <c r="V77"/>
  <c r="X77"/>
  <c r="X102"/>
  <c r="AA102" s="1"/>
  <c r="V81"/>
  <c r="X81"/>
  <c r="AA81" s="1"/>
  <c r="V80"/>
  <c r="X80"/>
  <c r="V99"/>
  <c r="X99"/>
  <c r="V75"/>
  <c r="X75"/>
  <c r="V91"/>
  <c r="X91"/>
  <c r="V84"/>
  <c r="X84"/>
  <c r="V98"/>
  <c r="X98"/>
  <c r="AA98" s="1"/>
  <c r="V95"/>
  <c r="X95"/>
  <c r="AA95" s="1"/>
  <c r="V56"/>
  <c r="X56"/>
  <c r="V114"/>
  <c r="X114"/>
  <c r="V111"/>
  <c r="X111"/>
  <c r="AA111" s="1"/>
  <c r="V63"/>
  <c r="X63"/>
  <c r="AA63" s="1"/>
  <c r="V117"/>
  <c r="X117"/>
  <c r="AA117" s="1"/>
  <c r="V55"/>
  <c r="X55"/>
  <c r="AA55" s="1"/>
  <c r="V110"/>
  <c r="X110"/>
  <c r="V108"/>
  <c r="X108"/>
  <c r="V116"/>
  <c r="X116"/>
  <c r="AA116" s="1"/>
  <c r="U52"/>
  <c r="X52"/>
  <c r="AA52" s="1"/>
  <c r="V100"/>
  <c r="X100"/>
  <c r="V94"/>
  <c r="X94"/>
  <c r="V92"/>
  <c r="X92"/>
  <c r="V85"/>
  <c r="X85"/>
  <c r="V58"/>
  <c r="V52"/>
  <c r="R71"/>
  <c r="Z92"/>
  <c r="AA58"/>
  <c r="Z84"/>
  <c r="S71"/>
  <c r="Z80"/>
  <c r="U98"/>
  <c r="AD29"/>
  <c r="U13"/>
  <c r="U111"/>
  <c r="U63"/>
  <c r="U15"/>
  <c r="Z94"/>
  <c r="U116"/>
  <c r="Z91"/>
  <c r="U9"/>
  <c r="Z77"/>
  <c r="Z85"/>
  <c r="Z75"/>
  <c r="AD53"/>
  <c r="U38"/>
  <c r="Z99"/>
  <c r="Z100"/>
  <c r="Z114"/>
  <c r="U35"/>
  <c r="U55"/>
  <c r="Z108"/>
  <c r="Z110"/>
  <c r="U48"/>
  <c r="U58"/>
  <c r="U117"/>
  <c r="U25" l="1"/>
  <c r="X25"/>
  <c r="AA25" s="1"/>
  <c r="V25"/>
  <c r="W32"/>
  <c r="W63"/>
  <c r="AD63" s="1"/>
  <c r="W117"/>
  <c r="AD117" s="1"/>
  <c r="W48"/>
  <c r="AD48" s="1"/>
  <c r="W35"/>
  <c r="AD35" s="1"/>
  <c r="W95"/>
  <c r="AD95" s="1"/>
  <c r="V19"/>
  <c r="X19"/>
  <c r="AA19" s="1"/>
  <c r="X14"/>
  <c r="AA14" s="1"/>
  <c r="V8"/>
  <c r="X8"/>
  <c r="AA8" s="1"/>
  <c r="W116"/>
  <c r="AD116" s="1"/>
  <c r="V62"/>
  <c r="X62"/>
  <c r="AA62" s="1"/>
  <c r="U74"/>
  <c r="W52"/>
  <c r="AD52" s="1"/>
  <c r="U14"/>
  <c r="V14"/>
  <c r="U62"/>
  <c r="U19"/>
  <c r="AD89"/>
  <c r="W98"/>
  <c r="AD98" s="1"/>
  <c r="W38"/>
  <c r="AD38" s="1"/>
  <c r="W15"/>
  <c r="AD15" s="1"/>
  <c r="W9"/>
  <c r="AD9" s="1"/>
  <c r="AD102"/>
  <c r="W81"/>
  <c r="AD81" s="1"/>
  <c r="W111"/>
  <c r="AD111" s="1"/>
  <c r="W55"/>
  <c r="AD55" s="1"/>
  <c r="W13"/>
  <c r="AD13" s="1"/>
  <c r="W58"/>
  <c r="AD58" s="1"/>
  <c r="AA85"/>
  <c r="AA114"/>
  <c r="AA110"/>
  <c r="AA92"/>
  <c r="AA91"/>
  <c r="AA94"/>
  <c r="AA80"/>
  <c r="AA75"/>
  <c r="AA99"/>
  <c r="AA84"/>
  <c r="AA77"/>
  <c r="AA100"/>
  <c r="AA108"/>
  <c r="Z71"/>
  <c r="W92"/>
  <c r="AD92" s="1"/>
  <c r="W94"/>
  <c r="AD94" s="1"/>
  <c r="U110"/>
  <c r="W110" s="1"/>
  <c r="AD110" s="1"/>
  <c r="W84"/>
  <c r="AD84" s="1"/>
  <c r="U34"/>
  <c r="AA34"/>
  <c r="AA17"/>
  <c r="AA56"/>
  <c r="U36"/>
  <c r="AA36"/>
  <c r="U40"/>
  <c r="AA40"/>
  <c r="W80"/>
  <c r="AD80" s="1"/>
  <c r="U17"/>
  <c r="U99"/>
  <c r="W99" s="1"/>
  <c r="AD99" s="1"/>
  <c r="U100"/>
  <c r="W100" s="1"/>
  <c r="AD100" s="1"/>
  <c r="W91"/>
  <c r="AD91" s="1"/>
  <c r="W85"/>
  <c r="AD85" s="1"/>
  <c r="U77"/>
  <c r="W77" s="1"/>
  <c r="AD77" s="1"/>
  <c r="M71"/>
  <c r="U114"/>
  <c r="W114" s="1"/>
  <c r="AD114" s="1"/>
  <c r="N71"/>
  <c r="O71"/>
  <c r="U8"/>
  <c r="U56"/>
  <c r="U75"/>
  <c r="W75" s="1"/>
  <c r="AD75" s="1"/>
  <c r="U108"/>
  <c r="W108" s="1"/>
  <c r="AD108" s="1"/>
  <c r="V74" l="1"/>
  <c r="V119" s="1"/>
  <c r="U119"/>
  <c r="W25"/>
  <c r="AD25" s="1"/>
  <c r="W19"/>
  <c r="AD19" s="1"/>
  <c r="W62"/>
  <c r="AD62" s="1"/>
  <c r="W74"/>
  <c r="W119" s="1"/>
  <c r="X74"/>
  <c r="AA74" s="1"/>
  <c r="AA120" s="1"/>
  <c r="W14"/>
  <c r="AD14" s="1"/>
  <c r="AD32"/>
  <c r="W17"/>
  <c r="AD17" s="1"/>
  <c r="W36"/>
  <c r="W34"/>
  <c r="AD34" s="1"/>
  <c r="W56"/>
  <c r="AD56" s="1"/>
  <c r="W40"/>
  <c r="AD40" s="1"/>
  <c r="W8"/>
  <c r="AD8" s="1"/>
  <c r="I71" l="1"/>
  <c r="X71"/>
  <c r="V71"/>
  <c r="U71" l="1"/>
  <c r="AA71"/>
  <c r="W71" l="1"/>
  <c r="AD71"/>
  <c r="AA72"/>
  <c r="AA73" s="1"/>
</calcChain>
</file>

<file path=xl/sharedStrings.xml><?xml version="1.0" encoding="utf-8"?>
<sst xmlns="http://schemas.openxmlformats.org/spreadsheetml/2006/main" count="589" uniqueCount="206">
  <si>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</si>
  <si>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</si>
  <si>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</si>
  <si>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</si>
  <si>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</si>
  <si>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</si>
  <si>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</si>
  <si>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</si>
  <si>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</si>
  <si>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</si>
  <si>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</si>
  <si>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</si>
  <si>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</si>
  <si>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</si>
  <si>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</si>
  <si>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</si>
  <si>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</si>
  <si>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</si>
  <si>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</si>
  <si>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</si>
  <si>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</si>
  <si>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</si>
  <si>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</si>
  <si>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</si>
  <si>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</si>
  <si>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</si>
  <si>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</si>
  <si>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</si>
  <si>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</si>
  <si>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</si>
  <si>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</si>
  <si>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</si>
  <si>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</si>
  <si>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</si>
  <si>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</si>
  <si>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</si>
  <si>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LARA OVIEDO SORAYA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</si>
  <si>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</si>
  <si>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</si>
  <si>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</si>
  <si>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</si>
  <si>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</si>
  <si>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</si>
  <si>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</si>
  <si>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</si>
  <si>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</si>
  <si>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</si>
  <si>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</si>
  <si>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</si>
  <si>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</si>
  <si>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</si>
  <si>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</si>
  <si>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</si>
  <si>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</si>
  <si>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</si>
  <si>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</si>
  <si>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</si>
  <si>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</si>
  <si>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</si>
  <si>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</si>
  <si>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</si>
  <si>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</si>
  <si>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</si>
  <si>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</si>
  <si>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</si>
  <si>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</si>
  <si>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</si>
  <si>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</si>
  <si>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</si>
  <si>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</si>
  <si>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</si>
  <si>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</si>
  <si>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</si>
  <si>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</si>
  <si>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</si>
  <si>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</si>
  <si>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</si>
  <si>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</si>
  <si>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</si>
  <si>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</si>
  <si>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</si>
  <si>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</si>
  <si>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</si>
  <si>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</si>
  <si>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</si>
  <si>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</si>
  <si>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</si>
  <si>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</si>
  <si>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</si>
  <si>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</si>
  <si>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</si>
  <si>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</si>
  <si>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</si>
  <si>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</si>
  <si>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</si>
  <si>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</si>
  <si>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</si>
  <si>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</si>
  <si>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</si>
  <si>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</si>
  <si>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</si>
  <si>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</si>
  <si>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</si>
  <si>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</si>
  <si>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</si>
  <si>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</si>
  <si>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</si>
  <si>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</si>
  <si>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</si>
  <si>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</si>
  <si>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</si>
  <si>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</si>
  <si>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</si>
  <si>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</si>
  <si>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</si>
  <si>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</si>
  <si>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</si>
  <si>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</si>
  <si>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</si>
  <si>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</si>
  <si>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</si>
  <si>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</si>
  <si>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</si>
  <si>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</si>
  <si>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</si>
  <si>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</si>
  <si>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</si>
  <si>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</si>
  <si>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</si>
  <si>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</si>
  <si>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</si>
  <si>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</si>
  <si>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</si>
  <si>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</si>
  <si>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</si>
  <si>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MIRANDA PEON JULIO CESAR</t>
  </si>
  <si>
    <t>GALLEGOS ROMERO CRISTIAN</t>
  </si>
  <si>
    <t>COACH BDC</t>
  </si>
  <si>
    <t>MUÑOZ RODRIGUEZ CONRADO ISRAEL</t>
  </si>
  <si>
    <t>GUZMAN TREJO DIEGO ARTURO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</si>
  <si>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</si>
  <si>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</si>
  <si>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</si>
  <si>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</si>
  <si>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</si>
  <si>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</si>
  <si>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</si>
  <si>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NAVA RUBIO JAVIER</t>
  </si>
  <si>
    <t>TECNICO</t>
  </si>
  <si>
    <t>ALVIZAR ORGANISTA EDUARDO</t>
  </si>
  <si>
    <t>EN TRAMITE</t>
  </si>
  <si>
    <t>AGUILAR HERNANDEZ CARLA CECILIA</t>
  </si>
  <si>
    <t>RAMIREZ MOYA NESTOR</t>
  </si>
  <si>
    <t>FLORES ALDRETE DANIEL</t>
  </si>
  <si>
    <t>OLIVAS MANCILLA JESUS DANIEL</t>
  </si>
  <si>
    <t>VALDEZ BERNAL JUAN PABLO</t>
  </si>
  <si>
    <t>DESCUENTO CTA 254 POR CONCEPTO DE HERRAMIENTAS</t>
  </si>
  <si>
    <t>ORTEGA BUSTAMANTE JESUS GERARDO</t>
  </si>
  <si>
    <t>FERRER GONZALEZ MARIA ELENA</t>
  </si>
  <si>
    <t>AUX. ADMON.</t>
  </si>
  <si>
    <t>TOTAL DE LA NOMINA</t>
  </si>
  <si>
    <t>VALDEZ HERNANDEZ ELDA NELLY</t>
  </si>
  <si>
    <t>BAUTISTA RAMIREZ MARIO ALEXIS</t>
  </si>
  <si>
    <t>CASILLAS GARCIA DEL VALLE RODRIGO BARUCH</t>
  </si>
  <si>
    <t>ARIAS CORTES ROBERTO CARLOS</t>
  </si>
  <si>
    <t>ALARCON ORTIZ JOSE AURELIO</t>
  </si>
  <si>
    <t>SANCHEZ DE JESUS FROYLAN</t>
  </si>
  <si>
    <t>JUAREZ URIBE MICHEL</t>
  </si>
  <si>
    <t>DE JESUS PADILLA ALFREDO</t>
  </si>
  <si>
    <t>SAUCEDO MAGAÑA VICTOR HUGO</t>
  </si>
  <si>
    <t>FAVOR DE PASAR SU SUELDO $1,516</t>
  </si>
  <si>
    <t xml:space="preserve">SUELDO SEMANAL $1,516 </t>
  </si>
  <si>
    <t>SUELDO SEMANAL DE $2,100</t>
  </si>
  <si>
    <t>SANTANDER</t>
  </si>
  <si>
    <t>PENDIENTE</t>
  </si>
  <si>
    <t>BANCOMER</t>
  </si>
  <si>
    <t>EFECTIVO</t>
  </si>
  <si>
    <t>SUELDO SEMANAL $937.50</t>
  </si>
  <si>
    <t>MEDINA ESPARZA JOSUE</t>
  </si>
  <si>
    <t>HERNANDEZ MATA AURELIANO</t>
  </si>
  <si>
    <t xml:space="preserve">MARTINEZ GARCIA JOSE JUAN </t>
  </si>
  <si>
    <t>SUELDO SEMANAL $560.28</t>
  </si>
  <si>
    <t>AGUAS OROZCO FRANCISCO JAVIER</t>
  </si>
  <si>
    <t>HURTADO PAJARO JOSE EDUARDO</t>
  </si>
  <si>
    <t xml:space="preserve">TORRES IBARRA LUIS GERARDO </t>
  </si>
  <si>
    <t>GUTIERREZ LARA GEOVANNI</t>
  </si>
  <si>
    <t>SE QUEDA DE MOMENTO EN BANCOMER YA QUE NO TIENE EIFE</t>
  </si>
  <si>
    <t>SE QUEDA EN BANCOMER POR PROBLEMAS EN SANTANDER</t>
  </si>
  <si>
    <t>SOLANO PEREZ JOSE ANTONIO</t>
  </si>
  <si>
    <t>VELAZQUEZ CRUZ MARIA PATRICIA</t>
  </si>
  <si>
    <t>RESENDIZ LUJAN GERARDO GUADALUPE</t>
  </si>
  <si>
    <t>MORENO VALERO NORMA</t>
  </si>
  <si>
    <t>HERNANDEZ MARTINEZ EDUARDO RENE</t>
  </si>
  <si>
    <t>LUNA RAMIREZ JAIRO FERNANDO</t>
  </si>
  <si>
    <t>MORANO AVEDAÑO FABIOLA</t>
  </si>
  <si>
    <t>COORDINADOR MKT</t>
  </si>
  <si>
    <t>GONZALEZ RODRIGUEZ ERIK</t>
  </si>
  <si>
    <t>BAUTISTA ROBLES FERNANDO</t>
  </si>
  <si>
    <t>Periodo Semana 21</t>
  </si>
  <si>
    <t>17/05/17 AL 23/05/17</t>
  </si>
  <si>
    <t>DESCONTAR $300 POR PAGO INDEVIDO. DESCUENTO 9/10</t>
  </si>
  <si>
    <t>DESCUENTO CTA 254 POR CONCEPTO DE TRAJES 9/24</t>
  </si>
  <si>
    <t>HERNANDEZ SOLIS GUMECINDO</t>
  </si>
  <si>
    <t>3 dias de incapacidad</t>
  </si>
  <si>
    <t>XX</t>
  </si>
  <si>
    <t>PUEBLA MARTINEZ JOSE ANDRES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</si>
</sst>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15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6" fillId="0" borderId="0" xfId="0" applyFont="1" applyBorder="1"/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43" fontId="12" fillId="8" borderId="7" xfId="2" applyFont="1" applyFill="1" applyBorder="1"/>
    <xf numFmtId="14" fontId="12" fillId="0" borderId="7" xfId="0" applyNumberFormat="1" applyFont="1" applyFill="1" applyBorder="1"/>
    <xf numFmtId="164" fontId="12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164" fontId="12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164" fontId="12" fillId="7" borderId="7" xfId="0" applyNumberFormat="1" applyFont="1" applyFill="1" applyBorder="1"/>
    <xf numFmtId="164" fontId="12" fillId="0" borderId="7" xfId="0" applyNumberFormat="1" applyFont="1" applyFill="1" applyBorder="1" applyAlignment="1">
      <alignment horizontal="right"/>
    </xf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7" xfId="0" applyFont="1" applyFill="1" applyBorder="1"/>
    <xf numFmtId="0" fontId="17" fillId="0" borderId="7" xfId="0" applyFont="1" applyFill="1" applyBorder="1"/>
    <xf numFmtId="0" fontId="6" fillId="10" borderId="7" xfId="0" applyFont="1" applyFill="1" applyBorder="1"/>
    <xf numFmtId="0" fontId="7" fillId="0" borderId="7" xfId="2" applyNumberFormat="1" applyFont="1" applyFill="1" applyBorder="1" applyAlignment="1">
      <alignment horizontal="left"/>
    </xf>
    <xf numFmtId="0" fontId="6" fillId="9" borderId="7" xfId="0" applyFont="1" applyFill="1" applyBorder="1"/>
    <xf numFmtId="164" fontId="12" fillId="9" borderId="7" xfId="0" applyNumberFormat="1" applyFont="1" applyFill="1" applyBorder="1"/>
    <xf numFmtId="43" fontId="6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2" fillId="9" borderId="7" xfId="0" applyFont="1" applyFill="1" applyBorder="1" applyAlignment="1">
      <alignment wrapText="1"/>
    </xf>
    <xf numFmtId="4" fontId="12" fillId="9" borderId="7" xfId="0" applyNumberFormat="1" applyFont="1" applyFill="1" applyBorder="1" applyAlignment="1">
      <alignment wrapText="1"/>
    </xf>
    <xf numFmtId="43" fontId="12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16" fillId="0" borderId="7" xfId="0" applyFont="1" applyBorder="1" applyAlignment="1">
      <alignment horizontal="center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3" fontId="7" fillId="5" borderId="1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7" borderId="7" xfId="2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45"/>
  <sheetViews>
    <sheetView tabSelected="1" zoomScale="90" zoomScaleNormal="90" workbookViewId="0">
      <pane xSplit="2" ySplit="6" topLeftCell="C70" activePane="bottomRight" state="frozen"/>
      <selection pane="topRight" activeCell="C1" sqref="C1"/>
      <selection pane="bottomLeft" activeCell="A7" sqref="A7"/>
      <selection pane="bottomRight" activeCell="F117" sqref="F117"/>
    </sheetView>
  </sheetViews>
  <sheetFormatPr baseColWidth="10" defaultColWidth="11.5703125" defaultRowHeight="15"/>
  <cols>
    <col min="1" max="1" width="20.42578125" style="19" customWidth="1"/>
    <col min="2" max="2" width="40" style="19" customWidth="1"/>
    <col min="3" max="3" width="8.140625" style="19" customWidth="1"/>
    <col min="4" max="4" width="29" style="19" customWidth="1"/>
    <col min="5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5" hidden="1" customWidth="1"/>
    <col min="29" max="29" width="12.7109375" style="45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145</v>
      </c>
      <c r="B1" s="2"/>
      <c r="C1" s="2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4"/>
      <c r="AC1" s="44"/>
      <c r="AD1" s="22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8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4"/>
      <c r="AC2" s="44"/>
      <c r="AD2" s="22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198</v>
      </c>
      <c r="B3" s="10"/>
      <c r="C3" s="10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4"/>
      <c r="AC3" s="44"/>
      <c r="AD3" s="22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199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5"/>
      <c r="AC4" s="45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99" t="s">
        <v>13</v>
      </c>
      <c r="B5" s="99" t="s">
        <v>14</v>
      </c>
      <c r="C5" s="99" t="s">
        <v>77</v>
      </c>
      <c r="D5" s="99" t="s">
        <v>0</v>
      </c>
      <c r="E5" s="101" t="s">
        <v>73</v>
      </c>
      <c r="F5" s="97" t="s">
        <v>32</v>
      </c>
      <c r="G5" s="103" t="s">
        <v>9</v>
      </c>
      <c r="H5" s="103" t="s">
        <v>10</v>
      </c>
      <c r="I5" s="103" t="s">
        <v>11</v>
      </c>
      <c r="J5" s="103" t="s">
        <v>12</v>
      </c>
      <c r="K5" s="97" t="s">
        <v>115</v>
      </c>
      <c r="L5" s="97" t="s">
        <v>87</v>
      </c>
      <c r="M5" s="104" t="s">
        <v>48</v>
      </c>
      <c r="N5" s="104" t="s">
        <v>62</v>
      </c>
      <c r="O5" s="104" t="s">
        <v>61</v>
      </c>
      <c r="P5" s="104" t="s">
        <v>49</v>
      </c>
      <c r="Q5" s="103" t="s">
        <v>6</v>
      </c>
      <c r="R5" s="103" t="s">
        <v>16</v>
      </c>
      <c r="S5" s="103" t="s">
        <v>15</v>
      </c>
      <c r="T5" s="103" t="s">
        <v>8</v>
      </c>
      <c r="U5" s="103" t="s">
        <v>23</v>
      </c>
      <c r="V5" s="109" t="s">
        <v>3</v>
      </c>
      <c r="W5" s="109" t="s">
        <v>7</v>
      </c>
      <c r="X5" s="109" t="s">
        <v>2</v>
      </c>
      <c r="Y5" s="109" t="s">
        <v>4</v>
      </c>
      <c r="Z5" s="24"/>
      <c r="AA5" s="109" t="s">
        <v>5</v>
      </c>
      <c r="AB5" s="111" t="s">
        <v>96</v>
      </c>
      <c r="AC5" s="112"/>
      <c r="AD5" s="113" t="s">
        <v>50</v>
      </c>
      <c r="AE5" s="107" t="s">
        <v>81</v>
      </c>
      <c r="AF5" s="107" t="s">
        <v>82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80" customFormat="1" ht="39" customHeight="1">
      <c r="A6" s="100"/>
      <c r="B6" s="100"/>
      <c r="C6" s="100"/>
      <c r="D6" s="100"/>
      <c r="E6" s="102"/>
      <c r="F6" s="98"/>
      <c r="G6" s="97"/>
      <c r="H6" s="97"/>
      <c r="I6" s="97"/>
      <c r="J6" s="97"/>
      <c r="K6" s="106"/>
      <c r="L6" s="106"/>
      <c r="M6" s="105"/>
      <c r="N6" s="105"/>
      <c r="O6" s="105"/>
      <c r="P6" s="105"/>
      <c r="Q6" s="97"/>
      <c r="R6" s="97"/>
      <c r="S6" s="97"/>
      <c r="T6" s="97"/>
      <c r="U6" s="97"/>
      <c r="V6" s="110"/>
      <c r="W6" s="110"/>
      <c r="X6" s="110"/>
      <c r="Y6" s="110"/>
      <c r="Z6" s="77"/>
      <c r="AA6" s="110"/>
      <c r="AB6" s="78" t="s">
        <v>24</v>
      </c>
      <c r="AC6" s="78" t="s">
        <v>25</v>
      </c>
      <c r="AD6" s="113"/>
      <c r="AE6" s="107"/>
      <c r="AF6" s="107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</row>
    <row r="7" spans="1:46" s="18" customFormat="1">
      <c r="A7" s="83" t="s">
        <v>28</v>
      </c>
      <c r="B7" s="34" t="s">
        <v>182</v>
      </c>
      <c r="C7" s="34"/>
      <c r="D7" s="34" t="s">
        <v>30</v>
      </c>
      <c r="E7" s="74">
        <v>42689</v>
      </c>
      <c r="F7" s="35">
        <v>3930.67</v>
      </c>
      <c r="G7" s="35"/>
      <c r="H7" s="35"/>
      <c r="I7" s="49">
        <f>SUM(F7:H7)</f>
        <v>3930.67</v>
      </c>
      <c r="J7" s="35"/>
      <c r="K7" s="67"/>
      <c r="L7" s="35"/>
      <c r="M7" s="35"/>
      <c r="N7" s="68"/>
      <c r="O7" s="68"/>
      <c r="P7" s="35"/>
      <c r="Q7" s="33"/>
      <c r="R7" s="33"/>
      <c r="S7" s="34"/>
      <c r="T7" s="34"/>
      <c r="U7" s="49">
        <f t="shared" ref="U7:U26" si="0">+I7-SUM(J7:T7)</f>
        <v>3930.67</v>
      </c>
      <c r="V7" s="33">
        <f t="shared" ref="V7:V26" si="1">IF(I7&gt;2250,I7*0.1,0)</f>
        <v>393.06700000000001</v>
      </c>
      <c r="W7" s="49">
        <f t="shared" ref="W7:W26" si="2">+U7-V7</f>
        <v>3537.6030000000001</v>
      </c>
      <c r="X7" s="33"/>
      <c r="Y7" s="33"/>
      <c r="Z7" s="33"/>
      <c r="AA7" s="49"/>
      <c r="AB7" s="56"/>
      <c r="AC7" s="57"/>
      <c r="AD7" s="50"/>
      <c r="AE7" s="36">
        <v>60590331922</v>
      </c>
      <c r="AF7" s="34"/>
      <c r="AG7" s="18" t="s">
        <v>173</v>
      </c>
    </row>
    <row r="8" spans="1:46" s="18" customFormat="1">
      <c r="A8" s="83" t="s">
        <v>39</v>
      </c>
      <c r="B8" s="34" t="s">
        <v>69</v>
      </c>
      <c r="C8" s="34"/>
      <c r="D8" s="34" t="s">
        <v>29</v>
      </c>
      <c r="E8" s="54">
        <v>42062</v>
      </c>
      <c r="F8" s="35">
        <v>532.23</v>
      </c>
      <c r="G8" s="35"/>
      <c r="H8" s="35"/>
      <c r="I8" s="49">
        <f t="shared" ref="I8:I69" si="3">SUM(F8:H8)</f>
        <v>532.23</v>
      </c>
      <c r="J8" s="35"/>
      <c r="K8" s="67"/>
      <c r="L8" s="35"/>
      <c r="M8" s="35">
        <v>0</v>
      </c>
      <c r="N8" s="68"/>
      <c r="O8" s="68"/>
      <c r="P8" s="35"/>
      <c r="Q8" s="33"/>
      <c r="R8" s="33"/>
      <c r="S8" s="34"/>
      <c r="T8" s="34">
        <v>0</v>
      </c>
      <c r="U8" s="49">
        <f t="shared" si="0"/>
        <v>532.23</v>
      </c>
      <c r="V8" s="33">
        <f t="shared" si="1"/>
        <v>0</v>
      </c>
      <c r="W8" s="49">
        <f t="shared" si="2"/>
        <v>532.23</v>
      </c>
      <c r="X8" s="33">
        <f t="shared" ref="X8:X26" si="4">IF(I8&lt;2250,I8*0.1,0)</f>
        <v>53.223000000000006</v>
      </c>
      <c r="Y8" s="33">
        <v>10.23</v>
      </c>
      <c r="Z8" s="33">
        <f t="shared" ref="Z8:Z26" si="5">+N8</f>
        <v>0</v>
      </c>
      <c r="AA8" s="49">
        <f t="shared" ref="AA8:AA26" si="6">+I8+X8+Y8+Z8</f>
        <v>595.68299999999999</v>
      </c>
      <c r="AB8" s="56"/>
      <c r="AC8" s="57"/>
      <c r="AD8" s="50">
        <f t="shared" ref="AD8:AD14" si="7">+AB8+AC8-W8</f>
        <v>-532.23</v>
      </c>
      <c r="AE8" s="36">
        <v>56708844887</v>
      </c>
      <c r="AF8" s="34"/>
      <c r="AG8" s="18" t="s">
        <v>173</v>
      </c>
    </row>
    <row r="9" spans="1:46" s="18" customFormat="1">
      <c r="A9" s="83" t="s">
        <v>28</v>
      </c>
      <c r="B9" s="34" t="s">
        <v>64</v>
      </c>
      <c r="C9" s="34" t="s">
        <v>77</v>
      </c>
      <c r="D9" s="34" t="s">
        <v>31</v>
      </c>
      <c r="E9" s="54">
        <v>41797</v>
      </c>
      <c r="F9" s="35"/>
      <c r="G9" s="35"/>
      <c r="H9" s="35"/>
      <c r="I9" s="49">
        <f t="shared" si="3"/>
        <v>0</v>
      </c>
      <c r="J9" s="35">
        <v>327</v>
      </c>
      <c r="K9" s="67"/>
      <c r="L9" s="67"/>
      <c r="M9" s="35">
        <v>0</v>
      </c>
      <c r="N9" s="68"/>
      <c r="O9" s="68"/>
      <c r="P9" s="35"/>
      <c r="Q9" s="33"/>
      <c r="R9" s="33"/>
      <c r="S9" s="34"/>
      <c r="T9" s="34">
        <v>0</v>
      </c>
      <c r="U9" s="49">
        <f>+I9-SUM(J9:T9)</f>
        <v>-327</v>
      </c>
      <c r="V9" s="33">
        <f>IF(I9&gt;2250,I9*0.1,0)</f>
        <v>0</v>
      </c>
      <c r="W9" s="49">
        <f>+U9-V9</f>
        <v>-327</v>
      </c>
      <c r="X9" s="33">
        <f>IF(I9&lt;2250,I9*0.1,0)</f>
        <v>0</v>
      </c>
      <c r="Y9" s="33">
        <v>10.23</v>
      </c>
      <c r="Z9" s="33">
        <f>+N9</f>
        <v>0</v>
      </c>
      <c r="AA9" s="49">
        <f>+I9+X9+Y9+Z9</f>
        <v>10.23</v>
      </c>
      <c r="AB9" s="56"/>
      <c r="AC9" s="57"/>
      <c r="AD9" s="50">
        <f>+AB9+AC9-W9</f>
        <v>327</v>
      </c>
      <c r="AE9" s="36">
        <v>56708844890</v>
      </c>
      <c r="AF9" s="36" t="s">
        <v>201</v>
      </c>
      <c r="AG9" s="18" t="s">
        <v>173</v>
      </c>
    </row>
    <row r="10" spans="1:46" s="18" customFormat="1">
      <c r="A10" s="83" t="s">
        <v>39</v>
      </c>
      <c r="B10" s="34" t="s">
        <v>151</v>
      </c>
      <c r="C10" s="34"/>
      <c r="D10" s="34" t="s">
        <v>29</v>
      </c>
      <c r="E10" s="54">
        <v>42725</v>
      </c>
      <c r="F10" s="35">
        <v>1380.81</v>
      </c>
      <c r="G10" s="35"/>
      <c r="H10" s="35"/>
      <c r="I10" s="49">
        <f t="shared" si="3"/>
        <v>1380.81</v>
      </c>
      <c r="J10" s="35"/>
      <c r="K10" s="67">
        <v>1</v>
      </c>
      <c r="L10" s="67"/>
      <c r="M10" s="35"/>
      <c r="N10" s="68"/>
      <c r="O10" s="68"/>
      <c r="P10" s="35"/>
      <c r="Q10" s="33"/>
      <c r="R10" s="33"/>
      <c r="S10" s="34"/>
      <c r="T10" s="34"/>
      <c r="U10" s="49">
        <f t="shared" ref="U10:U11" si="8">+I10-SUM(J10:T10)</f>
        <v>1379.81</v>
      </c>
      <c r="V10" s="33">
        <f t="shared" ref="V10" si="9">IF(I10&gt;2250,I10*0.1,0)</f>
        <v>0</v>
      </c>
      <c r="W10" s="49">
        <f t="shared" ref="W10" si="10">+U10-V10</f>
        <v>1379.81</v>
      </c>
      <c r="X10" s="33"/>
      <c r="Y10" s="33"/>
      <c r="Z10" s="33"/>
      <c r="AA10" s="49"/>
      <c r="AB10" s="56"/>
      <c r="AC10" s="57"/>
      <c r="AD10" s="50"/>
      <c r="AE10" s="36">
        <v>56708519619</v>
      </c>
      <c r="AF10" s="36"/>
      <c r="AG10" s="18" t="s">
        <v>173</v>
      </c>
    </row>
    <row r="11" spans="1:46" s="18" customFormat="1">
      <c r="A11" s="83" t="s">
        <v>28</v>
      </c>
      <c r="B11" s="34" t="s">
        <v>165</v>
      </c>
      <c r="C11" s="34"/>
      <c r="D11" s="34" t="s">
        <v>30</v>
      </c>
      <c r="E11" s="54">
        <v>42796</v>
      </c>
      <c r="F11" s="35"/>
      <c r="G11" s="35"/>
      <c r="H11" s="35"/>
      <c r="I11" s="49">
        <f t="shared" si="3"/>
        <v>0</v>
      </c>
      <c r="J11" s="35"/>
      <c r="K11" s="67">
        <v>2</v>
      </c>
      <c r="L11" s="35"/>
      <c r="M11" s="35"/>
      <c r="N11" s="68"/>
      <c r="O11" s="68"/>
      <c r="P11" s="35"/>
      <c r="Q11" s="33"/>
      <c r="R11" s="33"/>
      <c r="S11" s="34"/>
      <c r="T11" s="34">
        <v>192</v>
      </c>
      <c r="U11" s="49">
        <f t="shared" si="8"/>
        <v>-194</v>
      </c>
      <c r="V11" s="33"/>
      <c r="W11" s="49"/>
      <c r="X11" s="33"/>
      <c r="Y11" s="33"/>
      <c r="Z11" s="33"/>
      <c r="AA11" s="49"/>
      <c r="AB11" s="56"/>
      <c r="AC11" s="57"/>
      <c r="AD11" s="50"/>
      <c r="AE11" s="36">
        <v>56676948556</v>
      </c>
      <c r="AF11" s="36"/>
      <c r="AG11" s="18" t="s">
        <v>173</v>
      </c>
    </row>
    <row r="12" spans="1:46" s="18" customFormat="1">
      <c r="A12" s="83" t="s">
        <v>39</v>
      </c>
      <c r="B12" s="34" t="s">
        <v>149</v>
      </c>
      <c r="C12" s="34"/>
      <c r="D12" s="34" t="s">
        <v>112</v>
      </c>
      <c r="E12" s="54">
        <v>42718</v>
      </c>
      <c r="F12" s="35">
        <v>3696</v>
      </c>
      <c r="G12" s="35"/>
      <c r="H12" s="35"/>
      <c r="I12" s="49">
        <f t="shared" si="3"/>
        <v>3696</v>
      </c>
      <c r="J12" s="35"/>
      <c r="K12" s="67"/>
      <c r="L12" s="67"/>
      <c r="M12" s="35"/>
      <c r="N12" s="68"/>
      <c r="O12" s="68"/>
      <c r="P12" s="35"/>
      <c r="Q12" s="33"/>
      <c r="R12" s="33"/>
      <c r="S12" s="34"/>
      <c r="T12" s="34">
        <v>1798.35</v>
      </c>
      <c r="U12" s="49">
        <f t="shared" ref="U12" si="11">+I12-SUM(J12:T12)</f>
        <v>1897.65</v>
      </c>
      <c r="V12" s="33">
        <f t="shared" ref="V12" si="12">IF(I12&gt;2250,I12*0.1,0)</f>
        <v>369.6</v>
      </c>
      <c r="W12" s="49">
        <f t="shared" ref="W12" si="13">+U12-V12</f>
        <v>1528.0500000000002</v>
      </c>
      <c r="X12" s="33"/>
      <c r="Y12" s="33"/>
      <c r="Z12" s="33"/>
      <c r="AA12" s="49"/>
      <c r="AB12" s="56"/>
      <c r="AC12" s="57"/>
      <c r="AD12" s="50"/>
      <c r="AE12" s="36">
        <v>60590124291</v>
      </c>
      <c r="AF12" s="34"/>
      <c r="AG12" s="18" t="s">
        <v>173</v>
      </c>
    </row>
    <row r="13" spans="1:46" s="18" customFormat="1">
      <c r="A13" s="83" t="s">
        <v>28</v>
      </c>
      <c r="B13" s="34" t="s">
        <v>37</v>
      </c>
      <c r="C13" s="34" t="s">
        <v>77</v>
      </c>
      <c r="D13" s="34" t="s">
        <v>31</v>
      </c>
      <c r="E13" s="54">
        <v>39508</v>
      </c>
      <c r="F13" s="35"/>
      <c r="G13" s="35"/>
      <c r="H13" s="35"/>
      <c r="I13" s="49">
        <f t="shared" si="3"/>
        <v>0</v>
      </c>
      <c r="J13" s="35">
        <v>413.79</v>
      </c>
      <c r="K13" s="67"/>
      <c r="L13" s="35"/>
      <c r="M13" s="35">
        <v>0</v>
      </c>
      <c r="N13" s="68"/>
      <c r="O13" s="68"/>
      <c r="P13" s="35"/>
      <c r="Q13" s="33"/>
      <c r="R13" s="33"/>
      <c r="S13" s="34"/>
      <c r="T13" s="34">
        <v>0</v>
      </c>
      <c r="U13" s="49">
        <f t="shared" si="0"/>
        <v>-413.79</v>
      </c>
      <c r="V13" s="33">
        <f t="shared" si="1"/>
        <v>0</v>
      </c>
      <c r="W13" s="49">
        <f t="shared" si="2"/>
        <v>-413.79</v>
      </c>
      <c r="X13" s="33">
        <f t="shared" si="4"/>
        <v>0</v>
      </c>
      <c r="Y13" s="33">
        <v>10.23</v>
      </c>
      <c r="Z13" s="33">
        <f t="shared" si="5"/>
        <v>0</v>
      </c>
      <c r="AA13" s="49">
        <f t="shared" si="6"/>
        <v>10.23</v>
      </c>
      <c r="AB13" s="56"/>
      <c r="AC13" s="57"/>
      <c r="AD13" s="50">
        <f t="shared" si="7"/>
        <v>413.79</v>
      </c>
      <c r="AE13" s="36">
        <v>56708881292</v>
      </c>
      <c r="AF13" s="36" t="s">
        <v>201</v>
      </c>
      <c r="AG13" s="18" t="s">
        <v>173</v>
      </c>
    </row>
    <row r="14" spans="1:46" s="18" customFormat="1">
      <c r="A14" s="83" t="s">
        <v>28</v>
      </c>
      <c r="B14" s="34" t="s">
        <v>65</v>
      </c>
      <c r="C14" s="34" t="s">
        <v>74</v>
      </c>
      <c r="D14" s="34" t="s">
        <v>30</v>
      </c>
      <c r="E14" s="54">
        <v>42383</v>
      </c>
      <c r="F14" s="35"/>
      <c r="G14" s="35"/>
      <c r="H14" s="35"/>
      <c r="I14" s="49">
        <f t="shared" si="3"/>
        <v>0</v>
      </c>
      <c r="J14" s="35"/>
      <c r="K14" s="67"/>
      <c r="L14" s="35"/>
      <c r="M14" s="35">
        <v>0</v>
      </c>
      <c r="N14" s="68"/>
      <c r="O14" s="68"/>
      <c r="P14" s="35"/>
      <c r="Q14" s="33"/>
      <c r="R14" s="33"/>
      <c r="S14" s="34"/>
      <c r="T14" s="34">
        <v>358.34</v>
      </c>
      <c r="U14" s="49">
        <f t="shared" si="0"/>
        <v>-358.34</v>
      </c>
      <c r="V14" s="33">
        <f t="shared" si="1"/>
        <v>0</v>
      </c>
      <c r="W14" s="49">
        <f t="shared" si="2"/>
        <v>-358.34</v>
      </c>
      <c r="X14" s="33">
        <f t="shared" si="4"/>
        <v>0</v>
      </c>
      <c r="Y14" s="33">
        <v>10.23</v>
      </c>
      <c r="Z14" s="33">
        <f t="shared" si="5"/>
        <v>0</v>
      </c>
      <c r="AA14" s="49">
        <f t="shared" si="6"/>
        <v>10.23</v>
      </c>
      <c r="AB14" s="56"/>
      <c r="AC14" s="57"/>
      <c r="AD14" s="50">
        <f t="shared" si="7"/>
        <v>358.34</v>
      </c>
      <c r="AE14" s="36">
        <v>56708881304</v>
      </c>
      <c r="AF14" s="34"/>
      <c r="AG14" s="18" t="s">
        <v>173</v>
      </c>
    </row>
    <row r="15" spans="1:46" s="18" customFormat="1">
      <c r="A15" s="83" t="s">
        <v>28</v>
      </c>
      <c r="B15" s="34" t="s">
        <v>84</v>
      </c>
      <c r="C15" s="34" t="s">
        <v>77</v>
      </c>
      <c r="D15" s="34" t="s">
        <v>31</v>
      </c>
      <c r="E15" s="54">
        <v>39699</v>
      </c>
      <c r="F15" s="35">
        <v>59697.95</v>
      </c>
      <c r="G15" s="35"/>
      <c r="H15" s="35"/>
      <c r="I15" s="49">
        <f t="shared" si="3"/>
        <v>59697.95</v>
      </c>
      <c r="J15" s="35">
        <v>413.79</v>
      </c>
      <c r="K15" s="67"/>
      <c r="L15" s="35"/>
      <c r="M15" s="35">
        <v>1000</v>
      </c>
      <c r="N15" s="68"/>
      <c r="O15" s="68"/>
      <c r="P15" s="35"/>
      <c r="Q15" s="33"/>
      <c r="R15" s="33"/>
      <c r="S15" s="34"/>
      <c r="T15" s="34">
        <v>0</v>
      </c>
      <c r="U15" s="49">
        <f t="shared" si="0"/>
        <v>58284.159999999996</v>
      </c>
      <c r="V15" s="33">
        <f t="shared" si="1"/>
        <v>5969.7950000000001</v>
      </c>
      <c r="W15" s="49">
        <f t="shared" si="2"/>
        <v>52314.364999999998</v>
      </c>
      <c r="X15" s="33">
        <f t="shared" si="4"/>
        <v>0</v>
      </c>
      <c r="Y15" s="33">
        <v>10.23</v>
      </c>
      <c r="Z15" s="33">
        <f t="shared" si="5"/>
        <v>0</v>
      </c>
      <c r="AA15" s="49">
        <f t="shared" si="6"/>
        <v>59708.18</v>
      </c>
      <c r="AB15" s="56"/>
      <c r="AC15" s="57"/>
      <c r="AD15" s="50">
        <f t="shared" ref="AD15:AD18" si="14">+AB15+AC15-W15</f>
        <v>-52314.364999999998</v>
      </c>
      <c r="AE15" s="36">
        <v>56708881349</v>
      </c>
      <c r="AF15" s="36" t="s">
        <v>201</v>
      </c>
      <c r="AG15" s="18" t="s">
        <v>173</v>
      </c>
    </row>
    <row r="16" spans="1:46" s="18" customFormat="1">
      <c r="A16" s="83" t="s">
        <v>28</v>
      </c>
      <c r="B16" s="34" t="s">
        <v>163</v>
      </c>
      <c r="C16" s="34"/>
      <c r="D16" s="34" t="s">
        <v>30</v>
      </c>
      <c r="E16" s="54">
        <v>42776</v>
      </c>
      <c r="F16" s="35"/>
      <c r="G16" s="35"/>
      <c r="H16" s="35"/>
      <c r="I16" s="49">
        <f t="shared" si="3"/>
        <v>0</v>
      </c>
      <c r="J16" s="35"/>
      <c r="K16" s="67"/>
      <c r="L16" s="35"/>
      <c r="M16" s="35"/>
      <c r="N16" s="68"/>
      <c r="O16" s="68"/>
      <c r="P16" s="35"/>
      <c r="Q16" s="33"/>
      <c r="R16" s="33"/>
      <c r="S16" s="34"/>
      <c r="T16" s="34">
        <v>31.19</v>
      </c>
      <c r="U16" s="49">
        <f t="shared" si="0"/>
        <v>-31.19</v>
      </c>
      <c r="V16" s="33"/>
      <c r="W16" s="49"/>
      <c r="X16" s="33"/>
      <c r="Y16" s="33"/>
      <c r="Z16" s="33"/>
      <c r="AA16" s="49"/>
      <c r="AB16" s="56"/>
      <c r="AC16" s="57"/>
      <c r="AD16" s="50"/>
      <c r="AE16" s="36">
        <v>60589631591</v>
      </c>
      <c r="AF16" s="34"/>
      <c r="AG16" s="18" t="s">
        <v>173</v>
      </c>
    </row>
    <row r="17" spans="1:34" s="18" customFormat="1">
      <c r="A17" s="83" t="s">
        <v>27</v>
      </c>
      <c r="B17" s="34" t="s">
        <v>72</v>
      </c>
      <c r="C17" s="34" t="s">
        <v>93</v>
      </c>
      <c r="D17" s="34" t="s">
        <v>46</v>
      </c>
      <c r="E17" s="54">
        <v>42332</v>
      </c>
      <c r="F17" s="35">
        <v>18244.09</v>
      </c>
      <c r="G17" s="35"/>
      <c r="H17" s="35"/>
      <c r="I17" s="49">
        <f t="shared" si="3"/>
        <v>18244.09</v>
      </c>
      <c r="J17" s="35"/>
      <c r="K17" s="67"/>
      <c r="L17" s="35"/>
      <c r="M17" s="35">
        <v>0</v>
      </c>
      <c r="N17" s="68"/>
      <c r="O17" s="68"/>
      <c r="P17" s="35"/>
      <c r="Q17" s="33"/>
      <c r="R17" s="33"/>
      <c r="S17" s="34"/>
      <c r="T17" s="34">
        <v>599.98</v>
      </c>
      <c r="U17" s="49">
        <f t="shared" si="0"/>
        <v>17644.11</v>
      </c>
      <c r="V17" s="33">
        <f t="shared" si="1"/>
        <v>1824.4090000000001</v>
      </c>
      <c r="W17" s="49">
        <f t="shared" si="2"/>
        <v>15819.701000000001</v>
      </c>
      <c r="X17" s="33">
        <f t="shared" si="4"/>
        <v>0</v>
      </c>
      <c r="Y17" s="33">
        <v>10.23</v>
      </c>
      <c r="Z17" s="33">
        <f t="shared" si="5"/>
        <v>0</v>
      </c>
      <c r="AA17" s="49">
        <f t="shared" si="6"/>
        <v>18254.32</v>
      </c>
      <c r="AB17" s="56"/>
      <c r="AC17" s="57"/>
      <c r="AD17" s="50">
        <f t="shared" si="14"/>
        <v>-15819.701000000001</v>
      </c>
      <c r="AE17" s="36">
        <v>56708844947</v>
      </c>
      <c r="AF17" s="36"/>
      <c r="AG17" s="18" t="s">
        <v>173</v>
      </c>
    </row>
    <row r="18" spans="1:34" s="18" customFormat="1">
      <c r="A18" s="83" t="s">
        <v>28</v>
      </c>
      <c r="B18" s="34" t="s">
        <v>91</v>
      </c>
      <c r="C18" s="34" t="s">
        <v>79</v>
      </c>
      <c r="D18" s="34" t="s">
        <v>30</v>
      </c>
      <c r="E18" s="54">
        <v>42437</v>
      </c>
      <c r="F18" s="35"/>
      <c r="G18" s="35"/>
      <c r="H18" s="35"/>
      <c r="I18" s="49">
        <f t="shared" si="3"/>
        <v>0</v>
      </c>
      <c r="J18" s="35"/>
      <c r="K18" s="67"/>
      <c r="L18" s="35">
        <v>47.05</v>
      </c>
      <c r="M18" s="35">
        <v>0</v>
      </c>
      <c r="N18" s="68"/>
      <c r="O18" s="68"/>
      <c r="P18" s="35"/>
      <c r="Q18" s="33"/>
      <c r="R18" s="33"/>
      <c r="S18" s="34"/>
      <c r="T18" s="34">
        <v>0</v>
      </c>
      <c r="U18" s="49">
        <f t="shared" si="0"/>
        <v>-47.05</v>
      </c>
      <c r="V18" s="33">
        <f t="shared" si="1"/>
        <v>0</v>
      </c>
      <c r="W18" s="49">
        <f t="shared" si="2"/>
        <v>-47.05</v>
      </c>
      <c r="X18" s="33">
        <f t="shared" si="4"/>
        <v>0</v>
      </c>
      <c r="Y18" s="33">
        <v>10.23</v>
      </c>
      <c r="Z18" s="33">
        <f t="shared" si="5"/>
        <v>0</v>
      </c>
      <c r="AA18" s="49">
        <f t="shared" si="6"/>
        <v>10.23</v>
      </c>
      <c r="AB18" s="56"/>
      <c r="AC18" s="57"/>
      <c r="AD18" s="50">
        <f t="shared" si="14"/>
        <v>47.05</v>
      </c>
      <c r="AE18" s="36">
        <v>56708881352</v>
      </c>
      <c r="AF18" s="36"/>
      <c r="AG18" s="18" t="s">
        <v>173</v>
      </c>
    </row>
    <row r="19" spans="1:34" s="18" customFormat="1" ht="15.75">
      <c r="A19" s="83" t="s">
        <v>78</v>
      </c>
      <c r="B19" s="34" t="s">
        <v>57</v>
      </c>
      <c r="C19" s="34"/>
      <c r="D19" s="34" t="s">
        <v>45</v>
      </c>
      <c r="E19" s="54">
        <v>42205</v>
      </c>
      <c r="F19" s="70">
        <v>200</v>
      </c>
      <c r="G19" s="35"/>
      <c r="H19" s="35"/>
      <c r="I19" s="49">
        <f t="shared" si="3"/>
        <v>200</v>
      </c>
      <c r="J19" s="35"/>
      <c r="K19" s="67"/>
      <c r="L19" s="35"/>
      <c r="M19" s="35">
        <v>300</v>
      </c>
      <c r="N19" s="68"/>
      <c r="O19" s="68"/>
      <c r="P19" s="35"/>
      <c r="Q19" s="33"/>
      <c r="R19" s="76">
        <v>0.3</v>
      </c>
      <c r="S19" s="34"/>
      <c r="T19" s="34">
        <v>0</v>
      </c>
      <c r="U19" s="49">
        <f t="shared" si="0"/>
        <v>-100.30000000000001</v>
      </c>
      <c r="V19" s="33">
        <f t="shared" si="1"/>
        <v>0</v>
      </c>
      <c r="W19" s="49">
        <f t="shared" si="2"/>
        <v>-100.30000000000001</v>
      </c>
      <c r="X19" s="33">
        <f t="shared" si="4"/>
        <v>20</v>
      </c>
      <c r="Y19" s="33">
        <v>10.23</v>
      </c>
      <c r="Z19" s="33">
        <f t="shared" si="5"/>
        <v>0</v>
      </c>
      <c r="AA19" s="49">
        <f t="shared" si="6"/>
        <v>230.23</v>
      </c>
      <c r="AB19" s="56"/>
      <c r="AC19" s="56"/>
      <c r="AD19" s="50">
        <f t="shared" ref="AD19" si="15">+AB19+AC19-W19</f>
        <v>100.30000000000001</v>
      </c>
      <c r="AE19" s="36">
        <v>56708844950</v>
      </c>
      <c r="AF19" s="34"/>
      <c r="AG19" s="18" t="s">
        <v>173</v>
      </c>
    </row>
    <row r="20" spans="1:34" s="18" customFormat="1">
      <c r="A20" s="83" t="s">
        <v>78</v>
      </c>
      <c r="B20" s="34" t="s">
        <v>106</v>
      </c>
      <c r="C20" s="34"/>
      <c r="D20" s="34" t="s">
        <v>45</v>
      </c>
      <c r="E20" s="54">
        <v>42476</v>
      </c>
      <c r="F20" s="70">
        <v>150</v>
      </c>
      <c r="G20" s="35"/>
      <c r="H20" s="35"/>
      <c r="I20" s="49">
        <f t="shared" si="3"/>
        <v>150</v>
      </c>
      <c r="J20" s="35"/>
      <c r="K20" s="67"/>
      <c r="L20" s="35"/>
      <c r="M20" s="35">
        <v>0</v>
      </c>
      <c r="N20" s="68"/>
      <c r="O20" s="68"/>
      <c r="P20" s="35"/>
      <c r="Q20" s="33"/>
      <c r="R20" s="33"/>
      <c r="S20" s="34"/>
      <c r="T20" s="34">
        <v>0</v>
      </c>
      <c r="U20" s="49">
        <f t="shared" ref="U20" si="16">+I20-SUM(J20:T20)</f>
        <v>150</v>
      </c>
      <c r="V20" s="33">
        <f t="shared" ref="V20" si="17">IF(I20&gt;2250,I20*0.1,0)</f>
        <v>0</v>
      </c>
      <c r="W20" s="49">
        <f t="shared" ref="W20" si="18">+U20-V20</f>
        <v>150</v>
      </c>
      <c r="X20" s="33">
        <f t="shared" si="4"/>
        <v>15</v>
      </c>
      <c r="Y20" s="33">
        <v>10.23</v>
      </c>
      <c r="Z20" s="33">
        <f t="shared" si="5"/>
        <v>0</v>
      </c>
      <c r="AA20" s="49">
        <f t="shared" si="6"/>
        <v>175.23</v>
      </c>
      <c r="AB20" s="56"/>
      <c r="AC20" s="56"/>
      <c r="AD20" s="50">
        <f>+AB20+AC20-W21</f>
        <v>-150</v>
      </c>
      <c r="AE20" s="36">
        <v>56708844964</v>
      </c>
      <c r="AF20" s="36"/>
      <c r="AG20" s="18" t="s">
        <v>173</v>
      </c>
    </row>
    <row r="21" spans="1:34" s="18" customFormat="1">
      <c r="A21" s="83" t="s">
        <v>39</v>
      </c>
      <c r="B21" s="34" t="s">
        <v>153</v>
      </c>
      <c r="C21" s="34"/>
      <c r="D21" s="34" t="s">
        <v>29</v>
      </c>
      <c r="E21" s="54">
        <v>42740</v>
      </c>
      <c r="F21" s="35">
        <v>2365.12</v>
      </c>
      <c r="G21" s="35"/>
      <c r="H21" s="35"/>
      <c r="I21" s="49">
        <f t="shared" si="3"/>
        <v>2365.12</v>
      </c>
      <c r="J21" s="35"/>
      <c r="K21" s="67"/>
      <c r="L21" s="35"/>
      <c r="M21" s="35"/>
      <c r="N21" s="68"/>
      <c r="O21" s="68"/>
      <c r="P21" s="35"/>
      <c r="Q21" s="33"/>
      <c r="R21" s="33"/>
      <c r="S21" s="34"/>
      <c r="T21" s="34">
        <v>660.45</v>
      </c>
      <c r="U21" s="34">
        <f>+I20-SUM(J20:T20)</f>
        <v>150</v>
      </c>
      <c r="V21" s="34">
        <f>IF(I20&gt;2250,I20*0.1,0)</f>
        <v>0</v>
      </c>
      <c r="W21" s="34">
        <f>+U21-V21</f>
        <v>150</v>
      </c>
      <c r="X21" s="33"/>
      <c r="Y21" s="33"/>
      <c r="Z21" s="33"/>
      <c r="AA21" s="49"/>
      <c r="AB21" s="56"/>
      <c r="AC21" s="56"/>
      <c r="AD21" s="50"/>
      <c r="AE21" s="81" t="s">
        <v>176</v>
      </c>
      <c r="AF21" s="36"/>
      <c r="AG21" s="18" t="s">
        <v>174</v>
      </c>
    </row>
    <row r="22" spans="1:34" s="18" customFormat="1">
      <c r="A22" s="83" t="s">
        <v>39</v>
      </c>
      <c r="B22" s="34" t="s">
        <v>113</v>
      </c>
      <c r="C22" s="34"/>
      <c r="D22" s="34" t="s">
        <v>29</v>
      </c>
      <c r="E22" s="54">
        <v>42514</v>
      </c>
      <c r="F22" s="35">
        <v>1500.59</v>
      </c>
      <c r="G22" s="35"/>
      <c r="H22" s="35"/>
      <c r="I22" s="49">
        <f t="shared" si="3"/>
        <v>1500.59</v>
      </c>
      <c r="J22" s="35"/>
      <c r="K22" s="67"/>
      <c r="L22" s="35"/>
      <c r="M22" s="35">
        <v>0</v>
      </c>
      <c r="N22" s="68"/>
      <c r="O22" s="68"/>
      <c r="P22" s="35"/>
      <c r="Q22" s="33"/>
      <c r="R22" s="33"/>
      <c r="S22" s="34"/>
      <c r="T22" s="34">
        <v>0</v>
      </c>
      <c r="U22" s="49">
        <f t="shared" si="0"/>
        <v>1500.59</v>
      </c>
      <c r="V22" s="33">
        <f t="shared" si="1"/>
        <v>0</v>
      </c>
      <c r="W22" s="49">
        <f t="shared" si="2"/>
        <v>1500.59</v>
      </c>
      <c r="X22" s="33">
        <f t="shared" si="4"/>
        <v>150.059</v>
      </c>
      <c r="Y22" s="33">
        <v>11.23</v>
      </c>
      <c r="Z22" s="33">
        <f t="shared" si="5"/>
        <v>0</v>
      </c>
      <c r="AA22" s="49">
        <f t="shared" si="6"/>
        <v>1661.8789999999999</v>
      </c>
      <c r="AB22" s="56"/>
      <c r="AC22" s="57"/>
      <c r="AD22" s="50"/>
      <c r="AE22" s="36">
        <v>56708844978</v>
      </c>
      <c r="AF22" s="36"/>
      <c r="AG22" s="18" t="s">
        <v>173</v>
      </c>
    </row>
    <row r="23" spans="1:34" s="18" customFormat="1">
      <c r="A23" s="83" t="s">
        <v>28</v>
      </c>
      <c r="B23" s="34" t="s">
        <v>136</v>
      </c>
      <c r="C23" s="34"/>
      <c r="D23" s="34" t="s">
        <v>137</v>
      </c>
      <c r="E23" s="54">
        <v>41359</v>
      </c>
      <c r="F23" s="35"/>
      <c r="G23" s="35"/>
      <c r="H23" s="35"/>
      <c r="I23" s="49">
        <f t="shared" si="3"/>
        <v>0</v>
      </c>
      <c r="J23" s="35">
        <v>413.79</v>
      </c>
      <c r="K23" s="67"/>
      <c r="L23" s="35"/>
      <c r="M23" s="35"/>
      <c r="N23" s="68"/>
      <c r="O23" s="68"/>
      <c r="P23" s="35"/>
      <c r="Q23" s="33"/>
      <c r="R23" s="33"/>
      <c r="S23" s="34"/>
      <c r="T23" s="34"/>
      <c r="U23" s="49">
        <f t="shared" ref="U23" si="19">+I23-SUM(J23:T23)</f>
        <v>-413.79</v>
      </c>
      <c r="V23" s="33">
        <f t="shared" ref="V23" si="20">IF(I23&gt;2250,I23*0.1,0)</f>
        <v>0</v>
      </c>
      <c r="W23" s="49">
        <f t="shared" ref="W23" si="21">+U23-V23</f>
        <v>-413.79</v>
      </c>
      <c r="X23" s="33"/>
      <c r="Y23" s="33"/>
      <c r="Z23" s="33"/>
      <c r="AA23" s="49"/>
      <c r="AB23" s="56"/>
      <c r="AC23" s="57"/>
      <c r="AD23" s="50"/>
      <c r="AE23" s="36">
        <v>56708881383</v>
      </c>
      <c r="AF23" s="36" t="s">
        <v>201</v>
      </c>
      <c r="AG23" s="18" t="s">
        <v>173</v>
      </c>
    </row>
    <row r="24" spans="1:34" s="18" customFormat="1">
      <c r="A24" s="83" t="s">
        <v>28</v>
      </c>
      <c r="B24" s="34" t="s">
        <v>196</v>
      </c>
      <c r="C24" s="34"/>
      <c r="D24" s="34" t="s">
        <v>30</v>
      </c>
      <c r="E24" s="54">
        <v>42798</v>
      </c>
      <c r="F24" s="35">
        <v>6718.55</v>
      </c>
      <c r="G24" s="35"/>
      <c r="H24" s="35"/>
      <c r="I24" s="49">
        <f t="shared" si="3"/>
        <v>6718.55</v>
      </c>
      <c r="J24" s="35"/>
      <c r="K24" s="67">
        <v>1</v>
      </c>
      <c r="L24" s="35"/>
      <c r="M24" s="35"/>
      <c r="N24" s="68"/>
      <c r="O24" s="68"/>
      <c r="P24" s="35"/>
      <c r="Q24" s="33"/>
      <c r="R24" s="33"/>
      <c r="S24" s="34"/>
      <c r="T24" s="34">
        <v>781.41</v>
      </c>
      <c r="U24" s="49">
        <f t="shared" ref="U24" si="22">+I24-SUM(J24:T24)</f>
        <v>5936.14</v>
      </c>
      <c r="V24" s="33"/>
      <c r="W24" s="49"/>
      <c r="X24" s="33"/>
      <c r="Y24" s="33"/>
      <c r="Z24" s="33"/>
      <c r="AA24" s="49"/>
      <c r="AB24" s="56"/>
      <c r="AC24" s="57"/>
      <c r="AD24" s="50"/>
      <c r="AE24" s="81">
        <v>1129000062</v>
      </c>
      <c r="AF24" s="36"/>
      <c r="AG24" s="18" t="s">
        <v>175</v>
      </c>
      <c r="AH24" s="18" t="s">
        <v>186</v>
      </c>
    </row>
    <row r="25" spans="1:34" s="18" customFormat="1">
      <c r="A25" s="83" t="s">
        <v>28</v>
      </c>
      <c r="B25" s="34" t="s">
        <v>105</v>
      </c>
      <c r="C25" s="34" t="s">
        <v>74</v>
      </c>
      <c r="D25" s="34" t="s">
        <v>30</v>
      </c>
      <c r="E25" s="54">
        <v>42413</v>
      </c>
      <c r="F25" s="35">
        <v>5479.63</v>
      </c>
      <c r="G25" s="35"/>
      <c r="H25" s="35"/>
      <c r="I25" s="49">
        <f t="shared" si="3"/>
        <v>5479.63</v>
      </c>
      <c r="J25" s="35"/>
      <c r="K25" s="67"/>
      <c r="L25" s="35"/>
      <c r="M25" s="35">
        <v>0</v>
      </c>
      <c r="N25" s="68"/>
      <c r="O25" s="68"/>
      <c r="P25" s="35"/>
      <c r="Q25" s="33"/>
      <c r="R25" s="33"/>
      <c r="S25" s="34"/>
      <c r="T25" s="34">
        <v>0</v>
      </c>
      <c r="U25" s="49">
        <f t="shared" si="0"/>
        <v>5479.63</v>
      </c>
      <c r="V25" s="33">
        <f t="shared" si="1"/>
        <v>547.96300000000008</v>
      </c>
      <c r="W25" s="49">
        <f t="shared" si="2"/>
        <v>4931.6670000000004</v>
      </c>
      <c r="X25" s="33">
        <f t="shared" si="4"/>
        <v>0</v>
      </c>
      <c r="Y25" s="33">
        <v>13.23</v>
      </c>
      <c r="Z25" s="33">
        <f t="shared" si="5"/>
        <v>0</v>
      </c>
      <c r="AA25" s="49">
        <f t="shared" si="6"/>
        <v>5492.86</v>
      </c>
      <c r="AB25" s="56"/>
      <c r="AC25" s="57"/>
      <c r="AD25" s="50">
        <f>+AB25+AC25-W25</f>
        <v>-4931.6670000000004</v>
      </c>
      <c r="AE25" s="36">
        <v>60590329504</v>
      </c>
      <c r="AF25" s="36"/>
      <c r="AG25" s="18" t="s">
        <v>173</v>
      </c>
    </row>
    <row r="26" spans="1:34" s="18" customFormat="1">
      <c r="A26" s="83" t="s">
        <v>28</v>
      </c>
      <c r="B26" s="34" t="s">
        <v>116</v>
      </c>
      <c r="C26" s="34"/>
      <c r="D26" s="34" t="s">
        <v>30</v>
      </c>
      <c r="E26" s="54">
        <v>42532</v>
      </c>
      <c r="F26" s="35"/>
      <c r="G26" s="35"/>
      <c r="H26" s="35"/>
      <c r="I26" s="49">
        <f t="shared" si="3"/>
        <v>0</v>
      </c>
      <c r="J26" s="35"/>
      <c r="K26" s="67"/>
      <c r="L26" s="35"/>
      <c r="M26" s="35">
        <v>0</v>
      </c>
      <c r="N26" s="68"/>
      <c r="O26" s="68"/>
      <c r="P26" s="35"/>
      <c r="Q26" s="33"/>
      <c r="R26" s="33"/>
      <c r="S26" s="34"/>
      <c r="T26" s="34">
        <v>0</v>
      </c>
      <c r="U26" s="49">
        <f t="shared" si="0"/>
        <v>0</v>
      </c>
      <c r="V26" s="33">
        <f t="shared" si="1"/>
        <v>0</v>
      </c>
      <c r="W26" s="49">
        <f t="shared" si="2"/>
        <v>0</v>
      </c>
      <c r="X26" s="33">
        <f t="shared" si="4"/>
        <v>0</v>
      </c>
      <c r="Y26" s="33">
        <v>13.23</v>
      </c>
      <c r="Z26" s="33">
        <f t="shared" si="5"/>
        <v>0</v>
      </c>
      <c r="AA26" s="49">
        <f t="shared" si="6"/>
        <v>13.23</v>
      </c>
      <c r="AB26" s="56"/>
      <c r="AC26" s="57"/>
      <c r="AD26" s="50">
        <f>+AB26+AC26-W26</f>
        <v>0</v>
      </c>
      <c r="AE26" s="36">
        <v>56708881426</v>
      </c>
      <c r="AF26" s="36"/>
      <c r="AG26" s="18" t="s">
        <v>173</v>
      </c>
    </row>
    <row r="27" spans="1:34" s="18" customFormat="1">
      <c r="A27" s="83" t="s">
        <v>27</v>
      </c>
      <c r="B27" s="34" t="s">
        <v>139</v>
      </c>
      <c r="C27" s="34"/>
      <c r="D27" s="34" t="s">
        <v>46</v>
      </c>
      <c r="E27" s="54">
        <v>42660</v>
      </c>
      <c r="F27" s="35">
        <v>12836.99</v>
      </c>
      <c r="G27" s="35"/>
      <c r="H27" s="35"/>
      <c r="I27" s="49">
        <f t="shared" si="3"/>
        <v>12836.99</v>
      </c>
      <c r="J27" s="35"/>
      <c r="K27" s="67"/>
      <c r="L27" s="35"/>
      <c r="M27" s="35"/>
      <c r="N27" s="68"/>
      <c r="O27" s="68"/>
      <c r="P27" s="35"/>
      <c r="Q27" s="33"/>
      <c r="R27" s="33"/>
      <c r="S27" s="34"/>
      <c r="T27" s="34"/>
      <c r="U27" s="49">
        <f t="shared" ref="U27" si="23">+I27-SUM(J27:T27)</f>
        <v>12836.99</v>
      </c>
      <c r="V27" s="33">
        <f t="shared" ref="V27" si="24">IF(I27&gt;2250,I27*0.1,0)</f>
        <v>1283.6990000000001</v>
      </c>
      <c r="W27" s="49">
        <f t="shared" ref="W27" si="25">+U27-V27</f>
        <v>11553.290999999999</v>
      </c>
      <c r="X27" s="33"/>
      <c r="Y27" s="33"/>
      <c r="Z27" s="33"/>
      <c r="AA27" s="49"/>
      <c r="AB27" s="56"/>
      <c r="AC27" s="57"/>
      <c r="AD27" s="50"/>
      <c r="AE27" s="36">
        <v>60589655838</v>
      </c>
      <c r="AF27" s="36"/>
      <c r="AG27" s="18" t="s">
        <v>173</v>
      </c>
    </row>
    <row r="28" spans="1:34" s="18" customFormat="1">
      <c r="A28" s="83" t="s">
        <v>28</v>
      </c>
      <c r="B28" s="34" t="s">
        <v>111</v>
      </c>
      <c r="C28" s="34"/>
      <c r="D28" s="34" t="s">
        <v>124</v>
      </c>
      <c r="E28" s="54">
        <v>42480</v>
      </c>
      <c r="F28" s="35"/>
      <c r="G28" s="35"/>
      <c r="H28" s="35"/>
      <c r="I28" s="49">
        <f t="shared" si="3"/>
        <v>0</v>
      </c>
      <c r="J28" s="35"/>
      <c r="K28" s="67"/>
      <c r="L28" s="35"/>
      <c r="M28" s="35">
        <v>0</v>
      </c>
      <c r="N28" s="68"/>
      <c r="O28" s="68"/>
      <c r="P28" s="35"/>
      <c r="Q28" s="33"/>
      <c r="R28" s="33"/>
      <c r="S28" s="34"/>
      <c r="T28" s="34">
        <v>0</v>
      </c>
      <c r="U28" s="49">
        <f t="shared" ref="U28:U49" si="26">+I28-SUM(J28:T28)</f>
        <v>0</v>
      </c>
      <c r="V28" s="33">
        <f t="shared" ref="V28:V49" si="27">IF(I28&gt;2250,I28*0.1,0)</f>
        <v>0</v>
      </c>
      <c r="W28" s="49">
        <f t="shared" ref="W28:W49" si="28">+U28-V28</f>
        <v>0</v>
      </c>
      <c r="X28" s="33">
        <f t="shared" ref="X28:X49" si="29">IF(I28&lt;2250,I28*0.1,0)</f>
        <v>0</v>
      </c>
      <c r="Y28" s="33">
        <v>17.23</v>
      </c>
      <c r="Z28" s="33">
        <f t="shared" ref="Z28:Z49" si="30">+N28</f>
        <v>0</v>
      </c>
      <c r="AA28" s="49">
        <f t="shared" ref="AA28:AA49" si="31">+I28+X28+Y28+Z28</f>
        <v>17.23</v>
      </c>
      <c r="AB28" s="56"/>
      <c r="AC28" s="57"/>
      <c r="AD28" s="50">
        <f>+AB28+AC28-W28</f>
        <v>0</v>
      </c>
      <c r="AE28" s="36">
        <v>56708845010</v>
      </c>
      <c r="AF28" s="36"/>
      <c r="AG28" s="18" t="s">
        <v>173</v>
      </c>
    </row>
    <row r="29" spans="1:34" s="18" customFormat="1">
      <c r="A29" s="83" t="s">
        <v>28</v>
      </c>
      <c r="B29" s="34" t="s">
        <v>75</v>
      </c>
      <c r="C29" s="34" t="s">
        <v>74</v>
      </c>
      <c r="D29" s="34" t="s">
        <v>30</v>
      </c>
      <c r="E29" s="54">
        <v>42240</v>
      </c>
      <c r="F29" s="35">
        <v>1300.3900000000001</v>
      </c>
      <c r="G29" s="35"/>
      <c r="H29" s="35"/>
      <c r="I29" s="49">
        <f t="shared" si="3"/>
        <v>1300.3900000000001</v>
      </c>
      <c r="J29" s="35"/>
      <c r="K29" s="67"/>
      <c r="L29" s="35"/>
      <c r="M29" s="35">
        <v>0</v>
      </c>
      <c r="N29" s="68"/>
      <c r="O29" s="68"/>
      <c r="P29" s="35"/>
      <c r="Q29" s="33"/>
      <c r="R29" s="33"/>
      <c r="S29" s="34"/>
      <c r="T29" s="34">
        <v>0</v>
      </c>
      <c r="U29" s="49">
        <f t="shared" si="26"/>
        <v>1300.3900000000001</v>
      </c>
      <c r="V29" s="33">
        <f t="shared" si="27"/>
        <v>0</v>
      </c>
      <c r="W29" s="49">
        <f t="shared" si="28"/>
        <v>1300.3900000000001</v>
      </c>
      <c r="X29" s="33">
        <f t="shared" si="29"/>
        <v>130.03900000000002</v>
      </c>
      <c r="Y29" s="33">
        <v>18.23</v>
      </c>
      <c r="Z29" s="33">
        <f t="shared" si="30"/>
        <v>0</v>
      </c>
      <c r="AA29" s="49">
        <f t="shared" si="31"/>
        <v>1448.6590000000001</v>
      </c>
      <c r="AB29" s="58"/>
      <c r="AC29" s="58"/>
      <c r="AD29" s="50">
        <f>+AB29+AC29-W29</f>
        <v>-1300.3900000000001</v>
      </c>
      <c r="AE29" s="36">
        <v>56708845024</v>
      </c>
      <c r="AF29" s="36"/>
      <c r="AG29" s="18" t="s">
        <v>173</v>
      </c>
    </row>
    <row r="30" spans="1:34" s="18" customFormat="1">
      <c r="A30" s="83" t="s">
        <v>41</v>
      </c>
      <c r="B30" s="34" t="s">
        <v>179</v>
      </c>
      <c r="C30" s="34"/>
      <c r="D30" s="34" t="s">
        <v>45</v>
      </c>
      <c r="E30" s="54">
        <v>42826</v>
      </c>
      <c r="F30" s="70">
        <v>150</v>
      </c>
      <c r="G30" s="35"/>
      <c r="H30" s="35"/>
      <c r="I30" s="49">
        <f t="shared" si="3"/>
        <v>150</v>
      </c>
      <c r="J30" s="35"/>
      <c r="K30" s="67"/>
      <c r="L30" s="35"/>
      <c r="M30" s="35"/>
      <c r="N30" s="68"/>
      <c r="O30" s="68"/>
      <c r="P30" s="35"/>
      <c r="Q30" s="33"/>
      <c r="R30" s="33"/>
      <c r="S30" s="34"/>
      <c r="T30" s="34"/>
      <c r="U30" s="49"/>
      <c r="V30" s="33">
        <f t="shared" si="27"/>
        <v>0</v>
      </c>
      <c r="W30" s="49"/>
      <c r="X30" s="33">
        <f t="shared" si="29"/>
        <v>15</v>
      </c>
      <c r="Y30" s="33"/>
      <c r="Z30" s="33"/>
      <c r="AA30" s="49"/>
      <c r="AB30" s="58"/>
      <c r="AC30" s="58"/>
      <c r="AD30" s="50"/>
      <c r="AE30" s="36">
        <v>60590035118</v>
      </c>
      <c r="AF30" s="36"/>
      <c r="AG30" s="18" t="s">
        <v>173</v>
      </c>
    </row>
    <row r="31" spans="1:34" s="18" customFormat="1">
      <c r="A31" s="83" t="s">
        <v>28</v>
      </c>
      <c r="B31" s="34" t="s">
        <v>142</v>
      </c>
      <c r="C31" s="34"/>
      <c r="D31" s="34" t="s">
        <v>30</v>
      </c>
      <c r="E31" s="54">
        <v>42415</v>
      </c>
      <c r="F31" s="35"/>
      <c r="G31" s="35"/>
      <c r="H31" s="35"/>
      <c r="I31" s="49">
        <f t="shared" si="3"/>
        <v>0</v>
      </c>
      <c r="J31" s="35"/>
      <c r="K31" s="67"/>
      <c r="L31" s="35"/>
      <c r="M31" s="35"/>
      <c r="N31" s="68"/>
      <c r="O31" s="68"/>
      <c r="P31" s="35"/>
      <c r="Q31" s="33"/>
      <c r="R31" s="33"/>
      <c r="S31" s="34"/>
      <c r="T31" s="34"/>
      <c r="U31" s="49">
        <f t="shared" ref="U31" si="32">+I31-SUM(J31:T31)</f>
        <v>0</v>
      </c>
      <c r="V31" s="33">
        <f t="shared" ref="V31" si="33">IF(I31&gt;2250,I31*0.1,0)</f>
        <v>0</v>
      </c>
      <c r="W31" s="49">
        <f t="shared" ref="W31" si="34">+U31-V31</f>
        <v>0</v>
      </c>
      <c r="X31" s="33"/>
      <c r="Y31" s="33"/>
      <c r="Z31" s="33"/>
      <c r="AA31" s="49"/>
      <c r="AB31" s="58"/>
      <c r="AC31" s="58"/>
      <c r="AD31" s="50"/>
      <c r="AE31" s="36">
        <v>56708881656</v>
      </c>
      <c r="AF31" s="36"/>
      <c r="AG31" s="18" t="s">
        <v>173</v>
      </c>
    </row>
    <row r="32" spans="1:34" s="18" customFormat="1">
      <c r="A32" s="83" t="s">
        <v>28</v>
      </c>
      <c r="B32" s="34" t="s">
        <v>202</v>
      </c>
      <c r="C32" s="34" t="s">
        <v>76</v>
      </c>
      <c r="D32" s="34" t="s">
        <v>30</v>
      </c>
      <c r="E32" s="54">
        <v>41463</v>
      </c>
      <c r="F32" s="35"/>
      <c r="G32" s="35"/>
      <c r="H32" s="35"/>
      <c r="I32" s="49">
        <f t="shared" si="3"/>
        <v>0</v>
      </c>
      <c r="J32" s="35"/>
      <c r="K32" s="67"/>
      <c r="L32" s="35"/>
      <c r="M32" s="35">
        <v>0</v>
      </c>
      <c r="N32" s="68"/>
      <c r="O32" s="68"/>
      <c r="P32" s="35"/>
      <c r="Q32" s="33"/>
      <c r="R32" s="33"/>
      <c r="S32" s="34"/>
      <c r="T32" s="34">
        <v>0</v>
      </c>
      <c r="U32" s="49">
        <f t="shared" si="26"/>
        <v>0</v>
      </c>
      <c r="V32" s="33">
        <f t="shared" si="27"/>
        <v>0</v>
      </c>
      <c r="W32" s="49">
        <f t="shared" si="28"/>
        <v>0</v>
      </c>
      <c r="X32" s="33">
        <f t="shared" si="29"/>
        <v>0</v>
      </c>
      <c r="Y32" s="33">
        <v>20.23</v>
      </c>
      <c r="Z32" s="33">
        <f t="shared" si="30"/>
        <v>0</v>
      </c>
      <c r="AA32" s="49">
        <f t="shared" si="31"/>
        <v>20.23</v>
      </c>
      <c r="AB32" s="56"/>
      <c r="AC32" s="57"/>
      <c r="AD32" s="50">
        <f>+AB32+AC32-W32</f>
        <v>0</v>
      </c>
      <c r="AE32" s="36">
        <v>56708881457</v>
      </c>
      <c r="AF32" s="34"/>
      <c r="AG32" s="18" t="s">
        <v>173</v>
      </c>
    </row>
    <row r="33" spans="1:33" s="18" customFormat="1">
      <c r="A33" s="83" t="s">
        <v>26</v>
      </c>
      <c r="B33" s="34" t="s">
        <v>183</v>
      </c>
      <c r="C33" s="34"/>
      <c r="D33" s="34" t="s">
        <v>112</v>
      </c>
      <c r="E33" s="59">
        <v>40618</v>
      </c>
      <c r="F33" s="35">
        <v>3096</v>
      </c>
      <c r="G33" s="35"/>
      <c r="H33" s="35"/>
      <c r="I33" s="49">
        <f t="shared" si="3"/>
        <v>3096</v>
      </c>
      <c r="J33" s="35"/>
      <c r="K33" s="67"/>
      <c r="L33" s="35"/>
      <c r="M33" s="35">
        <v>0</v>
      </c>
      <c r="N33" s="68"/>
      <c r="O33" s="68"/>
      <c r="P33" s="35"/>
      <c r="Q33" s="33"/>
      <c r="R33" s="33"/>
      <c r="S33" s="34"/>
      <c r="T33" s="34">
        <v>0</v>
      </c>
      <c r="U33" s="49">
        <f t="shared" si="26"/>
        <v>3096</v>
      </c>
      <c r="V33" s="33">
        <f t="shared" si="27"/>
        <v>309.60000000000002</v>
      </c>
      <c r="W33" s="49">
        <f t="shared" si="28"/>
        <v>2786.4</v>
      </c>
      <c r="X33" s="33">
        <f t="shared" si="29"/>
        <v>0</v>
      </c>
      <c r="Y33" s="33">
        <v>21.23</v>
      </c>
      <c r="Z33" s="33">
        <f t="shared" si="30"/>
        <v>0</v>
      </c>
      <c r="AA33" s="49">
        <f t="shared" si="31"/>
        <v>3117.23</v>
      </c>
      <c r="AB33" s="56"/>
      <c r="AC33" s="57"/>
      <c r="AD33" s="50"/>
      <c r="AE33" s="36">
        <v>56708845038</v>
      </c>
      <c r="AF33" s="36"/>
      <c r="AG33" s="18" t="s">
        <v>173</v>
      </c>
    </row>
    <row r="34" spans="1:33" s="18" customFormat="1">
      <c r="A34" s="83" t="s">
        <v>28</v>
      </c>
      <c r="B34" s="34" t="s">
        <v>104</v>
      </c>
      <c r="C34" s="34" t="s">
        <v>79</v>
      </c>
      <c r="D34" s="34" t="s">
        <v>30</v>
      </c>
      <c r="E34" s="54">
        <v>42296</v>
      </c>
      <c r="F34" s="35">
        <v>6351.66</v>
      </c>
      <c r="G34" s="35"/>
      <c r="H34" s="35"/>
      <c r="I34" s="49">
        <f t="shared" si="3"/>
        <v>6351.66</v>
      </c>
      <c r="J34" s="35"/>
      <c r="K34" s="67"/>
      <c r="L34" s="35"/>
      <c r="M34" s="35">
        <v>0</v>
      </c>
      <c r="N34" s="68"/>
      <c r="O34" s="68"/>
      <c r="P34" s="35"/>
      <c r="Q34" s="33"/>
      <c r="R34" s="33"/>
      <c r="S34" s="34"/>
      <c r="T34" s="34">
        <v>802.69</v>
      </c>
      <c r="U34" s="49">
        <f t="shared" si="26"/>
        <v>5548.9699999999993</v>
      </c>
      <c r="V34" s="33">
        <f t="shared" si="27"/>
        <v>635.16600000000005</v>
      </c>
      <c r="W34" s="49">
        <f t="shared" si="28"/>
        <v>4913.8039999999992</v>
      </c>
      <c r="X34" s="33">
        <f t="shared" si="29"/>
        <v>0</v>
      </c>
      <c r="Y34" s="33">
        <v>10.23</v>
      </c>
      <c r="Z34" s="33">
        <f t="shared" si="30"/>
        <v>0</v>
      </c>
      <c r="AA34" s="49">
        <f t="shared" si="31"/>
        <v>6361.8899999999994</v>
      </c>
      <c r="AB34" s="56"/>
      <c r="AC34" s="57"/>
      <c r="AD34" s="50">
        <f>+AB34+AC34-W34</f>
        <v>-4913.8039999999992</v>
      </c>
      <c r="AE34" s="36">
        <v>56708881460</v>
      </c>
      <c r="AF34" s="36"/>
      <c r="AG34" s="18" t="s">
        <v>173</v>
      </c>
    </row>
    <row r="35" spans="1:33" s="18" customFormat="1">
      <c r="A35" s="83" t="s">
        <v>27</v>
      </c>
      <c r="B35" s="34" t="s">
        <v>36</v>
      </c>
      <c r="C35" s="34" t="s">
        <v>93</v>
      </c>
      <c r="D35" s="34" t="s">
        <v>46</v>
      </c>
      <c r="E35" s="54">
        <v>42199</v>
      </c>
      <c r="F35" s="35">
        <v>4549.37</v>
      </c>
      <c r="G35" s="35"/>
      <c r="H35" s="35"/>
      <c r="I35" s="49">
        <f t="shared" si="3"/>
        <v>4549.37</v>
      </c>
      <c r="J35" s="35"/>
      <c r="K35" s="67"/>
      <c r="L35" s="35"/>
      <c r="M35" s="35">
        <v>0</v>
      </c>
      <c r="N35" s="68"/>
      <c r="O35" s="68"/>
      <c r="P35" s="35"/>
      <c r="Q35" s="33"/>
      <c r="R35" s="33"/>
      <c r="S35" s="34"/>
      <c r="T35" s="34">
        <v>0</v>
      </c>
      <c r="U35" s="49">
        <f t="shared" si="26"/>
        <v>4549.37</v>
      </c>
      <c r="V35" s="33">
        <f t="shared" si="27"/>
        <v>454.93700000000001</v>
      </c>
      <c r="W35" s="49">
        <f t="shared" si="28"/>
        <v>4094.433</v>
      </c>
      <c r="X35" s="33">
        <f t="shared" si="29"/>
        <v>0</v>
      </c>
      <c r="Y35" s="33">
        <v>10.23</v>
      </c>
      <c r="Z35" s="33">
        <f t="shared" si="30"/>
        <v>0</v>
      </c>
      <c r="AA35" s="49">
        <f t="shared" si="31"/>
        <v>4559.5999999999995</v>
      </c>
      <c r="AB35" s="56"/>
      <c r="AC35" s="57"/>
      <c r="AD35" s="50">
        <f>+AB35+AC35-W35</f>
        <v>-4094.433</v>
      </c>
      <c r="AE35" s="36">
        <v>56708881474</v>
      </c>
      <c r="AF35" s="34"/>
      <c r="AG35" s="18" t="s">
        <v>173</v>
      </c>
    </row>
    <row r="36" spans="1:33" s="18" customFormat="1">
      <c r="A36" s="83" t="s">
        <v>28</v>
      </c>
      <c r="B36" s="34" t="s">
        <v>80</v>
      </c>
      <c r="C36" s="34" t="s">
        <v>79</v>
      </c>
      <c r="D36" s="34" t="s">
        <v>30</v>
      </c>
      <c r="E36" s="54">
        <v>42304</v>
      </c>
      <c r="F36" s="35">
        <v>25195.83</v>
      </c>
      <c r="G36" s="35"/>
      <c r="H36" s="35"/>
      <c r="I36" s="49">
        <f t="shared" si="3"/>
        <v>25195.83</v>
      </c>
      <c r="J36" s="35"/>
      <c r="K36" s="67"/>
      <c r="L36" s="35"/>
      <c r="M36" s="35">
        <v>0</v>
      </c>
      <c r="N36" s="68"/>
      <c r="O36" s="68"/>
      <c r="P36" s="35"/>
      <c r="Q36" s="33"/>
      <c r="R36" s="33"/>
      <c r="S36" s="34"/>
      <c r="T36" s="34">
        <v>0</v>
      </c>
      <c r="U36" s="49">
        <f t="shared" si="26"/>
        <v>25195.83</v>
      </c>
      <c r="V36" s="33">
        <f t="shared" si="27"/>
        <v>2519.5830000000005</v>
      </c>
      <c r="W36" s="49">
        <f t="shared" si="28"/>
        <v>22676.247000000003</v>
      </c>
      <c r="X36" s="33">
        <f t="shared" si="29"/>
        <v>0</v>
      </c>
      <c r="Y36" s="33">
        <v>10.23</v>
      </c>
      <c r="Z36" s="33">
        <f t="shared" si="30"/>
        <v>0</v>
      </c>
      <c r="AA36" s="49">
        <f t="shared" si="31"/>
        <v>25206.06</v>
      </c>
      <c r="AB36" s="50"/>
      <c r="AC36" s="50"/>
      <c r="AD36" s="50"/>
      <c r="AE36" s="36">
        <v>56708845069</v>
      </c>
      <c r="AF36" s="36"/>
      <c r="AG36" s="18" t="s">
        <v>173</v>
      </c>
    </row>
    <row r="37" spans="1:33" s="18" customFormat="1">
      <c r="A37" s="83" t="s">
        <v>27</v>
      </c>
      <c r="B37" s="34" t="s">
        <v>119</v>
      </c>
      <c r="C37" s="34"/>
      <c r="D37" s="34" t="s">
        <v>46</v>
      </c>
      <c r="E37" s="54">
        <v>42576</v>
      </c>
      <c r="F37" s="35">
        <v>9485.73</v>
      </c>
      <c r="G37" s="35"/>
      <c r="H37" s="35"/>
      <c r="I37" s="49">
        <f t="shared" si="3"/>
        <v>9485.73</v>
      </c>
      <c r="J37" s="35"/>
      <c r="K37" s="67"/>
      <c r="L37" s="35"/>
      <c r="M37" s="35">
        <v>0</v>
      </c>
      <c r="N37" s="68"/>
      <c r="O37" s="68"/>
      <c r="P37" s="35"/>
      <c r="Q37" s="33"/>
      <c r="R37" s="33"/>
      <c r="S37" s="34"/>
      <c r="T37" s="34">
        <v>0</v>
      </c>
      <c r="U37" s="49">
        <f t="shared" si="26"/>
        <v>9485.73</v>
      </c>
      <c r="V37" s="33">
        <f t="shared" si="27"/>
        <v>948.57299999999998</v>
      </c>
      <c r="W37" s="49">
        <f t="shared" si="28"/>
        <v>8537.1569999999992</v>
      </c>
      <c r="X37" s="33">
        <f t="shared" si="29"/>
        <v>0</v>
      </c>
      <c r="Y37" s="33">
        <v>11.23</v>
      </c>
      <c r="Z37" s="33">
        <f t="shared" si="30"/>
        <v>0</v>
      </c>
      <c r="AA37" s="49">
        <f t="shared" si="31"/>
        <v>9496.9599999999991</v>
      </c>
      <c r="AB37" s="52"/>
      <c r="AC37" s="52"/>
      <c r="AD37" s="52"/>
      <c r="AE37" s="36">
        <v>56708845072</v>
      </c>
      <c r="AF37" s="36"/>
      <c r="AG37" s="18" t="s">
        <v>173</v>
      </c>
    </row>
    <row r="38" spans="1:33" s="18" customFormat="1">
      <c r="A38" s="83" t="s">
        <v>28</v>
      </c>
      <c r="B38" s="34" t="s">
        <v>101</v>
      </c>
      <c r="C38" s="34" t="s">
        <v>79</v>
      </c>
      <c r="D38" s="34" t="s">
        <v>30</v>
      </c>
      <c r="E38" s="54">
        <v>41622</v>
      </c>
      <c r="F38" s="35"/>
      <c r="G38" s="35">
        <v>679.3</v>
      </c>
      <c r="H38" s="35"/>
      <c r="I38" s="49">
        <f t="shared" si="3"/>
        <v>679.3</v>
      </c>
      <c r="J38" s="35"/>
      <c r="K38" s="67"/>
      <c r="L38" s="35"/>
      <c r="M38" s="35">
        <v>0</v>
      </c>
      <c r="N38" s="68"/>
      <c r="O38" s="68"/>
      <c r="P38" s="35"/>
      <c r="Q38" s="33"/>
      <c r="R38" s="33"/>
      <c r="S38" s="34"/>
      <c r="T38" s="34">
        <v>0</v>
      </c>
      <c r="U38" s="49">
        <f t="shared" si="26"/>
        <v>679.3</v>
      </c>
      <c r="V38" s="33">
        <f t="shared" si="27"/>
        <v>0</v>
      </c>
      <c r="W38" s="49">
        <f t="shared" si="28"/>
        <v>679.3</v>
      </c>
      <c r="X38" s="33">
        <f t="shared" si="29"/>
        <v>67.929999999999993</v>
      </c>
      <c r="Y38" s="33">
        <v>10.23</v>
      </c>
      <c r="Z38" s="33">
        <f t="shared" si="30"/>
        <v>0</v>
      </c>
      <c r="AA38" s="49">
        <f t="shared" si="31"/>
        <v>757.45999999999992</v>
      </c>
      <c r="AB38" s="56"/>
      <c r="AC38" s="56"/>
      <c r="AD38" s="50">
        <f t="shared" ref="AD38:AD40" si="35">+AB38+AC38-W38</f>
        <v>-679.3</v>
      </c>
      <c r="AE38" s="36">
        <v>56708881491</v>
      </c>
      <c r="AF38" s="34"/>
      <c r="AG38" s="18" t="s">
        <v>173</v>
      </c>
    </row>
    <row r="39" spans="1:33" s="18" customFormat="1">
      <c r="A39" s="83" t="s">
        <v>28</v>
      </c>
      <c r="B39" s="34" t="s">
        <v>178</v>
      </c>
      <c r="C39" s="34"/>
      <c r="D39" s="34" t="s">
        <v>30</v>
      </c>
      <c r="E39" s="54">
        <v>42828</v>
      </c>
      <c r="F39" s="35"/>
      <c r="G39" s="35"/>
      <c r="H39" s="35"/>
      <c r="I39" s="49"/>
      <c r="J39" s="35"/>
      <c r="K39" s="67"/>
      <c r="L39" s="35"/>
      <c r="M39" s="35"/>
      <c r="N39" s="68"/>
      <c r="O39" s="68"/>
      <c r="P39" s="35"/>
      <c r="Q39" s="33"/>
      <c r="R39" s="33"/>
      <c r="S39" s="34"/>
      <c r="T39" s="34"/>
      <c r="U39" s="49"/>
      <c r="V39" s="33"/>
      <c r="W39" s="49"/>
      <c r="X39" s="33"/>
      <c r="Y39" s="33"/>
      <c r="Z39" s="33"/>
      <c r="AA39" s="49"/>
      <c r="AB39" s="58"/>
      <c r="AC39" s="58"/>
      <c r="AD39" s="50"/>
      <c r="AE39" s="36">
        <v>60589861092</v>
      </c>
      <c r="AF39" s="36"/>
      <c r="AG39" s="18" t="s">
        <v>173</v>
      </c>
    </row>
    <row r="40" spans="1:33" s="18" customFormat="1">
      <c r="A40" s="83" t="s">
        <v>28</v>
      </c>
      <c r="B40" s="34" t="s">
        <v>107</v>
      </c>
      <c r="C40" s="34" t="s">
        <v>76</v>
      </c>
      <c r="D40" s="34" t="s">
        <v>30</v>
      </c>
      <c r="E40" s="54">
        <v>37834</v>
      </c>
      <c r="F40" s="35">
        <v>17475.73</v>
      </c>
      <c r="G40" s="35"/>
      <c r="H40" s="35"/>
      <c r="I40" s="49">
        <f t="shared" si="3"/>
        <v>17475.73</v>
      </c>
      <c r="J40" s="35"/>
      <c r="K40" s="67"/>
      <c r="L40" s="35"/>
      <c r="M40" s="35">
        <v>0</v>
      </c>
      <c r="N40" s="68"/>
      <c r="O40" s="68"/>
      <c r="P40" s="35"/>
      <c r="Q40" s="33"/>
      <c r="R40" s="33"/>
      <c r="S40" s="34"/>
      <c r="T40" s="34">
        <v>0</v>
      </c>
      <c r="U40" s="49">
        <f t="shared" si="26"/>
        <v>17475.73</v>
      </c>
      <c r="V40" s="33">
        <f t="shared" si="27"/>
        <v>1747.5730000000001</v>
      </c>
      <c r="W40" s="49">
        <f t="shared" si="28"/>
        <v>15728.156999999999</v>
      </c>
      <c r="X40" s="33">
        <f t="shared" si="29"/>
        <v>0</v>
      </c>
      <c r="Y40" s="33">
        <v>10.23</v>
      </c>
      <c r="Z40" s="33">
        <f t="shared" si="30"/>
        <v>0</v>
      </c>
      <c r="AA40" s="49">
        <f t="shared" si="31"/>
        <v>17485.96</v>
      </c>
      <c r="AB40" s="56"/>
      <c r="AC40" s="57"/>
      <c r="AD40" s="50">
        <f t="shared" si="35"/>
        <v>-15728.156999999999</v>
      </c>
      <c r="AE40" s="36">
        <v>56708881503</v>
      </c>
      <c r="AF40" s="36"/>
      <c r="AG40" s="18" t="s">
        <v>173</v>
      </c>
    </row>
    <row r="41" spans="1:33" s="18" customFormat="1">
      <c r="A41" s="83" t="s">
        <v>28</v>
      </c>
      <c r="B41" s="34" t="s">
        <v>135</v>
      </c>
      <c r="C41" s="34"/>
      <c r="D41" s="34" t="s">
        <v>30</v>
      </c>
      <c r="E41" s="54">
        <v>42342</v>
      </c>
      <c r="F41" s="35">
        <v>8000</v>
      </c>
      <c r="G41" s="35"/>
      <c r="H41" s="35"/>
      <c r="I41" s="49">
        <f t="shared" si="3"/>
        <v>8000</v>
      </c>
      <c r="J41" s="35"/>
      <c r="K41" s="67"/>
      <c r="L41" s="35"/>
      <c r="M41" s="35">
        <v>0</v>
      </c>
      <c r="N41" s="68"/>
      <c r="O41" s="68"/>
      <c r="P41" s="35"/>
      <c r="Q41" s="33">
        <v>257.3</v>
      </c>
      <c r="R41" s="33"/>
      <c r="S41" s="51"/>
      <c r="T41" s="51"/>
      <c r="U41" s="49">
        <f t="shared" ref="U41" si="36">+I41-SUM(J41:T41)</f>
        <v>7742.7</v>
      </c>
      <c r="V41" s="33">
        <f t="shared" ref="V41" si="37">IF(I41&gt;2250,I41*0.1,0)</f>
        <v>800</v>
      </c>
      <c r="W41" s="49">
        <f t="shared" ref="W41" si="38">+U41-V41</f>
        <v>6942.7</v>
      </c>
      <c r="X41" s="33"/>
      <c r="Y41" s="33"/>
      <c r="Z41" s="33"/>
      <c r="AA41" s="49"/>
      <c r="AB41" s="56"/>
      <c r="AC41" s="57"/>
      <c r="AD41" s="50"/>
      <c r="AE41" s="36">
        <v>56708845101</v>
      </c>
      <c r="AF41" s="36"/>
      <c r="AG41" s="18" t="s">
        <v>173</v>
      </c>
    </row>
    <row r="42" spans="1:33" s="18" customFormat="1">
      <c r="A42" s="83" t="s">
        <v>28</v>
      </c>
      <c r="B42" s="34" t="s">
        <v>92</v>
      </c>
      <c r="C42" s="34"/>
      <c r="D42" s="34" t="s">
        <v>45</v>
      </c>
      <c r="E42" s="54">
        <v>40813</v>
      </c>
      <c r="F42" s="70">
        <v>150</v>
      </c>
      <c r="G42" s="35"/>
      <c r="H42" s="35"/>
      <c r="I42" s="49">
        <f>SUM(F42:H42)</f>
        <v>150</v>
      </c>
      <c r="J42" s="35"/>
      <c r="K42" s="67"/>
      <c r="L42" s="35"/>
      <c r="M42" s="35"/>
      <c r="N42" s="68"/>
      <c r="O42" s="68"/>
      <c r="P42" s="35"/>
      <c r="Q42" s="33"/>
      <c r="R42" s="33"/>
      <c r="S42" s="51"/>
      <c r="T42" s="51"/>
      <c r="U42" s="49">
        <f>+I42-SUM(J42:T42)</f>
        <v>150</v>
      </c>
      <c r="V42" s="33">
        <f t="shared" ref="V42" si="39">+U42*0.05</f>
        <v>7.5</v>
      </c>
      <c r="W42" s="49">
        <f t="shared" ref="W42" si="40">+U42-Q42-T42</f>
        <v>150</v>
      </c>
      <c r="X42" s="33">
        <f t="shared" ref="X42" si="41">IF(U42&lt;3000,U42*0.1,0)</f>
        <v>15</v>
      </c>
      <c r="Y42" s="33"/>
      <c r="Z42" s="33"/>
      <c r="AA42" s="49">
        <f t="shared" ref="AA42" si="42">+U42+X42+Y42</f>
        <v>165</v>
      </c>
      <c r="AB42" s="56"/>
      <c r="AC42" s="57"/>
      <c r="AD42" s="50"/>
      <c r="AE42" s="36">
        <v>60589552237</v>
      </c>
      <c r="AF42" s="36"/>
      <c r="AG42" s="18" t="s">
        <v>173</v>
      </c>
    </row>
    <row r="43" spans="1:33" s="18" customFormat="1">
      <c r="A43" s="83" t="s">
        <v>28</v>
      </c>
      <c r="B43" s="34" t="s">
        <v>194</v>
      </c>
      <c r="C43" s="34"/>
      <c r="D43" s="34" t="s">
        <v>195</v>
      </c>
      <c r="E43" s="54">
        <v>42772</v>
      </c>
      <c r="F43" s="35"/>
      <c r="G43" s="35"/>
      <c r="H43" s="35"/>
      <c r="I43" s="49">
        <f>SUM(F43:H43)</f>
        <v>0</v>
      </c>
      <c r="J43" s="35"/>
      <c r="K43" s="67"/>
      <c r="L43" s="35"/>
      <c r="M43" s="35"/>
      <c r="N43" s="68"/>
      <c r="O43" s="68"/>
      <c r="P43" s="35"/>
      <c r="Q43" s="33">
        <v>572.66999999999996</v>
      </c>
      <c r="R43" s="33"/>
      <c r="S43" s="51"/>
      <c r="T43" s="51"/>
      <c r="U43" s="49"/>
      <c r="V43" s="33"/>
      <c r="W43" s="49"/>
      <c r="X43" s="33"/>
      <c r="Y43" s="33"/>
      <c r="Z43" s="33"/>
      <c r="AA43" s="49"/>
      <c r="AB43" s="56"/>
      <c r="AC43" s="57"/>
      <c r="AD43" s="50"/>
      <c r="AE43" s="36">
        <v>60589624037</v>
      </c>
      <c r="AF43" s="36"/>
      <c r="AG43" s="18" t="s">
        <v>173</v>
      </c>
    </row>
    <row r="44" spans="1:33" s="18" customFormat="1">
      <c r="A44" s="83" t="s">
        <v>27</v>
      </c>
      <c r="B44" s="34" t="s">
        <v>191</v>
      </c>
      <c r="C44" s="34"/>
      <c r="D44" s="34" t="s">
        <v>30</v>
      </c>
      <c r="E44" s="54">
        <v>42852</v>
      </c>
      <c r="F44" s="35"/>
      <c r="G44" s="35"/>
      <c r="H44" s="35"/>
      <c r="I44" s="49">
        <f>SUM(F44:H44)</f>
        <v>0</v>
      </c>
      <c r="J44" s="35"/>
      <c r="K44" s="67"/>
      <c r="L44" s="35"/>
      <c r="M44" s="35"/>
      <c r="N44" s="68"/>
      <c r="O44" s="68"/>
      <c r="P44" s="35"/>
      <c r="Q44" s="33"/>
      <c r="R44" s="33"/>
      <c r="S44" s="51"/>
      <c r="T44" s="51"/>
      <c r="U44" s="49">
        <f>+I44-SUM(J44:T44)</f>
        <v>0</v>
      </c>
      <c r="V44" s="33"/>
      <c r="W44" s="49"/>
      <c r="X44" s="33"/>
      <c r="Y44" s="33"/>
      <c r="Z44" s="33"/>
      <c r="AA44" s="49"/>
      <c r="AB44" s="56"/>
      <c r="AC44" s="57"/>
      <c r="AD44" s="50"/>
      <c r="AE44" s="36">
        <v>60590678030</v>
      </c>
      <c r="AF44" s="36"/>
      <c r="AG44" s="18" t="s">
        <v>173</v>
      </c>
    </row>
    <row r="45" spans="1:33" s="18" customFormat="1">
      <c r="A45" s="83" t="s">
        <v>28</v>
      </c>
      <c r="B45" s="34" t="s">
        <v>138</v>
      </c>
      <c r="C45" s="34"/>
      <c r="D45" s="34" t="s">
        <v>30</v>
      </c>
      <c r="E45" s="54">
        <v>42648</v>
      </c>
      <c r="F45" s="35">
        <v>4441.72</v>
      </c>
      <c r="G45" s="35"/>
      <c r="H45" s="35"/>
      <c r="I45" s="49">
        <f t="shared" si="3"/>
        <v>4441.72</v>
      </c>
      <c r="J45" s="35"/>
      <c r="K45" s="67"/>
      <c r="L45" s="35"/>
      <c r="M45" s="35"/>
      <c r="N45" s="68"/>
      <c r="O45" s="68"/>
      <c r="P45" s="35"/>
      <c r="Q45" s="33"/>
      <c r="R45" s="33"/>
      <c r="S45" s="51"/>
      <c r="T45" s="51"/>
      <c r="U45" s="49">
        <f t="shared" ref="U45" si="43">+I45-SUM(J45:T45)</f>
        <v>4441.72</v>
      </c>
      <c r="V45" s="33">
        <f t="shared" ref="V45" si="44">IF(I45&gt;2250,I45*0.1,0)</f>
        <v>444.17200000000003</v>
      </c>
      <c r="W45" s="49">
        <f t="shared" ref="W45" si="45">+U45-V45</f>
        <v>3997.5480000000002</v>
      </c>
      <c r="X45" s="33"/>
      <c r="Y45" s="33"/>
      <c r="Z45" s="33"/>
      <c r="AA45" s="49"/>
      <c r="AB45" s="56"/>
      <c r="AC45" s="57"/>
      <c r="AD45" s="50"/>
      <c r="AE45" s="36">
        <v>56708845115</v>
      </c>
      <c r="AF45" s="36"/>
      <c r="AG45" s="18" t="s">
        <v>173</v>
      </c>
    </row>
    <row r="46" spans="1:33" s="18" customFormat="1">
      <c r="A46" s="83" t="s">
        <v>27</v>
      </c>
      <c r="B46" s="34" t="s">
        <v>143</v>
      </c>
      <c r="C46" s="34"/>
      <c r="D46" s="34" t="s">
        <v>46</v>
      </c>
      <c r="E46" s="54">
        <v>42644</v>
      </c>
      <c r="F46" s="35"/>
      <c r="G46" s="35"/>
      <c r="H46" s="35"/>
      <c r="I46" s="49">
        <f t="shared" si="3"/>
        <v>0</v>
      </c>
      <c r="J46" s="35"/>
      <c r="K46" s="67"/>
      <c r="L46" s="35"/>
      <c r="M46" s="35"/>
      <c r="N46" s="68"/>
      <c r="O46" s="68"/>
      <c r="P46" s="35"/>
      <c r="Q46" s="33"/>
      <c r="R46" s="33"/>
      <c r="S46" s="51"/>
      <c r="T46" s="51"/>
      <c r="U46" s="49">
        <f t="shared" ref="U46" si="46">+I46-SUM(J46:T46)</f>
        <v>0</v>
      </c>
      <c r="V46" s="33">
        <f t="shared" ref="V46" si="47">IF(I46&gt;2250,I46*0.1,0)</f>
        <v>0</v>
      </c>
      <c r="W46" s="49">
        <f t="shared" ref="W46" si="48">+U46-V46</f>
        <v>0</v>
      </c>
      <c r="X46" s="33"/>
      <c r="Y46" s="33"/>
      <c r="Z46" s="33"/>
      <c r="AA46" s="49"/>
      <c r="AB46" s="56"/>
      <c r="AC46" s="57"/>
      <c r="AD46" s="50"/>
      <c r="AE46" s="36">
        <v>56708845530</v>
      </c>
      <c r="AF46" s="36"/>
      <c r="AG46" s="18" t="s">
        <v>173</v>
      </c>
    </row>
    <row r="47" spans="1:33" s="18" customFormat="1">
      <c r="A47" s="83" t="s">
        <v>28</v>
      </c>
      <c r="B47" s="34" t="s">
        <v>154</v>
      </c>
      <c r="C47" s="34"/>
      <c r="D47" s="34" t="s">
        <v>30</v>
      </c>
      <c r="E47" s="54">
        <v>42751</v>
      </c>
      <c r="F47" s="35"/>
      <c r="G47" s="35"/>
      <c r="H47" s="35"/>
      <c r="I47" s="49">
        <f t="shared" si="3"/>
        <v>0</v>
      </c>
      <c r="J47" s="35"/>
      <c r="K47" s="67"/>
      <c r="L47" s="35"/>
      <c r="M47" s="35"/>
      <c r="N47" s="68"/>
      <c r="O47" s="68"/>
      <c r="P47" s="35"/>
      <c r="Q47" s="33"/>
      <c r="R47" s="33"/>
      <c r="S47" s="34"/>
      <c r="T47" s="34"/>
      <c r="U47" s="49">
        <f t="shared" ref="U47" si="49">+I47-SUM(J47:T47)</f>
        <v>0</v>
      </c>
      <c r="V47" s="33">
        <f t="shared" ref="V47" si="50">IF(I47&gt;2250,I47*0.1,0)</f>
        <v>0</v>
      </c>
      <c r="W47" s="49">
        <f t="shared" ref="W47" si="51">+U47-V47</f>
        <v>0</v>
      </c>
      <c r="X47" s="33"/>
      <c r="Y47" s="33"/>
      <c r="Z47" s="33"/>
      <c r="AA47" s="49"/>
      <c r="AB47" s="56"/>
      <c r="AC47" s="57"/>
      <c r="AD47" s="50"/>
      <c r="AE47" s="36">
        <v>60589665774</v>
      </c>
      <c r="AF47" s="34"/>
      <c r="AG47" s="18" t="s">
        <v>173</v>
      </c>
    </row>
    <row r="48" spans="1:33" s="18" customFormat="1">
      <c r="A48" s="83" t="s">
        <v>28</v>
      </c>
      <c r="B48" s="34" t="s">
        <v>88</v>
      </c>
      <c r="C48" s="34" t="s">
        <v>79</v>
      </c>
      <c r="D48" s="34" t="s">
        <v>30</v>
      </c>
      <c r="E48" s="54">
        <v>42251</v>
      </c>
      <c r="F48" s="35"/>
      <c r="G48" s="35"/>
      <c r="H48" s="35"/>
      <c r="I48" s="49">
        <f t="shared" si="3"/>
        <v>0</v>
      </c>
      <c r="J48" s="35"/>
      <c r="K48" s="67"/>
      <c r="L48" s="35"/>
      <c r="M48" s="35">
        <v>0</v>
      </c>
      <c r="N48" s="68"/>
      <c r="O48" s="68"/>
      <c r="P48" s="35"/>
      <c r="Q48" s="33"/>
      <c r="R48" s="33"/>
      <c r="S48" s="34"/>
      <c r="T48" s="34"/>
      <c r="U48" s="49">
        <f t="shared" si="26"/>
        <v>0</v>
      </c>
      <c r="V48" s="33">
        <f t="shared" si="27"/>
        <v>0</v>
      </c>
      <c r="W48" s="49">
        <f t="shared" si="28"/>
        <v>0</v>
      </c>
      <c r="X48" s="33">
        <f t="shared" si="29"/>
        <v>0</v>
      </c>
      <c r="Y48" s="33">
        <v>10.23</v>
      </c>
      <c r="Z48" s="33">
        <f t="shared" si="30"/>
        <v>0</v>
      </c>
      <c r="AA48" s="49">
        <f t="shared" si="31"/>
        <v>10.23</v>
      </c>
      <c r="AB48" s="56"/>
      <c r="AC48" s="57"/>
      <c r="AD48" s="50">
        <f t="shared" ref="AD48:AD49" si="52">+AB48+AC48-W48</f>
        <v>0</v>
      </c>
      <c r="AE48" s="36">
        <v>56708881548</v>
      </c>
      <c r="AF48" s="34"/>
      <c r="AG48" s="18" t="s">
        <v>173</v>
      </c>
    </row>
    <row r="49" spans="1:33" s="18" customFormat="1">
      <c r="A49" s="83" t="s">
        <v>39</v>
      </c>
      <c r="B49" s="34" t="s">
        <v>110</v>
      </c>
      <c r="C49" s="34"/>
      <c r="D49" s="34" t="s">
        <v>29</v>
      </c>
      <c r="E49" s="54">
        <v>42506</v>
      </c>
      <c r="F49" s="35">
        <v>3009.43</v>
      </c>
      <c r="G49" s="35"/>
      <c r="H49" s="35"/>
      <c r="I49" s="49">
        <f t="shared" si="3"/>
        <v>3009.43</v>
      </c>
      <c r="J49" s="35"/>
      <c r="K49" s="67"/>
      <c r="L49" s="35"/>
      <c r="M49" s="35">
        <v>0</v>
      </c>
      <c r="N49" s="68"/>
      <c r="O49" s="68"/>
      <c r="P49" s="35"/>
      <c r="Q49" s="33"/>
      <c r="R49" s="33"/>
      <c r="S49" s="34"/>
      <c r="T49" s="34"/>
      <c r="U49" s="49">
        <f t="shared" si="26"/>
        <v>3009.43</v>
      </c>
      <c r="V49" s="33">
        <f t="shared" si="27"/>
        <v>300.94299999999998</v>
      </c>
      <c r="W49" s="49">
        <f t="shared" si="28"/>
        <v>2708.4870000000001</v>
      </c>
      <c r="X49" s="33">
        <f t="shared" si="29"/>
        <v>0</v>
      </c>
      <c r="Y49" s="33">
        <v>10.23</v>
      </c>
      <c r="Z49" s="33">
        <f t="shared" si="30"/>
        <v>0</v>
      </c>
      <c r="AA49" s="49">
        <f t="shared" si="31"/>
        <v>3019.66</v>
      </c>
      <c r="AB49" s="56"/>
      <c r="AC49" s="56"/>
      <c r="AD49" s="50">
        <f t="shared" si="52"/>
        <v>-2708.4870000000001</v>
      </c>
      <c r="AE49" s="36">
        <v>56708881551</v>
      </c>
      <c r="AF49" s="36"/>
      <c r="AG49" s="18" t="s">
        <v>173</v>
      </c>
    </row>
    <row r="50" spans="1:33" s="18" customFormat="1">
      <c r="A50" s="83" t="s">
        <v>28</v>
      </c>
      <c r="B50" s="34" t="s">
        <v>152</v>
      </c>
      <c r="C50" s="34"/>
      <c r="D50" s="34" t="s">
        <v>30</v>
      </c>
      <c r="E50" s="54">
        <v>42730</v>
      </c>
      <c r="F50" s="35">
        <v>2558.17</v>
      </c>
      <c r="G50" s="35"/>
      <c r="H50" s="35"/>
      <c r="I50" s="49">
        <f t="shared" si="3"/>
        <v>2558.17</v>
      </c>
      <c r="J50" s="35"/>
      <c r="K50" s="67"/>
      <c r="L50" s="35"/>
      <c r="M50" s="35"/>
      <c r="N50" s="68"/>
      <c r="O50" s="68"/>
      <c r="P50" s="35"/>
      <c r="Q50" s="33"/>
      <c r="R50" s="33"/>
      <c r="S50" s="34"/>
      <c r="T50" s="34"/>
      <c r="U50" s="49">
        <f t="shared" ref="U50" si="53">+I50-SUM(J50:T50)</f>
        <v>2558.17</v>
      </c>
      <c r="V50" s="33">
        <f t="shared" ref="V50" si="54">IF(I50&gt;2250,I50*0.1,0)</f>
        <v>255.81700000000001</v>
      </c>
      <c r="W50" s="49">
        <f t="shared" ref="W50" si="55">+U50-V50</f>
        <v>2302.3530000000001</v>
      </c>
      <c r="X50" s="33"/>
      <c r="Y50" s="33"/>
      <c r="Z50" s="33"/>
      <c r="AA50" s="49"/>
      <c r="AB50" s="56"/>
      <c r="AC50" s="56"/>
      <c r="AD50" s="50"/>
      <c r="AE50" s="36">
        <v>60589669043</v>
      </c>
      <c r="AF50" s="36"/>
      <c r="AG50" s="18" t="s">
        <v>173</v>
      </c>
    </row>
    <row r="51" spans="1:33" s="18" customFormat="1">
      <c r="A51" s="83" t="s">
        <v>28</v>
      </c>
      <c r="B51" s="34" t="s">
        <v>114</v>
      </c>
      <c r="C51" s="34"/>
      <c r="D51" s="34" t="s">
        <v>30</v>
      </c>
      <c r="E51" s="54">
        <v>42522</v>
      </c>
      <c r="F51" s="35">
        <v>8190.23</v>
      </c>
      <c r="G51" s="35"/>
      <c r="H51" s="35"/>
      <c r="I51" s="49">
        <f t="shared" si="3"/>
        <v>8190.23</v>
      </c>
      <c r="J51" s="35"/>
      <c r="K51" s="67">
        <v>1</v>
      </c>
      <c r="L51" s="35"/>
      <c r="M51" s="35">
        <v>0</v>
      </c>
      <c r="N51" s="68"/>
      <c r="O51" s="68"/>
      <c r="P51" s="35"/>
      <c r="Q51" s="33">
        <v>4021.86</v>
      </c>
      <c r="R51" s="33"/>
      <c r="S51" s="34"/>
      <c r="T51" s="34"/>
      <c r="U51" s="49">
        <f t="shared" ref="U51:U66" si="56">+I51-SUM(J51:T51)</f>
        <v>4167.369999999999</v>
      </c>
      <c r="V51" s="33">
        <f t="shared" ref="V51:V56" si="57">IF(I51&gt;2250,I51*0.1,0)</f>
        <v>819.02300000000002</v>
      </c>
      <c r="W51" s="49">
        <f t="shared" ref="W51:W66" si="58">+U51-V51</f>
        <v>3348.3469999999988</v>
      </c>
      <c r="X51" s="33">
        <f t="shared" ref="X51:X65" si="59">IF(I51&lt;2250,I51*0.1,0)</f>
        <v>0</v>
      </c>
      <c r="Y51" s="33">
        <v>10.23</v>
      </c>
      <c r="Z51" s="33">
        <f t="shared" ref="Z51:Z65" si="60">+N51</f>
        <v>0</v>
      </c>
      <c r="AA51" s="49">
        <f t="shared" ref="AA51:AA65" si="61">+I51+X51+Y51+Z51</f>
        <v>8200.4599999999991</v>
      </c>
      <c r="AB51" s="56"/>
      <c r="AC51" s="56"/>
      <c r="AD51" s="50"/>
      <c r="AE51" s="36">
        <v>56708845237</v>
      </c>
      <c r="AF51" s="36"/>
      <c r="AG51" s="18" t="s">
        <v>173</v>
      </c>
    </row>
    <row r="52" spans="1:33" s="18" customFormat="1">
      <c r="A52" s="83" t="s">
        <v>28</v>
      </c>
      <c r="B52" s="34" t="s">
        <v>63</v>
      </c>
      <c r="C52" s="34" t="s">
        <v>76</v>
      </c>
      <c r="D52" s="34" t="s">
        <v>30</v>
      </c>
      <c r="E52" s="54">
        <v>42396</v>
      </c>
      <c r="F52" s="35">
        <v>10139.07</v>
      </c>
      <c r="G52" s="35"/>
      <c r="H52" s="35"/>
      <c r="I52" s="49">
        <f t="shared" si="3"/>
        <v>10139.07</v>
      </c>
      <c r="J52" s="35"/>
      <c r="K52" s="67">
        <v>1</v>
      </c>
      <c r="L52" s="35"/>
      <c r="M52" s="35">
        <v>0</v>
      </c>
      <c r="N52" s="68"/>
      <c r="O52" s="68"/>
      <c r="P52" s="35"/>
      <c r="Q52" s="33">
        <v>4843.25</v>
      </c>
      <c r="R52" s="33"/>
      <c r="S52" s="34"/>
      <c r="T52" s="34">
        <v>390.57</v>
      </c>
      <c r="U52" s="49">
        <f t="shared" si="56"/>
        <v>4904.25</v>
      </c>
      <c r="V52" s="33">
        <f t="shared" si="57"/>
        <v>1013.907</v>
      </c>
      <c r="W52" s="49">
        <f t="shared" si="58"/>
        <v>3890.3429999999998</v>
      </c>
      <c r="X52" s="33">
        <f t="shared" si="59"/>
        <v>0</v>
      </c>
      <c r="Y52" s="33">
        <v>10.23</v>
      </c>
      <c r="Z52" s="33">
        <f t="shared" si="60"/>
        <v>0</v>
      </c>
      <c r="AA52" s="49">
        <f t="shared" si="61"/>
        <v>10149.299999999999</v>
      </c>
      <c r="AB52" s="56"/>
      <c r="AC52" s="56"/>
      <c r="AD52" s="50">
        <f t="shared" ref="AD52:AD56" si="62">+AB52+AC52-W52</f>
        <v>-3890.3429999999998</v>
      </c>
      <c r="AE52" s="36">
        <v>56708881579</v>
      </c>
      <c r="AF52" s="36"/>
      <c r="AG52" s="18" t="s">
        <v>173</v>
      </c>
    </row>
    <row r="53" spans="1:33" s="18" customFormat="1">
      <c r="A53" s="83" t="s">
        <v>39</v>
      </c>
      <c r="B53" s="34" t="s">
        <v>71</v>
      </c>
      <c r="C53" s="34"/>
      <c r="D53" s="34" t="s">
        <v>45</v>
      </c>
      <c r="E53" s="54">
        <v>42321</v>
      </c>
      <c r="F53" s="70">
        <v>100</v>
      </c>
      <c r="G53" s="35"/>
      <c r="H53" s="35"/>
      <c r="I53" s="49">
        <f t="shared" si="3"/>
        <v>100</v>
      </c>
      <c r="J53" s="35"/>
      <c r="K53" s="67"/>
      <c r="L53" s="35"/>
      <c r="M53" s="35">
        <v>0</v>
      </c>
      <c r="N53" s="68"/>
      <c r="O53" s="68"/>
      <c r="P53" s="35"/>
      <c r="Q53" s="33"/>
      <c r="R53" s="33"/>
      <c r="S53" s="34"/>
      <c r="T53" s="34"/>
      <c r="U53" s="49">
        <f t="shared" si="56"/>
        <v>100</v>
      </c>
      <c r="V53" s="33">
        <f t="shared" si="57"/>
        <v>0</v>
      </c>
      <c r="W53" s="49">
        <f t="shared" si="58"/>
        <v>100</v>
      </c>
      <c r="X53" s="33">
        <f t="shared" si="59"/>
        <v>10</v>
      </c>
      <c r="Y53" s="33">
        <v>10.23</v>
      </c>
      <c r="Z53" s="33">
        <f t="shared" si="60"/>
        <v>0</v>
      </c>
      <c r="AA53" s="49">
        <f t="shared" si="61"/>
        <v>120.23</v>
      </c>
      <c r="AB53" s="56"/>
      <c r="AC53" s="57"/>
      <c r="AD53" s="50">
        <f t="shared" si="62"/>
        <v>-100</v>
      </c>
      <c r="AE53" s="36">
        <v>56708845240</v>
      </c>
      <c r="AF53" s="34"/>
      <c r="AG53" s="18" t="s">
        <v>173</v>
      </c>
    </row>
    <row r="54" spans="1:33" s="18" customFormat="1">
      <c r="A54" s="83" t="s">
        <v>39</v>
      </c>
      <c r="B54" s="34" t="s">
        <v>134</v>
      </c>
      <c r="C54" s="34"/>
      <c r="D54" s="34" t="s">
        <v>29</v>
      </c>
      <c r="E54" s="54">
        <v>42646</v>
      </c>
      <c r="F54" s="35">
        <v>2024.02</v>
      </c>
      <c r="G54" s="35"/>
      <c r="H54" s="35"/>
      <c r="I54" s="49">
        <f t="shared" si="3"/>
        <v>2024.02</v>
      </c>
      <c r="J54" s="35"/>
      <c r="K54" s="67"/>
      <c r="L54" s="35"/>
      <c r="M54" s="35">
        <v>0</v>
      </c>
      <c r="N54" s="68"/>
      <c r="O54" s="68"/>
      <c r="P54" s="35"/>
      <c r="Q54" s="33"/>
      <c r="R54" s="33"/>
      <c r="S54" s="34"/>
      <c r="T54" s="34"/>
      <c r="U54" s="49">
        <f t="shared" ref="U54" si="63">+I54-SUM(J54:T54)</f>
        <v>2024.02</v>
      </c>
      <c r="V54" s="33">
        <f t="shared" ref="V54" si="64">IF(I54&gt;2250,I54*0.1,0)</f>
        <v>0</v>
      </c>
      <c r="W54" s="49">
        <f t="shared" ref="W54" si="65">+U54-V54</f>
        <v>2024.02</v>
      </c>
      <c r="X54" s="33"/>
      <c r="Y54" s="33"/>
      <c r="Z54" s="33"/>
      <c r="AA54" s="49"/>
      <c r="AB54" s="56"/>
      <c r="AC54" s="57"/>
      <c r="AD54" s="50"/>
      <c r="AE54" s="36">
        <v>56708881582</v>
      </c>
      <c r="AF54" s="36" t="s">
        <v>200</v>
      </c>
      <c r="AG54" s="18" t="s">
        <v>173</v>
      </c>
    </row>
    <row r="55" spans="1:33" s="18" customFormat="1">
      <c r="A55" s="83" t="s">
        <v>39</v>
      </c>
      <c r="B55" s="34" t="s">
        <v>70</v>
      </c>
      <c r="C55" s="34"/>
      <c r="D55" s="34" t="s">
        <v>29</v>
      </c>
      <c r="E55" s="54">
        <v>42065</v>
      </c>
      <c r="F55" s="35">
        <v>1761.29</v>
      </c>
      <c r="G55" s="35"/>
      <c r="H55" s="35"/>
      <c r="I55" s="49">
        <f t="shared" si="3"/>
        <v>1761.29</v>
      </c>
      <c r="J55" s="35"/>
      <c r="K55" s="67"/>
      <c r="L55" s="35"/>
      <c r="M55" s="35">
        <v>0</v>
      </c>
      <c r="N55" s="68"/>
      <c r="O55" s="68"/>
      <c r="P55" s="35"/>
      <c r="Q55" s="33"/>
      <c r="R55" s="33"/>
      <c r="S55" s="34"/>
      <c r="T55" s="34"/>
      <c r="U55" s="49">
        <f t="shared" si="56"/>
        <v>1761.29</v>
      </c>
      <c r="V55" s="33">
        <f t="shared" si="57"/>
        <v>0</v>
      </c>
      <c r="W55" s="49">
        <f t="shared" si="58"/>
        <v>1761.29</v>
      </c>
      <c r="X55" s="33">
        <f t="shared" si="59"/>
        <v>176.12900000000002</v>
      </c>
      <c r="Y55" s="33">
        <v>10.23</v>
      </c>
      <c r="Z55" s="33">
        <f t="shared" si="60"/>
        <v>0</v>
      </c>
      <c r="AA55" s="49">
        <f t="shared" si="61"/>
        <v>1947.6489999999999</v>
      </c>
      <c r="AB55" s="56"/>
      <c r="AC55" s="57"/>
      <c r="AD55" s="50">
        <f t="shared" si="62"/>
        <v>-1761.29</v>
      </c>
      <c r="AE55" s="36">
        <v>56708845254</v>
      </c>
      <c r="AF55" s="36"/>
      <c r="AG55" s="18" t="s">
        <v>173</v>
      </c>
    </row>
    <row r="56" spans="1:33" s="18" customFormat="1">
      <c r="A56" s="83" t="s">
        <v>28</v>
      </c>
      <c r="B56" s="34" t="s">
        <v>38</v>
      </c>
      <c r="C56" s="34" t="s">
        <v>74</v>
      </c>
      <c r="D56" s="34" t="s">
        <v>30</v>
      </c>
      <c r="E56" s="54">
        <v>41218</v>
      </c>
      <c r="F56" s="35">
        <v>10106.08</v>
      </c>
      <c r="G56" s="35"/>
      <c r="H56" s="35"/>
      <c r="I56" s="49">
        <f t="shared" si="3"/>
        <v>10106.08</v>
      </c>
      <c r="J56" s="35"/>
      <c r="K56" s="67"/>
      <c r="L56" s="35"/>
      <c r="M56" s="35">
        <v>0</v>
      </c>
      <c r="N56" s="68"/>
      <c r="O56" s="68"/>
      <c r="P56" s="35"/>
      <c r="Q56" s="33">
        <v>4449.72</v>
      </c>
      <c r="R56" s="33"/>
      <c r="S56" s="34"/>
      <c r="T56" s="34"/>
      <c r="U56" s="49">
        <f t="shared" si="56"/>
        <v>5656.36</v>
      </c>
      <c r="V56" s="33">
        <f t="shared" si="57"/>
        <v>1010.6080000000001</v>
      </c>
      <c r="W56" s="49">
        <f t="shared" si="58"/>
        <v>4645.7519999999995</v>
      </c>
      <c r="X56" s="33">
        <f t="shared" si="59"/>
        <v>0</v>
      </c>
      <c r="Y56" s="33">
        <v>10.23</v>
      </c>
      <c r="Z56" s="33">
        <f t="shared" si="60"/>
        <v>0</v>
      </c>
      <c r="AA56" s="49">
        <f t="shared" si="61"/>
        <v>10116.31</v>
      </c>
      <c r="AB56" s="56"/>
      <c r="AC56" s="57"/>
      <c r="AD56" s="50">
        <f t="shared" si="62"/>
        <v>-4645.7519999999995</v>
      </c>
      <c r="AE56" s="36">
        <v>56708881596</v>
      </c>
      <c r="AF56" s="34"/>
      <c r="AG56" s="18" t="s">
        <v>173</v>
      </c>
    </row>
    <row r="57" spans="1:33" s="18" customFormat="1">
      <c r="A57" s="83" t="s">
        <v>26</v>
      </c>
      <c r="B57" s="34" t="s">
        <v>132</v>
      </c>
      <c r="C57" s="34"/>
      <c r="D57" s="34" t="s">
        <v>130</v>
      </c>
      <c r="E57" s="54">
        <v>42241</v>
      </c>
      <c r="F57" s="35"/>
      <c r="G57" s="35"/>
      <c r="H57" s="35"/>
      <c r="I57" s="49">
        <f t="shared" si="3"/>
        <v>0</v>
      </c>
      <c r="J57" s="35"/>
      <c r="K57" s="67"/>
      <c r="L57" s="35"/>
      <c r="M57" s="35"/>
      <c r="N57" s="68"/>
      <c r="O57" s="68"/>
      <c r="P57" s="35"/>
      <c r="Q57" s="33"/>
      <c r="R57" s="33"/>
      <c r="S57" s="34"/>
      <c r="T57" s="34"/>
      <c r="U57" s="49">
        <f t="shared" ref="U57" si="66">+I57-SUM(J57:T57)</f>
        <v>0</v>
      </c>
      <c r="V57" s="33">
        <f t="shared" ref="V57" si="67">IF(I57&gt;2250,I57*0.1,0)</f>
        <v>0</v>
      </c>
      <c r="W57" s="49">
        <f t="shared" ref="W57" si="68">+U57-V57</f>
        <v>0</v>
      </c>
      <c r="X57" s="33">
        <f t="shared" si="59"/>
        <v>0</v>
      </c>
      <c r="Y57" s="33"/>
      <c r="Z57" s="33"/>
      <c r="AA57" s="49"/>
      <c r="AB57" s="56"/>
      <c r="AC57" s="57"/>
      <c r="AD57" s="50"/>
      <c r="AE57" s="36">
        <v>56708845268</v>
      </c>
      <c r="AF57" s="36"/>
      <c r="AG57" s="18" t="s">
        <v>173</v>
      </c>
    </row>
    <row r="58" spans="1:33" s="18" customFormat="1">
      <c r="A58" s="83" t="s">
        <v>41</v>
      </c>
      <c r="B58" s="34" t="s">
        <v>95</v>
      </c>
      <c r="C58" s="34"/>
      <c r="D58" s="34" t="s">
        <v>45</v>
      </c>
      <c r="E58" s="54">
        <v>42333</v>
      </c>
      <c r="F58" s="70">
        <v>400</v>
      </c>
      <c r="G58" s="35"/>
      <c r="H58" s="35"/>
      <c r="I58" s="49">
        <f t="shared" si="3"/>
        <v>400</v>
      </c>
      <c r="J58" s="35"/>
      <c r="K58" s="67"/>
      <c r="L58" s="35"/>
      <c r="M58" s="35">
        <v>0</v>
      </c>
      <c r="N58" s="68"/>
      <c r="O58" s="68"/>
      <c r="P58" s="35"/>
      <c r="Q58" s="33"/>
      <c r="R58" s="33"/>
      <c r="S58" s="34"/>
      <c r="T58" s="34">
        <v>355.52</v>
      </c>
      <c r="U58" s="49">
        <f t="shared" si="56"/>
        <v>44.480000000000018</v>
      </c>
      <c r="V58" s="33">
        <f t="shared" ref="V58:V66" si="69">IF(I58&gt;2250,I58*0.1,0)</f>
        <v>0</v>
      </c>
      <c r="W58" s="49">
        <f t="shared" si="58"/>
        <v>44.480000000000018</v>
      </c>
      <c r="X58" s="33">
        <f t="shared" si="59"/>
        <v>40</v>
      </c>
      <c r="Y58" s="33">
        <v>10.23</v>
      </c>
      <c r="Z58" s="33">
        <f t="shared" si="60"/>
        <v>0</v>
      </c>
      <c r="AA58" s="49">
        <f t="shared" si="61"/>
        <v>450.23</v>
      </c>
      <c r="AB58" s="56"/>
      <c r="AC58" s="57"/>
      <c r="AD58" s="50">
        <f>+AB58+AC58-W58</f>
        <v>-44.480000000000018</v>
      </c>
      <c r="AE58" s="36">
        <v>60589939521</v>
      </c>
      <c r="AF58" s="34"/>
      <c r="AG58" s="18" t="s">
        <v>173</v>
      </c>
    </row>
    <row r="59" spans="1:33" s="18" customFormat="1">
      <c r="A59" s="83" t="s">
        <v>28</v>
      </c>
      <c r="B59" s="34" t="s">
        <v>120</v>
      </c>
      <c r="C59" s="34"/>
      <c r="D59" s="34" t="s">
        <v>30</v>
      </c>
      <c r="E59" s="54">
        <v>42459</v>
      </c>
      <c r="F59" s="35">
        <v>34597.599999999999</v>
      </c>
      <c r="G59" s="35"/>
      <c r="H59" s="35"/>
      <c r="I59" s="49">
        <f t="shared" si="3"/>
        <v>34597.599999999999</v>
      </c>
      <c r="J59" s="35"/>
      <c r="K59" s="67"/>
      <c r="L59" s="35"/>
      <c r="M59" s="35">
        <v>0</v>
      </c>
      <c r="N59" s="68"/>
      <c r="O59" s="68"/>
      <c r="P59" s="35"/>
      <c r="Q59" s="33"/>
      <c r="R59" s="33"/>
      <c r="S59" s="34"/>
      <c r="T59" s="34"/>
      <c r="U59" s="49">
        <f t="shared" si="56"/>
        <v>34597.599999999999</v>
      </c>
      <c r="V59" s="33">
        <f t="shared" si="69"/>
        <v>3459.76</v>
      </c>
      <c r="W59" s="49">
        <f t="shared" si="58"/>
        <v>31137.839999999997</v>
      </c>
      <c r="X59" s="33">
        <f t="shared" si="59"/>
        <v>0</v>
      </c>
      <c r="Y59" s="33">
        <v>10.23</v>
      </c>
      <c r="Z59" s="33">
        <f t="shared" si="60"/>
        <v>0</v>
      </c>
      <c r="AA59" s="49">
        <f t="shared" si="61"/>
        <v>34607.83</v>
      </c>
      <c r="AB59" s="62"/>
      <c r="AC59" s="57"/>
      <c r="AD59" s="50">
        <f>+AB59+AC59-W59</f>
        <v>-31137.839999999997</v>
      </c>
      <c r="AE59" s="36">
        <v>60589627948</v>
      </c>
      <c r="AF59" s="36"/>
      <c r="AG59" s="18" t="s">
        <v>173</v>
      </c>
    </row>
    <row r="60" spans="1:33" s="18" customFormat="1">
      <c r="A60" s="83" t="s">
        <v>26</v>
      </c>
      <c r="B60" s="34" t="s">
        <v>188</v>
      </c>
      <c r="C60" s="34"/>
      <c r="D60" s="34" t="s">
        <v>29</v>
      </c>
      <c r="E60" s="54">
        <v>42849</v>
      </c>
      <c r="F60" s="35">
        <v>296.57</v>
      </c>
      <c r="G60" s="35"/>
      <c r="H60" s="35"/>
      <c r="I60" s="49">
        <f t="shared" si="3"/>
        <v>296.57</v>
      </c>
      <c r="J60" s="35"/>
      <c r="K60" s="67"/>
      <c r="L60" s="35"/>
      <c r="M60" s="35"/>
      <c r="N60" s="68"/>
      <c r="O60" s="68"/>
      <c r="P60" s="35"/>
      <c r="Q60" s="33"/>
      <c r="R60" s="33"/>
      <c r="S60" s="34"/>
      <c r="T60" s="34"/>
      <c r="U60" s="49">
        <f t="shared" si="56"/>
        <v>296.57</v>
      </c>
      <c r="V60" s="33"/>
      <c r="W60" s="49"/>
      <c r="X60" s="33"/>
      <c r="Y60" s="33"/>
      <c r="Z60" s="33"/>
      <c r="AA60" s="49"/>
      <c r="AB60" s="62"/>
      <c r="AC60" s="57"/>
      <c r="AD60" s="50"/>
      <c r="AE60" s="36">
        <v>60590412629</v>
      </c>
      <c r="AF60" s="36"/>
      <c r="AG60" s="18" t="s">
        <v>173</v>
      </c>
    </row>
    <row r="61" spans="1:33" s="18" customFormat="1">
      <c r="A61" s="83" t="s">
        <v>26</v>
      </c>
      <c r="B61" s="34" t="s">
        <v>117</v>
      </c>
      <c r="C61" s="34"/>
      <c r="D61" s="34" t="s">
        <v>44</v>
      </c>
      <c r="E61" s="54">
        <v>42566</v>
      </c>
      <c r="F61" s="35">
        <v>1830</v>
      </c>
      <c r="G61" s="35"/>
      <c r="H61" s="35"/>
      <c r="I61" s="49">
        <f t="shared" si="3"/>
        <v>1830</v>
      </c>
      <c r="J61" s="35"/>
      <c r="K61" s="67"/>
      <c r="L61" s="35">
        <v>43.9</v>
      </c>
      <c r="M61" s="35"/>
      <c r="N61" s="68"/>
      <c r="O61" s="68"/>
      <c r="P61" s="35"/>
      <c r="Q61" s="33"/>
      <c r="R61" s="33"/>
      <c r="S61" s="34"/>
      <c r="T61" s="34"/>
      <c r="U61" s="49">
        <f t="shared" si="56"/>
        <v>1786.1</v>
      </c>
      <c r="V61" s="33">
        <f t="shared" si="69"/>
        <v>0</v>
      </c>
      <c r="W61" s="49">
        <f t="shared" si="58"/>
        <v>1786.1</v>
      </c>
      <c r="X61" s="33">
        <f t="shared" si="59"/>
        <v>183</v>
      </c>
      <c r="Y61" s="33">
        <v>21.23</v>
      </c>
      <c r="Z61" s="33">
        <f t="shared" si="60"/>
        <v>0</v>
      </c>
      <c r="AA61" s="49">
        <f t="shared" si="61"/>
        <v>2034.23</v>
      </c>
      <c r="AB61" s="62"/>
      <c r="AC61" s="57"/>
      <c r="AD61" s="50"/>
      <c r="AE61" s="36"/>
      <c r="AF61" s="36"/>
    </row>
    <row r="62" spans="1:33" s="18" customFormat="1">
      <c r="A62" s="83" t="s">
        <v>28</v>
      </c>
      <c r="B62" s="34" t="s">
        <v>97</v>
      </c>
      <c r="C62" s="34" t="s">
        <v>76</v>
      </c>
      <c r="D62" s="34" t="s">
        <v>30</v>
      </c>
      <c r="E62" s="54">
        <v>42327</v>
      </c>
      <c r="F62" s="35">
        <v>7203.83</v>
      </c>
      <c r="G62" s="35"/>
      <c r="H62" s="35"/>
      <c r="I62" s="49">
        <f t="shared" si="3"/>
        <v>7203.83</v>
      </c>
      <c r="J62" s="35"/>
      <c r="K62" s="67"/>
      <c r="L62" s="35"/>
      <c r="M62" s="35">
        <v>0</v>
      </c>
      <c r="N62" s="68"/>
      <c r="O62" s="68"/>
      <c r="P62" s="35"/>
      <c r="Q62" s="33"/>
      <c r="R62" s="33"/>
      <c r="S62" s="34"/>
      <c r="T62" s="65">
        <v>505.56</v>
      </c>
      <c r="U62" s="49">
        <f t="shared" si="56"/>
        <v>6698.2699999999995</v>
      </c>
      <c r="V62" s="33">
        <f t="shared" si="69"/>
        <v>720.38300000000004</v>
      </c>
      <c r="W62" s="49">
        <f t="shared" si="58"/>
        <v>5977.8869999999997</v>
      </c>
      <c r="X62" s="33">
        <f t="shared" si="59"/>
        <v>0</v>
      </c>
      <c r="Y62" s="33">
        <v>10.23</v>
      </c>
      <c r="Z62" s="33">
        <f t="shared" si="60"/>
        <v>0</v>
      </c>
      <c r="AA62" s="49">
        <f t="shared" si="61"/>
        <v>7214.0599999999995</v>
      </c>
      <c r="AB62" s="56"/>
      <c r="AC62" s="57"/>
      <c r="AD62" s="50">
        <f t="shared" ref="AD62:AD65" si="70">+AB62+AC62-W62</f>
        <v>-5977.8869999999997</v>
      </c>
      <c r="AE62" s="36">
        <v>56708881807</v>
      </c>
      <c r="AF62" s="36"/>
      <c r="AG62" s="18" t="s">
        <v>173</v>
      </c>
    </row>
    <row r="63" spans="1:33" s="18" customFormat="1">
      <c r="A63" s="83" t="s">
        <v>27</v>
      </c>
      <c r="B63" s="34" t="s">
        <v>86</v>
      </c>
      <c r="C63" s="34" t="s">
        <v>77</v>
      </c>
      <c r="D63" s="34" t="s">
        <v>94</v>
      </c>
      <c r="E63" s="54">
        <v>42173</v>
      </c>
      <c r="F63" s="35">
        <v>2064.0500000000002</v>
      </c>
      <c r="G63" s="35"/>
      <c r="H63" s="35"/>
      <c r="I63" s="49">
        <f t="shared" si="3"/>
        <v>2064.0500000000002</v>
      </c>
      <c r="J63" s="35"/>
      <c r="K63" s="67"/>
      <c r="L63" s="35"/>
      <c r="M63" s="35">
        <v>0</v>
      </c>
      <c r="N63" s="68"/>
      <c r="O63" s="68"/>
      <c r="P63" s="35"/>
      <c r="Q63" s="33"/>
      <c r="R63" s="33"/>
      <c r="S63" s="34"/>
      <c r="T63" s="34"/>
      <c r="U63" s="49">
        <f t="shared" si="56"/>
        <v>2064.0500000000002</v>
      </c>
      <c r="V63" s="33">
        <f t="shared" si="69"/>
        <v>0</v>
      </c>
      <c r="W63" s="49">
        <f t="shared" si="58"/>
        <v>2064.0500000000002</v>
      </c>
      <c r="X63" s="33">
        <f t="shared" si="59"/>
        <v>206.40500000000003</v>
      </c>
      <c r="Y63" s="33">
        <v>10.23</v>
      </c>
      <c r="Z63" s="33">
        <f t="shared" si="60"/>
        <v>0</v>
      </c>
      <c r="AA63" s="49">
        <f t="shared" si="61"/>
        <v>2280.6850000000004</v>
      </c>
      <c r="AB63" s="62"/>
      <c r="AC63" s="63"/>
      <c r="AD63" s="50">
        <f t="shared" si="70"/>
        <v>-2064.0500000000002</v>
      </c>
      <c r="AE63" s="36">
        <v>56708881810</v>
      </c>
      <c r="AF63" s="36" t="s">
        <v>201</v>
      </c>
      <c r="AG63" s="18" t="s">
        <v>173</v>
      </c>
    </row>
    <row r="64" spans="1:33" s="18" customFormat="1">
      <c r="A64" s="83" t="s">
        <v>28</v>
      </c>
      <c r="B64" s="34" t="s">
        <v>184</v>
      </c>
      <c r="C64" s="34"/>
      <c r="D64" s="34" t="s">
        <v>30</v>
      </c>
      <c r="E64" s="54">
        <v>42842</v>
      </c>
      <c r="F64" s="35">
        <v>7407.05</v>
      </c>
      <c r="G64" s="35"/>
      <c r="H64" s="35"/>
      <c r="I64" s="49">
        <f t="shared" si="3"/>
        <v>7407.05</v>
      </c>
      <c r="J64" s="35"/>
      <c r="K64" s="67"/>
      <c r="L64" s="35"/>
      <c r="M64" s="35"/>
      <c r="N64" s="68"/>
      <c r="O64" s="68"/>
      <c r="P64" s="35"/>
      <c r="Q64" s="33"/>
      <c r="R64" s="33"/>
      <c r="S64" s="34"/>
      <c r="T64" s="34"/>
      <c r="U64" s="49"/>
      <c r="V64" s="33"/>
      <c r="W64" s="49"/>
      <c r="X64" s="33"/>
      <c r="Y64" s="33"/>
      <c r="Z64" s="33"/>
      <c r="AA64" s="49"/>
      <c r="AB64" s="62"/>
      <c r="AC64" s="63"/>
      <c r="AD64" s="50"/>
      <c r="AE64" s="36">
        <v>60590199370</v>
      </c>
      <c r="AF64" s="36"/>
      <c r="AG64" s="18" t="s">
        <v>173</v>
      </c>
    </row>
    <row r="65" spans="1:186" s="18" customFormat="1">
      <c r="A65" s="83" t="s">
        <v>28</v>
      </c>
      <c r="B65" s="34" t="s">
        <v>109</v>
      </c>
      <c r="C65" s="34" t="s">
        <v>74</v>
      </c>
      <c r="D65" s="34" t="s">
        <v>30</v>
      </c>
      <c r="E65" s="54">
        <v>42506</v>
      </c>
      <c r="F65" s="35">
        <v>7659.38</v>
      </c>
      <c r="G65" s="35"/>
      <c r="H65" s="35"/>
      <c r="I65" s="49">
        <f t="shared" si="3"/>
        <v>7659.38</v>
      </c>
      <c r="J65" s="35"/>
      <c r="K65" s="67"/>
      <c r="L65" s="35"/>
      <c r="M65" s="35">
        <v>0</v>
      </c>
      <c r="N65" s="68"/>
      <c r="O65" s="68"/>
      <c r="P65" s="35"/>
      <c r="Q65" s="33">
        <v>205</v>
      </c>
      <c r="R65" s="33"/>
      <c r="S65" s="34"/>
      <c r="T65" s="65">
        <v>208.65</v>
      </c>
      <c r="U65" s="49">
        <f t="shared" si="56"/>
        <v>7245.7300000000005</v>
      </c>
      <c r="V65" s="33">
        <f t="shared" si="69"/>
        <v>765.9380000000001</v>
      </c>
      <c r="W65" s="49">
        <f t="shared" si="58"/>
        <v>6479.7920000000004</v>
      </c>
      <c r="X65" s="33">
        <f t="shared" si="59"/>
        <v>0</v>
      </c>
      <c r="Y65" s="33">
        <v>10.23</v>
      </c>
      <c r="Z65" s="33">
        <f t="shared" si="60"/>
        <v>0</v>
      </c>
      <c r="AA65" s="49">
        <f t="shared" si="61"/>
        <v>7669.61</v>
      </c>
      <c r="AB65" s="62"/>
      <c r="AC65" s="62"/>
      <c r="AD65" s="50">
        <f t="shared" si="70"/>
        <v>-6479.7920000000004</v>
      </c>
      <c r="AE65" s="82">
        <v>1179675078</v>
      </c>
      <c r="AF65" s="36"/>
      <c r="AG65" s="18" t="s">
        <v>175</v>
      </c>
      <c r="AH65" s="18" t="s">
        <v>187</v>
      </c>
    </row>
    <row r="66" spans="1:186" s="18" customFormat="1">
      <c r="A66" s="83" t="s">
        <v>26</v>
      </c>
      <c r="B66" s="34" t="s">
        <v>161</v>
      </c>
      <c r="C66" s="34"/>
      <c r="D66" s="34" t="s">
        <v>44</v>
      </c>
      <c r="E66" s="54">
        <v>42597</v>
      </c>
      <c r="F66" s="35">
        <v>2430</v>
      </c>
      <c r="G66" s="35"/>
      <c r="H66" s="35"/>
      <c r="I66" s="49">
        <f t="shared" si="3"/>
        <v>2430</v>
      </c>
      <c r="J66" s="35"/>
      <c r="K66" s="67"/>
      <c r="L66" s="35"/>
      <c r="M66" s="35"/>
      <c r="N66" s="68"/>
      <c r="O66" s="68"/>
      <c r="P66" s="35"/>
      <c r="Q66" s="33"/>
      <c r="R66" s="33"/>
      <c r="S66" s="34"/>
      <c r="T66" s="65"/>
      <c r="U66" s="49">
        <f t="shared" si="56"/>
        <v>2430</v>
      </c>
      <c r="V66" s="33">
        <f t="shared" si="69"/>
        <v>243</v>
      </c>
      <c r="W66" s="49">
        <f t="shared" si="58"/>
        <v>2187</v>
      </c>
      <c r="X66" s="33"/>
      <c r="Y66" s="33"/>
      <c r="Z66" s="33"/>
      <c r="AA66" s="49"/>
      <c r="AB66" s="62"/>
      <c r="AC66" s="62"/>
      <c r="AD66" s="50"/>
      <c r="AE66" s="36">
        <v>56708881838</v>
      </c>
      <c r="AF66" s="36"/>
      <c r="AG66" s="18" t="s">
        <v>173</v>
      </c>
    </row>
    <row r="67" spans="1:186" s="18" customFormat="1">
      <c r="A67" s="83" t="s">
        <v>39</v>
      </c>
      <c r="B67" s="34" t="s">
        <v>144</v>
      </c>
      <c r="C67" s="34"/>
      <c r="D67" s="34" t="s">
        <v>29</v>
      </c>
      <c r="E67" s="54">
        <v>42696</v>
      </c>
      <c r="F67" s="35">
        <v>2330.77</v>
      </c>
      <c r="G67" s="35"/>
      <c r="H67" s="35"/>
      <c r="I67" s="49">
        <f t="shared" si="3"/>
        <v>2330.77</v>
      </c>
      <c r="J67" s="35"/>
      <c r="K67" s="67">
        <v>1</v>
      </c>
      <c r="L67" s="35"/>
      <c r="M67" s="35"/>
      <c r="N67" s="68"/>
      <c r="O67" s="68"/>
      <c r="P67" s="35"/>
      <c r="Q67" s="33"/>
      <c r="R67" s="33"/>
      <c r="S67" s="34"/>
      <c r="T67" s="65"/>
      <c r="U67" s="49">
        <f t="shared" ref="U67" si="71">+I67-SUM(J67:T67)</f>
        <v>2329.77</v>
      </c>
      <c r="V67" s="33">
        <f t="shared" ref="V67" si="72">IF(I67&gt;2250,I67*0.1,0)</f>
        <v>233.077</v>
      </c>
      <c r="W67" s="49">
        <f t="shared" ref="W67" si="73">+U67-V67</f>
        <v>2096.6930000000002</v>
      </c>
      <c r="X67" s="33"/>
      <c r="Y67" s="33"/>
      <c r="Z67" s="33"/>
      <c r="AA67" s="49"/>
      <c r="AB67" s="62"/>
      <c r="AC67" s="62"/>
      <c r="AD67" s="50"/>
      <c r="AE67" s="36">
        <v>56710784605</v>
      </c>
      <c r="AF67" s="36"/>
      <c r="AG67" s="18" t="s">
        <v>173</v>
      </c>
    </row>
    <row r="68" spans="1:186" s="18" customFormat="1">
      <c r="A68" s="83" t="s">
        <v>28</v>
      </c>
      <c r="B68" s="34" t="s">
        <v>146</v>
      </c>
      <c r="C68" s="34"/>
      <c r="D68" s="34" t="s">
        <v>30</v>
      </c>
      <c r="E68" s="54">
        <v>42632</v>
      </c>
      <c r="F68" s="35">
        <v>6351.48</v>
      </c>
      <c r="G68" s="35"/>
      <c r="H68" s="35"/>
      <c r="I68" s="49">
        <f t="shared" si="3"/>
        <v>6351.48</v>
      </c>
      <c r="J68" s="35"/>
      <c r="K68" s="67"/>
      <c r="L68" s="35"/>
      <c r="M68" s="35"/>
      <c r="N68" s="68"/>
      <c r="O68" s="68"/>
      <c r="P68" s="35"/>
      <c r="Q68" s="33">
        <f>2006.24+1018.73</f>
        <v>3024.9700000000003</v>
      </c>
      <c r="R68" s="33"/>
      <c r="S68" s="34"/>
      <c r="T68" s="65"/>
      <c r="U68" s="49">
        <f t="shared" ref="U68:U69" si="74">+I68-SUM(J68:T68)</f>
        <v>3326.5099999999993</v>
      </c>
      <c r="V68" s="33">
        <f t="shared" ref="V68" si="75">IF(I68&gt;2250,I68*0.1,0)</f>
        <v>635.14800000000002</v>
      </c>
      <c r="W68" s="49">
        <f t="shared" ref="W68" si="76">+U68-V68</f>
        <v>2691.3619999999992</v>
      </c>
      <c r="X68" s="33"/>
      <c r="Y68" s="33"/>
      <c r="Z68" s="33"/>
      <c r="AA68" s="49"/>
      <c r="AB68" s="62"/>
      <c r="AC68" s="62"/>
      <c r="AD68" s="50"/>
      <c r="AE68" s="36">
        <v>60589620126</v>
      </c>
      <c r="AF68" s="36"/>
      <c r="AG68" s="18" t="s">
        <v>173</v>
      </c>
    </row>
    <row r="69" spans="1:186" s="18" customFormat="1">
      <c r="A69" s="83" t="s">
        <v>27</v>
      </c>
      <c r="B69" s="34" t="s">
        <v>189</v>
      </c>
      <c r="C69" s="34"/>
      <c r="D69" s="34" t="s">
        <v>30</v>
      </c>
      <c r="E69" s="54">
        <v>42748</v>
      </c>
      <c r="F69" s="35"/>
      <c r="G69" s="35"/>
      <c r="H69" s="35"/>
      <c r="I69" s="49">
        <f t="shared" si="3"/>
        <v>0</v>
      </c>
      <c r="J69" s="35"/>
      <c r="K69" s="67"/>
      <c r="L69" s="35"/>
      <c r="M69" s="35"/>
      <c r="N69" s="68"/>
      <c r="O69" s="68"/>
      <c r="P69" s="35"/>
      <c r="Q69" s="33"/>
      <c r="R69" s="33"/>
      <c r="S69" s="34"/>
      <c r="T69" s="65"/>
      <c r="U69" s="49">
        <f t="shared" si="74"/>
        <v>0</v>
      </c>
      <c r="V69" s="33"/>
      <c r="W69" s="49"/>
      <c r="X69" s="33"/>
      <c r="Y69" s="33"/>
      <c r="Z69" s="33"/>
      <c r="AA69" s="49"/>
      <c r="AB69" s="62"/>
      <c r="AC69" s="62"/>
      <c r="AD69" s="50"/>
      <c r="AE69" s="36">
        <v>60589566067</v>
      </c>
      <c r="AF69" s="36"/>
      <c r="AG69" s="18" t="s">
        <v>173</v>
      </c>
    </row>
    <row r="70" spans="1:186" s="18" customFormat="1">
      <c r="A70" s="25"/>
      <c r="B70" s="26"/>
      <c r="C70" s="26"/>
      <c r="D70" s="26"/>
      <c r="E70" s="26"/>
      <c r="F70" s="27"/>
      <c r="G70" s="27"/>
      <c r="H70" s="27"/>
      <c r="I70" s="28"/>
      <c r="J70" s="27"/>
      <c r="K70" s="27"/>
      <c r="L70" s="27"/>
      <c r="M70" s="27"/>
      <c r="N70" s="27"/>
      <c r="O70" s="27"/>
      <c r="P70" s="27"/>
      <c r="Q70" s="37"/>
      <c r="R70" s="37"/>
      <c r="S70" s="37"/>
      <c r="T70" s="37"/>
      <c r="U70" s="28"/>
      <c r="V70" s="37"/>
      <c r="W70" s="28"/>
      <c r="X70" s="37"/>
      <c r="Y70" s="37"/>
      <c r="Z70" s="37"/>
      <c r="AA70" s="28"/>
      <c r="AB70" s="46"/>
      <c r="AC70" s="46"/>
      <c r="AD70" s="23"/>
    </row>
    <row r="71" spans="1:186">
      <c r="B71" s="38" t="s">
        <v>1</v>
      </c>
      <c r="C71" s="38"/>
      <c r="D71" s="38"/>
      <c r="E71" s="38"/>
      <c r="F71" s="39">
        <f>SUM(F7:F70)</f>
        <v>307388.08</v>
      </c>
      <c r="G71" s="39">
        <f t="shared" ref="G71:J71" si="77">SUM(G8:G70)</f>
        <v>679.3</v>
      </c>
      <c r="H71" s="39">
        <f t="shared" si="77"/>
        <v>0</v>
      </c>
      <c r="I71" s="39">
        <f t="shared" si="77"/>
        <v>304136.71000000002</v>
      </c>
      <c r="J71" s="39">
        <f t="shared" si="77"/>
        <v>1568.37</v>
      </c>
      <c r="K71" s="39"/>
      <c r="L71" s="39">
        <f>SUM(L8:L70)</f>
        <v>90.949999999999989</v>
      </c>
      <c r="M71" s="40">
        <f t="shared" ref="M71:AD71" si="78">SUM(M8:M70)</f>
        <v>1300</v>
      </c>
      <c r="N71" s="40">
        <f t="shared" si="78"/>
        <v>0</v>
      </c>
      <c r="O71" s="40">
        <f t="shared" si="78"/>
        <v>0</v>
      </c>
      <c r="P71" s="40">
        <f t="shared" si="78"/>
        <v>0</v>
      </c>
      <c r="Q71" s="39">
        <f>SUM(Q8:Q70)</f>
        <v>17374.77</v>
      </c>
      <c r="R71" s="39">
        <f t="shared" si="78"/>
        <v>0.3</v>
      </c>
      <c r="S71" s="39">
        <f t="shared" si="78"/>
        <v>0</v>
      </c>
      <c r="T71" s="39">
        <f>SUM(T8:T70)</f>
        <v>6684.71</v>
      </c>
      <c r="U71" s="39">
        <f t="shared" si="78"/>
        <v>268571.56000000006</v>
      </c>
      <c r="V71" s="39">
        <f t="shared" si="78"/>
        <v>27320.174000000003</v>
      </c>
      <c r="W71" s="39">
        <f t="shared" si="78"/>
        <v>235251.36599999998</v>
      </c>
      <c r="X71" s="39">
        <f t="shared" si="78"/>
        <v>1081.7850000000001</v>
      </c>
      <c r="Y71" s="39">
        <f t="shared" si="78"/>
        <v>413.05000000000018</v>
      </c>
      <c r="Z71" s="39">
        <f t="shared" si="78"/>
        <v>0</v>
      </c>
      <c r="AA71" s="39">
        <f t="shared" si="78"/>
        <v>242629.29499999995</v>
      </c>
      <c r="AB71" s="47">
        <f t="shared" si="78"/>
        <v>0</v>
      </c>
      <c r="AC71" s="47">
        <f t="shared" si="78"/>
        <v>0</v>
      </c>
      <c r="AD71" s="41">
        <f t="shared" si="78"/>
        <v>-158027.48799999992</v>
      </c>
      <c r="AE71" s="29"/>
      <c r="AF71" s="29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</row>
    <row r="72" spans="1:186">
      <c r="AA72" s="14">
        <f>AA71*0.16</f>
        <v>38820.687199999993</v>
      </c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</row>
    <row r="73" spans="1:186">
      <c r="A73" s="108" t="s">
        <v>89</v>
      </c>
      <c r="B73" s="108"/>
      <c r="C73" s="42"/>
      <c r="D73" s="29"/>
      <c r="E73" s="29"/>
      <c r="F73" s="31"/>
      <c r="G73" s="31"/>
      <c r="H73" s="31"/>
      <c r="I73" s="39"/>
      <c r="J73" s="31"/>
      <c r="K73" s="31"/>
      <c r="L73" s="31"/>
      <c r="M73" s="35"/>
      <c r="N73" s="35"/>
      <c r="O73" s="35"/>
      <c r="P73" s="35"/>
      <c r="Q73" s="31"/>
      <c r="R73" s="31"/>
      <c r="S73" s="31"/>
      <c r="T73" s="31"/>
      <c r="U73" s="39"/>
      <c r="V73" s="31"/>
      <c r="W73" s="39"/>
      <c r="X73" s="31"/>
      <c r="Y73" s="31"/>
      <c r="Z73" s="31"/>
      <c r="AA73" s="39">
        <f>+AA71+AA72</f>
        <v>281449.98219999997</v>
      </c>
      <c r="AB73" s="47"/>
      <c r="AC73" s="47"/>
      <c r="AD73" s="41"/>
      <c r="AE73" s="29"/>
      <c r="AF73" s="29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</row>
    <row r="74" spans="1:186">
      <c r="A74" s="34" t="s">
        <v>42</v>
      </c>
      <c r="B74" s="34" t="s">
        <v>90</v>
      </c>
      <c r="C74" s="30"/>
      <c r="D74" s="30" t="s">
        <v>126</v>
      </c>
      <c r="E74" s="55">
        <v>41142</v>
      </c>
      <c r="F74" s="35">
        <f>2256.639+5.571+280.93</f>
        <v>2543.14</v>
      </c>
      <c r="G74" s="32"/>
      <c r="H74" s="32"/>
      <c r="I74" s="49">
        <f>SUM(F74:H74)</f>
        <v>2543.14</v>
      </c>
      <c r="J74" s="35">
        <v>134.66999999999999</v>
      </c>
      <c r="K74" s="67"/>
      <c r="L74" s="35"/>
      <c r="M74" s="35"/>
      <c r="N74" s="68" t="s">
        <v>204</v>
      </c>
      <c r="O74" s="68" t="s">
        <v>204</v>
      </c>
      <c r="P74" s="35"/>
      <c r="Q74" s="33"/>
      <c r="R74" s="33"/>
      <c r="S74" s="34"/>
      <c r="T74" s="34"/>
      <c r="U74" s="49">
        <f>+I74-SUM(J74:T74)</f>
        <v>2408.4699999999998</v>
      </c>
      <c r="V74" s="33">
        <f>+U74*0.05</f>
        <v>120.42349999999999</v>
      </c>
      <c r="W74" s="49">
        <f>+U74-Q74-T74</f>
        <v>2408.4699999999998</v>
      </c>
      <c r="X74" s="61">
        <f>IF(U74&lt;3000,U74*0.1,0)</f>
        <v>240.84699999999998</v>
      </c>
      <c r="Y74" s="61">
        <v>0</v>
      </c>
      <c r="Z74" s="61"/>
      <c r="AA74" s="60">
        <f>+U74+X74+Y74</f>
        <v>2649.317</v>
      </c>
      <c r="AB74" s="48"/>
      <c r="AC74" s="48"/>
      <c r="AD74" s="43"/>
      <c r="AE74" s="36">
        <v>56708845760</v>
      </c>
      <c r="AF74" s="36" t="s">
        <v>156</v>
      </c>
      <c r="AG74" s="18" t="s">
        <v>173</v>
      </c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</row>
    <row r="75" spans="1:186" s="18" customFormat="1">
      <c r="A75" s="34" t="s">
        <v>42</v>
      </c>
      <c r="B75" s="34" t="s">
        <v>54</v>
      </c>
      <c r="C75" s="34"/>
      <c r="D75" s="34" t="s">
        <v>126</v>
      </c>
      <c r="E75" s="54">
        <v>41381</v>
      </c>
      <c r="F75" s="35">
        <f>6290.783+2.599</f>
        <v>6293.3820000000005</v>
      </c>
      <c r="G75" s="35"/>
      <c r="H75" s="35">
        <v>7560.54</v>
      </c>
      <c r="I75" s="49">
        <f t="shared" ref="I75:I119" si="79">SUM(F75:H75)</f>
        <v>13853.922</v>
      </c>
      <c r="J75" s="35">
        <v>372.75</v>
      </c>
      <c r="K75" s="67"/>
      <c r="L75" s="35"/>
      <c r="M75" s="35">
        <v>0</v>
      </c>
      <c r="N75" s="68" t="s">
        <v>204</v>
      </c>
      <c r="O75" s="68" t="s">
        <v>204</v>
      </c>
      <c r="P75" s="35"/>
      <c r="Q75" s="33"/>
      <c r="R75" s="33"/>
      <c r="S75" s="34"/>
      <c r="T75" s="34">
        <v>0</v>
      </c>
      <c r="U75" s="49">
        <f t="shared" ref="U75:U95" si="80">+I75-SUM(J75:T75)</f>
        <v>13481.172</v>
      </c>
      <c r="V75" s="33">
        <f t="shared" ref="V75:V85" si="81">IF(I75&gt;2250,I75*0.1,0)</f>
        <v>1385.3922000000002</v>
      </c>
      <c r="W75" s="49">
        <f t="shared" ref="W75:W85" si="82">+U75-V75</f>
        <v>12095.7798</v>
      </c>
      <c r="X75" s="33">
        <f t="shared" ref="X75:X85" si="83">IF(I75&lt;2250,I75*0.1,0)</f>
        <v>0</v>
      </c>
      <c r="Y75" s="33">
        <v>10.23</v>
      </c>
      <c r="Z75" s="33" t="str">
        <f t="shared" ref="Z75:Z85" si="84">+N75</f>
        <v>XX</v>
      </c>
      <c r="AA75" s="49" t="e">
        <f t="shared" ref="AA75:AA85" si="85">+I75+X75+Y75+Z75</f>
        <v>#VALUE!</v>
      </c>
      <c r="AB75" s="56"/>
      <c r="AC75" s="57"/>
      <c r="AD75" s="50">
        <f t="shared" ref="AD75:AD80" si="86">+AB75+AC75-W75</f>
        <v>-12095.7798</v>
      </c>
      <c r="AE75" s="36">
        <v>56708845774</v>
      </c>
      <c r="AF75" s="36" t="s">
        <v>156</v>
      </c>
      <c r="AG75" s="18" t="s">
        <v>173</v>
      </c>
    </row>
    <row r="76" spans="1:186" s="95" customFormat="1">
      <c r="A76" s="85" t="s">
        <v>40</v>
      </c>
      <c r="B76" s="85" t="s">
        <v>164</v>
      </c>
      <c r="C76" s="85"/>
      <c r="D76" s="85" t="s">
        <v>43</v>
      </c>
      <c r="E76" s="86">
        <v>42793</v>
      </c>
      <c r="F76" s="87">
        <f>1762.2+7.428</f>
        <v>1769.6280000000002</v>
      </c>
      <c r="G76" s="87"/>
      <c r="H76" s="87"/>
      <c r="I76" s="40">
        <f t="shared" si="79"/>
        <v>1769.6280000000002</v>
      </c>
      <c r="J76" s="87"/>
      <c r="K76" s="88"/>
      <c r="L76" s="87"/>
      <c r="M76" s="87"/>
      <c r="N76" s="89"/>
      <c r="O76" s="89"/>
      <c r="P76" s="87"/>
      <c r="Q76" s="90"/>
      <c r="R76" s="90"/>
      <c r="S76" s="85"/>
      <c r="T76" s="85"/>
      <c r="U76" s="40">
        <f t="shared" si="80"/>
        <v>1769.6280000000002</v>
      </c>
      <c r="V76" s="90"/>
      <c r="W76" s="40"/>
      <c r="X76" s="90"/>
      <c r="Y76" s="90"/>
      <c r="Z76" s="90"/>
      <c r="AA76" s="40"/>
      <c r="AB76" s="91"/>
      <c r="AC76" s="92"/>
      <c r="AD76" s="93"/>
      <c r="AE76" s="94">
        <v>56711602712</v>
      </c>
      <c r="AF76" s="94"/>
      <c r="AG76" s="95" t="s">
        <v>173</v>
      </c>
    </row>
    <row r="77" spans="1:186" s="18" customFormat="1">
      <c r="A77" s="34" t="s">
        <v>42</v>
      </c>
      <c r="B77" s="34" t="s">
        <v>103</v>
      </c>
      <c r="C77" s="34"/>
      <c r="D77" s="34" t="s">
        <v>126</v>
      </c>
      <c r="E77" s="54">
        <v>41740</v>
      </c>
      <c r="F77" s="35">
        <f>1836.815+5.571+228.66</f>
        <v>2071.0459999999998</v>
      </c>
      <c r="G77" s="35"/>
      <c r="H77" s="35"/>
      <c r="I77" s="49">
        <f t="shared" si="79"/>
        <v>2071.0459999999998</v>
      </c>
      <c r="J77" s="35">
        <v>275.38</v>
      </c>
      <c r="K77" s="67"/>
      <c r="L77" s="35"/>
      <c r="M77" s="35">
        <v>300</v>
      </c>
      <c r="N77" s="68" t="s">
        <v>204</v>
      </c>
      <c r="O77" s="68" t="s">
        <v>204</v>
      </c>
      <c r="P77" s="35"/>
      <c r="Q77" s="33"/>
      <c r="R77" s="33"/>
      <c r="S77" s="34"/>
      <c r="T77" s="34">
        <v>0</v>
      </c>
      <c r="U77" s="49">
        <f t="shared" si="80"/>
        <v>1495.6659999999997</v>
      </c>
      <c r="V77" s="33">
        <f t="shared" si="81"/>
        <v>0</v>
      </c>
      <c r="W77" s="49">
        <f t="shared" si="82"/>
        <v>1495.6659999999997</v>
      </c>
      <c r="X77" s="33">
        <f t="shared" si="83"/>
        <v>207.1046</v>
      </c>
      <c r="Y77" s="33">
        <v>10.23</v>
      </c>
      <c r="Z77" s="33" t="str">
        <f t="shared" si="84"/>
        <v>XX</v>
      </c>
      <c r="AA77" s="49" t="e">
        <f t="shared" si="85"/>
        <v>#VALUE!</v>
      </c>
      <c r="AB77" s="56"/>
      <c r="AC77" s="57"/>
      <c r="AD77" s="50">
        <f t="shared" si="86"/>
        <v>-1495.6659999999997</v>
      </c>
      <c r="AE77" s="36">
        <v>56708845788</v>
      </c>
      <c r="AF77" s="36" t="s">
        <v>156</v>
      </c>
      <c r="AG77" s="18" t="s">
        <v>173</v>
      </c>
    </row>
    <row r="78" spans="1:186" s="18" customFormat="1">
      <c r="A78" s="34" t="s">
        <v>42</v>
      </c>
      <c r="B78" s="34" t="s">
        <v>162</v>
      </c>
      <c r="C78" s="34"/>
      <c r="D78" s="34" t="s">
        <v>122</v>
      </c>
      <c r="E78" s="54">
        <v>42779</v>
      </c>
      <c r="F78" s="35">
        <v>937.30799999999999</v>
      </c>
      <c r="G78" s="35"/>
      <c r="H78" s="35"/>
      <c r="I78" s="49">
        <f t="shared" si="79"/>
        <v>937.30799999999999</v>
      </c>
      <c r="J78" s="35"/>
      <c r="K78" s="67"/>
      <c r="L78" s="35"/>
      <c r="M78" s="35"/>
      <c r="N78" s="68" t="s">
        <v>204</v>
      </c>
      <c r="O78" s="68" t="s">
        <v>204</v>
      </c>
      <c r="P78" s="35"/>
      <c r="Q78" s="33"/>
      <c r="R78" s="33"/>
      <c r="S78" s="34"/>
      <c r="T78" s="34"/>
      <c r="U78" s="49">
        <f t="shared" si="80"/>
        <v>937.30799999999999</v>
      </c>
      <c r="V78" s="33"/>
      <c r="W78" s="49"/>
      <c r="X78" s="33"/>
      <c r="Y78" s="33"/>
      <c r="Z78" s="33"/>
      <c r="AA78" s="49"/>
      <c r="AB78" s="56"/>
      <c r="AC78" s="57"/>
      <c r="AD78" s="50"/>
      <c r="AE78" s="36">
        <v>60589582591</v>
      </c>
      <c r="AF78" s="36"/>
      <c r="AG78" s="18" t="s">
        <v>173</v>
      </c>
    </row>
    <row r="79" spans="1:186" s="18" customFormat="1">
      <c r="A79" s="34" t="s">
        <v>42</v>
      </c>
      <c r="B79" s="34" t="s">
        <v>197</v>
      </c>
      <c r="C79" s="34"/>
      <c r="D79" s="34" t="s">
        <v>148</v>
      </c>
      <c r="E79" s="54">
        <v>42870</v>
      </c>
      <c r="F79" s="35"/>
      <c r="G79" s="35"/>
      <c r="H79" s="35"/>
      <c r="I79" s="49"/>
      <c r="J79" s="35"/>
      <c r="K79" s="67"/>
      <c r="L79" s="35"/>
      <c r="M79" s="35"/>
      <c r="N79" s="68"/>
      <c r="O79" s="68"/>
      <c r="P79" s="35"/>
      <c r="Q79" s="33"/>
      <c r="R79" s="33"/>
      <c r="S79" s="34"/>
      <c r="T79" s="34"/>
      <c r="U79" s="49"/>
      <c r="V79" s="33"/>
      <c r="W79" s="49"/>
      <c r="X79" s="33"/>
      <c r="Y79" s="33"/>
      <c r="Z79" s="33"/>
      <c r="AA79" s="49"/>
      <c r="AB79" s="56"/>
      <c r="AC79" s="57"/>
      <c r="AD79" s="50"/>
      <c r="AE79" s="36">
        <v>56687574175</v>
      </c>
      <c r="AF79" s="36"/>
      <c r="AG79" s="18" t="s">
        <v>173</v>
      </c>
    </row>
    <row r="80" spans="1:186" s="18" customFormat="1">
      <c r="A80" s="34" t="s">
        <v>42</v>
      </c>
      <c r="B80" s="34" t="s">
        <v>55</v>
      </c>
      <c r="C80" s="34"/>
      <c r="D80" s="34" t="s">
        <v>47</v>
      </c>
      <c r="E80" s="54">
        <v>41227</v>
      </c>
      <c r="F80" s="35">
        <f>5696.76+13.099</f>
        <v>5709.8590000000004</v>
      </c>
      <c r="G80" s="35"/>
      <c r="H80" s="35"/>
      <c r="I80" s="49">
        <f t="shared" si="79"/>
        <v>5709.8590000000004</v>
      </c>
      <c r="J80" s="35"/>
      <c r="K80" s="67"/>
      <c r="L80" s="35"/>
      <c r="M80" s="33">
        <v>700</v>
      </c>
      <c r="N80" s="68" t="s">
        <v>204</v>
      </c>
      <c r="O80" s="68" t="s">
        <v>204</v>
      </c>
      <c r="P80" s="35"/>
      <c r="Q80" s="33"/>
      <c r="R80" s="33"/>
      <c r="S80" s="34"/>
      <c r="T80" s="34">
        <v>0</v>
      </c>
      <c r="U80" s="49">
        <f t="shared" si="80"/>
        <v>5009.8590000000004</v>
      </c>
      <c r="V80" s="33">
        <f t="shared" si="81"/>
        <v>570.98590000000002</v>
      </c>
      <c r="W80" s="49">
        <f t="shared" si="82"/>
        <v>4438.8731000000007</v>
      </c>
      <c r="X80" s="33">
        <f t="shared" si="83"/>
        <v>0</v>
      </c>
      <c r="Y80" s="33">
        <v>10.23</v>
      </c>
      <c r="Z80" s="33" t="str">
        <f t="shared" si="84"/>
        <v>XX</v>
      </c>
      <c r="AA80" s="49" t="e">
        <f t="shared" si="85"/>
        <v>#VALUE!</v>
      </c>
      <c r="AB80" s="56"/>
      <c r="AC80" s="57"/>
      <c r="AD80" s="50">
        <f t="shared" si="86"/>
        <v>-4438.8731000000007</v>
      </c>
      <c r="AE80" s="36">
        <v>56708845791</v>
      </c>
      <c r="AF80" s="36"/>
      <c r="AG80" s="18" t="s">
        <v>173</v>
      </c>
    </row>
    <row r="81" spans="1:33" s="18" customFormat="1">
      <c r="A81" s="34" t="s">
        <v>40</v>
      </c>
      <c r="B81" s="34" t="s">
        <v>98</v>
      </c>
      <c r="C81" s="34"/>
      <c r="D81" s="34" t="s">
        <v>122</v>
      </c>
      <c r="E81" s="54">
        <v>42338</v>
      </c>
      <c r="F81" s="35">
        <f>2242.8+7.428</f>
        <v>2250.2280000000001</v>
      </c>
      <c r="G81" s="35"/>
      <c r="H81" s="35"/>
      <c r="I81" s="49">
        <f t="shared" si="79"/>
        <v>2250.2280000000001</v>
      </c>
      <c r="J81" s="35"/>
      <c r="K81" s="67">
        <v>1</v>
      </c>
      <c r="L81" s="35"/>
      <c r="M81" s="35">
        <v>0</v>
      </c>
      <c r="N81" s="68"/>
      <c r="O81" s="68"/>
      <c r="P81" s="35"/>
      <c r="Q81" s="33"/>
      <c r="R81" s="33"/>
      <c r="S81" s="34"/>
      <c r="T81" s="34">
        <v>0</v>
      </c>
      <c r="U81" s="49">
        <f t="shared" si="80"/>
        <v>2249.2280000000001</v>
      </c>
      <c r="V81" s="33">
        <f t="shared" si="81"/>
        <v>225.02280000000002</v>
      </c>
      <c r="W81" s="49">
        <f t="shared" si="82"/>
        <v>2024.2052000000001</v>
      </c>
      <c r="X81" s="33">
        <f t="shared" si="83"/>
        <v>0</v>
      </c>
      <c r="Y81" s="33">
        <v>10.23</v>
      </c>
      <c r="Z81" s="33">
        <f t="shared" si="84"/>
        <v>0</v>
      </c>
      <c r="AA81" s="49">
        <f t="shared" si="85"/>
        <v>2260.4580000000001</v>
      </c>
      <c r="AB81" s="56"/>
      <c r="AC81" s="57"/>
      <c r="AD81" s="50">
        <f>+AB81+AC81-W81</f>
        <v>-2024.2052000000001</v>
      </c>
      <c r="AE81" s="36">
        <v>56708881872</v>
      </c>
      <c r="AF81" s="36"/>
      <c r="AG81" s="18" t="s">
        <v>173</v>
      </c>
    </row>
    <row r="82" spans="1:33" s="18" customFormat="1">
      <c r="A82" s="34" t="s">
        <v>42</v>
      </c>
      <c r="B82" s="34" t="s">
        <v>168</v>
      </c>
      <c r="C82" s="34"/>
      <c r="D82" s="34" t="s">
        <v>122</v>
      </c>
      <c r="E82" s="54">
        <v>42807</v>
      </c>
      <c r="F82" s="35">
        <v>585.1</v>
      </c>
      <c r="G82" s="35"/>
      <c r="H82" s="35"/>
      <c r="I82" s="49">
        <f t="shared" si="79"/>
        <v>585.1</v>
      </c>
      <c r="J82" s="35"/>
      <c r="K82" s="67"/>
      <c r="L82" s="35"/>
      <c r="M82" s="35"/>
      <c r="N82" s="68" t="s">
        <v>204</v>
      </c>
      <c r="O82" s="68" t="s">
        <v>204</v>
      </c>
      <c r="P82" s="35"/>
      <c r="Q82" s="33"/>
      <c r="R82" s="33"/>
      <c r="S82" s="34"/>
      <c r="T82" s="34"/>
      <c r="U82" s="49">
        <f t="shared" si="80"/>
        <v>585.1</v>
      </c>
      <c r="V82" s="33"/>
      <c r="W82" s="49"/>
      <c r="X82" s="33"/>
      <c r="Y82" s="33"/>
      <c r="Z82" s="33"/>
      <c r="AA82" s="49"/>
      <c r="AB82" s="56"/>
      <c r="AC82" s="57"/>
      <c r="AD82" s="50"/>
      <c r="AE82" s="36">
        <v>60589642468</v>
      </c>
      <c r="AF82" s="36"/>
      <c r="AG82" s="18" t="s">
        <v>173</v>
      </c>
    </row>
    <row r="83" spans="1:33" s="18" customFormat="1">
      <c r="A83" s="34" t="s">
        <v>40</v>
      </c>
      <c r="B83" s="34" t="s">
        <v>141</v>
      </c>
      <c r="C83" s="34"/>
      <c r="D83" s="34" t="s">
        <v>43</v>
      </c>
      <c r="E83" s="54">
        <v>42681</v>
      </c>
      <c r="F83" s="35">
        <f>1833.44+13.099</f>
        <v>1846.539</v>
      </c>
      <c r="G83" s="35"/>
      <c r="H83" s="35"/>
      <c r="I83" s="49">
        <f t="shared" si="79"/>
        <v>1846.539</v>
      </c>
      <c r="J83" s="35"/>
      <c r="K83" s="67"/>
      <c r="L83" s="35"/>
      <c r="M83" s="35">
        <v>150</v>
      </c>
      <c r="N83" s="68"/>
      <c r="O83" s="68"/>
      <c r="P83" s="35"/>
      <c r="Q83" s="33"/>
      <c r="R83" s="33"/>
      <c r="S83" s="34"/>
      <c r="T83" s="34"/>
      <c r="U83" s="49">
        <f t="shared" si="80"/>
        <v>1696.539</v>
      </c>
      <c r="V83" s="33">
        <f t="shared" ref="V83" si="87">IF(I83&gt;2250,I83*0.1,0)</f>
        <v>0</v>
      </c>
      <c r="W83" s="49">
        <f t="shared" ref="W83" si="88">+U83-V83</f>
        <v>1696.539</v>
      </c>
      <c r="X83" s="33"/>
      <c r="Y83" s="33"/>
      <c r="Z83" s="33"/>
      <c r="AA83" s="49"/>
      <c r="AB83" s="56"/>
      <c r="AC83" s="57"/>
      <c r="AD83" s="50"/>
      <c r="AE83" s="36">
        <v>56710773131</v>
      </c>
      <c r="AF83" s="36"/>
      <c r="AG83" s="18" t="s">
        <v>173</v>
      </c>
    </row>
    <row r="84" spans="1:33" s="18" customFormat="1">
      <c r="A84" s="34" t="s">
        <v>42</v>
      </c>
      <c r="B84" s="34" t="s">
        <v>108</v>
      </c>
      <c r="C84" s="34"/>
      <c r="D84" s="34" t="s">
        <v>126</v>
      </c>
      <c r="E84" s="54">
        <v>41227</v>
      </c>
      <c r="F84" s="35">
        <f>3366.061+2.599</f>
        <v>3368.6600000000003</v>
      </c>
      <c r="G84" s="35"/>
      <c r="H84" s="35"/>
      <c r="I84" s="49">
        <f t="shared" si="79"/>
        <v>3368.6600000000003</v>
      </c>
      <c r="J84" s="35">
        <v>199.21</v>
      </c>
      <c r="K84" s="84" t="s">
        <v>203</v>
      </c>
      <c r="L84" s="35"/>
      <c r="M84" s="33">
        <v>500</v>
      </c>
      <c r="N84" s="68" t="s">
        <v>204</v>
      </c>
      <c r="O84" s="68" t="s">
        <v>204</v>
      </c>
      <c r="P84" s="35"/>
      <c r="Q84" s="33"/>
      <c r="R84" s="33"/>
      <c r="S84" s="34"/>
      <c r="T84" s="34">
        <v>0</v>
      </c>
      <c r="U84" s="49">
        <f t="shared" si="80"/>
        <v>2669.4500000000003</v>
      </c>
      <c r="V84" s="33">
        <f t="shared" si="81"/>
        <v>336.86600000000004</v>
      </c>
      <c r="W84" s="49">
        <f t="shared" si="82"/>
        <v>2332.5840000000003</v>
      </c>
      <c r="X84" s="33">
        <f t="shared" si="83"/>
        <v>0</v>
      </c>
      <c r="Y84" s="33">
        <v>10.23</v>
      </c>
      <c r="Z84" s="33" t="str">
        <f t="shared" si="84"/>
        <v>XX</v>
      </c>
      <c r="AA84" s="49" t="e">
        <f t="shared" si="85"/>
        <v>#VALUE!</v>
      </c>
      <c r="AB84" s="56"/>
      <c r="AC84" s="57"/>
      <c r="AD84" s="50">
        <f>+AB84+AC84-W84</f>
        <v>-2332.5840000000003</v>
      </c>
      <c r="AE84" s="36">
        <v>56708845820</v>
      </c>
      <c r="AF84" s="36" t="s">
        <v>156</v>
      </c>
      <c r="AG84" s="18" t="s">
        <v>173</v>
      </c>
    </row>
    <row r="85" spans="1:33" s="18" customFormat="1">
      <c r="A85" s="34" t="s">
        <v>42</v>
      </c>
      <c r="B85" s="34" t="s">
        <v>66</v>
      </c>
      <c r="C85" s="34"/>
      <c r="D85" s="34" t="s">
        <v>126</v>
      </c>
      <c r="E85" s="54">
        <v>41227</v>
      </c>
      <c r="F85" s="114">
        <f>5844.096+7.428</f>
        <v>5851.5239999999994</v>
      </c>
      <c r="G85" s="35"/>
      <c r="H85" s="35"/>
      <c r="I85" s="49">
        <f t="shared" si="79"/>
        <v>5851.5239999999994</v>
      </c>
      <c r="J85" s="35"/>
      <c r="K85" s="67"/>
      <c r="L85" s="35"/>
      <c r="M85" s="35">
        <v>1000</v>
      </c>
      <c r="N85" s="68" t="s">
        <v>204</v>
      </c>
      <c r="O85" s="68" t="s">
        <v>204</v>
      </c>
      <c r="P85" s="35"/>
      <c r="Q85" s="33"/>
      <c r="R85" s="33"/>
      <c r="S85" s="34"/>
      <c r="T85" s="34">
        <v>0</v>
      </c>
      <c r="U85" s="49">
        <f t="shared" si="80"/>
        <v>4851.5239999999994</v>
      </c>
      <c r="V85" s="33">
        <f t="shared" si="81"/>
        <v>585.15239999999994</v>
      </c>
      <c r="W85" s="49">
        <f t="shared" si="82"/>
        <v>4266.3715999999995</v>
      </c>
      <c r="X85" s="33">
        <f t="shared" si="83"/>
        <v>0</v>
      </c>
      <c r="Y85" s="33">
        <v>10.23</v>
      </c>
      <c r="Z85" s="33" t="str">
        <f t="shared" si="84"/>
        <v>XX</v>
      </c>
      <c r="AA85" s="49" t="e">
        <f t="shared" si="85"/>
        <v>#VALUE!</v>
      </c>
      <c r="AB85" s="56"/>
      <c r="AC85" s="57"/>
      <c r="AD85" s="50">
        <f>+AB85+AC85-W85</f>
        <v>-4266.3715999999995</v>
      </c>
      <c r="AE85" s="36">
        <v>56708845834</v>
      </c>
      <c r="AF85" s="36"/>
      <c r="AG85" s="18" t="s">
        <v>173</v>
      </c>
    </row>
    <row r="86" spans="1:33" s="18" customFormat="1">
      <c r="A86" s="34" t="s">
        <v>42</v>
      </c>
      <c r="B86" s="34" t="s">
        <v>185</v>
      </c>
      <c r="C86" s="34"/>
      <c r="D86" s="34" t="s">
        <v>148</v>
      </c>
      <c r="E86" s="54">
        <v>42842</v>
      </c>
      <c r="F86" s="35">
        <v>1200</v>
      </c>
      <c r="G86" s="35"/>
      <c r="H86" s="35"/>
      <c r="I86" s="49">
        <f t="shared" si="79"/>
        <v>1200</v>
      </c>
      <c r="J86" s="35"/>
      <c r="K86" s="67"/>
      <c r="L86" s="35"/>
      <c r="M86" s="35"/>
      <c r="N86" s="68" t="s">
        <v>204</v>
      </c>
      <c r="O86" s="68" t="s">
        <v>204</v>
      </c>
      <c r="P86" s="35"/>
      <c r="Q86" s="33"/>
      <c r="R86" s="33"/>
      <c r="S86" s="34"/>
      <c r="T86" s="34"/>
      <c r="U86" s="49">
        <f t="shared" si="80"/>
        <v>1200</v>
      </c>
      <c r="V86" s="33"/>
      <c r="W86" s="49"/>
      <c r="X86" s="33"/>
      <c r="Y86" s="33"/>
      <c r="Z86" s="33"/>
      <c r="AA86" s="49"/>
      <c r="AB86" s="56"/>
      <c r="AC86" s="57"/>
      <c r="AD86" s="50"/>
      <c r="AE86" s="36">
        <v>60590100738</v>
      </c>
      <c r="AF86" s="36"/>
      <c r="AG86" s="18" t="s">
        <v>173</v>
      </c>
    </row>
    <row r="87" spans="1:33" s="18" customFormat="1">
      <c r="A87" s="34" t="s">
        <v>40</v>
      </c>
      <c r="B87" s="34" t="s">
        <v>128</v>
      </c>
      <c r="C87" s="34"/>
      <c r="D87" s="34" t="s">
        <v>148</v>
      </c>
      <c r="E87" s="54">
        <v>42604</v>
      </c>
      <c r="F87" s="35">
        <v>1260.931</v>
      </c>
      <c r="G87" s="35"/>
      <c r="H87" s="35"/>
      <c r="I87" s="49">
        <f t="shared" si="79"/>
        <v>1260.931</v>
      </c>
      <c r="J87" s="35"/>
      <c r="K87" s="67"/>
      <c r="L87" s="35"/>
      <c r="M87" s="35"/>
      <c r="N87" s="68" t="s">
        <v>204</v>
      </c>
      <c r="O87" s="68" t="s">
        <v>204</v>
      </c>
      <c r="P87" s="35"/>
      <c r="Q87" s="33"/>
      <c r="R87" s="33"/>
      <c r="S87" s="34"/>
      <c r="T87" s="34"/>
      <c r="U87" s="49">
        <f t="shared" si="80"/>
        <v>1260.931</v>
      </c>
      <c r="V87" s="33">
        <f t="shared" ref="V87" si="89">IF(I87&gt;2250,I87*0.1,0)</f>
        <v>0</v>
      </c>
      <c r="W87" s="49">
        <f t="shared" ref="W87" si="90">+U87-V87</f>
        <v>1260.931</v>
      </c>
      <c r="X87" s="33"/>
      <c r="Y87" s="33"/>
      <c r="Z87" s="33"/>
      <c r="AA87" s="49"/>
      <c r="AB87" s="56"/>
      <c r="AC87" s="57"/>
      <c r="AD87" s="50"/>
      <c r="AE87" s="36">
        <v>56708845848</v>
      </c>
      <c r="AF87" s="36"/>
      <c r="AG87" s="18" t="s">
        <v>173</v>
      </c>
    </row>
    <row r="88" spans="1:33" s="18" customFormat="1">
      <c r="A88" s="34" t="s">
        <v>42</v>
      </c>
      <c r="B88" s="34" t="s">
        <v>192</v>
      </c>
      <c r="C88" s="34"/>
      <c r="D88" s="34" t="s">
        <v>122</v>
      </c>
      <c r="E88" s="54">
        <v>42864</v>
      </c>
      <c r="F88" s="35">
        <v>681.56899999999996</v>
      </c>
      <c r="G88" s="35"/>
      <c r="H88" s="35"/>
      <c r="I88" s="49">
        <f t="shared" si="79"/>
        <v>681.56899999999996</v>
      </c>
      <c r="J88" s="35"/>
      <c r="K88" s="67"/>
      <c r="L88" s="35"/>
      <c r="M88" s="35"/>
      <c r="N88" s="68" t="s">
        <v>204</v>
      </c>
      <c r="O88" s="68" t="s">
        <v>204</v>
      </c>
      <c r="P88" s="35"/>
      <c r="Q88" s="33"/>
      <c r="R88" s="33"/>
      <c r="S88" s="34"/>
      <c r="T88" s="34"/>
      <c r="U88" s="49">
        <f t="shared" si="80"/>
        <v>681.56899999999996</v>
      </c>
      <c r="V88" s="33"/>
      <c r="W88" s="49"/>
      <c r="X88" s="33"/>
      <c r="Y88" s="33"/>
      <c r="Z88" s="33"/>
      <c r="AA88" s="49"/>
      <c r="AB88" s="56"/>
      <c r="AC88" s="57"/>
      <c r="AD88" s="50"/>
      <c r="AE88" s="36" t="s">
        <v>150</v>
      </c>
      <c r="AF88" s="36"/>
    </row>
    <row r="89" spans="1:33" s="18" customFormat="1">
      <c r="A89" s="34" t="s">
        <v>40</v>
      </c>
      <c r="B89" s="34" t="s">
        <v>67</v>
      </c>
      <c r="C89" s="34"/>
      <c r="D89" s="34" t="s">
        <v>43</v>
      </c>
      <c r="E89" s="54">
        <v>42319</v>
      </c>
      <c r="F89" s="35">
        <f>2946.6+13.099</f>
        <v>2959.6990000000001</v>
      </c>
      <c r="G89" s="35"/>
      <c r="H89" s="35"/>
      <c r="I89" s="49">
        <f t="shared" si="79"/>
        <v>2959.6990000000001</v>
      </c>
      <c r="J89" s="35"/>
      <c r="K89" s="67"/>
      <c r="L89" s="35"/>
      <c r="M89" s="35">
        <v>0</v>
      </c>
      <c r="N89" s="68"/>
      <c r="O89" s="68"/>
      <c r="P89" s="35"/>
      <c r="Q89" s="33"/>
      <c r="R89" s="33"/>
      <c r="S89" s="34"/>
      <c r="T89" s="34">
        <v>0</v>
      </c>
      <c r="U89" s="49">
        <f t="shared" si="80"/>
        <v>2959.6990000000001</v>
      </c>
      <c r="V89" s="33">
        <f t="shared" ref="V89:V114" si="91">IF(I89&gt;2250,I89*0.1,0)</f>
        <v>295.9699</v>
      </c>
      <c r="W89" s="49">
        <f t="shared" ref="W89:W114" si="92">+U89-V89</f>
        <v>2663.7291</v>
      </c>
      <c r="X89" s="33">
        <f t="shared" ref="X89:X114" si="93">IF(I89&lt;2250,I89*0.1,0)</f>
        <v>0</v>
      </c>
      <c r="Y89" s="33">
        <v>19.23</v>
      </c>
      <c r="Z89" s="33">
        <f t="shared" ref="Z89:Z114" si="94">+N89</f>
        <v>0</v>
      </c>
      <c r="AA89" s="49">
        <f t="shared" ref="AA89:AA114" si="95">+I89+X89+Y89+Z89</f>
        <v>2978.9290000000001</v>
      </c>
      <c r="AB89" s="56"/>
      <c r="AC89" s="57"/>
      <c r="AD89" s="50">
        <f>+AB89+AC89-W89</f>
        <v>-2663.7291</v>
      </c>
      <c r="AE89" s="36">
        <v>56708881901</v>
      </c>
      <c r="AF89" s="36"/>
      <c r="AG89" s="18" t="s">
        <v>173</v>
      </c>
    </row>
    <row r="90" spans="1:33" s="18" customFormat="1">
      <c r="A90" s="34" t="s">
        <v>42</v>
      </c>
      <c r="B90" s="34" t="s">
        <v>193</v>
      </c>
      <c r="C90" s="34"/>
      <c r="D90" s="34" t="s">
        <v>148</v>
      </c>
      <c r="E90" s="54">
        <v>42863</v>
      </c>
      <c r="F90" s="35">
        <f>1969+5.571</f>
        <v>1974.5709999999999</v>
      </c>
      <c r="G90" s="35"/>
      <c r="H90" s="35"/>
      <c r="I90" s="49"/>
      <c r="J90" s="35"/>
      <c r="K90" s="67"/>
      <c r="L90" s="35"/>
      <c r="M90" s="35"/>
      <c r="N90" s="68" t="s">
        <v>204</v>
      </c>
      <c r="O90" s="68" t="s">
        <v>204</v>
      </c>
      <c r="P90" s="35"/>
      <c r="Q90" s="33"/>
      <c r="R90" s="33"/>
      <c r="S90" s="34"/>
      <c r="T90" s="34"/>
      <c r="U90" s="49"/>
      <c r="V90" s="33"/>
      <c r="W90" s="49"/>
      <c r="X90" s="33"/>
      <c r="Y90" s="33"/>
      <c r="Z90" s="33"/>
      <c r="AA90" s="49"/>
      <c r="AB90" s="56"/>
      <c r="AC90" s="57"/>
      <c r="AD90" s="50"/>
      <c r="AE90" s="36">
        <v>60590821112</v>
      </c>
      <c r="AF90" s="36"/>
    </row>
    <row r="91" spans="1:33" s="18" customFormat="1">
      <c r="A91" s="34" t="s">
        <v>42</v>
      </c>
      <c r="B91" s="34" t="s">
        <v>51</v>
      </c>
      <c r="C91" s="34"/>
      <c r="D91" s="34" t="s">
        <v>148</v>
      </c>
      <c r="E91" s="54">
        <v>41981</v>
      </c>
      <c r="F91" s="35">
        <f>2170.823+2.599+23.52</f>
        <v>2196.942</v>
      </c>
      <c r="G91" s="35"/>
      <c r="H91" s="35"/>
      <c r="I91" s="49">
        <f t="shared" si="79"/>
        <v>2196.942</v>
      </c>
      <c r="J91" s="35"/>
      <c r="K91" s="67"/>
      <c r="L91" s="35"/>
      <c r="M91" s="35">
        <v>300</v>
      </c>
      <c r="N91" s="68" t="s">
        <v>204</v>
      </c>
      <c r="O91" s="68" t="s">
        <v>204</v>
      </c>
      <c r="P91" s="35"/>
      <c r="Q91" s="33"/>
      <c r="R91" s="33"/>
      <c r="S91" s="34"/>
      <c r="T91" s="34">
        <v>0</v>
      </c>
      <c r="U91" s="49">
        <f t="shared" si="80"/>
        <v>1896.942</v>
      </c>
      <c r="V91" s="33">
        <f t="shared" si="91"/>
        <v>0</v>
      </c>
      <c r="W91" s="49">
        <f t="shared" si="92"/>
        <v>1896.942</v>
      </c>
      <c r="X91" s="33">
        <f t="shared" si="93"/>
        <v>219.69420000000002</v>
      </c>
      <c r="Y91" s="33">
        <v>10.23</v>
      </c>
      <c r="Z91" s="33" t="str">
        <f t="shared" si="94"/>
        <v>XX</v>
      </c>
      <c r="AA91" s="49" t="e">
        <f t="shared" si="95"/>
        <v>#VALUE!</v>
      </c>
      <c r="AB91" s="56"/>
      <c r="AC91" s="57"/>
      <c r="AD91" s="50">
        <f t="shared" ref="AD91:AD114" si="96">+AB91+AC91-W91</f>
        <v>-1896.942</v>
      </c>
      <c r="AE91" s="36">
        <v>56708845851</v>
      </c>
      <c r="AF91" s="36"/>
      <c r="AG91" s="18" t="s">
        <v>173</v>
      </c>
    </row>
    <row r="92" spans="1:33" s="18" customFormat="1">
      <c r="A92" s="34" t="s">
        <v>42</v>
      </c>
      <c r="B92" s="34" t="s">
        <v>83</v>
      </c>
      <c r="C92" s="34"/>
      <c r="D92" s="34" t="s">
        <v>126</v>
      </c>
      <c r="E92" s="53">
        <v>41284</v>
      </c>
      <c r="F92" s="35">
        <f>3661.342+2.599</f>
        <v>3663.9410000000003</v>
      </c>
      <c r="G92" s="35"/>
      <c r="H92" s="35"/>
      <c r="I92" s="49">
        <f t="shared" si="79"/>
        <v>3663.9410000000003</v>
      </c>
      <c r="J92" s="35">
        <v>246.63</v>
      </c>
      <c r="K92" s="67"/>
      <c r="L92" s="35"/>
      <c r="M92" s="35">
        <v>0</v>
      </c>
      <c r="N92" s="68" t="s">
        <v>204</v>
      </c>
      <c r="O92" s="68" t="s">
        <v>204</v>
      </c>
      <c r="P92" s="35"/>
      <c r="Q92" s="33"/>
      <c r="R92" s="33"/>
      <c r="S92" s="34"/>
      <c r="T92" s="34">
        <v>0</v>
      </c>
      <c r="U92" s="49">
        <f t="shared" si="80"/>
        <v>3417.3110000000001</v>
      </c>
      <c r="V92" s="33">
        <f t="shared" si="91"/>
        <v>366.39410000000004</v>
      </c>
      <c r="W92" s="49">
        <f t="shared" si="92"/>
        <v>3050.9169000000002</v>
      </c>
      <c r="X92" s="33">
        <f t="shared" si="93"/>
        <v>0</v>
      </c>
      <c r="Y92" s="33">
        <v>10.23</v>
      </c>
      <c r="Z92" s="33" t="str">
        <f t="shared" si="94"/>
        <v>XX</v>
      </c>
      <c r="AA92" s="49" t="e">
        <f t="shared" si="95"/>
        <v>#VALUE!</v>
      </c>
      <c r="AB92" s="56"/>
      <c r="AC92" s="57"/>
      <c r="AD92" s="50">
        <f t="shared" si="96"/>
        <v>-3050.9169000000002</v>
      </c>
      <c r="AE92" s="36">
        <v>56708881915</v>
      </c>
      <c r="AF92" s="36" t="s">
        <v>156</v>
      </c>
      <c r="AG92" s="18" t="s">
        <v>173</v>
      </c>
    </row>
    <row r="93" spans="1:33" s="18" customFormat="1">
      <c r="A93" s="34" t="s">
        <v>40</v>
      </c>
      <c r="B93" s="34" t="s">
        <v>180</v>
      </c>
      <c r="C93" s="34"/>
      <c r="D93" s="34" t="s">
        <v>43</v>
      </c>
      <c r="E93" s="54">
        <v>42823</v>
      </c>
      <c r="F93" s="35">
        <f>2619.2+13.099+800</f>
        <v>3432.299</v>
      </c>
      <c r="G93" s="35"/>
      <c r="H93" s="35"/>
      <c r="I93" s="49"/>
      <c r="J93" s="35"/>
      <c r="K93" s="67"/>
      <c r="L93" s="35"/>
      <c r="M93" s="35"/>
      <c r="N93" s="68"/>
      <c r="O93" s="68"/>
      <c r="P93" s="35"/>
      <c r="Q93" s="33"/>
      <c r="R93" s="33"/>
      <c r="S93" s="34"/>
      <c r="T93" s="34"/>
      <c r="U93" s="49"/>
      <c r="V93" s="33"/>
      <c r="W93" s="49"/>
      <c r="X93" s="33"/>
      <c r="Y93" s="33"/>
      <c r="Z93" s="33"/>
      <c r="AA93" s="49"/>
      <c r="AB93" s="56"/>
      <c r="AC93" s="57"/>
      <c r="AD93" s="50"/>
      <c r="AE93" s="36">
        <v>60589704184</v>
      </c>
      <c r="AF93" s="36"/>
      <c r="AG93" s="18" t="s">
        <v>173</v>
      </c>
    </row>
    <row r="94" spans="1:33" s="18" customFormat="1">
      <c r="A94" s="34" t="s">
        <v>42</v>
      </c>
      <c r="B94" s="34" t="s">
        <v>53</v>
      </c>
      <c r="C94" s="34"/>
      <c r="D94" s="34" t="s">
        <v>126</v>
      </c>
      <c r="E94" s="53">
        <v>41227</v>
      </c>
      <c r="F94" s="35">
        <f>2487.372+2.972+19.25</f>
        <v>2509.5940000000001</v>
      </c>
      <c r="G94" s="35"/>
      <c r="H94" s="35"/>
      <c r="I94" s="49">
        <f t="shared" si="79"/>
        <v>2509.5940000000001</v>
      </c>
      <c r="J94" s="35">
        <v>307.93</v>
      </c>
      <c r="K94" s="67"/>
      <c r="L94" s="35"/>
      <c r="M94" s="35">
        <v>0</v>
      </c>
      <c r="N94" s="68" t="s">
        <v>204</v>
      </c>
      <c r="O94" s="68" t="s">
        <v>204</v>
      </c>
      <c r="P94" s="35"/>
      <c r="Q94" s="33"/>
      <c r="R94" s="33"/>
      <c r="S94" s="34"/>
      <c r="T94" s="34">
        <v>0</v>
      </c>
      <c r="U94" s="49">
        <f t="shared" si="80"/>
        <v>2201.6640000000002</v>
      </c>
      <c r="V94" s="33">
        <f t="shared" si="91"/>
        <v>250.95940000000002</v>
      </c>
      <c r="W94" s="49">
        <f t="shared" si="92"/>
        <v>1950.7046000000003</v>
      </c>
      <c r="X94" s="33">
        <f t="shared" si="93"/>
        <v>0</v>
      </c>
      <c r="Y94" s="33">
        <v>10.23</v>
      </c>
      <c r="Z94" s="33" t="str">
        <f t="shared" si="94"/>
        <v>XX</v>
      </c>
      <c r="AA94" s="49" t="e">
        <f t="shared" si="95"/>
        <v>#VALUE!</v>
      </c>
      <c r="AB94" s="56"/>
      <c r="AC94" s="56"/>
      <c r="AD94" s="50">
        <f t="shared" si="96"/>
        <v>-1950.7046000000003</v>
      </c>
      <c r="AE94" s="36">
        <v>56708845865</v>
      </c>
      <c r="AF94" s="36" t="s">
        <v>156</v>
      </c>
      <c r="AG94" s="18" t="s">
        <v>173</v>
      </c>
    </row>
    <row r="95" spans="1:33" s="18" customFormat="1">
      <c r="A95" s="34" t="s">
        <v>40</v>
      </c>
      <c r="B95" s="34" t="s">
        <v>68</v>
      </c>
      <c r="C95" s="34"/>
      <c r="D95" s="34" t="s">
        <v>43</v>
      </c>
      <c r="E95" s="53">
        <v>41493</v>
      </c>
      <c r="F95" s="35">
        <f>1506.04+3.714</f>
        <v>1509.7539999999999</v>
      </c>
      <c r="G95" s="35"/>
      <c r="H95" s="35"/>
      <c r="I95" s="49">
        <f t="shared" si="79"/>
        <v>1509.7539999999999</v>
      </c>
      <c r="J95" s="35"/>
      <c r="K95" s="67"/>
      <c r="L95" s="35"/>
      <c r="M95" s="35">
        <v>0</v>
      </c>
      <c r="N95" s="68"/>
      <c r="O95" s="68"/>
      <c r="P95" s="35"/>
      <c r="Q95" s="33"/>
      <c r="R95" s="33"/>
      <c r="S95" s="34"/>
      <c r="T95" s="34">
        <v>0</v>
      </c>
      <c r="U95" s="49">
        <f t="shared" si="80"/>
        <v>1509.7539999999999</v>
      </c>
      <c r="V95" s="33">
        <f t="shared" si="91"/>
        <v>0</v>
      </c>
      <c r="W95" s="49">
        <f t="shared" si="92"/>
        <v>1509.7539999999999</v>
      </c>
      <c r="X95" s="33">
        <f t="shared" si="93"/>
        <v>150.97540000000001</v>
      </c>
      <c r="Y95" s="33">
        <v>10.23</v>
      </c>
      <c r="Z95" s="33">
        <f t="shared" si="94"/>
        <v>0</v>
      </c>
      <c r="AA95" s="49">
        <f t="shared" si="95"/>
        <v>1670.9594</v>
      </c>
      <c r="AB95" s="56"/>
      <c r="AC95" s="57"/>
      <c r="AD95" s="50">
        <f t="shared" si="96"/>
        <v>-1509.7539999999999</v>
      </c>
      <c r="AE95" s="36">
        <v>56708845879</v>
      </c>
      <c r="AF95" s="36"/>
      <c r="AG95" s="18" t="s">
        <v>173</v>
      </c>
    </row>
    <row r="96" spans="1:33" s="18" customFormat="1">
      <c r="A96" s="34" t="s">
        <v>42</v>
      </c>
      <c r="B96" s="34" t="s">
        <v>118</v>
      </c>
      <c r="C96" s="34"/>
      <c r="D96" s="34" t="s">
        <v>148</v>
      </c>
      <c r="E96" s="54">
        <v>42493</v>
      </c>
      <c r="F96" s="35">
        <f>319.894+2.599</f>
        <v>322.49299999999999</v>
      </c>
      <c r="G96" s="35"/>
      <c r="H96" s="35"/>
      <c r="I96" s="49">
        <f t="shared" si="79"/>
        <v>322.49299999999999</v>
      </c>
      <c r="J96" s="35"/>
      <c r="K96" s="67"/>
      <c r="L96" s="35"/>
      <c r="M96" s="35">
        <v>0</v>
      </c>
      <c r="N96" s="68" t="s">
        <v>204</v>
      </c>
      <c r="O96" s="68" t="s">
        <v>204</v>
      </c>
      <c r="P96" s="35"/>
      <c r="Q96" s="33"/>
      <c r="R96" s="33"/>
      <c r="S96" s="34"/>
      <c r="T96" s="34">
        <v>0</v>
      </c>
      <c r="U96" s="49">
        <f t="shared" ref="U96:U114" si="97">+I96-SUM(J96:T96)</f>
        <v>322.49299999999999</v>
      </c>
      <c r="V96" s="33">
        <f t="shared" si="91"/>
        <v>0</v>
      </c>
      <c r="W96" s="49">
        <f t="shared" si="92"/>
        <v>322.49299999999999</v>
      </c>
      <c r="X96" s="33">
        <f t="shared" si="93"/>
        <v>32.249299999999998</v>
      </c>
      <c r="Y96" s="33">
        <v>10.23</v>
      </c>
      <c r="Z96" s="33" t="str">
        <f t="shared" si="94"/>
        <v>XX</v>
      </c>
      <c r="AA96" s="49" t="e">
        <f t="shared" si="95"/>
        <v>#VALUE!</v>
      </c>
      <c r="AB96" s="56"/>
      <c r="AC96" s="56"/>
      <c r="AD96" s="50">
        <f t="shared" si="96"/>
        <v>-322.49299999999999</v>
      </c>
      <c r="AE96" s="36">
        <v>56708845882</v>
      </c>
      <c r="AF96" s="36"/>
      <c r="AG96" s="18" t="s">
        <v>173</v>
      </c>
    </row>
    <row r="97" spans="1:33" s="18" customFormat="1">
      <c r="A97" s="34" t="s">
        <v>40</v>
      </c>
      <c r="B97" s="34" t="s">
        <v>147</v>
      </c>
      <c r="C97" s="34"/>
      <c r="D97" s="34" t="s">
        <v>122</v>
      </c>
      <c r="E97" s="54">
        <v>42716</v>
      </c>
      <c r="F97" s="35">
        <f>805.5+2.599+46.782</f>
        <v>854.88100000000009</v>
      </c>
      <c r="G97" s="35"/>
      <c r="H97" s="35"/>
      <c r="I97" s="49">
        <f t="shared" si="79"/>
        <v>854.88100000000009</v>
      </c>
      <c r="J97" s="35"/>
      <c r="K97" s="67"/>
      <c r="L97" s="35"/>
      <c r="M97" s="35"/>
      <c r="N97" s="68"/>
      <c r="O97" s="68"/>
      <c r="P97" s="35"/>
      <c r="Q97" s="33"/>
      <c r="R97" s="33"/>
      <c r="S97" s="34"/>
      <c r="T97" s="65">
        <v>301.08999999999997</v>
      </c>
      <c r="U97" s="49">
        <f t="shared" ref="U97" si="98">+I97-SUM(J97:T97)</f>
        <v>553.79100000000017</v>
      </c>
      <c r="V97" s="33">
        <f t="shared" ref="V97" si="99">IF(I97&gt;2250,I97*0.1,0)</f>
        <v>0</v>
      </c>
      <c r="W97" s="49">
        <f t="shared" ref="W97" si="100">+U97-V97</f>
        <v>553.79100000000017</v>
      </c>
      <c r="X97" s="33"/>
      <c r="Y97" s="33"/>
      <c r="Z97" s="33">
        <f t="shared" si="94"/>
        <v>0</v>
      </c>
      <c r="AA97" s="49"/>
      <c r="AB97" s="56"/>
      <c r="AC97" s="56"/>
      <c r="AD97" s="50"/>
      <c r="AE97" s="36">
        <v>60589845501</v>
      </c>
      <c r="AF97" s="36"/>
      <c r="AG97" s="18" t="s">
        <v>173</v>
      </c>
    </row>
    <row r="98" spans="1:33" s="18" customFormat="1">
      <c r="A98" s="34" t="s">
        <v>40</v>
      </c>
      <c r="B98" s="34" t="s">
        <v>99</v>
      </c>
      <c r="C98" s="34"/>
      <c r="D98" s="34" t="s">
        <v>43</v>
      </c>
      <c r="E98" s="54">
        <v>42170</v>
      </c>
      <c r="F98" s="35">
        <f>2488.24+13.099</f>
        <v>2501.3389999999999</v>
      </c>
      <c r="G98" s="35"/>
      <c r="H98" s="35"/>
      <c r="I98" s="49">
        <f t="shared" si="79"/>
        <v>2501.3389999999999</v>
      </c>
      <c r="J98" s="67"/>
      <c r="K98" s="67"/>
      <c r="L98" s="35"/>
      <c r="M98" s="35">
        <v>0</v>
      </c>
      <c r="N98" s="68"/>
      <c r="O98" s="68"/>
      <c r="P98" s="35"/>
      <c r="Q98" s="33"/>
      <c r="R98" s="33"/>
      <c r="S98" s="34"/>
      <c r="T98" s="34">
        <v>0</v>
      </c>
      <c r="U98" s="49">
        <f t="shared" si="97"/>
        <v>2501.3389999999999</v>
      </c>
      <c r="V98" s="33">
        <f t="shared" si="91"/>
        <v>250.13390000000001</v>
      </c>
      <c r="W98" s="49">
        <f t="shared" si="92"/>
        <v>2251.2051000000001</v>
      </c>
      <c r="X98" s="33">
        <f t="shared" si="93"/>
        <v>0</v>
      </c>
      <c r="Y98" s="33">
        <v>10.23</v>
      </c>
      <c r="Z98" s="33">
        <f t="shared" si="94"/>
        <v>0</v>
      </c>
      <c r="AA98" s="49">
        <f t="shared" si="95"/>
        <v>2511.569</v>
      </c>
      <c r="AB98" s="56"/>
      <c r="AC98" s="57"/>
      <c r="AD98" s="50">
        <f t="shared" si="96"/>
        <v>-2251.2051000000001</v>
      </c>
      <c r="AE98" s="36">
        <v>56708881929</v>
      </c>
      <c r="AF98" s="36"/>
      <c r="AG98" s="18" t="s">
        <v>173</v>
      </c>
    </row>
    <row r="99" spans="1:33" s="18" customFormat="1">
      <c r="A99" s="34" t="s">
        <v>42</v>
      </c>
      <c r="B99" s="34" t="s">
        <v>58</v>
      </c>
      <c r="C99" s="34"/>
      <c r="D99" s="34" t="s">
        <v>125</v>
      </c>
      <c r="E99" s="54">
        <v>36868</v>
      </c>
      <c r="F99" s="35">
        <f>1808.507+7.428+205.15</f>
        <v>2021.0850000000003</v>
      </c>
      <c r="G99" s="35"/>
      <c r="H99" s="35"/>
      <c r="I99" s="49">
        <f t="shared" si="79"/>
        <v>2021.0850000000003</v>
      </c>
      <c r="J99" s="35">
        <v>236.31</v>
      </c>
      <c r="K99" s="67"/>
      <c r="L99" s="35"/>
      <c r="M99" s="35">
        <v>0</v>
      </c>
      <c r="N99" s="68" t="s">
        <v>204</v>
      </c>
      <c r="O99" s="68" t="s">
        <v>204</v>
      </c>
      <c r="P99" s="35"/>
      <c r="Q99" s="33"/>
      <c r="R99" s="33"/>
      <c r="S99" s="34"/>
      <c r="T99" s="34">
        <v>0</v>
      </c>
      <c r="U99" s="49">
        <f t="shared" si="97"/>
        <v>1784.7750000000003</v>
      </c>
      <c r="V99" s="33">
        <f t="shared" si="91"/>
        <v>0</v>
      </c>
      <c r="W99" s="49">
        <f t="shared" si="92"/>
        <v>1784.7750000000003</v>
      </c>
      <c r="X99" s="33">
        <f t="shared" si="93"/>
        <v>202.10850000000005</v>
      </c>
      <c r="Y99" s="33">
        <v>10.23</v>
      </c>
      <c r="Z99" s="33" t="str">
        <f t="shared" si="94"/>
        <v>XX</v>
      </c>
      <c r="AA99" s="49" t="e">
        <f t="shared" si="95"/>
        <v>#VALUE!</v>
      </c>
      <c r="AB99" s="56"/>
      <c r="AC99" s="56"/>
      <c r="AD99" s="50">
        <f t="shared" si="96"/>
        <v>-1784.7750000000003</v>
      </c>
      <c r="AE99" s="36">
        <v>56708845911</v>
      </c>
      <c r="AF99" s="36" t="s">
        <v>156</v>
      </c>
      <c r="AG99" s="18" t="s">
        <v>173</v>
      </c>
    </row>
    <row r="100" spans="1:33" s="18" customFormat="1">
      <c r="A100" s="34" t="s">
        <v>42</v>
      </c>
      <c r="B100" s="34" t="s">
        <v>56</v>
      </c>
      <c r="C100" s="34"/>
      <c r="D100" s="34" t="s">
        <v>123</v>
      </c>
      <c r="E100" s="54">
        <v>41949</v>
      </c>
      <c r="F100" s="35">
        <f>2883.6+7.428</f>
        <v>2891.0279999999998</v>
      </c>
      <c r="G100" s="35"/>
      <c r="H100" s="35"/>
      <c r="I100" s="49">
        <f t="shared" si="79"/>
        <v>2891.0279999999998</v>
      </c>
      <c r="J100" s="35"/>
      <c r="K100" s="67"/>
      <c r="L100" s="35"/>
      <c r="M100" s="35">
        <v>250</v>
      </c>
      <c r="N100" s="68" t="s">
        <v>204</v>
      </c>
      <c r="O100" s="68" t="s">
        <v>204</v>
      </c>
      <c r="P100" s="35"/>
      <c r="Q100" s="33"/>
      <c r="R100" s="33"/>
      <c r="S100" s="34"/>
      <c r="T100" s="34">
        <v>0</v>
      </c>
      <c r="U100" s="49">
        <f t="shared" si="97"/>
        <v>2641.0279999999998</v>
      </c>
      <c r="V100" s="33">
        <f t="shared" si="91"/>
        <v>289.1028</v>
      </c>
      <c r="W100" s="49">
        <f t="shared" si="92"/>
        <v>2351.9251999999997</v>
      </c>
      <c r="X100" s="33">
        <f t="shared" si="93"/>
        <v>0</v>
      </c>
      <c r="Y100" s="33">
        <v>10.23</v>
      </c>
      <c r="Z100" s="33" t="str">
        <f t="shared" si="94"/>
        <v>XX</v>
      </c>
      <c r="AA100" s="49" t="e">
        <f t="shared" si="95"/>
        <v>#VALUE!</v>
      </c>
      <c r="AB100" s="56"/>
      <c r="AC100" s="57"/>
      <c r="AD100" s="50">
        <f t="shared" si="96"/>
        <v>-2351.9251999999997</v>
      </c>
      <c r="AE100" s="36">
        <v>56708845925</v>
      </c>
      <c r="AF100" s="34"/>
      <c r="AG100" s="18" t="s">
        <v>173</v>
      </c>
    </row>
    <row r="101" spans="1:33" s="95" customFormat="1">
      <c r="A101" s="85" t="s">
        <v>40</v>
      </c>
      <c r="B101" s="85" t="s">
        <v>157</v>
      </c>
      <c r="C101" s="85"/>
      <c r="D101" s="85" t="s">
        <v>122</v>
      </c>
      <c r="E101" s="86">
        <v>42756</v>
      </c>
      <c r="F101" s="87">
        <v>0</v>
      </c>
      <c r="G101" s="87"/>
      <c r="H101" s="87"/>
      <c r="I101" s="40">
        <f t="shared" si="79"/>
        <v>0</v>
      </c>
      <c r="J101" s="87"/>
      <c r="K101" s="88"/>
      <c r="L101" s="87"/>
      <c r="M101" s="87"/>
      <c r="N101" s="89"/>
      <c r="O101" s="89"/>
      <c r="P101" s="87"/>
      <c r="Q101" s="90"/>
      <c r="R101" s="90"/>
      <c r="S101" s="85"/>
      <c r="T101" s="85"/>
      <c r="U101" s="40">
        <f t="shared" ref="U101:U102" si="101">+I101-SUM(J101:T101)</f>
        <v>0</v>
      </c>
      <c r="V101" s="90">
        <f t="shared" ref="V101:V102" si="102">IF(I101&gt;2250,I101*0.1,0)</f>
        <v>0</v>
      </c>
      <c r="W101" s="40">
        <f t="shared" ref="W101:W102" si="103">+U101-V101</f>
        <v>0</v>
      </c>
      <c r="X101" s="90"/>
      <c r="Y101" s="90"/>
      <c r="Z101" s="90"/>
      <c r="AA101" s="40"/>
      <c r="AB101" s="91"/>
      <c r="AC101" s="92"/>
      <c r="AD101" s="93"/>
      <c r="AE101" s="94">
        <v>60589806088</v>
      </c>
      <c r="AF101" s="85"/>
      <c r="AG101" s="95" t="s">
        <v>173</v>
      </c>
    </row>
    <row r="102" spans="1:33" s="18" customFormat="1">
      <c r="A102" s="34" t="s">
        <v>40</v>
      </c>
      <c r="B102" s="34" t="s">
        <v>34</v>
      </c>
      <c r="C102" s="34"/>
      <c r="D102" s="34" t="s">
        <v>43</v>
      </c>
      <c r="E102" s="54">
        <v>42129</v>
      </c>
      <c r="F102" s="35">
        <f>1833.44+13.099</f>
        <v>1846.539</v>
      </c>
      <c r="G102" s="35"/>
      <c r="H102" s="35"/>
      <c r="I102" s="49">
        <f t="shared" si="79"/>
        <v>1846.539</v>
      </c>
      <c r="J102" s="35"/>
      <c r="K102" s="67"/>
      <c r="L102" s="35"/>
      <c r="M102" s="35">
        <v>0</v>
      </c>
      <c r="N102" s="68"/>
      <c r="O102" s="68"/>
      <c r="P102" s="35"/>
      <c r="Q102" s="33"/>
      <c r="R102" s="33"/>
      <c r="S102" s="34"/>
      <c r="T102" s="34">
        <v>0</v>
      </c>
      <c r="U102" s="49">
        <f t="shared" si="101"/>
        <v>1846.539</v>
      </c>
      <c r="V102" s="33">
        <f t="shared" si="102"/>
        <v>0</v>
      </c>
      <c r="W102" s="49">
        <f t="shared" si="103"/>
        <v>1846.539</v>
      </c>
      <c r="X102" s="33">
        <f t="shared" si="93"/>
        <v>184.65390000000002</v>
      </c>
      <c r="Y102" s="33">
        <v>10.23</v>
      </c>
      <c r="Z102" s="33">
        <f t="shared" si="94"/>
        <v>0</v>
      </c>
      <c r="AA102" s="49">
        <f t="shared" si="95"/>
        <v>2041.4229</v>
      </c>
      <c r="AB102" s="56"/>
      <c r="AC102" s="57"/>
      <c r="AD102" s="50">
        <f t="shared" si="96"/>
        <v>-1846.539</v>
      </c>
      <c r="AE102" s="36">
        <v>56708845939</v>
      </c>
      <c r="AF102" s="36"/>
      <c r="AG102" s="18" t="s">
        <v>173</v>
      </c>
    </row>
    <row r="103" spans="1:33" s="18" customFormat="1">
      <c r="A103" s="34" t="s">
        <v>40</v>
      </c>
      <c r="B103" s="34" t="s">
        <v>205</v>
      </c>
      <c r="C103" s="34"/>
      <c r="D103" s="34" t="s">
        <v>43</v>
      </c>
      <c r="E103" s="54">
        <v>42815</v>
      </c>
      <c r="F103" s="35">
        <f>1204.704+5.571</f>
        <v>1210.2749999999999</v>
      </c>
      <c r="G103" s="35"/>
      <c r="H103" s="35"/>
      <c r="I103" s="49">
        <f t="shared" si="79"/>
        <v>1210.2749999999999</v>
      </c>
      <c r="J103" s="35"/>
      <c r="K103" s="67"/>
      <c r="L103" s="35"/>
      <c r="M103" s="35"/>
      <c r="N103" s="68"/>
      <c r="O103" s="68"/>
      <c r="P103" s="35"/>
      <c r="Q103" s="33"/>
      <c r="R103" s="33"/>
      <c r="S103" s="34"/>
      <c r="T103" s="34"/>
      <c r="U103" s="49"/>
      <c r="V103" s="33"/>
      <c r="W103" s="49"/>
      <c r="X103" s="33"/>
      <c r="Y103" s="33"/>
      <c r="Z103" s="33"/>
      <c r="AA103" s="49"/>
      <c r="AB103" s="56"/>
      <c r="AC103" s="57"/>
      <c r="AD103" s="50"/>
      <c r="AE103" s="36">
        <v>60589426888</v>
      </c>
      <c r="AF103" s="36"/>
      <c r="AG103" s="18" t="s">
        <v>173</v>
      </c>
    </row>
    <row r="104" spans="1:33" s="18" customFormat="1">
      <c r="A104" s="34" t="s">
        <v>40</v>
      </c>
      <c r="B104" s="34" t="s">
        <v>85</v>
      </c>
      <c r="C104" s="34"/>
      <c r="D104" s="34" t="s">
        <v>122</v>
      </c>
      <c r="E104" s="54">
        <v>42422</v>
      </c>
      <c r="F104" s="35">
        <f>998.57+3.714</f>
        <v>1002.2840000000001</v>
      </c>
      <c r="G104" s="35"/>
      <c r="H104" s="35"/>
      <c r="I104" s="49">
        <f t="shared" si="79"/>
        <v>1002.2840000000001</v>
      </c>
      <c r="J104" s="35"/>
      <c r="K104" s="67"/>
      <c r="L104" s="35"/>
      <c r="M104" s="35">
        <v>0</v>
      </c>
      <c r="N104" s="68"/>
      <c r="O104" s="68"/>
      <c r="P104" s="35"/>
      <c r="Q104" s="33"/>
      <c r="R104" s="33"/>
      <c r="S104" s="34"/>
      <c r="T104" s="34">
        <v>0</v>
      </c>
      <c r="U104" s="49">
        <f t="shared" ref="U104" si="104">+I104-SUM(J104:T104)</f>
        <v>1002.2840000000001</v>
      </c>
      <c r="V104" s="33">
        <f t="shared" ref="V104" si="105">IF(I104&gt;2250,I104*0.1,0)</f>
        <v>0</v>
      </c>
      <c r="W104" s="49">
        <f t="shared" ref="W104" si="106">+U104-V104</f>
        <v>1002.2840000000001</v>
      </c>
      <c r="X104" s="33">
        <f t="shared" si="93"/>
        <v>100.22840000000002</v>
      </c>
      <c r="Y104" s="33">
        <v>10.23</v>
      </c>
      <c r="Z104" s="33">
        <f t="shared" si="94"/>
        <v>0</v>
      </c>
      <c r="AA104" s="49">
        <f t="shared" si="95"/>
        <v>1112.7424000000001</v>
      </c>
      <c r="AB104" s="56"/>
      <c r="AC104" s="57"/>
      <c r="AD104" s="50">
        <f t="shared" si="96"/>
        <v>-1002.2840000000001</v>
      </c>
      <c r="AE104" s="36">
        <v>56708845942</v>
      </c>
      <c r="AF104" s="36"/>
      <c r="AG104" s="18" t="s">
        <v>173</v>
      </c>
    </row>
    <row r="105" spans="1:33" s="18" customFormat="1">
      <c r="A105" s="34" t="s">
        <v>42</v>
      </c>
      <c r="B105" s="34" t="s">
        <v>100</v>
      </c>
      <c r="C105" s="34"/>
      <c r="D105" s="34" t="s">
        <v>126</v>
      </c>
      <c r="E105" s="54">
        <v>41227</v>
      </c>
      <c r="F105" s="35">
        <f>3746.952+3.736</f>
        <v>3750.6880000000001</v>
      </c>
      <c r="G105" s="35">
        <v>2773.2</v>
      </c>
      <c r="H105" s="35"/>
      <c r="I105" s="49">
        <f t="shared" si="79"/>
        <v>6523.8879999999999</v>
      </c>
      <c r="J105" s="35">
        <f>209.76</f>
        <v>209.76</v>
      </c>
      <c r="K105" s="67"/>
      <c r="L105" s="35"/>
      <c r="M105" s="35">
        <v>400</v>
      </c>
      <c r="N105" s="68" t="s">
        <v>204</v>
      </c>
      <c r="O105" s="68" t="s">
        <v>204</v>
      </c>
      <c r="P105" s="35">
        <v>343.11</v>
      </c>
      <c r="Q105" s="33"/>
      <c r="R105" s="33"/>
      <c r="S105" s="34"/>
      <c r="T105" s="34">
        <v>0</v>
      </c>
      <c r="U105" s="49">
        <f t="shared" si="97"/>
        <v>5571.018</v>
      </c>
      <c r="V105" s="33">
        <f t="shared" si="91"/>
        <v>652.38880000000006</v>
      </c>
      <c r="W105" s="49">
        <f t="shared" si="92"/>
        <v>4918.6292000000003</v>
      </c>
      <c r="X105" s="33">
        <f t="shared" si="93"/>
        <v>0</v>
      </c>
      <c r="Y105" s="33">
        <v>10.23</v>
      </c>
      <c r="Z105" s="33" t="str">
        <f t="shared" si="94"/>
        <v>XX</v>
      </c>
      <c r="AA105" s="49" t="e">
        <f t="shared" si="95"/>
        <v>#VALUE!</v>
      </c>
      <c r="AB105" s="56"/>
      <c r="AC105" s="56"/>
      <c r="AD105" s="50">
        <f t="shared" si="96"/>
        <v>-4918.6292000000003</v>
      </c>
      <c r="AE105" s="36">
        <v>56708881946</v>
      </c>
      <c r="AF105" s="36" t="s">
        <v>156</v>
      </c>
      <c r="AG105" s="18" t="s">
        <v>173</v>
      </c>
    </row>
    <row r="106" spans="1:33" s="95" customFormat="1">
      <c r="A106" s="85" t="s">
        <v>40</v>
      </c>
      <c r="B106" s="85" t="s">
        <v>190</v>
      </c>
      <c r="C106" s="85"/>
      <c r="D106" s="85" t="s">
        <v>43</v>
      </c>
      <c r="E106" s="86">
        <v>42851</v>
      </c>
      <c r="F106" s="87"/>
      <c r="G106" s="87"/>
      <c r="H106" s="87"/>
      <c r="I106" s="40">
        <f t="shared" si="79"/>
        <v>0</v>
      </c>
      <c r="J106" s="87"/>
      <c r="K106" s="88"/>
      <c r="L106" s="87"/>
      <c r="M106" s="87"/>
      <c r="N106" s="89"/>
      <c r="O106" s="89"/>
      <c r="P106" s="87"/>
      <c r="Q106" s="90"/>
      <c r="R106" s="90"/>
      <c r="S106" s="85"/>
      <c r="T106" s="85"/>
      <c r="U106" s="40"/>
      <c r="V106" s="90"/>
      <c r="W106" s="40"/>
      <c r="X106" s="90"/>
      <c r="Y106" s="90"/>
      <c r="Z106" s="90"/>
      <c r="AA106" s="40"/>
      <c r="AB106" s="91"/>
      <c r="AC106" s="91"/>
      <c r="AD106" s="93"/>
      <c r="AE106" s="94">
        <v>60590455941</v>
      </c>
      <c r="AF106" s="94"/>
      <c r="AG106" s="95" t="s">
        <v>173</v>
      </c>
    </row>
    <row r="107" spans="1:33" s="18" customFormat="1">
      <c r="A107" s="34" t="s">
        <v>42</v>
      </c>
      <c r="B107" s="34" t="s">
        <v>133</v>
      </c>
      <c r="C107" s="34"/>
      <c r="D107" s="34" t="s">
        <v>122</v>
      </c>
      <c r="E107" s="54">
        <v>42635</v>
      </c>
      <c r="F107" s="35">
        <v>704.4</v>
      </c>
      <c r="G107" s="35"/>
      <c r="H107" s="35"/>
      <c r="I107" s="49">
        <f t="shared" si="79"/>
        <v>704.4</v>
      </c>
      <c r="J107" s="35"/>
      <c r="K107" s="67"/>
      <c r="L107" s="35"/>
      <c r="M107" s="35"/>
      <c r="N107" s="68" t="s">
        <v>204</v>
      </c>
      <c r="O107" s="68" t="s">
        <v>204</v>
      </c>
      <c r="P107" s="35"/>
      <c r="Q107" s="33"/>
      <c r="R107" s="33"/>
      <c r="S107" s="34"/>
      <c r="T107" s="34"/>
      <c r="U107" s="49">
        <f t="shared" ref="U107" si="107">+I107-SUM(J107:T107)</f>
        <v>704.4</v>
      </c>
      <c r="V107" s="33">
        <f t="shared" ref="V107" si="108">IF(I107&gt;2250,I107*0.1,0)</f>
        <v>0</v>
      </c>
      <c r="W107" s="49">
        <f t="shared" ref="W107" si="109">+U107-V107</f>
        <v>704.4</v>
      </c>
      <c r="X107" s="33"/>
      <c r="Y107" s="33"/>
      <c r="Z107" s="33"/>
      <c r="AA107" s="49"/>
      <c r="AB107" s="56"/>
      <c r="AC107" s="56"/>
      <c r="AD107" s="50"/>
      <c r="AE107" s="36">
        <v>56708881608</v>
      </c>
      <c r="AF107" s="34"/>
      <c r="AG107" s="18" t="s">
        <v>173</v>
      </c>
    </row>
    <row r="108" spans="1:33" s="18" customFormat="1">
      <c r="A108" s="34" t="s">
        <v>42</v>
      </c>
      <c r="B108" s="34" t="s">
        <v>102</v>
      </c>
      <c r="C108" s="34"/>
      <c r="D108" s="34" t="s">
        <v>126</v>
      </c>
      <c r="E108" s="54">
        <v>41703</v>
      </c>
      <c r="F108" s="35">
        <v>1256.7850000000001</v>
      </c>
      <c r="G108" s="35"/>
      <c r="H108" s="35"/>
      <c r="I108" s="49">
        <f t="shared" si="79"/>
        <v>1256.7850000000001</v>
      </c>
      <c r="J108" s="35"/>
      <c r="K108" s="67"/>
      <c r="L108" s="35"/>
      <c r="M108" s="35">
        <v>0</v>
      </c>
      <c r="N108" s="68" t="s">
        <v>204</v>
      </c>
      <c r="O108" s="68" t="s">
        <v>204</v>
      </c>
      <c r="P108" s="35"/>
      <c r="Q108" s="33"/>
      <c r="R108" s="33"/>
      <c r="S108" s="34"/>
      <c r="T108" s="34">
        <v>0</v>
      </c>
      <c r="U108" s="49">
        <f t="shared" si="97"/>
        <v>1256.7850000000001</v>
      </c>
      <c r="V108" s="33">
        <f t="shared" si="91"/>
        <v>0</v>
      </c>
      <c r="W108" s="49">
        <f t="shared" si="92"/>
        <v>1256.7850000000001</v>
      </c>
      <c r="X108" s="33">
        <f t="shared" si="93"/>
        <v>125.67850000000001</v>
      </c>
      <c r="Y108" s="33">
        <v>10.23</v>
      </c>
      <c r="Z108" s="33" t="str">
        <f t="shared" si="94"/>
        <v>XX</v>
      </c>
      <c r="AA108" s="49" t="e">
        <f t="shared" si="95"/>
        <v>#VALUE!</v>
      </c>
      <c r="AB108" s="56"/>
      <c r="AC108" s="56"/>
      <c r="AD108" s="50">
        <f t="shared" si="96"/>
        <v>-1256.7850000000001</v>
      </c>
      <c r="AE108" s="36">
        <v>56708845973</v>
      </c>
      <c r="AF108" s="34"/>
      <c r="AG108" s="18" t="s">
        <v>173</v>
      </c>
    </row>
    <row r="109" spans="1:33" s="18" customFormat="1">
      <c r="A109" s="34" t="s">
        <v>42</v>
      </c>
      <c r="B109" s="34" t="s">
        <v>166</v>
      </c>
      <c r="C109" s="34"/>
      <c r="D109" s="34" t="s">
        <v>148</v>
      </c>
      <c r="E109" s="54">
        <v>42804</v>
      </c>
      <c r="F109" s="35">
        <f>1922.4+7.428</f>
        <v>1929.8280000000002</v>
      </c>
      <c r="G109" s="35"/>
      <c r="H109" s="35"/>
      <c r="I109" s="49">
        <f t="shared" si="79"/>
        <v>1929.8280000000002</v>
      </c>
      <c r="J109" s="35"/>
      <c r="K109" s="67"/>
      <c r="L109" s="35"/>
      <c r="M109" s="35"/>
      <c r="N109" s="68" t="s">
        <v>204</v>
      </c>
      <c r="O109" s="68" t="s">
        <v>204</v>
      </c>
      <c r="P109" s="35"/>
      <c r="Q109" s="33"/>
      <c r="R109" s="33"/>
      <c r="S109" s="34"/>
      <c r="T109" s="34"/>
      <c r="U109" s="49">
        <f t="shared" si="97"/>
        <v>1929.8280000000002</v>
      </c>
      <c r="V109" s="33"/>
      <c r="W109" s="49"/>
      <c r="X109" s="33"/>
      <c r="Y109" s="33"/>
      <c r="Z109" s="33"/>
      <c r="AA109" s="49"/>
      <c r="AB109" s="56"/>
      <c r="AC109" s="56"/>
      <c r="AD109" s="50"/>
      <c r="AE109" s="36">
        <v>56684566360</v>
      </c>
      <c r="AF109" s="34"/>
      <c r="AG109" s="18" t="s">
        <v>173</v>
      </c>
    </row>
    <row r="110" spans="1:33" s="18" customFormat="1">
      <c r="A110" s="34" t="s">
        <v>42</v>
      </c>
      <c r="B110" s="34" t="s">
        <v>52</v>
      </c>
      <c r="C110" s="34"/>
      <c r="D110" s="34" t="s">
        <v>126</v>
      </c>
      <c r="E110" s="54">
        <v>41291</v>
      </c>
      <c r="F110" s="35">
        <f>5982.559+2.599</f>
        <v>5985.1580000000004</v>
      </c>
      <c r="G110" s="35"/>
      <c r="H110" s="35"/>
      <c r="I110" s="49">
        <f t="shared" si="79"/>
        <v>5985.1580000000004</v>
      </c>
      <c r="J110" s="35">
        <v>216.71</v>
      </c>
      <c r="K110" s="67"/>
      <c r="L110" s="35"/>
      <c r="M110" s="35">
        <v>200</v>
      </c>
      <c r="N110" s="68" t="s">
        <v>204</v>
      </c>
      <c r="O110" s="68" t="s">
        <v>204</v>
      </c>
      <c r="P110" s="35">
        <v>343.11</v>
      </c>
      <c r="Q110" s="33"/>
      <c r="R110" s="33"/>
      <c r="S110" s="34"/>
      <c r="T110" s="34">
        <v>0</v>
      </c>
      <c r="U110" s="49">
        <f t="shared" si="97"/>
        <v>5225.3380000000006</v>
      </c>
      <c r="V110" s="33">
        <f t="shared" si="91"/>
        <v>598.51580000000001</v>
      </c>
      <c r="W110" s="49">
        <f t="shared" si="92"/>
        <v>4626.8222000000005</v>
      </c>
      <c r="X110" s="33">
        <f t="shared" si="93"/>
        <v>0</v>
      </c>
      <c r="Y110" s="33">
        <v>10.23</v>
      </c>
      <c r="Z110" s="33" t="str">
        <f t="shared" si="94"/>
        <v>XX</v>
      </c>
      <c r="AA110" s="49" t="e">
        <f t="shared" si="95"/>
        <v>#VALUE!</v>
      </c>
      <c r="AB110" s="56"/>
      <c r="AC110" s="56"/>
      <c r="AD110" s="50">
        <f t="shared" si="96"/>
        <v>-4626.8222000000005</v>
      </c>
      <c r="AE110" s="36">
        <v>56708881963</v>
      </c>
      <c r="AF110" s="36" t="s">
        <v>156</v>
      </c>
      <c r="AG110" s="18" t="s">
        <v>173</v>
      </c>
    </row>
    <row r="111" spans="1:33" s="18" customFormat="1">
      <c r="A111" s="34" t="s">
        <v>40</v>
      </c>
      <c r="B111" s="34" t="s">
        <v>60</v>
      </c>
      <c r="C111" s="34"/>
      <c r="D111" s="34" t="s">
        <v>43</v>
      </c>
      <c r="E111" s="54">
        <v>41666</v>
      </c>
      <c r="F111" s="35">
        <f>1869+7.428</f>
        <v>1876.4280000000001</v>
      </c>
      <c r="G111" s="35"/>
      <c r="H111" s="35"/>
      <c r="I111" s="49">
        <f t="shared" si="79"/>
        <v>1876.4280000000001</v>
      </c>
      <c r="J111" s="35"/>
      <c r="K111" s="67"/>
      <c r="L111" s="35"/>
      <c r="M111" s="35">
        <v>200</v>
      </c>
      <c r="N111" s="68"/>
      <c r="O111" s="68"/>
      <c r="P111" s="35"/>
      <c r="Q111" s="33"/>
      <c r="R111" s="33"/>
      <c r="S111" s="34"/>
      <c r="T111" s="34">
        <v>0</v>
      </c>
      <c r="U111" s="49">
        <f t="shared" si="97"/>
        <v>1676.4280000000001</v>
      </c>
      <c r="V111" s="33">
        <f t="shared" si="91"/>
        <v>0</v>
      </c>
      <c r="W111" s="49">
        <f t="shared" si="92"/>
        <v>1676.4280000000001</v>
      </c>
      <c r="X111" s="33">
        <f t="shared" si="93"/>
        <v>187.64280000000002</v>
      </c>
      <c r="Y111" s="33">
        <v>10.23</v>
      </c>
      <c r="Z111" s="33">
        <f t="shared" si="94"/>
        <v>0</v>
      </c>
      <c r="AA111" s="49">
        <f t="shared" si="95"/>
        <v>2074.3008</v>
      </c>
      <c r="AB111" s="56"/>
      <c r="AC111" s="57"/>
      <c r="AD111" s="50">
        <f t="shared" si="96"/>
        <v>-1676.4280000000001</v>
      </c>
      <c r="AE111" s="36">
        <v>56708845990</v>
      </c>
      <c r="AF111" s="34"/>
      <c r="AG111" s="18" t="s">
        <v>173</v>
      </c>
    </row>
    <row r="112" spans="1:33" s="18" customFormat="1">
      <c r="A112" s="34" t="s">
        <v>40</v>
      </c>
      <c r="B112" s="34" t="s">
        <v>169</v>
      </c>
      <c r="C112" s="34"/>
      <c r="D112" s="34" t="s">
        <v>43</v>
      </c>
      <c r="E112" s="54">
        <v>42809</v>
      </c>
      <c r="F112" s="35">
        <f>2619.2+13.099</f>
        <v>2632.299</v>
      </c>
      <c r="G112" s="35"/>
      <c r="H112" s="35"/>
      <c r="I112" s="49">
        <f t="shared" si="79"/>
        <v>2632.299</v>
      </c>
      <c r="J112" s="35"/>
      <c r="K112" s="67"/>
      <c r="L112" s="35"/>
      <c r="M112" s="35"/>
      <c r="N112" s="68"/>
      <c r="O112" s="68"/>
      <c r="P112" s="35"/>
      <c r="Q112" s="33"/>
      <c r="R112" s="33"/>
      <c r="S112" s="34"/>
      <c r="T112" s="34"/>
      <c r="U112" s="49">
        <f t="shared" si="97"/>
        <v>2632.299</v>
      </c>
      <c r="V112" s="33"/>
      <c r="W112" s="49"/>
      <c r="X112" s="33"/>
      <c r="Y112" s="33"/>
      <c r="Z112" s="33"/>
      <c r="AA112" s="49"/>
      <c r="AB112" s="56"/>
      <c r="AC112" s="57"/>
      <c r="AD112" s="50"/>
      <c r="AE112" s="36">
        <v>60589597089</v>
      </c>
      <c r="AF112" s="36"/>
      <c r="AG112" s="18" t="s">
        <v>173</v>
      </c>
    </row>
    <row r="113" spans="1:186" s="18" customFormat="1">
      <c r="A113" s="34" t="s">
        <v>42</v>
      </c>
      <c r="B113" s="34" t="s">
        <v>155</v>
      </c>
      <c r="C113" s="34"/>
      <c r="D113" s="34" t="s">
        <v>122</v>
      </c>
      <c r="E113" s="54">
        <v>42752</v>
      </c>
      <c r="F113" s="35">
        <v>762.48500000000001</v>
      </c>
      <c r="G113" s="35"/>
      <c r="H113" s="35"/>
      <c r="I113" s="49">
        <f t="shared" si="79"/>
        <v>762.48500000000001</v>
      </c>
      <c r="J113" s="35"/>
      <c r="K113" s="67"/>
      <c r="L113" s="35"/>
      <c r="M113" s="35"/>
      <c r="N113" s="68" t="s">
        <v>204</v>
      </c>
      <c r="O113" s="68" t="s">
        <v>204</v>
      </c>
      <c r="P113" s="35"/>
      <c r="Q113" s="33"/>
      <c r="R113" s="33"/>
      <c r="S113" s="34"/>
      <c r="T113" s="34"/>
      <c r="U113" s="49">
        <f t="shared" ref="U113" si="110">+I113-SUM(J113:T113)</f>
        <v>762.48500000000001</v>
      </c>
      <c r="V113" s="33">
        <f t="shared" ref="V113" si="111">IF(I113&gt;2250,I113*0.1,0)</f>
        <v>0</v>
      </c>
      <c r="W113" s="49">
        <f t="shared" ref="W113" si="112">+U113-V113</f>
        <v>762.48500000000001</v>
      </c>
      <c r="X113" s="33"/>
      <c r="Y113" s="33"/>
      <c r="Z113" s="33"/>
      <c r="AA113" s="49"/>
      <c r="AB113" s="56"/>
      <c r="AC113" s="57"/>
      <c r="AD113" s="50"/>
      <c r="AE113" s="36">
        <v>60589634536</v>
      </c>
      <c r="AF113" s="36"/>
      <c r="AG113" s="18" t="s">
        <v>173</v>
      </c>
    </row>
    <row r="114" spans="1:186" s="18" customFormat="1">
      <c r="A114" s="34" t="s">
        <v>42</v>
      </c>
      <c r="B114" s="34" t="s">
        <v>121</v>
      </c>
      <c r="C114" s="34"/>
      <c r="D114" s="34" t="s">
        <v>125</v>
      </c>
      <c r="E114" s="54">
        <v>29733</v>
      </c>
      <c r="F114" s="35">
        <f>5298.692+3.714</f>
        <v>5302.4059999999999</v>
      </c>
      <c r="G114" s="35"/>
      <c r="H114" s="35"/>
      <c r="I114" s="49">
        <f t="shared" si="79"/>
        <v>5302.4059999999999</v>
      </c>
      <c r="J114" s="35">
        <v>470.2</v>
      </c>
      <c r="K114" s="67"/>
      <c r="L114" s="35"/>
      <c r="M114" s="35">
        <v>50</v>
      </c>
      <c r="N114" s="68" t="s">
        <v>204</v>
      </c>
      <c r="O114" s="68" t="s">
        <v>204</v>
      </c>
      <c r="P114" s="35"/>
      <c r="Q114" s="33"/>
      <c r="R114" s="33"/>
      <c r="S114" s="34"/>
      <c r="T114" s="34">
        <v>0</v>
      </c>
      <c r="U114" s="49">
        <f t="shared" si="97"/>
        <v>4782.2060000000001</v>
      </c>
      <c r="V114" s="33">
        <f t="shared" si="91"/>
        <v>530.24059999999997</v>
      </c>
      <c r="W114" s="49">
        <f t="shared" si="92"/>
        <v>4251.9654</v>
      </c>
      <c r="X114" s="33">
        <f t="shared" si="93"/>
        <v>0</v>
      </c>
      <c r="Y114" s="33">
        <v>10.23</v>
      </c>
      <c r="Z114" s="33" t="str">
        <f t="shared" si="94"/>
        <v>XX</v>
      </c>
      <c r="AA114" s="49" t="e">
        <f t="shared" si="95"/>
        <v>#VALUE!</v>
      </c>
      <c r="AB114" s="56"/>
      <c r="AC114" s="57"/>
      <c r="AD114" s="50">
        <f t="shared" si="96"/>
        <v>-4251.9654</v>
      </c>
      <c r="AE114" s="36">
        <v>60589747903</v>
      </c>
      <c r="AF114" s="36" t="s">
        <v>156</v>
      </c>
      <c r="AG114" s="18" t="s">
        <v>173</v>
      </c>
    </row>
    <row r="115" spans="1:186" s="18" customFormat="1">
      <c r="A115" s="34" t="s">
        <v>40</v>
      </c>
      <c r="B115" s="34" t="s">
        <v>129</v>
      </c>
      <c r="C115" s="34"/>
      <c r="D115" s="34" t="s">
        <v>148</v>
      </c>
      <c r="E115" s="54">
        <v>42604</v>
      </c>
      <c r="F115" s="35">
        <v>401.02300000000002</v>
      </c>
      <c r="G115" s="35"/>
      <c r="H115" s="35"/>
      <c r="I115" s="49">
        <f t="shared" si="79"/>
        <v>401.02300000000002</v>
      </c>
      <c r="J115" s="35"/>
      <c r="K115" s="67"/>
      <c r="L115" s="35"/>
      <c r="M115" s="35"/>
      <c r="N115" s="68" t="s">
        <v>204</v>
      </c>
      <c r="O115" s="68" t="s">
        <v>204</v>
      </c>
      <c r="P115" s="35"/>
      <c r="Q115" s="33"/>
      <c r="R115" s="33"/>
      <c r="S115" s="34"/>
      <c r="T115" s="34"/>
      <c r="U115" s="49">
        <f t="shared" ref="U115" si="113">+I115-SUM(J115:T115)</f>
        <v>401.02300000000002</v>
      </c>
      <c r="V115" s="33">
        <f t="shared" ref="V115" si="114">IF(I115&gt;2250,I115*0.1,0)</f>
        <v>0</v>
      </c>
      <c r="W115" s="49">
        <f t="shared" ref="W115" si="115">+U115-V115</f>
        <v>401.02300000000002</v>
      </c>
      <c r="X115" s="33"/>
      <c r="Y115" s="33"/>
      <c r="Z115" s="33"/>
      <c r="AA115" s="49"/>
      <c r="AB115" s="56"/>
      <c r="AC115" s="63"/>
      <c r="AD115" s="50"/>
      <c r="AE115" s="36">
        <v>60590218306</v>
      </c>
      <c r="AF115" s="34"/>
      <c r="AG115" s="18" t="s">
        <v>173</v>
      </c>
    </row>
    <row r="116" spans="1:186" s="18" customFormat="1">
      <c r="A116" s="34" t="s">
        <v>40</v>
      </c>
      <c r="B116" s="34" t="s">
        <v>35</v>
      </c>
      <c r="C116" s="34"/>
      <c r="D116" s="34" t="s">
        <v>43</v>
      </c>
      <c r="E116" s="54">
        <v>42361</v>
      </c>
      <c r="F116" s="35">
        <f>774.3+2.972</f>
        <v>777.27199999999993</v>
      </c>
      <c r="G116" s="35"/>
      <c r="H116" s="35"/>
      <c r="I116" s="49">
        <f t="shared" si="79"/>
        <v>777.27199999999993</v>
      </c>
      <c r="J116" s="35"/>
      <c r="K116" s="67"/>
      <c r="L116" s="35"/>
      <c r="M116" s="35">
        <v>0</v>
      </c>
      <c r="N116" s="68"/>
      <c r="O116" s="68"/>
      <c r="P116" s="35"/>
      <c r="Q116" s="33"/>
      <c r="R116" s="33"/>
      <c r="S116" s="34"/>
      <c r="T116" s="34">
        <v>0</v>
      </c>
      <c r="U116" s="49">
        <f>+I116-SUM(J116:T116)</f>
        <v>777.27199999999993</v>
      </c>
      <c r="V116" s="33">
        <f>IF(I116&gt;2250,I116*0.1,0)</f>
        <v>0</v>
      </c>
      <c r="W116" s="49">
        <f>+U116-V116</f>
        <v>777.27199999999993</v>
      </c>
      <c r="X116" s="33">
        <f>IF(I116&lt;2250,I116*0.1,0)</f>
        <v>77.727199999999996</v>
      </c>
      <c r="Y116" s="33">
        <v>10.23</v>
      </c>
      <c r="Z116" s="33">
        <f>+N116</f>
        <v>0</v>
      </c>
      <c r="AA116" s="49">
        <f>+I116+X116+Y116+Z116</f>
        <v>865.22919999999999</v>
      </c>
      <c r="AB116" s="56"/>
      <c r="AC116" s="62"/>
      <c r="AD116" s="50">
        <f>+AB116+AC116-W116</f>
        <v>-777.27199999999993</v>
      </c>
      <c r="AE116" s="36">
        <v>56708846047</v>
      </c>
      <c r="AF116" s="36"/>
      <c r="AG116" s="18" t="s">
        <v>173</v>
      </c>
    </row>
    <row r="117" spans="1:186" s="18" customFormat="1">
      <c r="A117" s="34" t="s">
        <v>40</v>
      </c>
      <c r="B117" s="34" t="s">
        <v>59</v>
      </c>
      <c r="C117" s="34"/>
      <c r="D117" s="34" t="s">
        <v>43</v>
      </c>
      <c r="E117" s="54">
        <v>41549</v>
      </c>
      <c r="F117" s="35">
        <f>3666.88+13.099</f>
        <v>3679.9790000000003</v>
      </c>
      <c r="G117" s="35"/>
      <c r="H117" s="35"/>
      <c r="I117" s="49">
        <f t="shared" si="79"/>
        <v>3679.9790000000003</v>
      </c>
      <c r="J117" s="35"/>
      <c r="K117" s="67"/>
      <c r="L117" s="35"/>
      <c r="M117" s="35">
        <v>500</v>
      </c>
      <c r="N117" s="68"/>
      <c r="O117" s="68"/>
      <c r="P117" s="35"/>
      <c r="Q117" s="33"/>
      <c r="R117" s="33"/>
      <c r="S117" s="34"/>
      <c r="T117" s="34">
        <v>0</v>
      </c>
      <c r="U117" s="49">
        <f>+I117-SUM(J117:T117)</f>
        <v>3179.9790000000003</v>
      </c>
      <c r="V117" s="33">
        <f>IF(I117&gt;2250,I117*0.1,0)</f>
        <v>367.99790000000007</v>
      </c>
      <c r="W117" s="49">
        <f>+U117-V117</f>
        <v>2811.9811</v>
      </c>
      <c r="X117" s="33">
        <f>IF(I117&lt;2250,I117*0.1,0)</f>
        <v>0</v>
      </c>
      <c r="Y117" s="33">
        <v>10.23</v>
      </c>
      <c r="Z117" s="33">
        <f>+N117</f>
        <v>0</v>
      </c>
      <c r="AA117" s="49">
        <f>+I117+X117+Y117+Z117</f>
        <v>3690.2090000000003</v>
      </c>
      <c r="AB117" s="56"/>
      <c r="AC117" s="57"/>
      <c r="AD117" s="50">
        <f>+AB117+AC117-W117</f>
        <v>-2811.9811</v>
      </c>
      <c r="AE117" s="36">
        <v>56708846050</v>
      </c>
      <c r="AF117" s="36"/>
      <c r="AG117" s="18" t="s">
        <v>173</v>
      </c>
    </row>
    <row r="118" spans="1:186">
      <c r="A118" s="29"/>
      <c r="B118" s="34"/>
      <c r="C118" s="29"/>
      <c r="D118" s="29"/>
      <c r="E118" s="66"/>
      <c r="F118" s="31"/>
      <c r="G118" s="31"/>
      <c r="H118" s="31"/>
      <c r="I118" s="49">
        <f t="shared" si="79"/>
        <v>0</v>
      </c>
      <c r="J118" s="35"/>
      <c r="K118" s="35"/>
      <c r="L118" s="35"/>
      <c r="M118" s="35"/>
      <c r="N118" s="35"/>
      <c r="O118" s="35"/>
      <c r="P118" s="35"/>
      <c r="Q118" s="33"/>
      <c r="R118" s="33"/>
      <c r="S118" s="33"/>
      <c r="T118" s="33"/>
      <c r="U118" s="49"/>
      <c r="V118" s="33"/>
      <c r="W118" s="49"/>
      <c r="X118" s="61"/>
      <c r="Y118" s="61"/>
      <c r="Z118" s="61"/>
      <c r="AA118" s="60"/>
      <c r="AB118" s="47"/>
      <c r="AC118" s="47"/>
      <c r="AD118" s="41"/>
      <c r="AE118" s="29"/>
      <c r="AF118" s="29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>
      <c r="A119" s="29"/>
      <c r="B119" s="36" t="s">
        <v>160</v>
      </c>
      <c r="C119" s="29"/>
      <c r="D119" s="29"/>
      <c r="E119" s="66"/>
      <c r="F119" s="39">
        <f>SUM(F74:F117)</f>
        <v>96324.388999999981</v>
      </c>
      <c r="G119" s="39">
        <f t="shared" ref="G119:W119" si="116">SUM(G74:G117)</f>
        <v>2773.2</v>
      </c>
      <c r="H119" s="39">
        <f t="shared" si="116"/>
        <v>7560.54</v>
      </c>
      <c r="I119" s="49">
        <f t="shared" si="79"/>
        <v>106658.12899999997</v>
      </c>
      <c r="J119" s="39">
        <f t="shared" si="116"/>
        <v>2669.5499999999997</v>
      </c>
      <c r="K119" s="39">
        <f t="shared" si="116"/>
        <v>1</v>
      </c>
      <c r="L119" s="39">
        <f t="shared" si="116"/>
        <v>0</v>
      </c>
      <c r="M119" s="39">
        <f t="shared" si="116"/>
        <v>4550</v>
      </c>
      <c r="N119" s="39">
        <f t="shared" si="116"/>
        <v>0</v>
      </c>
      <c r="O119" s="39">
        <f t="shared" si="116"/>
        <v>0</v>
      </c>
      <c r="P119" s="39">
        <f t="shared" si="116"/>
        <v>686.22</v>
      </c>
      <c r="Q119" s="39">
        <f t="shared" si="116"/>
        <v>0</v>
      </c>
      <c r="R119" s="39">
        <f t="shared" si="116"/>
        <v>0</v>
      </c>
      <c r="S119" s="39">
        <f t="shared" si="116"/>
        <v>0</v>
      </c>
      <c r="T119" s="39">
        <f t="shared" si="116"/>
        <v>301.08999999999997</v>
      </c>
      <c r="U119" s="39">
        <f t="shared" si="116"/>
        <v>91833.124000000011</v>
      </c>
      <c r="V119" s="39">
        <f t="shared" si="116"/>
        <v>6825.5460000000003</v>
      </c>
      <c r="W119" s="39">
        <f t="shared" si="116"/>
        <v>75392.269500000009</v>
      </c>
      <c r="X119" s="61"/>
      <c r="Y119" s="61"/>
      <c r="Z119" s="61"/>
      <c r="AA119" s="60"/>
      <c r="AB119" s="47"/>
      <c r="AC119" s="47"/>
      <c r="AD119" s="41"/>
      <c r="AE119" s="29"/>
      <c r="AF119" s="29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</row>
    <row r="120" spans="1:186">
      <c r="B120" s="20"/>
      <c r="C120" s="20"/>
      <c r="AA120" s="14" t="e">
        <f>+#REF!*0.16</f>
        <v>#REF!</v>
      </c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 ht="23.25">
      <c r="A124" s="96" t="s">
        <v>25</v>
      </c>
      <c r="B124" s="96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 s="18" customFormat="1" ht="15.75">
      <c r="A125" s="71" t="s">
        <v>41</v>
      </c>
      <c r="B125" s="71" t="s">
        <v>140</v>
      </c>
      <c r="C125" s="71"/>
      <c r="D125" s="71" t="s">
        <v>45</v>
      </c>
      <c r="E125" s="73"/>
      <c r="F125" s="35"/>
      <c r="G125" s="35"/>
      <c r="H125" s="35"/>
      <c r="I125" s="49">
        <f t="shared" ref="I125:I129" si="117">SUM(F125:H125)</f>
        <v>0</v>
      </c>
      <c r="J125" s="35"/>
      <c r="K125" s="67">
        <v>1</v>
      </c>
      <c r="L125" s="35"/>
      <c r="M125" s="35">
        <v>150</v>
      </c>
      <c r="N125" s="68"/>
      <c r="O125" s="68"/>
      <c r="P125" s="35"/>
      <c r="Q125" s="33"/>
      <c r="R125" s="69"/>
      <c r="S125" s="34"/>
      <c r="T125" s="64"/>
      <c r="U125" s="49">
        <v>-150</v>
      </c>
      <c r="V125" s="33">
        <v>0</v>
      </c>
      <c r="W125" s="49">
        <v>-150</v>
      </c>
      <c r="X125" s="33"/>
      <c r="Y125" s="33"/>
      <c r="Z125" s="33"/>
      <c r="AA125" s="49"/>
      <c r="AB125" s="58"/>
      <c r="AC125" s="56"/>
      <c r="AD125" s="50"/>
      <c r="AE125" s="34">
        <v>60590405464</v>
      </c>
      <c r="AF125" s="75" t="s">
        <v>170</v>
      </c>
      <c r="AG125" s="18" t="s">
        <v>173</v>
      </c>
    </row>
    <row r="126" spans="1:186">
      <c r="A126" s="71" t="s">
        <v>39</v>
      </c>
      <c r="B126" s="71" t="s">
        <v>127</v>
      </c>
      <c r="C126" s="71"/>
      <c r="D126" s="71" t="s">
        <v>45</v>
      </c>
      <c r="E126" s="72">
        <v>34275</v>
      </c>
      <c r="F126" s="35"/>
      <c r="G126" s="35"/>
      <c r="H126" s="35"/>
      <c r="I126" s="49">
        <f t="shared" si="117"/>
        <v>0</v>
      </c>
      <c r="J126" s="35"/>
      <c r="K126" s="67"/>
      <c r="L126" s="35"/>
      <c r="M126" s="35"/>
      <c r="N126" s="68"/>
      <c r="O126" s="68"/>
      <c r="P126" s="35"/>
      <c r="Q126" s="33"/>
      <c r="R126" s="33"/>
      <c r="S126" s="34"/>
      <c r="T126" s="34"/>
      <c r="U126" s="49">
        <v>0</v>
      </c>
      <c r="V126" s="33">
        <v>0</v>
      </c>
      <c r="W126" s="49">
        <v>0</v>
      </c>
      <c r="X126" s="61"/>
      <c r="Y126" s="61"/>
      <c r="Z126" s="61"/>
      <c r="AA126" s="60"/>
      <c r="AB126" s="47"/>
      <c r="AC126" s="47"/>
      <c r="AD126" s="41"/>
      <c r="AE126" s="29">
        <v>60590317373</v>
      </c>
      <c r="AF126" s="75" t="s">
        <v>171</v>
      </c>
      <c r="AG126" s="18" t="s">
        <v>173</v>
      </c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127" s="71" t="s">
        <v>41</v>
      </c>
      <c r="B127" s="71" t="s">
        <v>158</v>
      </c>
      <c r="C127" s="71"/>
      <c r="D127" s="71" t="s">
        <v>159</v>
      </c>
      <c r="E127" s="72">
        <v>38825</v>
      </c>
      <c r="F127" s="35"/>
      <c r="G127" s="35"/>
      <c r="H127" s="35"/>
      <c r="I127" s="49">
        <f t="shared" si="117"/>
        <v>0</v>
      </c>
      <c r="J127" s="35"/>
      <c r="K127" s="67"/>
      <c r="L127" s="35"/>
      <c r="M127" s="35"/>
      <c r="N127" s="68"/>
      <c r="O127" s="68"/>
      <c r="P127" s="35"/>
      <c r="Q127" s="33"/>
      <c r="R127" s="33"/>
      <c r="S127" s="34"/>
      <c r="T127" s="34"/>
      <c r="U127" s="49"/>
      <c r="V127" s="33"/>
      <c r="W127" s="49"/>
      <c r="X127" s="61"/>
      <c r="Y127" s="61"/>
      <c r="Z127" s="61"/>
      <c r="AA127" s="60"/>
      <c r="AB127" s="47"/>
      <c r="AC127" s="47"/>
      <c r="AD127" s="41"/>
      <c r="AE127" s="29">
        <v>56708845376</v>
      </c>
      <c r="AF127" s="75" t="s">
        <v>172</v>
      </c>
      <c r="AG127" s="18" t="s">
        <v>173</v>
      </c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71" t="s">
        <v>42</v>
      </c>
      <c r="B128" s="71" t="s">
        <v>167</v>
      </c>
      <c r="C128" s="71"/>
      <c r="D128" s="71" t="s">
        <v>122</v>
      </c>
      <c r="E128" s="72">
        <v>42807</v>
      </c>
      <c r="F128" s="35">
        <v>852.19200000000001</v>
      </c>
      <c r="G128" s="35"/>
      <c r="H128" s="35"/>
      <c r="I128" s="49">
        <f t="shared" si="117"/>
        <v>852.19200000000001</v>
      </c>
      <c r="J128" s="35"/>
      <c r="K128" s="67"/>
      <c r="L128" s="35"/>
      <c r="M128" s="35"/>
      <c r="N128" s="68"/>
      <c r="O128" s="68"/>
      <c r="P128" s="35"/>
      <c r="Q128" s="33"/>
      <c r="R128" s="33"/>
      <c r="S128" s="34"/>
      <c r="T128" s="34"/>
      <c r="U128" s="49">
        <f t="shared" ref="U128" si="118">+I128-SUM(J128:T128)</f>
        <v>852.19200000000001</v>
      </c>
      <c r="V128" s="33"/>
      <c r="W128" s="49"/>
      <c r="X128" s="61"/>
      <c r="Y128" s="61"/>
      <c r="Z128" s="61"/>
      <c r="AA128" s="60"/>
      <c r="AB128" s="47"/>
      <c r="AC128" s="47"/>
      <c r="AD128" s="41"/>
      <c r="AE128" s="38" t="s">
        <v>150</v>
      </c>
      <c r="AF128" s="75" t="s">
        <v>181</v>
      </c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83" t="s">
        <v>39</v>
      </c>
      <c r="B129" s="71" t="s">
        <v>131</v>
      </c>
      <c r="C129" s="71"/>
      <c r="D129" s="71" t="s">
        <v>130</v>
      </c>
      <c r="E129" s="72">
        <v>42809</v>
      </c>
      <c r="F129" s="35"/>
      <c r="G129" s="35"/>
      <c r="H129" s="35"/>
      <c r="I129" s="49">
        <f t="shared" si="117"/>
        <v>0</v>
      </c>
      <c r="J129" s="35"/>
      <c r="K129" s="67"/>
      <c r="L129" s="35"/>
      <c r="M129" s="35"/>
      <c r="N129" s="68"/>
      <c r="O129" s="68"/>
      <c r="P129" s="35"/>
      <c r="Q129" s="33"/>
      <c r="R129" s="33"/>
      <c r="S129" s="34"/>
      <c r="T129" s="34"/>
      <c r="U129" s="49"/>
      <c r="V129" s="33"/>
      <c r="W129" s="49"/>
      <c r="X129" s="61"/>
      <c r="Y129" s="61"/>
      <c r="Z129" s="61"/>
      <c r="AA129" s="60"/>
      <c r="AB129" s="47"/>
      <c r="AC129" s="47"/>
      <c r="AD129" s="41"/>
      <c r="AE129" s="29">
        <v>60590314454</v>
      </c>
      <c r="AF129" s="75" t="s">
        <v>177</v>
      </c>
      <c r="AG129" s="18" t="s">
        <v>173</v>
      </c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134" s="19" t="s">
        <v>17</v>
      </c>
      <c r="B134" s="13"/>
      <c r="C134" s="13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135" s="19" t="s">
        <v>18</v>
      </c>
      <c r="B135" s="13"/>
      <c r="C135" s="13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6" spans="1:186">
      <c r="A136" s="19" t="s">
        <v>19</v>
      </c>
      <c r="B136" s="13"/>
      <c r="C136" s="13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</row>
    <row r="137" spans="1:186">
      <c r="A137" s="19" t="s">
        <v>20</v>
      </c>
      <c r="B137" s="13"/>
      <c r="C137" s="13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</row>
    <row r="138" spans="1:186">
      <c r="A138" s="19" t="s">
        <v>21</v>
      </c>
      <c r="B138" s="13"/>
      <c r="C138" s="13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</row>
    <row r="139" spans="1:186">
      <c r="A139" s="19" t="s">
        <v>22</v>
      </c>
      <c r="B139" s="13"/>
      <c r="C139" s="13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</row>
    <row r="140" spans="1:186"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</row>
    <row r="141" spans="1:186"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</row>
    <row r="143" spans="1:186">
      <c r="B143" s="17"/>
      <c r="C143" s="21"/>
    </row>
    <row r="144" spans="1:186">
      <c r="B144" s="17"/>
      <c r="C144" s="21"/>
    </row>
    <row r="145" spans="2:3">
      <c r="B145" s="17"/>
      <c r="C145" s="21"/>
    </row>
  </sheetData>
  <sheetProtection selectLockedCells="1" selectUnlockedCells="1"/>
  <autoFilter ref="A5:AF69">
    <filterColumn colId="3"/>
    <filterColumn colId="27" showButton="0"/>
    <sortState ref="A8:AH99">
      <sortCondition ref="B5:B99"/>
    </sortState>
  </autoFilter>
  <mergeCells count="32">
    <mergeCell ref="AF5:AF6"/>
    <mergeCell ref="A73:B73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124:B124"/>
    <mergeCell ref="F5:F6"/>
    <mergeCell ref="A5:A6"/>
    <mergeCell ref="B5:B6"/>
    <mergeCell ref="C5:C6"/>
    <mergeCell ref="D5:D6"/>
    <mergeCell ref="E5:E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2017-05-26T16:38:14Z</dcterms:modified>
</cp:coreProperties>
</file>