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045"/>
  </bookViews>
  <sheets>
    <sheet name="FORMATO NOMINA" sheetId="4" r:id="rId1"/>
  </sheets>
  <definedNames>
    <definedName name="_xlnm._FilterDatabase" localSheetId="0" hidden="1">'FORMATO NOMINA'!$A$5:$AF$70</definedName>
  </definedNames>
  <calcPr calcId="124519"/>
</workbook>
</file>

<file path=xl/calcChain.xml><?xml version="1.0" encoding="utf-8"?>
<calcChain xmlns="http://schemas.openxmlformats.org/spreadsheetml/2006/main">
  <c r="F87" i="4"/>
  <c r="F117" l="1"/>
  <c r="F116"/>
  <c r="F115"/>
  <c r="F112"/>
  <c r="F110"/>
  <c r="F107"/>
  <c r="F102"/>
  <c r="F101"/>
  <c r="F98"/>
  <c r="F96"/>
  <c r="F94"/>
  <c r="F93"/>
  <c r="F88"/>
  <c r="F86"/>
  <c r="F85"/>
  <c r="F83"/>
  <c r="F78"/>
  <c r="F76"/>
  <c r="F75"/>
  <c r="F100" l="1"/>
  <c r="F104"/>
  <c r="F106"/>
  <c r="F82"/>
  <c r="F97"/>
  <c r="F108"/>
  <c r="F95"/>
  <c r="F119"/>
  <c r="F113"/>
  <c r="F114"/>
  <c r="F77"/>
  <c r="F90"/>
  <c r="F84"/>
  <c r="F118"/>
  <c r="F105"/>
  <c r="F92"/>
  <c r="F111"/>
  <c r="F66"/>
  <c r="I44" l="1"/>
  <c r="I89" l="1"/>
  <c r="U89" s="1"/>
  <c r="Q72" l="1"/>
  <c r="I45" l="1"/>
  <c r="U45" s="1"/>
  <c r="I108"/>
  <c r="I70"/>
  <c r="U70" s="1"/>
  <c r="I61" l="1"/>
  <c r="U61" s="1"/>
  <c r="I87" l="1"/>
  <c r="U87" s="1"/>
  <c r="I65"/>
  <c r="I132" l="1"/>
  <c r="I128"/>
  <c r="I129"/>
  <c r="I130"/>
  <c r="I131"/>
  <c r="I127"/>
  <c r="I76"/>
  <c r="I77"/>
  <c r="I78"/>
  <c r="I79"/>
  <c r="I81"/>
  <c r="I82"/>
  <c r="I83"/>
  <c r="I84"/>
  <c r="I85"/>
  <c r="I86"/>
  <c r="I88"/>
  <c r="I90"/>
  <c r="I91"/>
  <c r="I93"/>
  <c r="I94"/>
  <c r="I96"/>
  <c r="I97"/>
  <c r="I98"/>
  <c r="I43"/>
  <c r="I99"/>
  <c r="I100"/>
  <c r="I101"/>
  <c r="I102"/>
  <c r="I103"/>
  <c r="I104"/>
  <c r="I105"/>
  <c r="I106"/>
  <c r="I107"/>
  <c r="I109"/>
  <c r="I110"/>
  <c r="I111"/>
  <c r="I112"/>
  <c r="I113"/>
  <c r="I114"/>
  <c r="I115"/>
  <c r="I116"/>
  <c r="I117"/>
  <c r="I118"/>
  <c r="I119"/>
  <c r="I120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2"/>
  <c r="I33"/>
  <c r="I34"/>
  <c r="I35"/>
  <c r="I36"/>
  <c r="I37"/>
  <c r="I38"/>
  <c r="I39"/>
  <c r="I41"/>
  <c r="I42"/>
  <c r="I46"/>
  <c r="I47"/>
  <c r="I48"/>
  <c r="I49"/>
  <c r="I50"/>
  <c r="I51"/>
  <c r="I52"/>
  <c r="I53"/>
  <c r="I54"/>
  <c r="I55"/>
  <c r="I56"/>
  <c r="I57"/>
  <c r="I58"/>
  <c r="I59"/>
  <c r="I60"/>
  <c r="I62"/>
  <c r="I63"/>
  <c r="I64"/>
  <c r="I66"/>
  <c r="I67"/>
  <c r="I68"/>
  <c r="I69"/>
  <c r="I7"/>
  <c r="F72" l="1"/>
  <c r="U114" l="1"/>
  <c r="J107" l="1"/>
  <c r="U131" l="1"/>
  <c r="U81" l="1"/>
  <c r="U82"/>
  <c r="U83"/>
  <c r="U84"/>
  <c r="U85"/>
  <c r="U86"/>
  <c r="U88"/>
  <c r="U90"/>
  <c r="U91"/>
  <c r="U93"/>
  <c r="U111"/>
  <c r="U77" l="1"/>
  <c r="U11"/>
  <c r="U25"/>
  <c r="U28"/>
  <c r="V28" l="1"/>
  <c r="W28" s="1"/>
  <c r="U16" l="1"/>
  <c r="U79"/>
  <c r="J121" l="1"/>
  <c r="K121"/>
  <c r="L121"/>
  <c r="M121"/>
  <c r="N121"/>
  <c r="O121"/>
  <c r="P121"/>
  <c r="Q121"/>
  <c r="R121"/>
  <c r="S121"/>
  <c r="T121"/>
  <c r="G121"/>
  <c r="H121"/>
  <c r="F121"/>
  <c r="I121" l="1"/>
  <c r="U103"/>
  <c r="V21"/>
  <c r="V103" l="1"/>
  <c r="W103" s="1"/>
  <c r="U21"/>
  <c r="W21" s="1"/>
  <c r="U43"/>
  <c r="U104" l="1"/>
  <c r="V104"/>
  <c r="W43"/>
  <c r="X43"/>
  <c r="AA43" s="1"/>
  <c r="V43"/>
  <c r="W104" l="1"/>
  <c r="V115"/>
  <c r="V48"/>
  <c r="U115" l="1"/>
  <c r="W115" s="1"/>
  <c r="U48"/>
  <c r="W48" s="1"/>
  <c r="V51" l="1"/>
  <c r="L72"/>
  <c r="U51" l="1"/>
  <c r="W51" s="1"/>
  <c r="V10"/>
  <c r="U10" l="1"/>
  <c r="W10" s="1"/>
  <c r="V99" l="1"/>
  <c r="U99" l="1"/>
  <c r="W99" s="1"/>
  <c r="U12"/>
  <c r="V12" l="1"/>
  <c r="W12" s="1"/>
  <c r="V68" l="1"/>
  <c r="T72"/>
  <c r="U68" l="1"/>
  <c r="W68" s="1"/>
  <c r="V47"/>
  <c r="U47" l="1"/>
  <c r="W47" s="1"/>
  <c r="U7"/>
  <c r="V7" l="1"/>
  <c r="W7" s="1"/>
  <c r="V32" l="1"/>
  <c r="U32" l="1"/>
  <c r="W32" s="1"/>
  <c r="V84" l="1"/>
  <c r="W84" s="1"/>
  <c r="U46" l="1"/>
  <c r="V46" l="1"/>
  <c r="W46" s="1"/>
  <c r="V24"/>
  <c r="V42"/>
  <c r="U42" l="1"/>
  <c r="W42" s="1"/>
  <c r="U24"/>
  <c r="W24" s="1"/>
  <c r="V55"/>
  <c r="U55" l="1"/>
  <c r="W55" s="1"/>
  <c r="V109"/>
  <c r="U109" l="1"/>
  <c r="W109" s="1"/>
  <c r="V69" l="1"/>
  <c r="U69" l="1"/>
  <c r="W69" s="1"/>
  <c r="U58" l="1"/>
  <c r="V58" l="1"/>
  <c r="W58" s="1"/>
  <c r="X58"/>
  <c r="U117" l="1"/>
  <c r="V88" l="1"/>
  <c r="W88" s="1"/>
  <c r="V117"/>
  <c r="W117" s="1"/>
  <c r="V67" l="1"/>
  <c r="U67" l="1"/>
  <c r="W67" s="1"/>
  <c r="X38" l="1"/>
  <c r="Z38"/>
  <c r="U62"/>
  <c r="Z62"/>
  <c r="AA38" l="1"/>
  <c r="U38"/>
  <c r="V38"/>
  <c r="X62"/>
  <c r="AA62" s="1"/>
  <c r="V62"/>
  <c r="W62" s="1"/>
  <c r="Z27"/>
  <c r="W38" l="1"/>
  <c r="X27"/>
  <c r="AA27" s="1"/>
  <c r="U27"/>
  <c r="V27"/>
  <c r="W27" l="1"/>
  <c r="AD27" s="1"/>
  <c r="Z52" l="1"/>
  <c r="U52"/>
  <c r="X52" l="1"/>
  <c r="AA52" s="1"/>
  <c r="V52"/>
  <c r="W52" s="1"/>
  <c r="Z23" l="1"/>
  <c r="Z26"/>
  <c r="Z29"/>
  <c r="Z30"/>
  <c r="Z90"/>
  <c r="Z33"/>
  <c r="Z34"/>
  <c r="U23"/>
  <c r="X23" l="1"/>
  <c r="AA23" s="1"/>
  <c r="V23"/>
  <c r="W23" s="1"/>
  <c r="X34" l="1"/>
  <c r="AA34" s="1"/>
  <c r="U34"/>
  <c r="V34"/>
  <c r="W34" l="1"/>
  <c r="V90" l="1"/>
  <c r="X90"/>
  <c r="AA90" s="1"/>
  <c r="W90" l="1"/>
  <c r="Z66" l="1"/>
  <c r="Z50"/>
  <c r="X29" l="1"/>
  <c r="AA29" s="1"/>
  <c r="U29"/>
  <c r="V29"/>
  <c r="U66"/>
  <c r="X66"/>
  <c r="AA66" s="1"/>
  <c r="V50"/>
  <c r="X50"/>
  <c r="AA50" s="1"/>
  <c r="V66"/>
  <c r="U50"/>
  <c r="Z54"/>
  <c r="X54"/>
  <c r="W29" l="1"/>
  <c r="AD29" s="1"/>
  <c r="W66"/>
  <c r="W50"/>
  <c r="AA54"/>
  <c r="U54"/>
  <c r="V54"/>
  <c r="W54" l="1"/>
  <c r="AD66" l="1"/>
  <c r="AD50" l="1"/>
  <c r="Z59"/>
  <c r="V98" l="1"/>
  <c r="X98"/>
  <c r="Z98"/>
  <c r="AA98" l="1"/>
  <c r="U98"/>
  <c r="W98" s="1"/>
  <c r="AD98" s="1"/>
  <c r="Z20" l="1"/>
  <c r="V20" l="1"/>
  <c r="U20"/>
  <c r="U22"/>
  <c r="X20"/>
  <c r="AA20" s="1"/>
  <c r="V22"/>
  <c r="W20" l="1"/>
  <c r="W22"/>
  <c r="AD20" l="1"/>
  <c r="Z53" l="1"/>
  <c r="V30" l="1"/>
  <c r="X30"/>
  <c r="AA30" s="1"/>
  <c r="U30"/>
  <c r="Z60"/>
  <c r="X60" l="1"/>
  <c r="W30"/>
  <c r="V60" l="1"/>
  <c r="U60"/>
  <c r="AA60"/>
  <c r="W60" l="1"/>
  <c r="AD60" s="1"/>
  <c r="Z18" l="1"/>
  <c r="V107" l="1"/>
  <c r="X107"/>
  <c r="Z119"/>
  <c r="Z118"/>
  <c r="Z64"/>
  <c r="Z63"/>
  <c r="Z113"/>
  <c r="Z57"/>
  <c r="Z56"/>
  <c r="Z106"/>
  <c r="Z104"/>
  <c r="Z49"/>
  <c r="Z100"/>
  <c r="Z41"/>
  <c r="Z39"/>
  <c r="Z97"/>
  <c r="Z37"/>
  <c r="Z36"/>
  <c r="Z35"/>
  <c r="Z19"/>
  <c r="Z82"/>
  <c r="Z17"/>
  <c r="Z15"/>
  <c r="Z14"/>
  <c r="Z13"/>
  <c r="Z9"/>
  <c r="Z8"/>
  <c r="V18" l="1"/>
  <c r="X18"/>
  <c r="AA18" s="1"/>
  <c r="U18"/>
  <c r="Z107"/>
  <c r="W18" l="1"/>
  <c r="AD18" s="1"/>
  <c r="AA107"/>
  <c r="U107"/>
  <c r="W107" s="1"/>
  <c r="AD107" s="1"/>
  <c r="V106" l="1"/>
  <c r="U106"/>
  <c r="X106"/>
  <c r="AA106" s="1"/>
  <c r="Y72"/>
  <c r="I75"/>
  <c r="AC72"/>
  <c r="AB72"/>
  <c r="P72"/>
  <c r="J72"/>
  <c r="H72"/>
  <c r="G72"/>
  <c r="X59"/>
  <c r="U97"/>
  <c r="U96"/>
  <c r="U94"/>
  <c r="W106" l="1"/>
  <c r="AD106" s="1"/>
  <c r="U33"/>
  <c r="V33"/>
  <c r="X33"/>
  <c r="AA33" s="1"/>
  <c r="V49"/>
  <c r="X49"/>
  <c r="AA49" s="1"/>
  <c r="V36"/>
  <c r="X36"/>
  <c r="AA36" s="1"/>
  <c r="V37"/>
  <c r="X37"/>
  <c r="V17"/>
  <c r="X17"/>
  <c r="V35"/>
  <c r="X35"/>
  <c r="V39"/>
  <c r="X39"/>
  <c r="AA39" s="1"/>
  <c r="V41"/>
  <c r="X41"/>
  <c r="V9"/>
  <c r="X9"/>
  <c r="AA9" s="1"/>
  <c r="V13"/>
  <c r="X13"/>
  <c r="AA13" s="1"/>
  <c r="V15"/>
  <c r="X15"/>
  <c r="AA15" s="1"/>
  <c r="V78"/>
  <c r="X78"/>
  <c r="X104"/>
  <c r="AA104" s="1"/>
  <c r="V82"/>
  <c r="X82"/>
  <c r="AA82" s="1"/>
  <c r="V81"/>
  <c r="X81"/>
  <c r="V101"/>
  <c r="X101"/>
  <c r="V76"/>
  <c r="X76"/>
  <c r="V93"/>
  <c r="X93"/>
  <c r="V85"/>
  <c r="X85"/>
  <c r="V100"/>
  <c r="X100"/>
  <c r="AA100" s="1"/>
  <c r="V97"/>
  <c r="X97"/>
  <c r="AA97" s="1"/>
  <c r="V57"/>
  <c r="X57"/>
  <c r="V116"/>
  <c r="X116"/>
  <c r="V113"/>
  <c r="X113"/>
  <c r="AA113" s="1"/>
  <c r="V64"/>
  <c r="X64"/>
  <c r="AA64" s="1"/>
  <c r="V119"/>
  <c r="X119"/>
  <c r="AA119" s="1"/>
  <c r="V56"/>
  <c r="X56"/>
  <c r="AA56" s="1"/>
  <c r="V112"/>
  <c r="X112"/>
  <c r="V110"/>
  <c r="X110"/>
  <c r="V118"/>
  <c r="X118"/>
  <c r="AA118" s="1"/>
  <c r="U53"/>
  <c r="X53"/>
  <c r="AA53" s="1"/>
  <c r="V102"/>
  <c r="X102"/>
  <c r="V96"/>
  <c r="X96"/>
  <c r="V94"/>
  <c r="X94"/>
  <c r="V86"/>
  <c r="X86"/>
  <c r="V59"/>
  <c r="V53"/>
  <c r="R72"/>
  <c r="Z94"/>
  <c r="AA59"/>
  <c r="Z85"/>
  <c r="S72"/>
  <c r="Z81"/>
  <c r="U100"/>
  <c r="AD30"/>
  <c r="U13"/>
  <c r="U113"/>
  <c r="U64"/>
  <c r="U15"/>
  <c r="Z96"/>
  <c r="U118"/>
  <c r="Z93"/>
  <c r="U9"/>
  <c r="Z78"/>
  <c r="Z86"/>
  <c r="Z76"/>
  <c r="AD54"/>
  <c r="U39"/>
  <c r="Z101"/>
  <c r="Z102"/>
  <c r="Z116"/>
  <c r="U36"/>
  <c r="U56"/>
  <c r="Z110"/>
  <c r="Z112"/>
  <c r="U49"/>
  <c r="U59"/>
  <c r="U119"/>
  <c r="U26" l="1"/>
  <c r="X26"/>
  <c r="AA26" s="1"/>
  <c r="V26"/>
  <c r="W33"/>
  <c r="W64"/>
  <c r="AD64" s="1"/>
  <c r="W119"/>
  <c r="AD119" s="1"/>
  <c r="W49"/>
  <c r="AD49" s="1"/>
  <c r="W36"/>
  <c r="AD36" s="1"/>
  <c r="W97"/>
  <c r="AD97" s="1"/>
  <c r="V19"/>
  <c r="X19"/>
  <c r="AA19" s="1"/>
  <c r="X14"/>
  <c r="AA14" s="1"/>
  <c r="V8"/>
  <c r="X8"/>
  <c r="AA8" s="1"/>
  <c r="W118"/>
  <c r="AD118" s="1"/>
  <c r="V63"/>
  <c r="X63"/>
  <c r="AA63" s="1"/>
  <c r="U75"/>
  <c r="W53"/>
  <c r="AD53" s="1"/>
  <c r="U14"/>
  <c r="V14"/>
  <c r="U63"/>
  <c r="U19"/>
  <c r="AD90"/>
  <c r="W100"/>
  <c r="AD100" s="1"/>
  <c r="W39"/>
  <c r="AD39" s="1"/>
  <c r="W15"/>
  <c r="AD15" s="1"/>
  <c r="W9"/>
  <c r="AD9" s="1"/>
  <c r="AD104"/>
  <c r="W82"/>
  <c r="AD82" s="1"/>
  <c r="W113"/>
  <c r="AD113" s="1"/>
  <c r="W56"/>
  <c r="AD56" s="1"/>
  <c r="W13"/>
  <c r="AD13" s="1"/>
  <c r="W59"/>
  <c r="AD59" s="1"/>
  <c r="AA86"/>
  <c r="AA116"/>
  <c r="AA112"/>
  <c r="AA94"/>
  <c r="AA93"/>
  <c r="AA96"/>
  <c r="AA81"/>
  <c r="AA76"/>
  <c r="AA101"/>
  <c r="AA85"/>
  <c r="AA78"/>
  <c r="AA102"/>
  <c r="AA110"/>
  <c r="Z72"/>
  <c r="W94"/>
  <c r="AD94" s="1"/>
  <c r="W96"/>
  <c r="AD96" s="1"/>
  <c r="U112"/>
  <c r="W112" s="1"/>
  <c r="AD112" s="1"/>
  <c r="W85"/>
  <c r="AD85" s="1"/>
  <c r="U35"/>
  <c r="AA35"/>
  <c r="AA17"/>
  <c r="AA57"/>
  <c r="U37"/>
  <c r="AA37"/>
  <c r="U41"/>
  <c r="AA41"/>
  <c r="W81"/>
  <c r="AD81" s="1"/>
  <c r="U17"/>
  <c r="U101"/>
  <c r="W101" s="1"/>
  <c r="AD101" s="1"/>
  <c r="U102"/>
  <c r="W102" s="1"/>
  <c r="AD102" s="1"/>
  <c r="W93"/>
  <c r="AD93" s="1"/>
  <c r="W86"/>
  <c r="AD86" s="1"/>
  <c r="U78"/>
  <c r="W78" s="1"/>
  <c r="AD78" s="1"/>
  <c r="M72"/>
  <c r="U116"/>
  <c r="W116" s="1"/>
  <c r="AD116" s="1"/>
  <c r="N72"/>
  <c r="O72"/>
  <c r="U8"/>
  <c r="U57"/>
  <c r="U76"/>
  <c r="W76" s="1"/>
  <c r="AD76" s="1"/>
  <c r="U110"/>
  <c r="W110" s="1"/>
  <c r="AD110" s="1"/>
  <c r="V75" l="1"/>
  <c r="V121" s="1"/>
  <c r="U121"/>
  <c r="W26"/>
  <c r="AD26" s="1"/>
  <c r="W19"/>
  <c r="AD19" s="1"/>
  <c r="W63"/>
  <c r="AD63" s="1"/>
  <c r="W75"/>
  <c r="W121" s="1"/>
  <c r="X75"/>
  <c r="AA75" s="1"/>
  <c r="AA122" s="1"/>
  <c r="W14"/>
  <c r="AD14" s="1"/>
  <c r="AD33"/>
  <c r="W17"/>
  <c r="AD17" s="1"/>
  <c r="W37"/>
  <c r="W35"/>
  <c r="AD35" s="1"/>
  <c r="W57"/>
  <c r="AD57" s="1"/>
  <c r="W41"/>
  <c r="AD41" s="1"/>
  <c r="W8"/>
  <c r="AD8" s="1"/>
  <c r="I72" l="1"/>
  <c r="X72"/>
  <c r="V72"/>
  <c r="U72" l="1"/>
  <c r="AA72"/>
  <c r="W72" l="1"/>
  <c r="AD72"/>
  <c r="AA73"/>
  <c r="AA74" s="1"/>
</calcChain>
</file>

<file path=xl/sharedStrings.xml><?xml version="1.0" encoding="utf-8"?>
<sst xmlns="http://schemas.openxmlformats.org/spreadsheetml/2006/main" count="587" uniqueCount="210">
  <si>
    <t>Puesto</t>
  </si>
  <si>
    <t>TOTAL NOMINA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</si>
  <si>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</si>
  <si>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</si>
  <si>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</si>
  <si>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</si>
  <si>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</si>
  <si>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</si>
  <si>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</si>
  <si>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</si>
  <si>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</si>
  <si>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</si>
  <si>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</si>
  <si>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</si>
  <si>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</si>
  <si>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</si>
  <si>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</si>
  <si>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</si>
  <si>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</si>
  <si>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</si>
  <si>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</si>
  <si>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</si>
  <si>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</si>
  <si>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</si>
  <si>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</si>
  <si>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</si>
  <si>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</si>
  <si>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</si>
  <si>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</si>
  <si>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</si>
  <si>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</si>
  <si>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</si>
  <si>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</si>
  <si>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</si>
  <si>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</si>
  <si>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VEGA RIVERA ISMAEL</t>
  </si>
  <si>
    <t>LARA OVIEDO SORAYA</t>
  </si>
  <si>
    <t>ARENAS VARGAS MOISES</t>
  </si>
  <si>
    <t>RUIZ RODRIGUEZ OMAR</t>
  </si>
  <si>
    <t>SERVICIO</t>
  </si>
  <si>
    <t>HOJALATERIA</t>
  </si>
  <si>
    <t>ADMINISTRACION</t>
  </si>
  <si>
    <t>COSTO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</si>
  <si>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</si>
  <si>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</si>
  <si>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</si>
  <si>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</si>
  <si>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</si>
  <si>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</si>
  <si>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</si>
  <si>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</si>
  <si>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</si>
  <si>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</si>
  <si>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</si>
  <si>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ALAVEZ LOPEZ INOCENCIO</t>
  </si>
  <si>
    <t>CANCINO RODRIGUEZ GREGORIO</t>
  </si>
  <si>
    <t>OLVERA SOTO LUIS ANGEL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</si>
  <si>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</si>
  <si>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</si>
  <si>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</si>
  <si>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</si>
  <si>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</si>
  <si>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</si>
  <si>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REYES FLORES ALAN RICARDO</t>
  </si>
  <si>
    <t>AGUILAR GONZALEZ ANAEL</t>
  </si>
  <si>
    <t>ARROYO ZARAZUA GILBERTO</t>
  </si>
  <si>
    <t>HERNANDEZ SOLIS GUMERCINDO</t>
  </si>
  <si>
    <t>FONSECA GUILLEN JOSE FELIPE</t>
  </si>
  <si>
    <t>HERNANDEZ SILVA EDGAR SAMUEL</t>
  </si>
  <si>
    <t>MARTINEZ LORENZO LUIS ALEJANDRO</t>
  </si>
  <si>
    <t>AGUILAR BRAVO CRISTIAN SAUL</t>
  </si>
  <si>
    <t>RODRIGUEZ RODRIGUEZ ANUAR</t>
  </si>
  <si>
    <t>RIVERA AGUILAR GABRIEL</t>
  </si>
  <si>
    <t>CASTILLO ORDOÑEZ JORGE</t>
  </si>
  <si>
    <t>FECHA DE INICIO</t>
  </si>
  <si>
    <t>ANAEL</t>
  </si>
  <si>
    <t xml:space="preserve">HERNANDEZ CHAVEZ PEDRO </t>
  </si>
  <si>
    <t>ARTURO</t>
  </si>
  <si>
    <t>COACH</t>
  </si>
  <si>
    <t>ADMON VENTAS</t>
  </si>
  <si>
    <t>MOISES</t>
  </si>
  <si>
    <t>LOBATO RECAMIER ROSELLIN</t>
  </si>
  <si>
    <t>CUENTA</t>
  </si>
  <si>
    <t>OBSERVACIONES</t>
  </si>
  <si>
    <t>MARTINEZ GALLEGOS LUIS FERNANDO</t>
  </si>
  <si>
    <t>CARRASCO TOVAR ARTURO</t>
  </si>
  <si>
    <t>RESENDIZ CAMPUZANO ISRAEL</t>
  </si>
  <si>
    <t>TORIBIO DEL ANGEL OSCAR</t>
  </si>
  <si>
    <t>UNIFORMES</t>
  </si>
  <si>
    <t>PALETA GUADARRAMA RICARDO</t>
  </si>
  <si>
    <t>ESPECIALES</t>
  </si>
  <si>
    <t xml:space="preserve">AGUILAR PEREZ MARCOS ARTEMIO 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</si>
  <si>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</si>
  <si>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</si>
  <si>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</si>
  <si>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</si>
  <si>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</si>
  <si>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</si>
  <si>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TIRADO SAAVEDRA CARLOS ALEJANDRO</t>
  </si>
  <si>
    <t>CORTEZ OVANDO FAUSTINO ALI</t>
  </si>
  <si>
    <t>OLVERA BAUTISTA J. DOLORES GILBERTO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</si>
  <si>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</si>
  <si>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</si>
  <si>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</si>
  <si>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</si>
  <si>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</si>
  <si>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</si>
  <si>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</si>
  <si>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</si>
  <si>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</si>
  <si>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TRONCOSO PEÑA GERARDO</t>
  </si>
  <si>
    <t>PATIÑO NAVARRO OSCAR MARTIN</t>
  </si>
  <si>
    <t>HERNANDEZ ARREOLA RODOLFO MAYOLO</t>
  </si>
  <si>
    <t>JEFE DE TALLER</t>
  </si>
  <si>
    <t>GALLEGOS RAMIREZ JOSE</t>
  </si>
  <si>
    <t>REYES ARMADILLO JORGE ANDRES</t>
  </si>
  <si>
    <t>FALTAS</t>
  </si>
  <si>
    <t>GUERRERO GOMEZ MARVIN NOE</t>
  </si>
  <si>
    <t>SOLORZANO LUNA MARIANA</t>
  </si>
  <si>
    <t>MATILDE SANTIAGO URIEL</t>
  </si>
  <si>
    <t>LUPERCIO ESPINO ALAN JAIRO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</si>
  <si>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</si>
  <si>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</si>
  <si>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</si>
  <si>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</si>
  <si>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</si>
  <si>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</si>
  <si>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</si>
  <si>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SANCHEZ DE SANTIAGO RICARDO</t>
  </si>
  <si>
    <t>HERNANDEZ AGUILAR ROBERTO CARLOS</t>
  </si>
  <si>
    <t xml:space="preserve">VEGA GRANADOS JUAN MANUEL </t>
  </si>
  <si>
    <t>X</t>
  </si>
  <si>
    <t>WEB MASTER</t>
  </si>
  <si>
    <t>GUZMAN NAVARRO EDUARDO</t>
  </si>
  <si>
    <t>SALDAÑA SANCHEZ JULIO CESAR</t>
  </si>
  <si>
    <t>SALAS MARTINEZ OSCAR JESUS</t>
  </si>
  <si>
    <t>RODRIGUEZ PINACHO CESAR OCTAVIO</t>
  </si>
  <si>
    <t>MIRANDA PEON JULIO CESAR</t>
  </si>
  <si>
    <t>GALLEGOS ROMERO CRISTIAN</t>
  </si>
  <si>
    <t>COACH BDC</t>
  </si>
  <si>
    <t>MUÑOZ RODRIGUEZ CONRADO ISRAEL</t>
  </si>
  <si>
    <t>GUZMAN TREJO DIEGO ARTURO</t>
  </si>
  <si>
    <t>ARIAS MONROY JOSE</t>
  </si>
  <si>
    <t>GAYTAN MARTINEZ RAUL</t>
  </si>
  <si>
    <t>DOMINGUEZ GUDIÑO OMAR</t>
  </si>
  <si>
    <t>HERNANDEZ SANCHEZ RODRIGO</t>
  </si>
  <si>
    <t>NAVARRO ARENAS ANDREA ARELI</t>
  </si>
  <si>
    <t>VARGAS GOMEZ RAUL ARMANDO</t>
  </si>
  <si>
    <t>Ingenieria Fiscal Laboral S.C.</t>
  </si>
  <si>
    <t>VASQUEZ CHAVES LILIANA ANDREA</t>
  </si>
  <si>
    <t>NAVA RUBIO JAVIER</t>
  </si>
  <si>
    <t>TECNICO</t>
  </si>
  <si>
    <t>ALVIZAR ORGANISTA EDUARDO</t>
  </si>
  <si>
    <t>EN TRAMITE</t>
  </si>
  <si>
    <t>AGUILAR HERNANDEZ CARLA CECILIA</t>
  </si>
  <si>
    <t>RAMIREZ MOYA NESTOR</t>
  </si>
  <si>
    <t>FLORES ALDRETE DANIEL</t>
  </si>
  <si>
    <t>OLIVAS MANCILLA JESUS DANIEL</t>
  </si>
  <si>
    <t>VALDEZ BERNAL JUAN PABLO</t>
  </si>
  <si>
    <t>DESCUENTO CTA 254 POR CONCEPTO DE HERRAMIENTAS</t>
  </si>
  <si>
    <t>ESTRADA UNZUETA ALEJANDRA</t>
  </si>
  <si>
    <t>ORTEGA BUSTAMANTE JESUS GERARDO</t>
  </si>
  <si>
    <t>FERRER GONZALEZ MARIA ELENA</t>
  </si>
  <si>
    <t>AUX. ADMON.</t>
  </si>
  <si>
    <t>TOTAL DE LA NOMINA</t>
  </si>
  <si>
    <t>VALDEZ HERNANDEZ ELDA NELLY</t>
  </si>
  <si>
    <t>BAUTISTA RAMIREZ MARIO ALEXIS</t>
  </si>
  <si>
    <t>CASILLAS GARCIA DEL VALLE RODRIGO BARUCH</t>
  </si>
  <si>
    <t>INCAPACIDAD POR MATERNIDAD</t>
  </si>
  <si>
    <t>ARIAS CORTES ROBERTO CARLOS</t>
  </si>
  <si>
    <t>ALARCON ORTIZ JOSE AURELIO</t>
  </si>
  <si>
    <t xml:space="preserve">LOPEZ LABRADA DANIEL </t>
  </si>
  <si>
    <t>SANCHEZ DE JESUS FROYLAN</t>
  </si>
  <si>
    <t>JUAREZ URIBE MICHEL</t>
  </si>
  <si>
    <t>DE JESUS PADILLA ALFREDO</t>
  </si>
  <si>
    <t>SAUCEDO MAGAÑA VICTOR HUGO</t>
  </si>
  <si>
    <t>FAVOR DE PASAR SU SUELDO $1,516</t>
  </si>
  <si>
    <t xml:space="preserve">SUELDO SEMANAL $1,516 </t>
  </si>
  <si>
    <t>SUELDO SEMANAL DE $2,100</t>
  </si>
  <si>
    <t>PUEBLA ARENAS JOSE ANDRES</t>
  </si>
  <si>
    <t>SANTANDER</t>
  </si>
  <si>
    <t>PENDIENTE</t>
  </si>
  <si>
    <t>BANCOMER</t>
  </si>
  <si>
    <t>EFECTIVO</t>
  </si>
  <si>
    <t>SUELDO SEMANAL $937.50</t>
  </si>
  <si>
    <t>MEDINA ESPARZA JOSUE</t>
  </si>
  <si>
    <t>HERNANDEZ MATA AURELIANO</t>
  </si>
  <si>
    <t xml:space="preserve">MARTINEZ GARCIA JOSE JUAN </t>
  </si>
  <si>
    <t>SUELDO SEMANAL $560.28</t>
  </si>
  <si>
    <t>AGUAS OROZCO FRANCISCO JAVIER</t>
  </si>
  <si>
    <t>HURTADO PAJARO JOSE EDUARDO</t>
  </si>
  <si>
    <t xml:space="preserve">TORRES IBARRA LUIS GERARDO </t>
  </si>
  <si>
    <t>GUTIERREZ LARA GEOVANNI</t>
  </si>
  <si>
    <t>SE QUEDA DE MOMENTO EN BANCOMER YA QUE NO TIENE EIFE</t>
  </si>
  <si>
    <t>SE QUEDA EN BANCOMER POR PROBLEMAS EN SANTANDER</t>
  </si>
  <si>
    <t>SOLANO PEREZ JOSE ANTONIO</t>
  </si>
  <si>
    <t>VELAZQUEZ CRUZ MARIA PATRICIA</t>
  </si>
  <si>
    <t>RESENDIZ LUJAN GERARDO GUADALUPE</t>
  </si>
  <si>
    <t>MORENO VALERO NORMA</t>
  </si>
  <si>
    <t>HERNANDEZ MARTINEZ EDUARDO RENE</t>
  </si>
  <si>
    <t>LUNA RAMIREZ JAIRO FERNANDO</t>
  </si>
  <si>
    <t>MORANO AVEDAÑO FABIOLA</t>
  </si>
  <si>
    <t>COORDINADOR MKT</t>
  </si>
  <si>
    <t>Periodo Semana 20</t>
  </si>
  <si>
    <t>10/05/17 AL 16/05/17</t>
  </si>
  <si>
    <t>DESCONTAR $300 POR PAGO INDEVIDO. DESCUENTO 8/10</t>
  </si>
  <si>
    <t>DESCUENTO CTA 254 POR CONCEPTO DE TRAJES 8/24</t>
  </si>
  <si>
    <t>BAJA</t>
  </si>
  <si>
    <t>GONZALEZ RODRIGUEZ ERIK</t>
  </si>
  <si>
    <t>BAUTISTA ROBLES FERNANDO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</si>
</sst>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"/>
  </numFmts>
  <fonts count="18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b/>
      <sz val="18"/>
      <name val="Calibri"/>
      <family val="2"/>
      <scheme val="minor"/>
    </font>
    <font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43" fontId="1" fillId="0" borderId="0" applyFill="0" applyBorder="0" applyAlignment="0" applyProtection="0"/>
    <xf numFmtId="0" fontId="2" fillId="0" borderId="0"/>
    <xf numFmtId="0" fontId="1" fillId="0" borderId="0"/>
  </cellStyleXfs>
  <cellXfs count="118">
    <xf numFmtId="0" fontId="0" fillId="0" borderId="0" xfId="0"/>
    <xf numFmtId="43" fontId="1" fillId="0" borderId="0" xfId="2"/>
    <xf numFmtId="0" fontId="5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center"/>
    </xf>
    <xf numFmtId="43" fontId="6" fillId="0" borderId="0" xfId="2" applyFont="1" applyFill="1" applyAlignment="1" applyProtection="1">
      <alignment horizontal="center"/>
    </xf>
    <xf numFmtId="43" fontId="7" fillId="0" borderId="0" xfId="2" applyFont="1" applyFill="1" applyAlignment="1" applyProtection="1">
      <alignment horizontal="center"/>
    </xf>
    <xf numFmtId="0" fontId="6" fillId="0" borderId="0" xfId="0" applyFont="1" applyFill="1" applyProtection="1"/>
    <xf numFmtId="0" fontId="6" fillId="0" borderId="0" xfId="0" applyFont="1" applyProtection="1"/>
    <xf numFmtId="0" fontId="8" fillId="0" borderId="0" xfId="3" applyFont="1" applyFill="1" applyAlignment="1" applyProtection="1">
      <alignment horizontal="left"/>
    </xf>
    <xf numFmtId="0" fontId="8" fillId="0" borderId="0" xfId="3" applyFont="1" applyFill="1" applyAlignment="1" applyProtection="1">
      <alignment horizontal="center"/>
    </xf>
    <xf numFmtId="15" fontId="5" fillId="0" borderId="0" xfId="3" applyNumberFormat="1" applyFont="1" applyFill="1" applyAlignment="1" applyProtection="1">
      <alignment horizontal="left"/>
    </xf>
    <xf numFmtId="15" fontId="5" fillId="0" borderId="0" xfId="3" applyNumberFormat="1" applyFont="1" applyFill="1" applyAlignment="1" applyProtection="1">
      <alignment horizontal="center"/>
    </xf>
    <xf numFmtId="0" fontId="7" fillId="0" borderId="0" xfId="0" applyFont="1"/>
    <xf numFmtId="43" fontId="6" fillId="0" borderId="0" xfId="2" applyFont="1"/>
    <xf numFmtId="43" fontId="7" fillId="0" borderId="0" xfId="2" applyFont="1"/>
    <xf numFmtId="43" fontId="6" fillId="0" borderId="0" xfId="2" applyFont="1" applyFill="1"/>
    <xf numFmtId="0" fontId="7" fillId="0" borderId="0" xfId="0" applyFont="1" applyFill="1"/>
    <xf numFmtId="0" fontId="6" fillId="0" borderId="1" xfId="0" applyFont="1" applyBorder="1"/>
    <xf numFmtId="0" fontId="6" fillId="0" borderId="0" xfId="0" applyFont="1" applyFill="1"/>
    <xf numFmtId="0" fontId="6" fillId="0" borderId="0" xfId="0" applyFont="1"/>
    <xf numFmtId="0" fontId="9" fillId="0" borderId="0" xfId="0" applyFont="1"/>
    <xf numFmtId="0" fontId="6" fillId="0" borderId="0" xfId="0" applyFont="1" applyBorder="1"/>
    <xf numFmtId="43" fontId="1" fillId="0" borderId="0" xfId="2" applyProtection="1"/>
    <xf numFmtId="43" fontId="1" fillId="0" borderId="0" xfId="2" applyFill="1"/>
    <xf numFmtId="43" fontId="7" fillId="5" borderId="1" xfId="2" applyFont="1" applyFill="1" applyBorder="1" applyAlignment="1">
      <alignment horizontal="center" wrapText="1"/>
    </xf>
    <xf numFmtId="0" fontId="7" fillId="0" borderId="6" xfId="0" applyFont="1" applyFill="1" applyBorder="1"/>
    <xf numFmtId="0" fontId="6" fillId="0" borderId="8" xfId="0" applyFont="1" applyFill="1" applyBorder="1"/>
    <xf numFmtId="43" fontId="6" fillId="0" borderId="8" xfId="2" applyFont="1" applyFill="1" applyBorder="1"/>
    <xf numFmtId="43" fontId="7" fillId="0" borderId="8" xfId="2" applyFont="1" applyFill="1" applyBorder="1"/>
    <xf numFmtId="0" fontId="6" fillId="0" borderId="7" xfId="0" applyFont="1" applyBorder="1"/>
    <xf numFmtId="0" fontId="6" fillId="2" borderId="7" xfId="0" applyFont="1" applyFill="1" applyBorder="1"/>
    <xf numFmtId="43" fontId="6" fillId="0" borderId="7" xfId="2" applyFont="1" applyBorder="1"/>
    <xf numFmtId="43" fontId="6" fillId="2" borderId="7" xfId="2" applyFont="1" applyFill="1" applyBorder="1"/>
    <xf numFmtId="43" fontId="6" fillId="0" borderId="7" xfId="2" applyFont="1" applyFill="1" applyBorder="1" applyAlignment="1">
      <alignment horizontal="center"/>
    </xf>
    <xf numFmtId="0" fontId="6" fillId="0" borderId="7" xfId="0" applyFont="1" applyFill="1" applyBorder="1"/>
    <xf numFmtId="43" fontId="6" fillId="0" borderId="7" xfId="2" applyFont="1" applyFill="1" applyBorder="1"/>
    <xf numFmtId="0" fontId="7" fillId="0" borderId="7" xfId="0" applyFont="1" applyFill="1" applyBorder="1"/>
    <xf numFmtId="43" fontId="6" fillId="0" borderId="8" xfId="2" applyFont="1" applyFill="1" applyBorder="1" applyAlignment="1">
      <alignment horizontal="center"/>
    </xf>
    <xf numFmtId="0" fontId="7" fillId="0" borderId="7" xfId="0" applyFont="1" applyBorder="1"/>
    <xf numFmtId="43" fontId="7" fillId="0" borderId="7" xfId="2" applyFont="1" applyBorder="1"/>
    <xf numFmtId="43" fontId="7" fillId="9" borderId="7" xfId="2" applyFont="1" applyFill="1" applyBorder="1"/>
    <xf numFmtId="43" fontId="1" fillId="0" borderId="7" xfId="2" applyBorder="1"/>
    <xf numFmtId="0" fontId="7" fillId="4" borderId="7" xfId="0" applyFont="1" applyFill="1" applyBorder="1" applyAlignment="1">
      <alignment horizontal="center"/>
    </xf>
    <xf numFmtId="43" fontId="1" fillId="3" borderId="7" xfId="2" applyFill="1" applyBorder="1"/>
    <xf numFmtId="43" fontId="11" fillId="0" borderId="0" xfId="2" applyFont="1" applyProtection="1"/>
    <xf numFmtId="43" fontId="11" fillId="0" borderId="0" xfId="2" applyFont="1"/>
    <xf numFmtId="43" fontId="11" fillId="0" borderId="0" xfId="2" applyFont="1" applyFill="1"/>
    <xf numFmtId="43" fontId="11" fillId="0" borderId="7" xfId="2" applyFont="1" applyBorder="1"/>
    <xf numFmtId="43" fontId="11" fillId="3" borderId="7" xfId="2" applyFont="1" applyFill="1" applyBorder="1"/>
    <xf numFmtId="43" fontId="7" fillId="0" borderId="7" xfId="2" applyFont="1" applyFill="1" applyBorder="1"/>
    <xf numFmtId="43" fontId="12" fillId="0" borderId="7" xfId="2" applyFont="1" applyFill="1" applyBorder="1"/>
    <xf numFmtId="2" fontId="6" fillId="0" borderId="7" xfId="0" applyNumberFormat="1" applyFont="1" applyFill="1" applyBorder="1"/>
    <xf numFmtId="43" fontId="12" fillId="8" borderId="7" xfId="2" applyFont="1" applyFill="1" applyBorder="1"/>
    <xf numFmtId="14" fontId="12" fillId="0" borderId="7" xfId="0" applyNumberFormat="1" applyFont="1" applyFill="1" applyBorder="1"/>
    <xf numFmtId="164" fontId="12" fillId="0" borderId="7" xfId="0" applyNumberFormat="1" applyFont="1" applyFill="1" applyBorder="1"/>
    <xf numFmtId="14" fontId="6" fillId="0" borderId="7" xfId="0" applyNumberFormat="1" applyFont="1" applyFill="1" applyBorder="1" applyAlignment="1"/>
    <xf numFmtId="0" fontId="12" fillId="0" borderId="7" xfId="0" applyFont="1" applyFill="1" applyBorder="1" applyAlignment="1">
      <alignment wrapText="1"/>
    </xf>
    <xf numFmtId="4" fontId="12" fillId="0" borderId="7" xfId="0" applyNumberFormat="1" applyFont="1" applyFill="1" applyBorder="1" applyAlignment="1">
      <alignment wrapText="1"/>
    </xf>
    <xf numFmtId="0" fontId="13" fillId="0" borderId="7" xfId="0" applyFont="1" applyFill="1" applyBorder="1"/>
    <xf numFmtId="164" fontId="12" fillId="0" borderId="7" xfId="0" applyNumberFormat="1" applyFont="1" applyFill="1" applyBorder="1" applyAlignment="1">
      <alignment horizontal="right" vertical="center"/>
    </xf>
    <xf numFmtId="43" fontId="7" fillId="7" borderId="7" xfId="2" applyFont="1" applyFill="1" applyBorder="1"/>
    <xf numFmtId="43" fontId="6" fillId="7" borderId="7" xfId="2" applyFont="1" applyFill="1" applyBorder="1" applyAlignment="1">
      <alignment horizontal="center"/>
    </xf>
    <xf numFmtId="0" fontId="12" fillId="0" borderId="7" xfId="0" applyFont="1" applyFill="1" applyBorder="1"/>
    <xf numFmtId="4" fontId="12" fillId="0" borderId="7" xfId="0" applyNumberFormat="1" applyFont="1" applyFill="1" applyBorder="1"/>
    <xf numFmtId="4" fontId="6" fillId="0" borderId="7" xfId="0" applyNumberFormat="1" applyFont="1" applyFill="1" applyBorder="1"/>
    <xf numFmtId="43" fontId="6" fillId="0" borderId="7" xfId="0" applyNumberFormat="1" applyFont="1" applyFill="1" applyBorder="1"/>
    <xf numFmtId="14" fontId="6" fillId="0" borderId="7" xfId="0" applyNumberFormat="1" applyFont="1" applyBorder="1"/>
    <xf numFmtId="0" fontId="7" fillId="0" borderId="7" xfId="2" applyNumberFormat="1" applyFont="1" applyFill="1" applyBorder="1" applyAlignment="1">
      <alignment horizontal="center"/>
    </xf>
    <xf numFmtId="43" fontId="7" fillId="0" borderId="7" xfId="2" applyFont="1" applyFill="1" applyBorder="1" applyAlignment="1">
      <alignment horizontal="center"/>
    </xf>
    <xf numFmtId="43" fontId="14" fillId="0" borderId="7" xfId="2" applyFont="1" applyFill="1" applyBorder="1" applyAlignment="1">
      <alignment horizontal="center"/>
    </xf>
    <xf numFmtId="43" fontId="15" fillId="0" borderId="7" xfId="2" applyFont="1" applyFill="1" applyBorder="1"/>
    <xf numFmtId="0" fontId="6" fillId="7" borderId="7" xfId="0" applyFont="1" applyFill="1" applyBorder="1"/>
    <xf numFmtId="14" fontId="6" fillId="7" borderId="7" xfId="0" applyNumberFormat="1" applyFont="1" applyFill="1" applyBorder="1"/>
    <xf numFmtId="0" fontId="7" fillId="7" borderId="7" xfId="0" applyFont="1" applyFill="1" applyBorder="1"/>
    <xf numFmtId="164" fontId="12" fillId="7" borderId="7" xfId="0" applyNumberFormat="1" applyFont="1" applyFill="1" applyBorder="1"/>
    <xf numFmtId="164" fontId="12" fillId="0" borderId="7" xfId="0" applyNumberFormat="1" applyFont="1" applyFill="1" applyBorder="1" applyAlignment="1">
      <alignment horizontal="right"/>
    </xf>
    <xf numFmtId="0" fontId="7" fillId="7" borderId="7" xfId="0" applyFont="1" applyFill="1" applyBorder="1" applyAlignment="1">
      <alignment wrapText="1"/>
    </xf>
    <xf numFmtId="9" fontId="14" fillId="0" borderId="7" xfId="2" applyNumberFormat="1" applyFont="1" applyFill="1" applyBorder="1" applyAlignment="1">
      <alignment horizontal="center"/>
    </xf>
    <xf numFmtId="43" fontId="7" fillId="5" borderId="2" xfId="2" applyFont="1" applyFill="1" applyBorder="1" applyAlignment="1">
      <alignment horizontal="center" wrapText="1"/>
    </xf>
    <xf numFmtId="43" fontId="10" fillId="5" borderId="2" xfId="2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7" fillId="0" borderId="0" xfId="0" applyFont="1" applyAlignment="1">
      <alignment horizontal="center" wrapText="1"/>
    </xf>
    <xf numFmtId="43" fontId="6" fillId="7" borderId="7" xfId="2" applyFont="1" applyFill="1" applyBorder="1"/>
    <xf numFmtId="0" fontId="4" fillId="0" borderId="7" xfId="0" applyFont="1" applyFill="1" applyBorder="1"/>
    <xf numFmtId="0" fontId="17" fillId="0" borderId="7" xfId="0" applyFont="1" applyFill="1" applyBorder="1"/>
    <xf numFmtId="0" fontId="6" fillId="10" borderId="7" xfId="0" applyFont="1" applyFill="1" applyBorder="1"/>
    <xf numFmtId="0" fontId="6" fillId="9" borderId="7" xfId="0" applyFont="1" applyFill="1" applyBorder="1"/>
    <xf numFmtId="164" fontId="12" fillId="9" borderId="7" xfId="0" applyNumberFormat="1" applyFont="1" applyFill="1" applyBorder="1"/>
    <xf numFmtId="43" fontId="6" fillId="9" borderId="7" xfId="2" applyFont="1" applyFill="1" applyBorder="1"/>
    <xf numFmtId="0" fontId="7" fillId="9" borderId="7" xfId="2" applyNumberFormat="1" applyFont="1" applyFill="1" applyBorder="1" applyAlignment="1">
      <alignment horizontal="center"/>
    </xf>
    <xf numFmtId="43" fontId="7" fillId="9" borderId="7" xfId="2" applyFont="1" applyFill="1" applyBorder="1" applyAlignment="1">
      <alignment horizontal="center"/>
    </xf>
    <xf numFmtId="43" fontId="6" fillId="9" borderId="7" xfId="2" applyFont="1" applyFill="1" applyBorder="1" applyAlignment="1">
      <alignment horizontal="center"/>
    </xf>
    <xf numFmtId="0" fontId="7" fillId="9" borderId="7" xfId="0" applyFont="1" applyFill="1" applyBorder="1"/>
    <xf numFmtId="0" fontId="6" fillId="9" borderId="0" xfId="0" applyFont="1" applyFill="1"/>
    <xf numFmtId="0" fontId="6" fillId="8" borderId="7" xfId="0" applyFont="1" applyFill="1" applyBorder="1"/>
    <xf numFmtId="164" fontId="12" fillId="8" borderId="7" xfId="0" applyNumberFormat="1" applyFont="1" applyFill="1" applyBorder="1"/>
    <xf numFmtId="43" fontId="6" fillId="8" borderId="7" xfId="2" applyFont="1" applyFill="1" applyBorder="1"/>
    <xf numFmtId="0" fontId="7" fillId="8" borderId="7" xfId="0" applyFont="1" applyFill="1" applyBorder="1"/>
    <xf numFmtId="43" fontId="14" fillId="9" borderId="7" xfId="2" applyFont="1" applyFill="1" applyBorder="1" applyAlignment="1">
      <alignment horizontal="center"/>
    </xf>
    <xf numFmtId="4" fontId="6" fillId="9" borderId="7" xfId="0" applyNumberFormat="1" applyFont="1" applyFill="1" applyBorder="1"/>
    <xf numFmtId="0" fontId="16" fillId="0" borderId="7" xfId="0" applyFont="1" applyBorder="1" applyAlignment="1">
      <alignment horizontal="center"/>
    </xf>
    <xf numFmtId="43" fontId="7" fillId="5" borderId="2" xfId="2" applyFont="1" applyFill="1" applyBorder="1" applyAlignment="1">
      <alignment horizontal="center" vertical="center" wrapText="1"/>
    </xf>
    <xf numFmtId="43" fontId="7" fillId="5" borderId="8" xfId="2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 vertical="center"/>
    </xf>
    <xf numFmtId="3" fontId="7" fillId="5" borderId="9" xfId="0" applyNumberFormat="1" applyFont="1" applyFill="1" applyBorder="1" applyAlignment="1">
      <alignment horizontal="center" vertical="center"/>
    </xf>
    <xf numFmtId="3" fontId="7" fillId="5" borderId="2" xfId="0" applyNumberFormat="1" applyFont="1" applyFill="1" applyBorder="1" applyAlignment="1">
      <alignment horizontal="center" vertical="center" wrapText="1"/>
    </xf>
    <xf numFmtId="3" fontId="7" fillId="5" borderId="9" xfId="0" applyNumberFormat="1" applyFont="1" applyFill="1" applyBorder="1" applyAlignment="1">
      <alignment horizontal="center" vertical="center" wrapText="1"/>
    </xf>
    <xf numFmtId="43" fontId="7" fillId="5" borderId="1" xfId="2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43" fontId="7" fillId="5" borderId="9" xfId="2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/>
    </xf>
    <xf numFmtId="43" fontId="7" fillId="5" borderId="1" xfId="2" applyFont="1" applyFill="1" applyBorder="1" applyAlignment="1">
      <alignment horizontal="center" wrapText="1"/>
    </xf>
    <xf numFmtId="43" fontId="7" fillId="5" borderId="2" xfId="2" applyFont="1" applyFill="1" applyBorder="1" applyAlignment="1">
      <alignment horizontal="center" wrapText="1"/>
    </xf>
    <xf numFmtId="43" fontId="10" fillId="5" borderId="3" xfId="2" applyFont="1" applyFill="1" applyBorder="1" applyAlignment="1">
      <alignment horizontal="center" wrapText="1"/>
    </xf>
    <xf numFmtId="43" fontId="10" fillId="5" borderId="4" xfId="2" applyFont="1" applyFill="1" applyBorder="1" applyAlignment="1">
      <alignment horizontal="center" wrapText="1"/>
    </xf>
    <xf numFmtId="43" fontId="1" fillId="4" borderId="5" xfId="2" applyFill="1" applyBorder="1" applyAlignment="1">
      <alignment horizontal="center"/>
    </xf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  <color rgb="FF33CCFF"/>
      <color rgb="FFFF00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D148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3" sqref="A3"/>
    </sheetView>
  </sheetViews>
  <sheetFormatPr baseColWidth="10" defaultColWidth="11.5703125" defaultRowHeight="15"/>
  <cols>
    <col min="1" max="1" width="20.42578125" style="19" customWidth="1"/>
    <col min="2" max="2" width="40" style="19" customWidth="1"/>
    <col min="3" max="3" width="8.140625" style="19" customWidth="1"/>
    <col min="4" max="4" width="29" style="19" customWidth="1"/>
    <col min="5" max="5" width="13.28515625" style="19" customWidth="1"/>
    <col min="6" max="6" width="13.85546875" style="13" customWidth="1"/>
    <col min="7" max="8" width="13.5703125" style="13" customWidth="1"/>
    <col min="9" max="9" width="17" style="14" customWidth="1"/>
    <col min="10" max="12" width="13.5703125" style="13" customWidth="1"/>
    <col min="13" max="13" width="13.5703125" style="15" customWidth="1"/>
    <col min="14" max="14" width="19.28515625" style="15" customWidth="1"/>
    <col min="15" max="15" width="16.85546875" style="15" customWidth="1"/>
    <col min="16" max="16" width="16.140625" style="15" customWidth="1"/>
    <col min="17" max="20" width="13.5703125" style="13" customWidth="1"/>
    <col min="21" max="21" width="16.7109375" style="14" customWidth="1"/>
    <col min="22" max="22" width="16.7109375" style="13" hidden="1" customWidth="1"/>
    <col min="23" max="23" width="15.42578125" style="14" hidden="1" customWidth="1"/>
    <col min="24" max="26" width="13.5703125" style="13" hidden="1" customWidth="1"/>
    <col min="27" max="27" width="15.42578125" style="14" hidden="1" customWidth="1"/>
    <col min="28" max="28" width="15.28515625" style="45" hidden="1" customWidth="1"/>
    <col min="29" max="29" width="12.7109375" style="45" hidden="1" customWidth="1"/>
    <col min="30" max="30" width="11.5703125" style="1" hidden="1" customWidth="1"/>
    <col min="31" max="31" width="19.28515625" style="19" bestFit="1" customWidth="1"/>
    <col min="32" max="32" width="52.42578125" style="19" bestFit="1" customWidth="1"/>
    <col min="33" max="33" width="11.85546875" style="18" bestFit="1" customWidth="1"/>
    <col min="34" max="46" width="11.5703125" style="18"/>
    <col min="47" max="16384" width="11.5703125" style="19"/>
  </cols>
  <sheetData>
    <row r="1" spans="1:46" s="7" customFormat="1">
      <c r="A1" s="2" t="s">
        <v>148</v>
      </c>
      <c r="B1" s="2"/>
      <c r="C1" s="2"/>
      <c r="D1" s="3"/>
      <c r="E1" s="3"/>
      <c r="F1" s="4"/>
      <c r="G1" s="4"/>
      <c r="H1" s="4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4"/>
      <c r="W1" s="5"/>
      <c r="X1" s="4"/>
      <c r="Y1" s="4"/>
      <c r="Z1" s="4"/>
      <c r="AA1" s="5"/>
      <c r="AB1" s="44"/>
      <c r="AC1" s="44"/>
      <c r="AD1" s="22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</row>
    <row r="2" spans="1:46" s="7" customFormat="1">
      <c r="A2" s="8" t="s">
        <v>33</v>
      </c>
      <c r="B2" s="8"/>
      <c r="C2" s="8"/>
      <c r="D2" s="9"/>
      <c r="E2" s="9"/>
      <c r="F2" s="4"/>
      <c r="G2" s="4"/>
      <c r="H2" s="4"/>
      <c r="I2" s="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4"/>
      <c r="W2" s="5"/>
      <c r="X2" s="4"/>
      <c r="Y2" s="4"/>
      <c r="Z2" s="4"/>
      <c r="AA2" s="5"/>
      <c r="AB2" s="44"/>
      <c r="AC2" s="44"/>
      <c r="AD2" s="22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s="7" customFormat="1">
      <c r="A3" s="10" t="s">
        <v>203</v>
      </c>
      <c r="B3" s="10"/>
      <c r="C3" s="10"/>
      <c r="D3" s="11"/>
      <c r="E3" s="11"/>
      <c r="F3" s="4"/>
      <c r="G3" s="4"/>
      <c r="H3" s="4"/>
      <c r="I3" s="5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5"/>
      <c r="X3" s="4"/>
      <c r="Y3" s="4"/>
      <c r="Z3" s="4"/>
      <c r="AA3" s="5"/>
      <c r="AB3" s="44"/>
      <c r="AC3" s="44"/>
      <c r="AD3" s="22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</row>
    <row r="4" spans="1:46" s="12" customFormat="1">
      <c r="A4" s="12" t="s">
        <v>204</v>
      </c>
      <c r="F4" s="13"/>
      <c r="G4" s="13"/>
      <c r="H4" s="13"/>
      <c r="I4" s="14"/>
      <c r="J4" s="13"/>
      <c r="K4" s="13"/>
      <c r="L4" s="13"/>
      <c r="M4" s="15"/>
      <c r="N4" s="15"/>
      <c r="O4" s="15"/>
      <c r="P4" s="15"/>
      <c r="Q4" s="13"/>
      <c r="R4" s="13"/>
      <c r="S4" s="13"/>
      <c r="T4" s="13"/>
      <c r="U4" s="14"/>
      <c r="V4" s="13"/>
      <c r="W4" s="14"/>
      <c r="X4" s="13"/>
      <c r="Y4" s="13"/>
      <c r="Z4" s="13"/>
      <c r="AA4" s="14"/>
      <c r="AB4" s="45"/>
      <c r="AC4" s="45"/>
      <c r="AD4" s="1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</row>
    <row r="5" spans="1:46" s="12" customFormat="1" ht="28.5" customHeight="1">
      <c r="A5" s="103" t="s">
        <v>13</v>
      </c>
      <c r="B5" s="103" t="s">
        <v>14</v>
      </c>
      <c r="C5" s="103" t="s">
        <v>78</v>
      </c>
      <c r="D5" s="103" t="s">
        <v>0</v>
      </c>
      <c r="E5" s="105" t="s">
        <v>74</v>
      </c>
      <c r="F5" s="101" t="s">
        <v>32</v>
      </c>
      <c r="G5" s="107" t="s">
        <v>9</v>
      </c>
      <c r="H5" s="107" t="s">
        <v>10</v>
      </c>
      <c r="I5" s="107" t="s">
        <v>11</v>
      </c>
      <c r="J5" s="107" t="s">
        <v>12</v>
      </c>
      <c r="K5" s="101" t="s">
        <v>116</v>
      </c>
      <c r="L5" s="101" t="s">
        <v>88</v>
      </c>
      <c r="M5" s="108" t="s">
        <v>48</v>
      </c>
      <c r="N5" s="108" t="s">
        <v>62</v>
      </c>
      <c r="O5" s="108" t="s">
        <v>61</v>
      </c>
      <c r="P5" s="108" t="s">
        <v>49</v>
      </c>
      <c r="Q5" s="107" t="s">
        <v>6</v>
      </c>
      <c r="R5" s="107" t="s">
        <v>16</v>
      </c>
      <c r="S5" s="107" t="s">
        <v>15</v>
      </c>
      <c r="T5" s="107" t="s">
        <v>8</v>
      </c>
      <c r="U5" s="107" t="s">
        <v>23</v>
      </c>
      <c r="V5" s="113" t="s">
        <v>3</v>
      </c>
      <c r="W5" s="113" t="s">
        <v>7</v>
      </c>
      <c r="X5" s="113" t="s">
        <v>2</v>
      </c>
      <c r="Y5" s="113" t="s">
        <v>4</v>
      </c>
      <c r="Z5" s="24"/>
      <c r="AA5" s="113" t="s">
        <v>5</v>
      </c>
      <c r="AB5" s="115" t="s">
        <v>97</v>
      </c>
      <c r="AC5" s="116"/>
      <c r="AD5" s="117" t="s">
        <v>50</v>
      </c>
      <c r="AE5" s="111" t="s">
        <v>82</v>
      </c>
      <c r="AF5" s="111" t="s">
        <v>83</v>
      </c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</row>
    <row r="6" spans="1:46" s="81" customFormat="1" ht="39" customHeight="1">
      <c r="A6" s="104"/>
      <c r="B6" s="104"/>
      <c r="C6" s="104"/>
      <c r="D6" s="104"/>
      <c r="E6" s="106"/>
      <c r="F6" s="102"/>
      <c r="G6" s="101"/>
      <c r="H6" s="101"/>
      <c r="I6" s="101"/>
      <c r="J6" s="101"/>
      <c r="K6" s="110"/>
      <c r="L6" s="110"/>
      <c r="M6" s="109"/>
      <c r="N6" s="109"/>
      <c r="O6" s="109"/>
      <c r="P6" s="109"/>
      <c r="Q6" s="101"/>
      <c r="R6" s="101"/>
      <c r="S6" s="101"/>
      <c r="T6" s="101"/>
      <c r="U6" s="101"/>
      <c r="V6" s="114"/>
      <c r="W6" s="114"/>
      <c r="X6" s="114"/>
      <c r="Y6" s="114"/>
      <c r="Z6" s="78"/>
      <c r="AA6" s="114"/>
      <c r="AB6" s="79" t="s">
        <v>24</v>
      </c>
      <c r="AC6" s="79" t="s">
        <v>25</v>
      </c>
      <c r="AD6" s="117"/>
      <c r="AE6" s="111"/>
      <c r="AF6" s="111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</row>
    <row r="7" spans="1:46" s="18" customFormat="1">
      <c r="A7" s="85" t="s">
        <v>28</v>
      </c>
      <c r="B7" s="34" t="s">
        <v>189</v>
      </c>
      <c r="C7" s="34"/>
      <c r="D7" s="34" t="s">
        <v>30</v>
      </c>
      <c r="E7" s="75">
        <v>42689</v>
      </c>
      <c r="F7" s="35">
        <v>2110.98</v>
      </c>
      <c r="G7" s="35"/>
      <c r="H7" s="35"/>
      <c r="I7" s="49">
        <f>SUM(F7:H7)</f>
        <v>2110.98</v>
      </c>
      <c r="J7" s="35"/>
      <c r="K7" s="67"/>
      <c r="L7" s="35"/>
      <c r="M7" s="35"/>
      <c r="N7" s="68"/>
      <c r="O7" s="68"/>
      <c r="P7" s="35"/>
      <c r="Q7" s="33"/>
      <c r="R7" s="33"/>
      <c r="S7" s="34"/>
      <c r="T7" s="34"/>
      <c r="U7" s="49">
        <f t="shared" ref="U7:U27" si="0">+I7-SUM(J7:T7)</f>
        <v>2110.98</v>
      </c>
      <c r="V7" s="33">
        <f t="shared" ref="V7:V27" si="1">IF(I7&gt;2250,I7*0.1,0)</f>
        <v>0</v>
      </c>
      <c r="W7" s="49">
        <f t="shared" ref="W7:W27" si="2">+U7-V7</f>
        <v>2110.98</v>
      </c>
      <c r="X7" s="33"/>
      <c r="Y7" s="33"/>
      <c r="Z7" s="33"/>
      <c r="AA7" s="49"/>
      <c r="AB7" s="56"/>
      <c r="AC7" s="57"/>
      <c r="AD7" s="50"/>
      <c r="AE7" s="36">
        <v>60590331922</v>
      </c>
      <c r="AF7" s="34"/>
      <c r="AG7" s="18" t="s">
        <v>180</v>
      </c>
    </row>
    <row r="8" spans="1:46" s="18" customFormat="1">
      <c r="A8" s="85" t="s">
        <v>39</v>
      </c>
      <c r="B8" s="34" t="s">
        <v>70</v>
      </c>
      <c r="C8" s="34"/>
      <c r="D8" s="34" t="s">
        <v>29</v>
      </c>
      <c r="E8" s="54">
        <v>42062</v>
      </c>
      <c r="F8" s="35">
        <v>780.95</v>
      </c>
      <c r="G8" s="35"/>
      <c r="H8" s="35"/>
      <c r="I8" s="49">
        <f t="shared" ref="I8:I70" si="3">SUM(F8:H8)</f>
        <v>780.95</v>
      </c>
      <c r="J8" s="35"/>
      <c r="K8" s="67"/>
      <c r="L8" s="35"/>
      <c r="M8" s="35">
        <v>0</v>
      </c>
      <c r="N8" s="68"/>
      <c r="O8" s="68"/>
      <c r="P8" s="35"/>
      <c r="Q8" s="33"/>
      <c r="R8" s="33"/>
      <c r="S8" s="34"/>
      <c r="T8" s="34">
        <v>0</v>
      </c>
      <c r="U8" s="49">
        <f t="shared" si="0"/>
        <v>780.95</v>
      </c>
      <c r="V8" s="33">
        <f t="shared" si="1"/>
        <v>0</v>
      </c>
      <c r="W8" s="49">
        <f t="shared" si="2"/>
        <v>780.95</v>
      </c>
      <c r="X8" s="33">
        <f t="shared" ref="X8:X27" si="4">IF(I8&lt;2250,I8*0.1,0)</f>
        <v>78.095000000000013</v>
      </c>
      <c r="Y8" s="33">
        <v>10.23</v>
      </c>
      <c r="Z8" s="33">
        <f t="shared" ref="Z8:Z27" si="5">+N8</f>
        <v>0</v>
      </c>
      <c r="AA8" s="49">
        <f t="shared" ref="AA8:AA27" si="6">+I8+X8+Y8+Z8</f>
        <v>869.27500000000009</v>
      </c>
      <c r="AB8" s="56"/>
      <c r="AC8" s="57"/>
      <c r="AD8" s="50">
        <f t="shared" ref="AD8:AD14" si="7">+AB8+AC8-W8</f>
        <v>-780.95</v>
      </c>
      <c r="AE8" s="36">
        <v>56708844887</v>
      </c>
      <c r="AF8" s="34"/>
      <c r="AG8" s="18" t="s">
        <v>180</v>
      </c>
    </row>
    <row r="9" spans="1:46" s="18" customFormat="1">
      <c r="A9" s="85" t="s">
        <v>28</v>
      </c>
      <c r="B9" s="34" t="s">
        <v>64</v>
      </c>
      <c r="C9" s="34" t="s">
        <v>78</v>
      </c>
      <c r="D9" s="34" t="s">
        <v>31</v>
      </c>
      <c r="E9" s="54">
        <v>41797</v>
      </c>
      <c r="F9" s="35"/>
      <c r="G9" s="35"/>
      <c r="H9" s="35"/>
      <c r="I9" s="49">
        <f t="shared" si="3"/>
        <v>0</v>
      </c>
      <c r="J9" s="35">
        <v>327</v>
      </c>
      <c r="K9" s="67"/>
      <c r="L9" s="67"/>
      <c r="M9" s="35">
        <v>0</v>
      </c>
      <c r="N9" s="68"/>
      <c r="O9" s="68"/>
      <c r="P9" s="35"/>
      <c r="Q9" s="33"/>
      <c r="R9" s="33"/>
      <c r="S9" s="34"/>
      <c r="T9" s="34">
        <v>0</v>
      </c>
      <c r="U9" s="49">
        <f>+I9-SUM(J9:T9)</f>
        <v>-327</v>
      </c>
      <c r="V9" s="33">
        <f>IF(I9&gt;2250,I9*0.1,0)</f>
        <v>0</v>
      </c>
      <c r="W9" s="49">
        <f>+U9-V9</f>
        <v>-327</v>
      </c>
      <c r="X9" s="33">
        <f>IF(I9&lt;2250,I9*0.1,0)</f>
        <v>0</v>
      </c>
      <c r="Y9" s="33">
        <v>10.23</v>
      </c>
      <c r="Z9" s="33">
        <f>+N9</f>
        <v>0</v>
      </c>
      <c r="AA9" s="49">
        <f>+I9+X9+Y9+Z9</f>
        <v>10.23</v>
      </c>
      <c r="AB9" s="56"/>
      <c r="AC9" s="57"/>
      <c r="AD9" s="50">
        <f>+AB9+AC9-W9</f>
        <v>327</v>
      </c>
      <c r="AE9" s="36">
        <v>56708844890</v>
      </c>
      <c r="AF9" s="36" t="s">
        <v>206</v>
      </c>
      <c r="AG9" s="18" t="s">
        <v>180</v>
      </c>
    </row>
    <row r="10" spans="1:46" s="93" customFormat="1">
      <c r="A10" s="86" t="s">
        <v>39</v>
      </c>
      <c r="B10" s="86" t="s">
        <v>154</v>
      </c>
      <c r="C10" s="86"/>
      <c r="D10" s="86" t="s">
        <v>29</v>
      </c>
      <c r="E10" s="87">
        <v>42725</v>
      </c>
      <c r="F10" s="88">
        <v>1653.51</v>
      </c>
      <c r="G10" s="88"/>
      <c r="H10" s="88"/>
      <c r="I10" s="40">
        <f t="shared" si="3"/>
        <v>1653.51</v>
      </c>
      <c r="J10" s="88"/>
      <c r="K10" s="89"/>
      <c r="L10" s="88"/>
      <c r="M10" s="88"/>
      <c r="N10" s="90"/>
      <c r="O10" s="90"/>
      <c r="P10" s="88"/>
      <c r="Q10" s="91"/>
      <c r="R10" s="91"/>
      <c r="S10" s="86"/>
      <c r="T10" s="86"/>
      <c r="U10" s="40">
        <f t="shared" ref="U10:U11" si="8">+I10-SUM(J10:T10)</f>
        <v>1653.51</v>
      </c>
      <c r="V10" s="33">
        <f t="shared" ref="V10" si="9">IF(I10&gt;2250,I10*0.1,0)</f>
        <v>0</v>
      </c>
      <c r="W10" s="49">
        <f t="shared" ref="W10" si="10">+U10-V10</f>
        <v>1653.51</v>
      </c>
      <c r="X10" s="33"/>
      <c r="Y10" s="33"/>
      <c r="Z10" s="33"/>
      <c r="AA10" s="49"/>
      <c r="AB10" s="56"/>
      <c r="AC10" s="57"/>
      <c r="AD10" s="50"/>
      <c r="AE10" s="92">
        <v>56708519619</v>
      </c>
      <c r="AF10" s="92" t="s">
        <v>207</v>
      </c>
      <c r="AG10" s="93" t="s">
        <v>180</v>
      </c>
    </row>
    <row r="11" spans="1:46" s="18" customFormat="1">
      <c r="A11" s="85" t="s">
        <v>28</v>
      </c>
      <c r="B11" s="34" t="s">
        <v>170</v>
      </c>
      <c r="C11" s="34"/>
      <c r="D11" s="34" t="s">
        <v>30</v>
      </c>
      <c r="E11" s="54">
        <v>42796</v>
      </c>
      <c r="F11" s="35"/>
      <c r="G11" s="35"/>
      <c r="H11" s="35"/>
      <c r="I11" s="49">
        <f t="shared" si="3"/>
        <v>0</v>
      </c>
      <c r="J11" s="35"/>
      <c r="K11" s="67"/>
      <c r="L11" s="35"/>
      <c r="M11" s="35"/>
      <c r="N11" s="68"/>
      <c r="O11" s="68"/>
      <c r="P11" s="35"/>
      <c r="Q11" s="33"/>
      <c r="R11" s="33"/>
      <c r="S11" s="34"/>
      <c r="T11" s="34">
        <v>192</v>
      </c>
      <c r="U11" s="49">
        <f t="shared" si="8"/>
        <v>-192</v>
      </c>
      <c r="V11" s="33"/>
      <c r="W11" s="49"/>
      <c r="X11" s="33"/>
      <c r="Y11" s="33"/>
      <c r="Z11" s="33"/>
      <c r="AA11" s="49"/>
      <c r="AB11" s="56"/>
      <c r="AC11" s="57"/>
      <c r="AD11" s="50"/>
      <c r="AE11" s="36">
        <v>56676948556</v>
      </c>
      <c r="AF11" s="36"/>
      <c r="AG11" s="18" t="s">
        <v>180</v>
      </c>
    </row>
    <row r="12" spans="1:46" s="18" customFormat="1">
      <c r="A12" s="85" t="s">
        <v>39</v>
      </c>
      <c r="B12" s="34" t="s">
        <v>152</v>
      </c>
      <c r="C12" s="34"/>
      <c r="D12" s="34" t="s">
        <v>113</v>
      </c>
      <c r="E12" s="54">
        <v>42718</v>
      </c>
      <c r="F12" s="35">
        <v>4230</v>
      </c>
      <c r="G12" s="35"/>
      <c r="H12" s="35"/>
      <c r="I12" s="49">
        <f t="shared" si="3"/>
        <v>4230</v>
      </c>
      <c r="J12" s="35"/>
      <c r="K12" s="67"/>
      <c r="L12" s="67"/>
      <c r="M12" s="35"/>
      <c r="N12" s="68"/>
      <c r="O12" s="68"/>
      <c r="P12" s="35"/>
      <c r="Q12" s="33"/>
      <c r="R12" s="33"/>
      <c r="S12" s="34"/>
      <c r="T12" s="34">
        <v>1798.35</v>
      </c>
      <c r="U12" s="49">
        <f t="shared" ref="U12" si="11">+I12-SUM(J12:T12)</f>
        <v>2431.65</v>
      </c>
      <c r="V12" s="33">
        <f t="shared" ref="V12" si="12">IF(I12&gt;2250,I12*0.1,0)</f>
        <v>423</v>
      </c>
      <c r="W12" s="49">
        <f t="shared" ref="W12" si="13">+U12-V12</f>
        <v>2008.65</v>
      </c>
      <c r="X12" s="33"/>
      <c r="Y12" s="33"/>
      <c r="Z12" s="33"/>
      <c r="AA12" s="49"/>
      <c r="AB12" s="56"/>
      <c r="AC12" s="57"/>
      <c r="AD12" s="50"/>
      <c r="AE12" s="36">
        <v>60590124291</v>
      </c>
      <c r="AF12" s="34"/>
      <c r="AG12" s="18" t="s">
        <v>180</v>
      </c>
    </row>
    <row r="13" spans="1:46" s="18" customFormat="1">
      <c r="A13" s="85" t="s">
        <v>28</v>
      </c>
      <c r="B13" s="34" t="s">
        <v>37</v>
      </c>
      <c r="C13" s="34" t="s">
        <v>78</v>
      </c>
      <c r="D13" s="34" t="s">
        <v>31</v>
      </c>
      <c r="E13" s="54">
        <v>39508</v>
      </c>
      <c r="F13" s="35"/>
      <c r="G13" s="35"/>
      <c r="H13" s="35"/>
      <c r="I13" s="49">
        <f t="shared" si="3"/>
        <v>0</v>
      </c>
      <c r="J13" s="35">
        <v>413.79</v>
      </c>
      <c r="K13" s="67"/>
      <c r="L13" s="35"/>
      <c r="M13" s="35">
        <v>0</v>
      </c>
      <c r="N13" s="68"/>
      <c r="O13" s="68"/>
      <c r="P13" s="35"/>
      <c r="Q13" s="33"/>
      <c r="R13" s="33"/>
      <c r="S13" s="34"/>
      <c r="T13" s="34">
        <v>0</v>
      </c>
      <c r="U13" s="49">
        <f t="shared" si="0"/>
        <v>-413.79</v>
      </c>
      <c r="V13" s="33">
        <f t="shared" si="1"/>
        <v>0</v>
      </c>
      <c r="W13" s="49">
        <f t="shared" si="2"/>
        <v>-413.79</v>
      </c>
      <c r="X13" s="33">
        <f t="shared" si="4"/>
        <v>0</v>
      </c>
      <c r="Y13" s="33">
        <v>10.23</v>
      </c>
      <c r="Z13" s="33">
        <f t="shared" si="5"/>
        <v>0</v>
      </c>
      <c r="AA13" s="49">
        <f t="shared" si="6"/>
        <v>10.23</v>
      </c>
      <c r="AB13" s="56"/>
      <c r="AC13" s="57"/>
      <c r="AD13" s="50">
        <f t="shared" si="7"/>
        <v>413.79</v>
      </c>
      <c r="AE13" s="36">
        <v>56708881292</v>
      </c>
      <c r="AF13" s="36" t="s">
        <v>206</v>
      </c>
      <c r="AG13" s="18" t="s">
        <v>180</v>
      </c>
    </row>
    <row r="14" spans="1:46" s="18" customFormat="1">
      <c r="A14" s="85" t="s">
        <v>28</v>
      </c>
      <c r="B14" s="34" t="s">
        <v>65</v>
      </c>
      <c r="C14" s="34" t="s">
        <v>75</v>
      </c>
      <c r="D14" s="34" t="s">
        <v>30</v>
      </c>
      <c r="E14" s="54">
        <v>42383</v>
      </c>
      <c r="F14" s="35"/>
      <c r="G14" s="35"/>
      <c r="H14" s="35"/>
      <c r="I14" s="49">
        <f t="shared" si="3"/>
        <v>0</v>
      </c>
      <c r="J14" s="35"/>
      <c r="K14" s="67">
        <v>1</v>
      </c>
      <c r="L14" s="35">
        <v>54.05</v>
      </c>
      <c r="M14" s="35">
        <v>0</v>
      </c>
      <c r="N14" s="68"/>
      <c r="O14" s="68"/>
      <c r="P14" s="35"/>
      <c r="Q14" s="33"/>
      <c r="R14" s="33"/>
      <c r="S14" s="34"/>
      <c r="T14" s="34">
        <v>307.14</v>
      </c>
      <c r="U14" s="49">
        <f t="shared" si="0"/>
        <v>-362.19</v>
      </c>
      <c r="V14" s="33">
        <f t="shared" si="1"/>
        <v>0</v>
      </c>
      <c r="W14" s="49">
        <f t="shared" si="2"/>
        <v>-362.19</v>
      </c>
      <c r="X14" s="33">
        <f t="shared" si="4"/>
        <v>0</v>
      </c>
      <c r="Y14" s="33">
        <v>10.23</v>
      </c>
      <c r="Z14" s="33">
        <f t="shared" si="5"/>
        <v>0</v>
      </c>
      <c r="AA14" s="49">
        <f t="shared" si="6"/>
        <v>10.23</v>
      </c>
      <c r="AB14" s="56"/>
      <c r="AC14" s="57"/>
      <c r="AD14" s="50">
        <f t="shared" si="7"/>
        <v>362.19</v>
      </c>
      <c r="AE14" s="36">
        <v>56708881304</v>
      </c>
      <c r="AF14" s="34"/>
      <c r="AG14" s="18" t="s">
        <v>180</v>
      </c>
    </row>
    <row r="15" spans="1:46" s="18" customFormat="1">
      <c r="A15" s="85" t="s">
        <v>28</v>
      </c>
      <c r="B15" s="34" t="s">
        <v>85</v>
      </c>
      <c r="C15" s="34" t="s">
        <v>78</v>
      </c>
      <c r="D15" s="34" t="s">
        <v>31</v>
      </c>
      <c r="E15" s="54">
        <v>39699</v>
      </c>
      <c r="F15" s="35"/>
      <c r="G15" s="35"/>
      <c r="H15" s="35"/>
      <c r="I15" s="49">
        <f t="shared" si="3"/>
        <v>0</v>
      </c>
      <c r="J15" s="35">
        <v>413.79</v>
      </c>
      <c r="K15" s="67"/>
      <c r="L15" s="35"/>
      <c r="M15" s="35">
        <v>1000</v>
      </c>
      <c r="N15" s="68"/>
      <c r="O15" s="68"/>
      <c r="P15" s="35"/>
      <c r="Q15" s="33"/>
      <c r="R15" s="33"/>
      <c r="S15" s="34"/>
      <c r="T15" s="34">
        <v>0</v>
      </c>
      <c r="U15" s="49">
        <f t="shared" si="0"/>
        <v>-1413.79</v>
      </c>
      <c r="V15" s="33">
        <f t="shared" si="1"/>
        <v>0</v>
      </c>
      <c r="W15" s="49">
        <f t="shared" si="2"/>
        <v>-1413.79</v>
      </c>
      <c r="X15" s="33">
        <f t="shared" si="4"/>
        <v>0</v>
      </c>
      <c r="Y15" s="33">
        <v>10.23</v>
      </c>
      <c r="Z15" s="33">
        <f t="shared" si="5"/>
        <v>0</v>
      </c>
      <c r="AA15" s="49">
        <f t="shared" si="6"/>
        <v>10.23</v>
      </c>
      <c r="AB15" s="56"/>
      <c r="AC15" s="57"/>
      <c r="AD15" s="50">
        <f t="shared" ref="AD15:AD18" si="14">+AB15+AC15-W15</f>
        <v>1413.79</v>
      </c>
      <c r="AE15" s="36">
        <v>56708881349</v>
      </c>
      <c r="AF15" s="36" t="s">
        <v>206</v>
      </c>
      <c r="AG15" s="18" t="s">
        <v>180</v>
      </c>
    </row>
    <row r="16" spans="1:46" s="18" customFormat="1">
      <c r="A16" s="85" t="s">
        <v>28</v>
      </c>
      <c r="B16" s="34" t="s">
        <v>167</v>
      </c>
      <c r="C16" s="34"/>
      <c r="D16" s="34" t="s">
        <v>30</v>
      </c>
      <c r="E16" s="54">
        <v>42776</v>
      </c>
      <c r="F16" s="35">
        <v>555.4</v>
      </c>
      <c r="G16" s="35"/>
      <c r="H16" s="35"/>
      <c r="I16" s="49">
        <f t="shared" si="3"/>
        <v>555.4</v>
      </c>
      <c r="J16" s="35"/>
      <c r="K16" s="67">
        <v>2</v>
      </c>
      <c r="L16" s="35"/>
      <c r="M16" s="35"/>
      <c r="N16" s="68"/>
      <c r="O16" s="68"/>
      <c r="P16" s="35"/>
      <c r="Q16" s="33"/>
      <c r="R16" s="33"/>
      <c r="S16" s="34"/>
      <c r="T16" s="34">
        <v>31.19</v>
      </c>
      <c r="U16" s="49">
        <f t="shared" si="0"/>
        <v>522.21</v>
      </c>
      <c r="V16" s="33"/>
      <c r="W16" s="49"/>
      <c r="X16" s="33"/>
      <c r="Y16" s="33"/>
      <c r="Z16" s="33"/>
      <c r="AA16" s="49"/>
      <c r="AB16" s="56"/>
      <c r="AC16" s="57"/>
      <c r="AD16" s="50"/>
      <c r="AE16" s="36">
        <v>60589631591</v>
      </c>
      <c r="AF16" s="34"/>
      <c r="AG16" s="18" t="s">
        <v>180</v>
      </c>
    </row>
    <row r="17" spans="1:34" s="18" customFormat="1">
      <c r="A17" s="85" t="s">
        <v>27</v>
      </c>
      <c r="B17" s="34" t="s">
        <v>73</v>
      </c>
      <c r="C17" s="34" t="s">
        <v>94</v>
      </c>
      <c r="D17" s="34" t="s">
        <v>46</v>
      </c>
      <c r="E17" s="54">
        <v>42332</v>
      </c>
      <c r="F17" s="35">
        <v>12349.87</v>
      </c>
      <c r="G17" s="35"/>
      <c r="H17" s="35"/>
      <c r="I17" s="49">
        <f t="shared" si="3"/>
        <v>12349.87</v>
      </c>
      <c r="J17" s="35"/>
      <c r="K17" s="67"/>
      <c r="L17" s="35">
        <v>54.05</v>
      </c>
      <c r="M17" s="35">
        <v>0</v>
      </c>
      <c r="N17" s="68"/>
      <c r="O17" s="68"/>
      <c r="P17" s="35"/>
      <c r="Q17" s="33"/>
      <c r="R17" s="33"/>
      <c r="S17" s="34"/>
      <c r="T17" s="34">
        <v>599.98</v>
      </c>
      <c r="U17" s="49">
        <f t="shared" si="0"/>
        <v>11695.84</v>
      </c>
      <c r="V17" s="33">
        <f t="shared" si="1"/>
        <v>1234.9870000000001</v>
      </c>
      <c r="W17" s="49">
        <f t="shared" si="2"/>
        <v>10460.852999999999</v>
      </c>
      <c r="X17" s="33">
        <f t="shared" si="4"/>
        <v>0</v>
      </c>
      <c r="Y17" s="33">
        <v>10.23</v>
      </c>
      <c r="Z17" s="33">
        <f t="shared" si="5"/>
        <v>0</v>
      </c>
      <c r="AA17" s="49">
        <f t="shared" si="6"/>
        <v>12360.1</v>
      </c>
      <c r="AB17" s="56"/>
      <c r="AC17" s="57"/>
      <c r="AD17" s="50">
        <f t="shared" si="14"/>
        <v>-10460.852999999999</v>
      </c>
      <c r="AE17" s="36">
        <v>56708844947</v>
      </c>
      <c r="AF17" s="36"/>
      <c r="AG17" s="18" t="s">
        <v>180</v>
      </c>
    </row>
    <row r="18" spans="1:34" s="18" customFormat="1">
      <c r="A18" s="85" t="s">
        <v>28</v>
      </c>
      <c r="B18" s="34" t="s">
        <v>92</v>
      </c>
      <c r="C18" s="34" t="s">
        <v>80</v>
      </c>
      <c r="D18" s="34" t="s">
        <v>30</v>
      </c>
      <c r="E18" s="54">
        <v>42437</v>
      </c>
      <c r="F18" s="35"/>
      <c r="G18" s="35"/>
      <c r="H18" s="35"/>
      <c r="I18" s="49">
        <f t="shared" si="3"/>
        <v>0</v>
      </c>
      <c r="J18" s="35"/>
      <c r="K18" s="67"/>
      <c r="L18" s="35">
        <v>47.05</v>
      </c>
      <c r="M18" s="35">
        <v>0</v>
      </c>
      <c r="N18" s="68"/>
      <c r="O18" s="68"/>
      <c r="P18" s="35"/>
      <c r="Q18" s="33"/>
      <c r="R18" s="33"/>
      <c r="S18" s="34"/>
      <c r="T18" s="34">
        <v>0</v>
      </c>
      <c r="U18" s="49">
        <f t="shared" si="0"/>
        <v>-47.05</v>
      </c>
      <c r="V18" s="33">
        <f t="shared" si="1"/>
        <v>0</v>
      </c>
      <c r="W18" s="49">
        <f t="shared" si="2"/>
        <v>-47.05</v>
      </c>
      <c r="X18" s="33">
        <f t="shared" si="4"/>
        <v>0</v>
      </c>
      <c r="Y18" s="33">
        <v>10.23</v>
      </c>
      <c r="Z18" s="33">
        <f t="shared" si="5"/>
        <v>0</v>
      </c>
      <c r="AA18" s="49">
        <f t="shared" si="6"/>
        <v>10.23</v>
      </c>
      <c r="AB18" s="56"/>
      <c r="AC18" s="57"/>
      <c r="AD18" s="50">
        <f t="shared" si="14"/>
        <v>47.05</v>
      </c>
      <c r="AE18" s="36">
        <v>56708881352</v>
      </c>
      <c r="AF18" s="36"/>
      <c r="AG18" s="18" t="s">
        <v>180</v>
      </c>
    </row>
    <row r="19" spans="1:34" s="18" customFormat="1" ht="15.75">
      <c r="A19" s="85" t="s">
        <v>79</v>
      </c>
      <c r="B19" s="34" t="s">
        <v>57</v>
      </c>
      <c r="C19" s="34"/>
      <c r="D19" s="34" t="s">
        <v>45</v>
      </c>
      <c r="E19" s="54">
        <v>42205</v>
      </c>
      <c r="F19" s="70"/>
      <c r="G19" s="35"/>
      <c r="H19" s="35"/>
      <c r="I19" s="49">
        <f t="shared" si="3"/>
        <v>0</v>
      </c>
      <c r="J19" s="35"/>
      <c r="K19" s="67"/>
      <c r="L19" s="35"/>
      <c r="M19" s="35">
        <v>300</v>
      </c>
      <c r="N19" s="68"/>
      <c r="O19" s="68"/>
      <c r="P19" s="35"/>
      <c r="Q19" s="33"/>
      <c r="R19" s="77">
        <v>0.3</v>
      </c>
      <c r="S19" s="34"/>
      <c r="T19" s="34">
        <v>0</v>
      </c>
      <c r="U19" s="49">
        <f t="shared" si="0"/>
        <v>-300.3</v>
      </c>
      <c r="V19" s="33">
        <f t="shared" si="1"/>
        <v>0</v>
      </c>
      <c r="W19" s="49">
        <f t="shared" si="2"/>
        <v>-300.3</v>
      </c>
      <c r="X19" s="33">
        <f t="shared" si="4"/>
        <v>0</v>
      </c>
      <c r="Y19" s="33">
        <v>10.23</v>
      </c>
      <c r="Z19" s="33">
        <f t="shared" si="5"/>
        <v>0</v>
      </c>
      <c r="AA19" s="49">
        <f t="shared" si="6"/>
        <v>10.23</v>
      </c>
      <c r="AB19" s="56"/>
      <c r="AC19" s="56"/>
      <c r="AD19" s="50">
        <f t="shared" ref="AD19" si="15">+AB19+AC19-W19</f>
        <v>300.3</v>
      </c>
      <c r="AE19" s="36">
        <v>56708844950</v>
      </c>
      <c r="AF19" s="34"/>
      <c r="AG19" s="18" t="s">
        <v>180</v>
      </c>
    </row>
    <row r="20" spans="1:34" s="18" customFormat="1">
      <c r="A20" s="85" t="s">
        <v>79</v>
      </c>
      <c r="B20" s="34" t="s">
        <v>107</v>
      </c>
      <c r="C20" s="34"/>
      <c r="D20" s="34" t="s">
        <v>45</v>
      </c>
      <c r="E20" s="54">
        <v>42476</v>
      </c>
      <c r="F20" s="70"/>
      <c r="G20" s="35"/>
      <c r="H20" s="35"/>
      <c r="I20" s="49">
        <f t="shared" si="3"/>
        <v>0</v>
      </c>
      <c r="J20" s="35"/>
      <c r="K20" s="67"/>
      <c r="L20" s="35"/>
      <c r="M20" s="35">
        <v>0</v>
      </c>
      <c r="N20" s="68"/>
      <c r="O20" s="68"/>
      <c r="P20" s="35"/>
      <c r="Q20" s="33"/>
      <c r="R20" s="33"/>
      <c r="S20" s="34"/>
      <c r="T20" s="34">
        <v>0</v>
      </c>
      <c r="U20" s="49">
        <f t="shared" ref="U20" si="16">+I20-SUM(J20:T20)</f>
        <v>0</v>
      </c>
      <c r="V20" s="33">
        <f t="shared" ref="V20" si="17">IF(I20&gt;2250,I20*0.1,0)</f>
        <v>0</v>
      </c>
      <c r="W20" s="49">
        <f t="shared" ref="W20" si="18">+U20-V20</f>
        <v>0</v>
      </c>
      <c r="X20" s="33">
        <f t="shared" si="4"/>
        <v>0</v>
      </c>
      <c r="Y20" s="33">
        <v>10.23</v>
      </c>
      <c r="Z20" s="33">
        <f t="shared" si="5"/>
        <v>0</v>
      </c>
      <c r="AA20" s="49">
        <f t="shared" si="6"/>
        <v>10.23</v>
      </c>
      <c r="AB20" s="56"/>
      <c r="AC20" s="56"/>
      <c r="AD20" s="50">
        <f>+AB20+AC20-W22</f>
        <v>0</v>
      </c>
      <c r="AE20" s="36">
        <v>56708844964</v>
      </c>
      <c r="AF20" s="36"/>
      <c r="AG20" s="18" t="s">
        <v>180</v>
      </c>
    </row>
    <row r="21" spans="1:34" s="93" customFormat="1">
      <c r="A21" s="86" t="s">
        <v>26</v>
      </c>
      <c r="B21" s="86" t="s">
        <v>160</v>
      </c>
      <c r="C21" s="86"/>
      <c r="D21" s="86" t="s">
        <v>44</v>
      </c>
      <c r="E21" s="87">
        <v>42756</v>
      </c>
      <c r="F21" s="88">
        <v>1650</v>
      </c>
      <c r="G21" s="88"/>
      <c r="H21" s="88"/>
      <c r="I21" s="40">
        <f t="shared" si="3"/>
        <v>1650</v>
      </c>
      <c r="J21" s="88"/>
      <c r="K21" s="89"/>
      <c r="L21" s="88"/>
      <c r="M21" s="88"/>
      <c r="N21" s="90"/>
      <c r="O21" s="90"/>
      <c r="P21" s="88"/>
      <c r="Q21" s="91"/>
      <c r="R21" s="91"/>
      <c r="S21" s="86"/>
      <c r="T21" s="86"/>
      <c r="U21" s="40">
        <f t="shared" ref="U21" si="19">+I21-SUM(J21:T21)</f>
        <v>1650</v>
      </c>
      <c r="V21" s="33">
        <f t="shared" ref="V21" si="20">IF(I21&gt;2250,I21*0.1,0)</f>
        <v>0</v>
      </c>
      <c r="W21" s="49">
        <f t="shared" ref="W21" si="21">+U21-V21</f>
        <v>1650</v>
      </c>
      <c r="X21" s="33"/>
      <c r="Y21" s="33"/>
      <c r="Z21" s="33"/>
      <c r="AA21" s="49"/>
      <c r="AB21" s="56"/>
      <c r="AC21" s="56"/>
      <c r="AD21" s="50"/>
      <c r="AE21" s="92">
        <v>56706751056</v>
      </c>
      <c r="AF21" s="92" t="s">
        <v>207</v>
      </c>
      <c r="AG21" s="93" t="s">
        <v>180</v>
      </c>
    </row>
    <row r="22" spans="1:34" s="18" customFormat="1">
      <c r="A22" s="85" t="s">
        <v>39</v>
      </c>
      <c r="B22" s="34" t="s">
        <v>156</v>
      </c>
      <c r="C22" s="34"/>
      <c r="D22" s="34" t="s">
        <v>29</v>
      </c>
      <c r="E22" s="54">
        <v>42740</v>
      </c>
      <c r="F22" s="35">
        <v>1988.22</v>
      </c>
      <c r="G22" s="35"/>
      <c r="H22" s="35"/>
      <c r="I22" s="49">
        <f t="shared" si="3"/>
        <v>1988.22</v>
      </c>
      <c r="J22" s="35"/>
      <c r="K22" s="67"/>
      <c r="L22" s="35"/>
      <c r="M22" s="35"/>
      <c r="N22" s="68"/>
      <c r="O22" s="68"/>
      <c r="P22" s="35"/>
      <c r="Q22" s="33"/>
      <c r="R22" s="33"/>
      <c r="S22" s="34"/>
      <c r="T22" s="34">
        <v>660.45</v>
      </c>
      <c r="U22" s="34">
        <f>+I20-SUM(J20:T20)</f>
        <v>0</v>
      </c>
      <c r="V22" s="34">
        <f>IF(I20&gt;2250,I20*0.1,0)</f>
        <v>0</v>
      </c>
      <c r="W22" s="34">
        <f>+U22-V22</f>
        <v>0</v>
      </c>
      <c r="X22" s="33"/>
      <c r="Y22" s="33"/>
      <c r="Z22" s="33"/>
      <c r="AA22" s="49"/>
      <c r="AB22" s="56"/>
      <c r="AC22" s="56"/>
      <c r="AD22" s="50"/>
      <c r="AE22" s="83" t="s">
        <v>183</v>
      </c>
      <c r="AF22" s="36"/>
      <c r="AG22" s="18" t="s">
        <v>181</v>
      </c>
    </row>
    <row r="23" spans="1:34" s="18" customFormat="1">
      <c r="A23" s="85" t="s">
        <v>39</v>
      </c>
      <c r="B23" s="34" t="s">
        <v>114</v>
      </c>
      <c r="C23" s="34"/>
      <c r="D23" s="34" t="s">
        <v>29</v>
      </c>
      <c r="E23" s="54">
        <v>42514</v>
      </c>
      <c r="F23" s="35">
        <v>1188.4000000000001</v>
      </c>
      <c r="G23" s="35"/>
      <c r="H23" s="35"/>
      <c r="I23" s="49">
        <f t="shared" si="3"/>
        <v>1188.4000000000001</v>
      </c>
      <c r="J23" s="35"/>
      <c r="K23" s="67">
        <v>1</v>
      </c>
      <c r="L23" s="35"/>
      <c r="M23" s="35">
        <v>0</v>
      </c>
      <c r="N23" s="68"/>
      <c r="O23" s="68"/>
      <c r="P23" s="35"/>
      <c r="Q23" s="33"/>
      <c r="R23" s="33"/>
      <c r="S23" s="34"/>
      <c r="T23" s="34">
        <v>0</v>
      </c>
      <c r="U23" s="49">
        <f t="shared" si="0"/>
        <v>1187.4000000000001</v>
      </c>
      <c r="V23" s="33">
        <f t="shared" si="1"/>
        <v>0</v>
      </c>
      <c r="W23" s="49">
        <f t="shared" si="2"/>
        <v>1187.4000000000001</v>
      </c>
      <c r="X23" s="33">
        <f t="shared" si="4"/>
        <v>118.84000000000002</v>
      </c>
      <c r="Y23" s="33">
        <v>11.23</v>
      </c>
      <c r="Z23" s="33">
        <f t="shared" si="5"/>
        <v>0</v>
      </c>
      <c r="AA23" s="49">
        <f t="shared" si="6"/>
        <v>1318.47</v>
      </c>
      <c r="AB23" s="56"/>
      <c r="AC23" s="57"/>
      <c r="AD23" s="50"/>
      <c r="AE23" s="36">
        <v>56708844978</v>
      </c>
      <c r="AF23" s="36"/>
      <c r="AG23" s="18" t="s">
        <v>180</v>
      </c>
    </row>
    <row r="24" spans="1:34" s="18" customFormat="1">
      <c r="A24" s="85" t="s">
        <v>28</v>
      </c>
      <c r="B24" s="34" t="s">
        <v>138</v>
      </c>
      <c r="C24" s="34"/>
      <c r="D24" s="34" t="s">
        <v>139</v>
      </c>
      <c r="E24" s="54">
        <v>41359</v>
      </c>
      <c r="F24" s="35"/>
      <c r="G24" s="35"/>
      <c r="H24" s="35"/>
      <c r="I24" s="49">
        <f t="shared" si="3"/>
        <v>0</v>
      </c>
      <c r="J24" s="35">
        <v>413.79</v>
      </c>
      <c r="K24" s="67"/>
      <c r="L24" s="35"/>
      <c r="M24" s="35"/>
      <c r="N24" s="68"/>
      <c r="O24" s="68"/>
      <c r="P24" s="35"/>
      <c r="Q24" s="33"/>
      <c r="R24" s="33"/>
      <c r="S24" s="34"/>
      <c r="T24" s="34"/>
      <c r="U24" s="49">
        <f t="shared" ref="U24" si="22">+I24-SUM(J24:T24)</f>
        <v>-413.79</v>
      </c>
      <c r="V24" s="33">
        <f t="shared" ref="V24" si="23">IF(I24&gt;2250,I24*0.1,0)</f>
        <v>0</v>
      </c>
      <c r="W24" s="49">
        <f t="shared" ref="W24" si="24">+U24-V24</f>
        <v>-413.79</v>
      </c>
      <c r="X24" s="33"/>
      <c r="Y24" s="33"/>
      <c r="Z24" s="33"/>
      <c r="AA24" s="49"/>
      <c r="AB24" s="56"/>
      <c r="AC24" s="57"/>
      <c r="AD24" s="50"/>
      <c r="AE24" s="36">
        <v>56708881383</v>
      </c>
      <c r="AF24" s="36" t="s">
        <v>206</v>
      </c>
      <c r="AG24" s="18" t="s">
        <v>180</v>
      </c>
    </row>
    <row r="25" spans="1:34" s="18" customFormat="1">
      <c r="A25" s="85" t="s">
        <v>28</v>
      </c>
      <c r="B25" s="34" t="s">
        <v>208</v>
      </c>
      <c r="C25" s="34"/>
      <c r="D25" s="34" t="s">
        <v>30</v>
      </c>
      <c r="E25" s="54">
        <v>42798</v>
      </c>
      <c r="F25" s="35">
        <v>2038.47</v>
      </c>
      <c r="G25" s="35"/>
      <c r="H25" s="35"/>
      <c r="I25" s="49">
        <f t="shared" si="3"/>
        <v>2038.47</v>
      </c>
      <c r="J25" s="35"/>
      <c r="K25" s="67">
        <v>2</v>
      </c>
      <c r="L25" s="35"/>
      <c r="M25" s="35"/>
      <c r="N25" s="68"/>
      <c r="O25" s="68"/>
      <c r="P25" s="35"/>
      <c r="Q25" s="33"/>
      <c r="R25" s="33"/>
      <c r="S25" s="34"/>
      <c r="T25" s="34">
        <v>1312.82</v>
      </c>
      <c r="U25" s="49">
        <f t="shared" ref="U25" si="25">+I25-SUM(J25:T25)</f>
        <v>723.65000000000009</v>
      </c>
      <c r="V25" s="33"/>
      <c r="W25" s="49"/>
      <c r="X25" s="33"/>
      <c r="Y25" s="33"/>
      <c r="Z25" s="33"/>
      <c r="AA25" s="49"/>
      <c r="AB25" s="56"/>
      <c r="AC25" s="57"/>
      <c r="AD25" s="50"/>
      <c r="AE25" s="83">
        <v>1129000062</v>
      </c>
      <c r="AF25" s="36"/>
      <c r="AG25" s="18" t="s">
        <v>182</v>
      </c>
      <c r="AH25" s="18" t="s">
        <v>193</v>
      </c>
    </row>
    <row r="26" spans="1:34" s="18" customFormat="1">
      <c r="A26" s="85" t="s">
        <v>28</v>
      </c>
      <c r="B26" s="34" t="s">
        <v>106</v>
      </c>
      <c r="C26" s="34" t="s">
        <v>75</v>
      </c>
      <c r="D26" s="34" t="s">
        <v>30</v>
      </c>
      <c r="E26" s="54">
        <v>42413</v>
      </c>
      <c r="F26" s="35"/>
      <c r="G26" s="35"/>
      <c r="H26" s="35"/>
      <c r="I26" s="49">
        <f t="shared" si="3"/>
        <v>0</v>
      </c>
      <c r="J26" s="35"/>
      <c r="K26" s="67"/>
      <c r="L26" s="35">
        <v>33.049999999999997</v>
      </c>
      <c r="M26" s="35">
        <v>0</v>
      </c>
      <c r="N26" s="68"/>
      <c r="O26" s="68"/>
      <c r="P26" s="35"/>
      <c r="Q26" s="33"/>
      <c r="R26" s="33"/>
      <c r="S26" s="34"/>
      <c r="T26" s="34">
        <v>0</v>
      </c>
      <c r="U26" s="49">
        <f t="shared" si="0"/>
        <v>-33.049999999999997</v>
      </c>
      <c r="V26" s="33">
        <f t="shared" si="1"/>
        <v>0</v>
      </c>
      <c r="W26" s="49">
        <f t="shared" si="2"/>
        <v>-33.049999999999997</v>
      </c>
      <c r="X26" s="33">
        <f t="shared" si="4"/>
        <v>0</v>
      </c>
      <c r="Y26" s="33">
        <v>13.23</v>
      </c>
      <c r="Z26" s="33">
        <f t="shared" si="5"/>
        <v>0</v>
      </c>
      <c r="AA26" s="49">
        <f t="shared" si="6"/>
        <v>13.23</v>
      </c>
      <c r="AB26" s="56"/>
      <c r="AC26" s="57"/>
      <c r="AD26" s="50">
        <f>+AB26+AC26-W26</f>
        <v>33.049999999999997</v>
      </c>
      <c r="AE26" s="36">
        <v>60590329504</v>
      </c>
      <c r="AF26" s="36"/>
      <c r="AG26" s="18" t="s">
        <v>180</v>
      </c>
    </row>
    <row r="27" spans="1:34" s="18" customFormat="1">
      <c r="A27" s="85" t="s">
        <v>28</v>
      </c>
      <c r="B27" s="34" t="s">
        <v>117</v>
      </c>
      <c r="C27" s="34"/>
      <c r="D27" s="34" t="s">
        <v>30</v>
      </c>
      <c r="E27" s="54">
        <v>42532</v>
      </c>
      <c r="F27" s="35">
        <v>2464.64</v>
      </c>
      <c r="G27" s="35"/>
      <c r="H27" s="35"/>
      <c r="I27" s="49">
        <f t="shared" si="3"/>
        <v>2464.64</v>
      </c>
      <c r="J27" s="35"/>
      <c r="K27" s="67"/>
      <c r="L27" s="35">
        <v>33.049999999999997</v>
      </c>
      <c r="M27" s="35">
        <v>0</v>
      </c>
      <c r="N27" s="68"/>
      <c r="O27" s="68"/>
      <c r="P27" s="35"/>
      <c r="Q27" s="33"/>
      <c r="R27" s="33"/>
      <c r="S27" s="34"/>
      <c r="T27" s="34">
        <v>0</v>
      </c>
      <c r="U27" s="49">
        <f t="shared" si="0"/>
        <v>2431.5899999999997</v>
      </c>
      <c r="V27" s="33">
        <f t="shared" si="1"/>
        <v>246.464</v>
      </c>
      <c r="W27" s="49">
        <f t="shared" si="2"/>
        <v>2185.1259999999997</v>
      </c>
      <c r="X27" s="33">
        <f t="shared" si="4"/>
        <v>0</v>
      </c>
      <c r="Y27" s="33">
        <v>13.23</v>
      </c>
      <c r="Z27" s="33">
        <f t="shared" si="5"/>
        <v>0</v>
      </c>
      <c r="AA27" s="49">
        <f t="shared" si="6"/>
        <v>2477.87</v>
      </c>
      <c r="AB27" s="56"/>
      <c r="AC27" s="57"/>
      <c r="AD27" s="50">
        <f>+AB27+AC27-W27</f>
        <v>-2185.1259999999997</v>
      </c>
      <c r="AE27" s="36">
        <v>56708881426</v>
      </c>
      <c r="AF27" s="36"/>
      <c r="AG27" s="18" t="s">
        <v>180</v>
      </c>
    </row>
    <row r="28" spans="1:34" s="18" customFormat="1">
      <c r="A28" s="85" t="s">
        <v>27</v>
      </c>
      <c r="B28" s="34" t="s">
        <v>141</v>
      </c>
      <c r="C28" s="34"/>
      <c r="D28" s="34" t="s">
        <v>46</v>
      </c>
      <c r="E28" s="54">
        <v>42660</v>
      </c>
      <c r="F28" s="35">
        <v>7476.24</v>
      </c>
      <c r="G28" s="35"/>
      <c r="H28" s="35"/>
      <c r="I28" s="49">
        <f t="shared" si="3"/>
        <v>7476.24</v>
      </c>
      <c r="J28" s="35"/>
      <c r="K28" s="67"/>
      <c r="L28" s="35"/>
      <c r="M28" s="35"/>
      <c r="N28" s="68"/>
      <c r="O28" s="68"/>
      <c r="P28" s="35"/>
      <c r="Q28" s="33"/>
      <c r="R28" s="33"/>
      <c r="S28" s="34"/>
      <c r="T28" s="34"/>
      <c r="U28" s="49">
        <f t="shared" ref="U28" si="26">+I28-SUM(J28:T28)</f>
        <v>7476.24</v>
      </c>
      <c r="V28" s="33">
        <f t="shared" ref="V28" si="27">IF(I28&gt;2250,I28*0.1,0)</f>
        <v>747.62400000000002</v>
      </c>
      <c r="W28" s="49">
        <f t="shared" ref="W28" si="28">+U28-V28</f>
        <v>6728.616</v>
      </c>
      <c r="X28" s="33"/>
      <c r="Y28" s="33"/>
      <c r="Z28" s="33"/>
      <c r="AA28" s="49"/>
      <c r="AB28" s="56"/>
      <c r="AC28" s="57"/>
      <c r="AD28" s="50"/>
      <c r="AE28" s="36">
        <v>60589655838</v>
      </c>
      <c r="AF28" s="36"/>
      <c r="AG28" s="18" t="s">
        <v>180</v>
      </c>
    </row>
    <row r="29" spans="1:34" s="18" customFormat="1">
      <c r="A29" s="85" t="s">
        <v>28</v>
      </c>
      <c r="B29" s="34" t="s">
        <v>112</v>
      </c>
      <c r="C29" s="34"/>
      <c r="D29" s="34" t="s">
        <v>125</v>
      </c>
      <c r="E29" s="54">
        <v>42480</v>
      </c>
      <c r="F29" s="35"/>
      <c r="G29" s="35"/>
      <c r="H29" s="35"/>
      <c r="I29" s="49">
        <f t="shared" si="3"/>
        <v>0</v>
      </c>
      <c r="J29" s="35"/>
      <c r="K29" s="67"/>
      <c r="L29" s="35"/>
      <c r="M29" s="35">
        <v>0</v>
      </c>
      <c r="N29" s="68"/>
      <c r="O29" s="68"/>
      <c r="P29" s="35"/>
      <c r="Q29" s="33"/>
      <c r="R29" s="33"/>
      <c r="S29" s="34"/>
      <c r="T29" s="34">
        <v>0</v>
      </c>
      <c r="U29" s="49">
        <f t="shared" ref="U29:U50" si="29">+I29-SUM(J29:T29)</f>
        <v>0</v>
      </c>
      <c r="V29" s="33">
        <f t="shared" ref="V29:V50" si="30">IF(I29&gt;2250,I29*0.1,0)</f>
        <v>0</v>
      </c>
      <c r="W29" s="49">
        <f t="shared" ref="W29:W50" si="31">+U29-V29</f>
        <v>0</v>
      </c>
      <c r="X29" s="33">
        <f t="shared" ref="X29:X50" si="32">IF(I29&lt;2250,I29*0.1,0)</f>
        <v>0</v>
      </c>
      <c r="Y29" s="33">
        <v>17.23</v>
      </c>
      <c r="Z29" s="33">
        <f t="shared" ref="Z29:Z50" si="33">+N29</f>
        <v>0</v>
      </c>
      <c r="AA29" s="49">
        <f t="shared" ref="AA29:AA50" si="34">+I29+X29+Y29+Z29</f>
        <v>17.23</v>
      </c>
      <c r="AB29" s="56"/>
      <c r="AC29" s="57"/>
      <c r="AD29" s="50">
        <f>+AB29+AC29-W29</f>
        <v>0</v>
      </c>
      <c r="AE29" s="36">
        <v>56708845010</v>
      </c>
      <c r="AF29" s="36"/>
      <c r="AG29" s="18" t="s">
        <v>180</v>
      </c>
    </row>
    <row r="30" spans="1:34" s="18" customFormat="1">
      <c r="A30" s="85" t="s">
        <v>28</v>
      </c>
      <c r="B30" s="34" t="s">
        <v>76</v>
      </c>
      <c r="C30" s="34" t="s">
        <v>75</v>
      </c>
      <c r="D30" s="34" t="s">
        <v>30</v>
      </c>
      <c r="E30" s="54">
        <v>42240</v>
      </c>
      <c r="F30" s="35"/>
      <c r="G30" s="35"/>
      <c r="H30" s="35"/>
      <c r="I30" s="49">
        <f t="shared" si="3"/>
        <v>0</v>
      </c>
      <c r="J30" s="35"/>
      <c r="K30" s="67"/>
      <c r="L30" s="35">
        <v>33.049999999999997</v>
      </c>
      <c r="M30" s="35">
        <v>0</v>
      </c>
      <c r="N30" s="68"/>
      <c r="O30" s="68"/>
      <c r="P30" s="35"/>
      <c r="Q30" s="33"/>
      <c r="R30" s="33"/>
      <c r="S30" s="34"/>
      <c r="T30" s="34">
        <v>0</v>
      </c>
      <c r="U30" s="49">
        <f t="shared" si="29"/>
        <v>-33.049999999999997</v>
      </c>
      <c r="V30" s="33">
        <f t="shared" si="30"/>
        <v>0</v>
      </c>
      <c r="W30" s="49">
        <f t="shared" si="31"/>
        <v>-33.049999999999997</v>
      </c>
      <c r="X30" s="33">
        <f t="shared" si="32"/>
        <v>0</v>
      </c>
      <c r="Y30" s="33">
        <v>18.23</v>
      </c>
      <c r="Z30" s="33">
        <f t="shared" si="33"/>
        <v>0</v>
      </c>
      <c r="AA30" s="49">
        <f t="shared" si="34"/>
        <v>18.23</v>
      </c>
      <c r="AB30" s="58"/>
      <c r="AC30" s="58"/>
      <c r="AD30" s="50">
        <f>+AB30+AC30-W30</f>
        <v>33.049999999999997</v>
      </c>
      <c r="AE30" s="36">
        <v>56708845024</v>
      </c>
      <c r="AF30" s="36"/>
      <c r="AG30" s="18" t="s">
        <v>180</v>
      </c>
    </row>
    <row r="31" spans="1:34" s="18" customFormat="1">
      <c r="A31" s="85" t="s">
        <v>41</v>
      </c>
      <c r="B31" s="34" t="s">
        <v>186</v>
      </c>
      <c r="C31" s="34"/>
      <c r="D31" s="34" t="s">
        <v>45</v>
      </c>
      <c r="E31" s="54">
        <v>42826</v>
      </c>
      <c r="F31" s="70"/>
      <c r="G31" s="35"/>
      <c r="H31" s="35"/>
      <c r="I31" s="49"/>
      <c r="J31" s="35"/>
      <c r="K31" s="67"/>
      <c r="L31" s="35"/>
      <c r="M31" s="35"/>
      <c r="N31" s="68"/>
      <c r="O31" s="68"/>
      <c r="P31" s="35"/>
      <c r="Q31" s="33"/>
      <c r="R31" s="33"/>
      <c r="S31" s="34"/>
      <c r="T31" s="34"/>
      <c r="U31" s="49"/>
      <c r="V31" s="33"/>
      <c r="W31" s="49"/>
      <c r="X31" s="33"/>
      <c r="Y31" s="33"/>
      <c r="Z31" s="33"/>
      <c r="AA31" s="49"/>
      <c r="AB31" s="58"/>
      <c r="AC31" s="58"/>
      <c r="AD31" s="50"/>
      <c r="AE31" s="36">
        <v>60590035118</v>
      </c>
      <c r="AF31" s="36"/>
      <c r="AG31" s="18" t="s">
        <v>180</v>
      </c>
    </row>
    <row r="32" spans="1:34" s="18" customFormat="1">
      <c r="A32" s="85" t="s">
        <v>28</v>
      </c>
      <c r="B32" s="34" t="s">
        <v>145</v>
      </c>
      <c r="C32" s="34"/>
      <c r="D32" s="34" t="s">
        <v>30</v>
      </c>
      <c r="E32" s="54">
        <v>42415</v>
      </c>
      <c r="F32" s="35"/>
      <c r="G32" s="35"/>
      <c r="H32" s="35"/>
      <c r="I32" s="49">
        <f t="shared" si="3"/>
        <v>0</v>
      </c>
      <c r="J32" s="35"/>
      <c r="K32" s="67"/>
      <c r="L32" s="35">
        <v>33.049999999999997</v>
      </c>
      <c r="M32" s="35"/>
      <c r="N32" s="68"/>
      <c r="O32" s="68"/>
      <c r="P32" s="35"/>
      <c r="Q32" s="33"/>
      <c r="R32" s="33"/>
      <c r="S32" s="34"/>
      <c r="T32" s="34"/>
      <c r="U32" s="49">
        <f t="shared" ref="U32" si="35">+I32-SUM(J32:T32)</f>
        <v>-33.049999999999997</v>
      </c>
      <c r="V32" s="33">
        <f t="shared" ref="V32" si="36">IF(I32&gt;2250,I32*0.1,0)</f>
        <v>0</v>
      </c>
      <c r="W32" s="49">
        <f t="shared" ref="W32" si="37">+U32-V32</f>
        <v>-33.049999999999997</v>
      </c>
      <c r="X32" s="33"/>
      <c r="Y32" s="33"/>
      <c r="Z32" s="33"/>
      <c r="AA32" s="49"/>
      <c r="AB32" s="58"/>
      <c r="AC32" s="58"/>
      <c r="AD32" s="50"/>
      <c r="AE32" s="36">
        <v>56708881656</v>
      </c>
      <c r="AF32" s="36"/>
      <c r="AG32" s="18" t="s">
        <v>180</v>
      </c>
    </row>
    <row r="33" spans="1:33" s="18" customFormat="1">
      <c r="A33" s="85" t="s">
        <v>28</v>
      </c>
      <c r="B33" s="34" t="s">
        <v>66</v>
      </c>
      <c r="C33" s="34" t="s">
        <v>77</v>
      </c>
      <c r="D33" s="34" t="s">
        <v>30</v>
      </c>
      <c r="E33" s="54">
        <v>41463</v>
      </c>
      <c r="F33" s="35"/>
      <c r="G33" s="35"/>
      <c r="H33" s="35"/>
      <c r="I33" s="49">
        <f t="shared" si="3"/>
        <v>0</v>
      </c>
      <c r="J33" s="35"/>
      <c r="K33" s="67"/>
      <c r="L33" s="35">
        <v>33.049999999999997</v>
      </c>
      <c r="M33" s="35">
        <v>0</v>
      </c>
      <c r="N33" s="68"/>
      <c r="O33" s="68"/>
      <c r="P33" s="35"/>
      <c r="Q33" s="33"/>
      <c r="R33" s="33"/>
      <c r="S33" s="34"/>
      <c r="T33" s="34">
        <v>0</v>
      </c>
      <c r="U33" s="49">
        <f t="shared" si="29"/>
        <v>-33.049999999999997</v>
      </c>
      <c r="V33" s="33">
        <f t="shared" si="30"/>
        <v>0</v>
      </c>
      <c r="W33" s="49">
        <f t="shared" si="31"/>
        <v>-33.049999999999997</v>
      </c>
      <c r="X33" s="33">
        <f t="shared" si="32"/>
        <v>0</v>
      </c>
      <c r="Y33" s="33">
        <v>20.23</v>
      </c>
      <c r="Z33" s="33">
        <f t="shared" si="33"/>
        <v>0</v>
      </c>
      <c r="AA33" s="49">
        <f t="shared" si="34"/>
        <v>20.23</v>
      </c>
      <c r="AB33" s="56"/>
      <c r="AC33" s="57"/>
      <c r="AD33" s="50">
        <f>+AB33+AC33-W33</f>
        <v>33.049999999999997</v>
      </c>
      <c r="AE33" s="36">
        <v>56708881457</v>
      </c>
      <c r="AF33" s="34"/>
      <c r="AG33" s="18" t="s">
        <v>180</v>
      </c>
    </row>
    <row r="34" spans="1:33" s="18" customFormat="1">
      <c r="A34" s="85" t="s">
        <v>26</v>
      </c>
      <c r="B34" s="34" t="s">
        <v>190</v>
      </c>
      <c r="C34" s="34"/>
      <c r="D34" s="34" t="s">
        <v>113</v>
      </c>
      <c r="E34" s="59">
        <v>40618</v>
      </c>
      <c r="F34" s="35">
        <v>4230</v>
      </c>
      <c r="G34" s="35"/>
      <c r="H34" s="35"/>
      <c r="I34" s="49">
        <f t="shared" si="3"/>
        <v>4230</v>
      </c>
      <c r="J34" s="35"/>
      <c r="K34" s="67"/>
      <c r="L34" s="35"/>
      <c r="M34" s="35">
        <v>0</v>
      </c>
      <c r="N34" s="68"/>
      <c r="O34" s="68"/>
      <c r="P34" s="35"/>
      <c r="Q34" s="33"/>
      <c r="R34" s="33"/>
      <c r="S34" s="34"/>
      <c r="T34" s="34">
        <v>0</v>
      </c>
      <c r="U34" s="49">
        <f t="shared" si="29"/>
        <v>4230</v>
      </c>
      <c r="V34" s="33">
        <f t="shared" si="30"/>
        <v>423</v>
      </c>
      <c r="W34" s="49">
        <f t="shared" si="31"/>
        <v>3807</v>
      </c>
      <c r="X34" s="33">
        <f t="shared" si="32"/>
        <v>0</v>
      </c>
      <c r="Y34" s="33">
        <v>21.23</v>
      </c>
      <c r="Z34" s="33">
        <f t="shared" si="33"/>
        <v>0</v>
      </c>
      <c r="AA34" s="49">
        <f t="shared" si="34"/>
        <v>4251.2299999999996</v>
      </c>
      <c r="AB34" s="56"/>
      <c r="AC34" s="57"/>
      <c r="AD34" s="50"/>
      <c r="AE34" s="36">
        <v>56708845038</v>
      </c>
      <c r="AF34" s="36"/>
      <c r="AG34" s="18" t="s">
        <v>180</v>
      </c>
    </row>
    <row r="35" spans="1:33" s="18" customFormat="1">
      <c r="A35" s="85" t="s">
        <v>28</v>
      </c>
      <c r="B35" s="34" t="s">
        <v>105</v>
      </c>
      <c r="C35" s="34" t="s">
        <v>80</v>
      </c>
      <c r="D35" s="34" t="s">
        <v>30</v>
      </c>
      <c r="E35" s="54">
        <v>42296</v>
      </c>
      <c r="F35" s="35">
        <v>789.15</v>
      </c>
      <c r="G35" s="35"/>
      <c r="H35" s="35"/>
      <c r="I35" s="49">
        <f t="shared" si="3"/>
        <v>789.15</v>
      </c>
      <c r="J35" s="35"/>
      <c r="K35" s="67"/>
      <c r="L35" s="35">
        <v>33.049999999999997</v>
      </c>
      <c r="M35" s="35">
        <v>0</v>
      </c>
      <c r="N35" s="68"/>
      <c r="O35" s="68"/>
      <c r="P35" s="35"/>
      <c r="Q35" s="33"/>
      <c r="R35" s="33"/>
      <c r="S35" s="34"/>
      <c r="T35" s="34">
        <v>802.69</v>
      </c>
      <c r="U35" s="49">
        <f t="shared" si="29"/>
        <v>-46.590000000000032</v>
      </c>
      <c r="V35" s="33">
        <f t="shared" si="30"/>
        <v>0</v>
      </c>
      <c r="W35" s="49">
        <f t="shared" si="31"/>
        <v>-46.590000000000032</v>
      </c>
      <c r="X35" s="33">
        <f t="shared" si="32"/>
        <v>78.915000000000006</v>
      </c>
      <c r="Y35" s="33">
        <v>10.23</v>
      </c>
      <c r="Z35" s="33">
        <f t="shared" si="33"/>
        <v>0</v>
      </c>
      <c r="AA35" s="49">
        <f t="shared" si="34"/>
        <v>878.29499999999996</v>
      </c>
      <c r="AB35" s="56"/>
      <c r="AC35" s="57"/>
      <c r="AD35" s="50">
        <f>+AB35+AC35-W35</f>
        <v>46.590000000000032</v>
      </c>
      <c r="AE35" s="36">
        <v>56708881460</v>
      </c>
      <c r="AF35" s="36"/>
      <c r="AG35" s="18" t="s">
        <v>180</v>
      </c>
    </row>
    <row r="36" spans="1:33" s="18" customFormat="1">
      <c r="A36" s="85" t="s">
        <v>27</v>
      </c>
      <c r="B36" s="34" t="s">
        <v>36</v>
      </c>
      <c r="C36" s="34" t="s">
        <v>94</v>
      </c>
      <c r="D36" s="34" t="s">
        <v>46</v>
      </c>
      <c r="E36" s="54">
        <v>42199</v>
      </c>
      <c r="F36" s="35">
        <v>1794.38</v>
      </c>
      <c r="G36" s="35"/>
      <c r="H36" s="35"/>
      <c r="I36" s="49">
        <f t="shared" si="3"/>
        <v>1794.38</v>
      </c>
      <c r="J36" s="35"/>
      <c r="K36" s="67"/>
      <c r="L36" s="35">
        <v>54.05</v>
      </c>
      <c r="M36" s="35">
        <v>0</v>
      </c>
      <c r="N36" s="68"/>
      <c r="O36" s="68"/>
      <c r="P36" s="35"/>
      <c r="Q36" s="33"/>
      <c r="R36" s="33"/>
      <c r="S36" s="34"/>
      <c r="T36" s="34">
        <v>0</v>
      </c>
      <c r="U36" s="49">
        <f t="shared" si="29"/>
        <v>1740.3300000000002</v>
      </c>
      <c r="V36" s="33">
        <f t="shared" si="30"/>
        <v>0</v>
      </c>
      <c r="W36" s="49">
        <f t="shared" si="31"/>
        <v>1740.3300000000002</v>
      </c>
      <c r="X36" s="33">
        <f t="shared" si="32"/>
        <v>179.43800000000002</v>
      </c>
      <c r="Y36" s="33">
        <v>10.23</v>
      </c>
      <c r="Z36" s="33">
        <f t="shared" si="33"/>
        <v>0</v>
      </c>
      <c r="AA36" s="49">
        <f t="shared" si="34"/>
        <v>1984.0480000000002</v>
      </c>
      <c r="AB36" s="56"/>
      <c r="AC36" s="57"/>
      <c r="AD36" s="50">
        <f>+AB36+AC36-W36</f>
        <v>-1740.3300000000002</v>
      </c>
      <c r="AE36" s="36">
        <v>56708881474</v>
      </c>
      <c r="AF36" s="34"/>
      <c r="AG36" s="18" t="s">
        <v>180</v>
      </c>
    </row>
    <row r="37" spans="1:33" s="18" customFormat="1">
      <c r="A37" s="85" t="s">
        <v>28</v>
      </c>
      <c r="B37" s="34" t="s">
        <v>81</v>
      </c>
      <c r="C37" s="34" t="s">
        <v>80</v>
      </c>
      <c r="D37" s="34" t="s">
        <v>30</v>
      </c>
      <c r="E37" s="54">
        <v>42304</v>
      </c>
      <c r="F37" s="35"/>
      <c r="G37" s="35"/>
      <c r="H37" s="35"/>
      <c r="I37" s="49">
        <f t="shared" si="3"/>
        <v>0</v>
      </c>
      <c r="J37" s="35"/>
      <c r="K37" s="67"/>
      <c r="L37" s="35">
        <v>33.049999999999997</v>
      </c>
      <c r="M37" s="35">
        <v>0</v>
      </c>
      <c r="N37" s="68"/>
      <c r="O37" s="68"/>
      <c r="P37" s="35"/>
      <c r="Q37" s="33"/>
      <c r="R37" s="33"/>
      <c r="S37" s="34"/>
      <c r="T37" s="34">
        <v>0</v>
      </c>
      <c r="U37" s="49">
        <f t="shared" si="29"/>
        <v>-33.049999999999997</v>
      </c>
      <c r="V37" s="33">
        <f t="shared" si="30"/>
        <v>0</v>
      </c>
      <c r="W37" s="49">
        <f t="shared" si="31"/>
        <v>-33.049999999999997</v>
      </c>
      <c r="X37" s="33">
        <f t="shared" si="32"/>
        <v>0</v>
      </c>
      <c r="Y37" s="33">
        <v>10.23</v>
      </c>
      <c r="Z37" s="33">
        <f t="shared" si="33"/>
        <v>0</v>
      </c>
      <c r="AA37" s="49">
        <f t="shared" si="34"/>
        <v>10.23</v>
      </c>
      <c r="AB37" s="50"/>
      <c r="AC37" s="50"/>
      <c r="AD37" s="50"/>
      <c r="AE37" s="36">
        <v>56708845069</v>
      </c>
      <c r="AF37" s="36"/>
      <c r="AG37" s="18" t="s">
        <v>180</v>
      </c>
    </row>
    <row r="38" spans="1:33" s="18" customFormat="1">
      <c r="A38" s="85" t="s">
        <v>27</v>
      </c>
      <c r="B38" s="34" t="s">
        <v>120</v>
      </c>
      <c r="C38" s="34"/>
      <c r="D38" s="34" t="s">
        <v>46</v>
      </c>
      <c r="E38" s="54">
        <v>42576</v>
      </c>
      <c r="F38" s="35">
        <v>4500</v>
      </c>
      <c r="G38" s="35"/>
      <c r="H38" s="35"/>
      <c r="I38" s="49">
        <f t="shared" si="3"/>
        <v>4500</v>
      </c>
      <c r="J38" s="35"/>
      <c r="K38" s="67"/>
      <c r="L38" s="35"/>
      <c r="M38" s="35">
        <v>0</v>
      </c>
      <c r="N38" s="68"/>
      <c r="O38" s="68"/>
      <c r="P38" s="35"/>
      <c r="Q38" s="33"/>
      <c r="R38" s="33"/>
      <c r="S38" s="34"/>
      <c r="T38" s="34">
        <v>0</v>
      </c>
      <c r="U38" s="49">
        <f t="shared" si="29"/>
        <v>4500</v>
      </c>
      <c r="V38" s="33">
        <f t="shared" si="30"/>
        <v>450</v>
      </c>
      <c r="W38" s="49">
        <f t="shared" si="31"/>
        <v>4050</v>
      </c>
      <c r="X38" s="33">
        <f t="shared" si="32"/>
        <v>0</v>
      </c>
      <c r="Y38" s="33">
        <v>11.23</v>
      </c>
      <c r="Z38" s="33">
        <f t="shared" si="33"/>
        <v>0</v>
      </c>
      <c r="AA38" s="49">
        <f t="shared" si="34"/>
        <v>4511.2299999999996</v>
      </c>
      <c r="AB38" s="52"/>
      <c r="AC38" s="52"/>
      <c r="AD38" s="52"/>
      <c r="AE38" s="36">
        <v>56708845072</v>
      </c>
      <c r="AF38" s="36"/>
      <c r="AG38" s="18" t="s">
        <v>180</v>
      </c>
    </row>
    <row r="39" spans="1:33" s="18" customFormat="1">
      <c r="A39" s="85" t="s">
        <v>28</v>
      </c>
      <c r="B39" s="34" t="s">
        <v>102</v>
      </c>
      <c r="C39" s="34" t="s">
        <v>80</v>
      </c>
      <c r="D39" s="34" t="s">
        <v>30</v>
      </c>
      <c r="E39" s="54">
        <v>41622</v>
      </c>
      <c r="F39" s="35"/>
      <c r="G39" s="35"/>
      <c r="H39" s="35"/>
      <c r="I39" s="49">
        <f t="shared" si="3"/>
        <v>0</v>
      </c>
      <c r="J39" s="35"/>
      <c r="K39" s="67"/>
      <c r="L39" s="35">
        <v>33.049999999999997</v>
      </c>
      <c r="M39" s="35">
        <v>0</v>
      </c>
      <c r="N39" s="68"/>
      <c r="O39" s="68"/>
      <c r="P39" s="35"/>
      <c r="Q39" s="33"/>
      <c r="R39" s="33"/>
      <c r="S39" s="34"/>
      <c r="T39" s="34">
        <v>0</v>
      </c>
      <c r="U39" s="49">
        <f t="shared" si="29"/>
        <v>-33.049999999999997</v>
      </c>
      <c r="V39" s="33">
        <f t="shared" si="30"/>
        <v>0</v>
      </c>
      <c r="W39" s="49">
        <f t="shared" si="31"/>
        <v>-33.049999999999997</v>
      </c>
      <c r="X39" s="33">
        <f t="shared" si="32"/>
        <v>0</v>
      </c>
      <c r="Y39" s="33">
        <v>10.23</v>
      </c>
      <c r="Z39" s="33">
        <f t="shared" si="33"/>
        <v>0</v>
      </c>
      <c r="AA39" s="49">
        <f t="shared" si="34"/>
        <v>10.23</v>
      </c>
      <c r="AB39" s="56"/>
      <c r="AC39" s="56"/>
      <c r="AD39" s="50">
        <f t="shared" ref="AD39:AD41" si="38">+AB39+AC39-W39</f>
        <v>33.049999999999997</v>
      </c>
      <c r="AE39" s="36">
        <v>56708881491</v>
      </c>
      <c r="AF39" s="34"/>
      <c r="AG39" s="18" t="s">
        <v>180</v>
      </c>
    </row>
    <row r="40" spans="1:33" s="18" customFormat="1">
      <c r="A40" s="85" t="s">
        <v>28</v>
      </c>
      <c r="B40" s="34" t="s">
        <v>185</v>
      </c>
      <c r="C40" s="34"/>
      <c r="D40" s="34" t="s">
        <v>30</v>
      </c>
      <c r="E40" s="54">
        <v>42828</v>
      </c>
      <c r="F40" s="35"/>
      <c r="G40" s="35"/>
      <c r="H40" s="35"/>
      <c r="I40" s="49"/>
      <c r="J40" s="35"/>
      <c r="K40" s="67">
        <v>2</v>
      </c>
      <c r="L40" s="35"/>
      <c r="M40" s="35"/>
      <c r="N40" s="68"/>
      <c r="O40" s="68"/>
      <c r="P40" s="35"/>
      <c r="Q40" s="33"/>
      <c r="R40" s="33"/>
      <c r="S40" s="34"/>
      <c r="T40" s="34"/>
      <c r="U40" s="49"/>
      <c r="V40" s="33"/>
      <c r="W40" s="49"/>
      <c r="X40" s="33"/>
      <c r="Y40" s="33"/>
      <c r="Z40" s="33"/>
      <c r="AA40" s="49"/>
      <c r="AB40" s="58"/>
      <c r="AC40" s="58"/>
      <c r="AD40" s="50"/>
      <c r="AE40" s="36">
        <v>60589861092</v>
      </c>
      <c r="AF40" s="36"/>
      <c r="AG40" s="18" t="s">
        <v>180</v>
      </c>
    </row>
    <row r="41" spans="1:33" s="18" customFormat="1">
      <c r="A41" s="85" t="s">
        <v>28</v>
      </c>
      <c r="B41" s="34" t="s">
        <v>108</v>
      </c>
      <c r="C41" s="34" t="s">
        <v>77</v>
      </c>
      <c r="D41" s="34" t="s">
        <v>30</v>
      </c>
      <c r="E41" s="54">
        <v>37834</v>
      </c>
      <c r="F41" s="35">
        <v>1085.1600000000001</v>
      </c>
      <c r="G41" s="35"/>
      <c r="H41" s="35"/>
      <c r="I41" s="49">
        <f t="shared" si="3"/>
        <v>1085.1600000000001</v>
      </c>
      <c r="J41" s="35"/>
      <c r="K41" s="67"/>
      <c r="L41" s="35">
        <v>33.049999999999997</v>
      </c>
      <c r="M41" s="35">
        <v>0</v>
      </c>
      <c r="N41" s="68"/>
      <c r="O41" s="68"/>
      <c r="P41" s="35"/>
      <c r="Q41" s="33"/>
      <c r="R41" s="33"/>
      <c r="S41" s="34"/>
      <c r="T41" s="34">
        <v>0</v>
      </c>
      <c r="U41" s="49">
        <f t="shared" si="29"/>
        <v>1052.1100000000001</v>
      </c>
      <c r="V41" s="33">
        <f t="shared" si="30"/>
        <v>0</v>
      </c>
      <c r="W41" s="49">
        <f t="shared" si="31"/>
        <v>1052.1100000000001</v>
      </c>
      <c r="X41" s="33">
        <f t="shared" si="32"/>
        <v>108.51600000000002</v>
      </c>
      <c r="Y41" s="33">
        <v>10.23</v>
      </c>
      <c r="Z41" s="33">
        <f t="shared" si="33"/>
        <v>0</v>
      </c>
      <c r="AA41" s="49">
        <f t="shared" si="34"/>
        <v>1203.9060000000002</v>
      </c>
      <c r="AB41" s="56"/>
      <c r="AC41" s="57"/>
      <c r="AD41" s="50">
        <f t="shared" si="38"/>
        <v>-1052.1100000000001</v>
      </c>
      <c r="AE41" s="36">
        <v>56708881503</v>
      </c>
      <c r="AF41" s="36"/>
      <c r="AG41" s="18" t="s">
        <v>180</v>
      </c>
    </row>
    <row r="42" spans="1:33" s="18" customFormat="1">
      <c r="A42" s="85" t="s">
        <v>28</v>
      </c>
      <c r="B42" s="34" t="s">
        <v>137</v>
      </c>
      <c r="C42" s="34"/>
      <c r="D42" s="34" t="s">
        <v>30</v>
      </c>
      <c r="E42" s="54">
        <v>42342</v>
      </c>
      <c r="F42" s="35">
        <v>1671.37</v>
      </c>
      <c r="G42" s="35"/>
      <c r="H42" s="35"/>
      <c r="I42" s="49">
        <f t="shared" si="3"/>
        <v>1671.37</v>
      </c>
      <c r="J42" s="35"/>
      <c r="K42" s="67"/>
      <c r="L42" s="35">
        <v>26.44</v>
      </c>
      <c r="M42" s="35">
        <v>0</v>
      </c>
      <c r="N42" s="68"/>
      <c r="O42" s="68"/>
      <c r="P42" s="35"/>
      <c r="Q42" s="33">
        <v>257.3</v>
      </c>
      <c r="R42" s="33"/>
      <c r="S42" s="51"/>
      <c r="T42" s="51"/>
      <c r="U42" s="49">
        <f t="shared" ref="U42" si="39">+I42-SUM(J42:T42)</f>
        <v>1387.6299999999999</v>
      </c>
      <c r="V42" s="33">
        <f t="shared" ref="V42" si="40">IF(I42&gt;2250,I42*0.1,0)</f>
        <v>0</v>
      </c>
      <c r="W42" s="49">
        <f t="shared" ref="W42" si="41">+U42-V42</f>
        <v>1387.6299999999999</v>
      </c>
      <c r="X42" s="33"/>
      <c r="Y42" s="33"/>
      <c r="Z42" s="33"/>
      <c r="AA42" s="49"/>
      <c r="AB42" s="56"/>
      <c r="AC42" s="57"/>
      <c r="AD42" s="50"/>
      <c r="AE42" s="36">
        <v>56708845101</v>
      </c>
      <c r="AF42" s="36"/>
      <c r="AG42" s="18" t="s">
        <v>180</v>
      </c>
    </row>
    <row r="43" spans="1:33" s="18" customFormat="1">
      <c r="A43" s="85" t="s">
        <v>28</v>
      </c>
      <c r="B43" s="34" t="s">
        <v>93</v>
      </c>
      <c r="C43" s="34"/>
      <c r="D43" s="34" t="s">
        <v>45</v>
      </c>
      <c r="E43" s="54">
        <v>40813</v>
      </c>
      <c r="F43" s="70"/>
      <c r="G43" s="35"/>
      <c r="H43" s="35"/>
      <c r="I43" s="49">
        <f>SUM(F43:H43)</f>
        <v>0</v>
      </c>
      <c r="J43" s="35"/>
      <c r="K43" s="67"/>
      <c r="L43" s="35"/>
      <c r="M43" s="35"/>
      <c r="N43" s="68"/>
      <c r="O43" s="68"/>
      <c r="P43" s="35"/>
      <c r="Q43" s="33"/>
      <c r="R43" s="33"/>
      <c r="S43" s="51"/>
      <c r="T43" s="51"/>
      <c r="U43" s="49">
        <f>+I43-SUM(J43:T43)</f>
        <v>0</v>
      </c>
      <c r="V43" s="33">
        <f t="shared" ref="V43" si="42">+U43*0.05</f>
        <v>0</v>
      </c>
      <c r="W43" s="49">
        <f t="shared" ref="W43" si="43">+U43-Q43-T43</f>
        <v>0</v>
      </c>
      <c r="X43" s="33">
        <f t="shared" ref="X43" si="44">IF(U43&lt;3000,U43*0.1,0)</f>
        <v>0</v>
      </c>
      <c r="Y43" s="33"/>
      <c r="Z43" s="33"/>
      <c r="AA43" s="49">
        <f t="shared" ref="AA43" si="45">+U43+X43+Y43</f>
        <v>0</v>
      </c>
      <c r="AB43" s="56"/>
      <c r="AC43" s="57"/>
      <c r="AD43" s="50"/>
      <c r="AE43" s="36">
        <v>60589552237</v>
      </c>
      <c r="AF43" s="36"/>
      <c r="AG43" s="18" t="s">
        <v>180</v>
      </c>
    </row>
    <row r="44" spans="1:33" s="18" customFormat="1">
      <c r="A44" s="85" t="s">
        <v>28</v>
      </c>
      <c r="B44" s="34" t="s">
        <v>201</v>
      </c>
      <c r="C44" s="34"/>
      <c r="D44" s="34" t="s">
        <v>202</v>
      </c>
      <c r="E44" s="54">
        <v>42772</v>
      </c>
      <c r="F44" s="35"/>
      <c r="G44" s="35"/>
      <c r="H44" s="35"/>
      <c r="I44" s="49">
        <f>SUM(F44:H44)</f>
        <v>0</v>
      </c>
      <c r="J44" s="35"/>
      <c r="K44" s="67"/>
      <c r="L44" s="35"/>
      <c r="M44" s="35"/>
      <c r="N44" s="68"/>
      <c r="O44" s="68"/>
      <c r="P44" s="35"/>
      <c r="Q44" s="33">
        <v>572.66999999999996</v>
      </c>
      <c r="R44" s="33"/>
      <c r="S44" s="51"/>
      <c r="T44" s="51"/>
      <c r="U44" s="49"/>
      <c r="V44" s="33"/>
      <c r="W44" s="49"/>
      <c r="X44" s="33"/>
      <c r="Y44" s="33"/>
      <c r="Z44" s="33"/>
      <c r="AA44" s="49"/>
      <c r="AB44" s="56"/>
      <c r="AC44" s="57"/>
      <c r="AD44" s="50"/>
      <c r="AE44" s="36">
        <v>60589624037</v>
      </c>
      <c r="AF44" s="36"/>
      <c r="AG44" s="18" t="s">
        <v>180</v>
      </c>
    </row>
    <row r="45" spans="1:33" s="18" customFormat="1">
      <c r="A45" s="85" t="s">
        <v>27</v>
      </c>
      <c r="B45" s="34" t="s">
        <v>198</v>
      </c>
      <c r="C45" s="34"/>
      <c r="D45" s="34" t="s">
        <v>30</v>
      </c>
      <c r="E45" s="54">
        <v>42852</v>
      </c>
      <c r="F45" s="35"/>
      <c r="G45" s="35"/>
      <c r="H45" s="35"/>
      <c r="I45" s="49">
        <f>SUM(F45:H45)</f>
        <v>0</v>
      </c>
      <c r="J45" s="35"/>
      <c r="K45" s="67">
        <v>2</v>
      </c>
      <c r="L45" s="35"/>
      <c r="M45" s="35"/>
      <c r="N45" s="68"/>
      <c r="O45" s="68"/>
      <c r="P45" s="35"/>
      <c r="Q45" s="33"/>
      <c r="R45" s="33"/>
      <c r="S45" s="51"/>
      <c r="T45" s="51"/>
      <c r="U45" s="49">
        <f>+I45-SUM(J45:T45)</f>
        <v>-2</v>
      </c>
      <c r="V45" s="33"/>
      <c r="W45" s="49"/>
      <c r="X45" s="33"/>
      <c r="Y45" s="33"/>
      <c r="Z45" s="33"/>
      <c r="AA45" s="49"/>
      <c r="AB45" s="56"/>
      <c r="AC45" s="57"/>
      <c r="AD45" s="50"/>
      <c r="AE45" s="36">
        <v>60590678030</v>
      </c>
      <c r="AF45" s="36"/>
      <c r="AG45" s="18" t="s">
        <v>180</v>
      </c>
    </row>
    <row r="46" spans="1:33" s="18" customFormat="1">
      <c r="A46" s="85" t="s">
        <v>28</v>
      </c>
      <c r="B46" s="34" t="s">
        <v>140</v>
      </c>
      <c r="C46" s="34"/>
      <c r="D46" s="34" t="s">
        <v>30</v>
      </c>
      <c r="E46" s="54">
        <v>42648</v>
      </c>
      <c r="F46" s="35">
        <v>2034.94</v>
      </c>
      <c r="G46" s="35"/>
      <c r="H46" s="35"/>
      <c r="I46" s="49">
        <f t="shared" si="3"/>
        <v>2034.94</v>
      </c>
      <c r="J46" s="35"/>
      <c r="K46" s="67"/>
      <c r="L46" s="35">
        <v>33.049999999999997</v>
      </c>
      <c r="M46" s="35"/>
      <c r="N46" s="68"/>
      <c r="O46" s="68"/>
      <c r="P46" s="35"/>
      <c r="Q46" s="33"/>
      <c r="R46" s="33"/>
      <c r="S46" s="51"/>
      <c r="T46" s="51"/>
      <c r="U46" s="49">
        <f t="shared" ref="U46" si="46">+I46-SUM(J46:T46)</f>
        <v>2001.89</v>
      </c>
      <c r="V46" s="33">
        <f t="shared" ref="V46" si="47">IF(I46&gt;2250,I46*0.1,0)</f>
        <v>0</v>
      </c>
      <c r="W46" s="49">
        <f t="shared" ref="W46" si="48">+U46-V46</f>
        <v>2001.89</v>
      </c>
      <c r="X46" s="33"/>
      <c r="Y46" s="33"/>
      <c r="Z46" s="33"/>
      <c r="AA46" s="49"/>
      <c r="AB46" s="56"/>
      <c r="AC46" s="57"/>
      <c r="AD46" s="50"/>
      <c r="AE46" s="36">
        <v>56708845115</v>
      </c>
      <c r="AF46" s="36"/>
      <c r="AG46" s="18" t="s">
        <v>180</v>
      </c>
    </row>
    <row r="47" spans="1:33" s="18" customFormat="1">
      <c r="A47" s="85" t="s">
        <v>27</v>
      </c>
      <c r="B47" s="34" t="s">
        <v>146</v>
      </c>
      <c r="C47" s="34"/>
      <c r="D47" s="34" t="s">
        <v>46</v>
      </c>
      <c r="E47" s="54">
        <v>42644</v>
      </c>
      <c r="F47" s="35">
        <v>8813.01</v>
      </c>
      <c r="G47" s="35"/>
      <c r="H47" s="35"/>
      <c r="I47" s="49">
        <f t="shared" si="3"/>
        <v>8813.01</v>
      </c>
      <c r="J47" s="35"/>
      <c r="K47" s="67"/>
      <c r="L47" s="35"/>
      <c r="M47" s="35"/>
      <c r="N47" s="68"/>
      <c r="O47" s="68"/>
      <c r="P47" s="35"/>
      <c r="Q47" s="33"/>
      <c r="R47" s="33"/>
      <c r="S47" s="51"/>
      <c r="T47" s="51"/>
      <c r="U47" s="49">
        <f t="shared" ref="U47" si="49">+I47-SUM(J47:T47)</f>
        <v>8813.01</v>
      </c>
      <c r="V47" s="33">
        <f t="shared" ref="V47" si="50">IF(I47&gt;2250,I47*0.1,0)</f>
        <v>881.30100000000004</v>
      </c>
      <c r="W47" s="49">
        <f t="shared" ref="W47" si="51">+U47-V47</f>
        <v>7931.7089999999998</v>
      </c>
      <c r="X47" s="33"/>
      <c r="Y47" s="33"/>
      <c r="Z47" s="33"/>
      <c r="AA47" s="49"/>
      <c r="AB47" s="56"/>
      <c r="AC47" s="57"/>
      <c r="AD47" s="50"/>
      <c r="AE47" s="36">
        <v>56708845530</v>
      </c>
      <c r="AF47" s="36"/>
      <c r="AG47" s="18" t="s">
        <v>180</v>
      </c>
    </row>
    <row r="48" spans="1:33" s="18" customFormat="1">
      <c r="A48" s="85" t="s">
        <v>28</v>
      </c>
      <c r="B48" s="34" t="s">
        <v>157</v>
      </c>
      <c r="C48" s="34"/>
      <c r="D48" s="34" t="s">
        <v>30</v>
      </c>
      <c r="E48" s="54">
        <v>42751</v>
      </c>
      <c r="F48" s="35">
        <v>3228.46</v>
      </c>
      <c r="G48" s="35"/>
      <c r="H48" s="35"/>
      <c r="I48" s="49">
        <f t="shared" si="3"/>
        <v>3228.46</v>
      </c>
      <c r="J48" s="35"/>
      <c r="K48" s="67">
        <v>1</v>
      </c>
      <c r="L48" s="35"/>
      <c r="M48" s="35"/>
      <c r="N48" s="68"/>
      <c r="O48" s="68"/>
      <c r="P48" s="35"/>
      <c r="Q48" s="33"/>
      <c r="R48" s="33"/>
      <c r="S48" s="34"/>
      <c r="T48" s="34"/>
      <c r="U48" s="49">
        <f t="shared" ref="U48" si="52">+I48-SUM(J48:T48)</f>
        <v>3227.46</v>
      </c>
      <c r="V48" s="33">
        <f t="shared" ref="V48" si="53">IF(I48&gt;2250,I48*0.1,0)</f>
        <v>322.846</v>
      </c>
      <c r="W48" s="49">
        <f t="shared" ref="W48" si="54">+U48-V48</f>
        <v>2904.614</v>
      </c>
      <c r="X48" s="33"/>
      <c r="Y48" s="33"/>
      <c r="Z48" s="33"/>
      <c r="AA48" s="49"/>
      <c r="AB48" s="56"/>
      <c r="AC48" s="57"/>
      <c r="AD48" s="50"/>
      <c r="AE48" s="36">
        <v>60589665774</v>
      </c>
      <c r="AF48" s="34"/>
      <c r="AG48" s="18" t="s">
        <v>180</v>
      </c>
    </row>
    <row r="49" spans="1:33" s="18" customFormat="1">
      <c r="A49" s="85" t="s">
        <v>28</v>
      </c>
      <c r="B49" s="34" t="s">
        <v>89</v>
      </c>
      <c r="C49" s="34" t="s">
        <v>80</v>
      </c>
      <c r="D49" s="34" t="s">
        <v>30</v>
      </c>
      <c r="E49" s="54">
        <v>42251</v>
      </c>
      <c r="F49" s="35"/>
      <c r="G49" s="35"/>
      <c r="H49" s="35"/>
      <c r="I49" s="49">
        <f t="shared" si="3"/>
        <v>0</v>
      </c>
      <c r="J49" s="35"/>
      <c r="K49" s="67"/>
      <c r="L49" s="35">
        <v>33.049999999999997</v>
      </c>
      <c r="M49" s="35">
        <v>0</v>
      </c>
      <c r="N49" s="68"/>
      <c r="O49" s="68"/>
      <c r="P49" s="35"/>
      <c r="Q49" s="33"/>
      <c r="R49" s="33"/>
      <c r="S49" s="34"/>
      <c r="T49" s="34"/>
      <c r="U49" s="49">
        <f t="shared" si="29"/>
        <v>-33.049999999999997</v>
      </c>
      <c r="V49" s="33">
        <f t="shared" si="30"/>
        <v>0</v>
      </c>
      <c r="W49" s="49">
        <f t="shared" si="31"/>
        <v>-33.049999999999997</v>
      </c>
      <c r="X49" s="33">
        <f t="shared" si="32"/>
        <v>0</v>
      </c>
      <c r="Y49" s="33">
        <v>10.23</v>
      </c>
      <c r="Z49" s="33">
        <f t="shared" si="33"/>
        <v>0</v>
      </c>
      <c r="AA49" s="49">
        <f t="shared" si="34"/>
        <v>10.23</v>
      </c>
      <c r="AB49" s="56"/>
      <c r="AC49" s="57"/>
      <c r="AD49" s="50">
        <f t="shared" ref="AD49:AD50" si="55">+AB49+AC49-W49</f>
        <v>33.049999999999997</v>
      </c>
      <c r="AE49" s="36">
        <v>56708881548</v>
      </c>
      <c r="AF49" s="34"/>
      <c r="AG49" s="18" t="s">
        <v>180</v>
      </c>
    </row>
    <row r="50" spans="1:33" s="18" customFormat="1">
      <c r="A50" s="85" t="s">
        <v>39</v>
      </c>
      <c r="B50" s="34" t="s">
        <v>111</v>
      </c>
      <c r="C50" s="34"/>
      <c r="D50" s="34" t="s">
        <v>29</v>
      </c>
      <c r="E50" s="54">
        <v>42506</v>
      </c>
      <c r="F50" s="35">
        <v>2440.6</v>
      </c>
      <c r="G50" s="35"/>
      <c r="H50" s="35"/>
      <c r="I50" s="49">
        <f t="shared" si="3"/>
        <v>2440.6</v>
      </c>
      <c r="J50" s="35"/>
      <c r="K50" s="67"/>
      <c r="L50" s="35"/>
      <c r="M50" s="35">
        <v>0</v>
      </c>
      <c r="N50" s="68"/>
      <c r="O50" s="68"/>
      <c r="P50" s="35"/>
      <c r="Q50" s="33"/>
      <c r="R50" s="33"/>
      <c r="S50" s="34"/>
      <c r="T50" s="34"/>
      <c r="U50" s="49">
        <f t="shared" si="29"/>
        <v>2440.6</v>
      </c>
      <c r="V50" s="33">
        <f t="shared" si="30"/>
        <v>244.06</v>
      </c>
      <c r="W50" s="49">
        <f t="shared" si="31"/>
        <v>2196.54</v>
      </c>
      <c r="X50" s="33">
        <f t="shared" si="32"/>
        <v>0</v>
      </c>
      <c r="Y50" s="33">
        <v>10.23</v>
      </c>
      <c r="Z50" s="33">
        <f t="shared" si="33"/>
        <v>0</v>
      </c>
      <c r="AA50" s="49">
        <f t="shared" si="34"/>
        <v>2450.83</v>
      </c>
      <c r="AB50" s="56"/>
      <c r="AC50" s="56"/>
      <c r="AD50" s="50">
        <f t="shared" si="55"/>
        <v>-2196.54</v>
      </c>
      <c r="AE50" s="36">
        <v>56708881551</v>
      </c>
      <c r="AF50" s="36"/>
      <c r="AG50" s="18" t="s">
        <v>180</v>
      </c>
    </row>
    <row r="51" spans="1:33" s="18" customFormat="1">
      <c r="A51" s="85" t="s">
        <v>28</v>
      </c>
      <c r="B51" s="34" t="s">
        <v>155</v>
      </c>
      <c r="C51" s="34"/>
      <c r="D51" s="34" t="s">
        <v>30</v>
      </c>
      <c r="E51" s="54">
        <v>42730</v>
      </c>
      <c r="F51" s="35"/>
      <c r="G51" s="35"/>
      <c r="H51" s="35"/>
      <c r="I51" s="49">
        <f t="shared" si="3"/>
        <v>0</v>
      </c>
      <c r="J51" s="35"/>
      <c r="K51" s="67"/>
      <c r="L51" s="35"/>
      <c r="M51" s="35"/>
      <c r="N51" s="68"/>
      <c r="O51" s="68"/>
      <c r="P51" s="35"/>
      <c r="Q51" s="33"/>
      <c r="R51" s="33"/>
      <c r="S51" s="34"/>
      <c r="T51" s="34"/>
      <c r="U51" s="49">
        <f t="shared" ref="U51" si="56">+I51-SUM(J51:T51)</f>
        <v>0</v>
      </c>
      <c r="V51" s="33">
        <f t="shared" ref="V51" si="57">IF(I51&gt;2250,I51*0.1,0)</f>
        <v>0</v>
      </c>
      <c r="W51" s="49">
        <f t="shared" ref="W51" si="58">+U51-V51</f>
        <v>0</v>
      </c>
      <c r="X51" s="33"/>
      <c r="Y51" s="33"/>
      <c r="Z51" s="33"/>
      <c r="AA51" s="49"/>
      <c r="AB51" s="56"/>
      <c r="AC51" s="56"/>
      <c r="AD51" s="50"/>
      <c r="AE51" s="36">
        <v>60589669043</v>
      </c>
      <c r="AF51" s="36"/>
      <c r="AG51" s="18" t="s">
        <v>180</v>
      </c>
    </row>
    <row r="52" spans="1:33" s="18" customFormat="1">
      <c r="A52" s="85" t="s">
        <v>28</v>
      </c>
      <c r="B52" s="34" t="s">
        <v>115</v>
      </c>
      <c r="C52" s="34"/>
      <c r="D52" s="34" t="s">
        <v>30</v>
      </c>
      <c r="E52" s="54">
        <v>42522</v>
      </c>
      <c r="F52" s="35">
        <v>1935.23</v>
      </c>
      <c r="G52" s="35"/>
      <c r="H52" s="35"/>
      <c r="I52" s="49">
        <f t="shared" si="3"/>
        <v>1935.23</v>
      </c>
      <c r="J52" s="35"/>
      <c r="K52" s="67">
        <v>1</v>
      </c>
      <c r="L52" s="35">
        <v>33.049999999999997</v>
      </c>
      <c r="M52" s="35">
        <v>0</v>
      </c>
      <c r="N52" s="68"/>
      <c r="O52" s="68"/>
      <c r="P52" s="35"/>
      <c r="Q52" s="33">
        <v>2000</v>
      </c>
      <c r="R52" s="33"/>
      <c r="S52" s="34"/>
      <c r="T52" s="34"/>
      <c r="U52" s="49">
        <f t="shared" ref="U52:U67" si="59">+I52-SUM(J52:T52)</f>
        <v>-98.819999999999936</v>
      </c>
      <c r="V52" s="33">
        <f t="shared" ref="V52:V57" si="60">IF(I52&gt;2250,I52*0.1,0)</f>
        <v>0</v>
      </c>
      <c r="W52" s="49">
        <f t="shared" ref="W52:W67" si="61">+U52-V52</f>
        <v>-98.819999999999936</v>
      </c>
      <c r="X52" s="33">
        <f t="shared" ref="X52:X66" si="62">IF(I52&lt;2250,I52*0.1,0)</f>
        <v>193.52300000000002</v>
      </c>
      <c r="Y52" s="33">
        <v>10.23</v>
      </c>
      <c r="Z52" s="33">
        <f t="shared" ref="Z52:Z66" si="63">+N52</f>
        <v>0</v>
      </c>
      <c r="AA52" s="49">
        <f t="shared" ref="AA52:AA66" si="64">+I52+X52+Y52+Z52</f>
        <v>2138.9830000000002</v>
      </c>
      <c r="AB52" s="56"/>
      <c r="AC52" s="56"/>
      <c r="AD52" s="50"/>
      <c r="AE52" s="36">
        <v>56708845237</v>
      </c>
      <c r="AF52" s="36"/>
      <c r="AG52" s="18" t="s">
        <v>180</v>
      </c>
    </row>
    <row r="53" spans="1:33" s="18" customFormat="1">
      <c r="A53" s="85" t="s">
        <v>28</v>
      </c>
      <c r="B53" s="34" t="s">
        <v>63</v>
      </c>
      <c r="C53" s="34" t="s">
        <v>77</v>
      </c>
      <c r="D53" s="34" t="s">
        <v>30</v>
      </c>
      <c r="E53" s="54">
        <v>42396</v>
      </c>
      <c r="F53" s="35">
        <v>6900.13</v>
      </c>
      <c r="G53" s="35"/>
      <c r="H53" s="35"/>
      <c r="I53" s="49">
        <f t="shared" si="3"/>
        <v>6900.13</v>
      </c>
      <c r="J53" s="35"/>
      <c r="K53" s="67"/>
      <c r="L53" s="35">
        <v>54.05</v>
      </c>
      <c r="M53" s="35">
        <v>0</v>
      </c>
      <c r="N53" s="68"/>
      <c r="O53" s="68"/>
      <c r="P53" s="35"/>
      <c r="Q53" s="33">
        <v>2500</v>
      </c>
      <c r="R53" s="33"/>
      <c r="S53" s="34"/>
      <c r="T53" s="34">
        <v>455.66</v>
      </c>
      <c r="U53" s="49">
        <f t="shared" si="59"/>
        <v>3890.42</v>
      </c>
      <c r="V53" s="33">
        <f t="shared" si="60"/>
        <v>690.01300000000003</v>
      </c>
      <c r="W53" s="49">
        <f t="shared" si="61"/>
        <v>3200.4070000000002</v>
      </c>
      <c r="X53" s="33">
        <f t="shared" si="62"/>
        <v>0</v>
      </c>
      <c r="Y53" s="33">
        <v>10.23</v>
      </c>
      <c r="Z53" s="33">
        <f t="shared" si="63"/>
        <v>0</v>
      </c>
      <c r="AA53" s="49">
        <f t="shared" si="64"/>
        <v>6910.36</v>
      </c>
      <c r="AB53" s="56"/>
      <c r="AC53" s="56"/>
      <c r="AD53" s="50">
        <f t="shared" ref="AD53:AD57" si="65">+AB53+AC53-W53</f>
        <v>-3200.4070000000002</v>
      </c>
      <c r="AE53" s="36">
        <v>56708881579</v>
      </c>
      <c r="AF53" s="36"/>
      <c r="AG53" s="18" t="s">
        <v>180</v>
      </c>
    </row>
    <row r="54" spans="1:33" s="18" customFormat="1">
      <c r="A54" s="85" t="s">
        <v>39</v>
      </c>
      <c r="B54" s="34" t="s">
        <v>72</v>
      </c>
      <c r="C54" s="34"/>
      <c r="D54" s="34" t="s">
        <v>45</v>
      </c>
      <c r="E54" s="54">
        <v>42321</v>
      </c>
      <c r="F54" s="70"/>
      <c r="G54" s="35"/>
      <c r="H54" s="35"/>
      <c r="I54" s="49">
        <f t="shared" si="3"/>
        <v>0</v>
      </c>
      <c r="J54" s="35"/>
      <c r="K54" s="67"/>
      <c r="L54" s="35"/>
      <c r="M54" s="35">
        <v>0</v>
      </c>
      <c r="N54" s="68"/>
      <c r="O54" s="68"/>
      <c r="P54" s="35"/>
      <c r="Q54" s="33"/>
      <c r="R54" s="33"/>
      <c r="S54" s="34"/>
      <c r="T54" s="34"/>
      <c r="U54" s="49">
        <f t="shared" si="59"/>
        <v>0</v>
      </c>
      <c r="V54" s="33">
        <f t="shared" si="60"/>
        <v>0</v>
      </c>
      <c r="W54" s="49">
        <f t="shared" si="61"/>
        <v>0</v>
      </c>
      <c r="X54" s="33">
        <f t="shared" si="62"/>
        <v>0</v>
      </c>
      <c r="Y54" s="33">
        <v>10.23</v>
      </c>
      <c r="Z54" s="33">
        <f t="shared" si="63"/>
        <v>0</v>
      </c>
      <c r="AA54" s="49">
        <f t="shared" si="64"/>
        <v>10.23</v>
      </c>
      <c r="AB54" s="56"/>
      <c r="AC54" s="57"/>
      <c r="AD54" s="50">
        <f t="shared" si="65"/>
        <v>0</v>
      </c>
      <c r="AE54" s="36">
        <v>56708845240</v>
      </c>
      <c r="AF54" s="34"/>
      <c r="AG54" s="18" t="s">
        <v>180</v>
      </c>
    </row>
    <row r="55" spans="1:33" s="18" customFormat="1">
      <c r="A55" s="85" t="s">
        <v>39</v>
      </c>
      <c r="B55" s="34" t="s">
        <v>136</v>
      </c>
      <c r="C55" s="34"/>
      <c r="D55" s="34" t="s">
        <v>29</v>
      </c>
      <c r="E55" s="54">
        <v>42646</v>
      </c>
      <c r="F55" s="35">
        <v>1107.77</v>
      </c>
      <c r="G55" s="35"/>
      <c r="H55" s="35"/>
      <c r="I55" s="49">
        <f t="shared" si="3"/>
        <v>1107.77</v>
      </c>
      <c r="J55" s="35"/>
      <c r="K55" s="67"/>
      <c r="L55" s="35"/>
      <c r="M55" s="35">
        <v>0</v>
      </c>
      <c r="N55" s="68"/>
      <c r="O55" s="68"/>
      <c r="P55" s="35"/>
      <c r="Q55" s="33"/>
      <c r="R55" s="33"/>
      <c r="S55" s="34"/>
      <c r="T55" s="34"/>
      <c r="U55" s="49">
        <f t="shared" ref="U55" si="66">+I55-SUM(J55:T55)</f>
        <v>1107.77</v>
      </c>
      <c r="V55" s="33">
        <f t="shared" ref="V55" si="67">IF(I55&gt;2250,I55*0.1,0)</f>
        <v>0</v>
      </c>
      <c r="W55" s="49">
        <f t="shared" ref="W55" si="68">+U55-V55</f>
        <v>1107.77</v>
      </c>
      <c r="X55" s="33"/>
      <c r="Y55" s="33"/>
      <c r="Z55" s="33"/>
      <c r="AA55" s="49"/>
      <c r="AB55" s="56"/>
      <c r="AC55" s="57"/>
      <c r="AD55" s="50"/>
      <c r="AE55" s="36">
        <v>56708881582</v>
      </c>
      <c r="AF55" s="36" t="s">
        <v>205</v>
      </c>
      <c r="AG55" s="18" t="s">
        <v>180</v>
      </c>
    </row>
    <row r="56" spans="1:33" s="18" customFormat="1">
      <c r="A56" s="85" t="s">
        <v>39</v>
      </c>
      <c r="B56" s="34" t="s">
        <v>71</v>
      </c>
      <c r="C56" s="34"/>
      <c r="D56" s="34" t="s">
        <v>29</v>
      </c>
      <c r="E56" s="54">
        <v>42065</v>
      </c>
      <c r="F56" s="35">
        <v>3574.93</v>
      </c>
      <c r="G56" s="35"/>
      <c r="H56" s="35"/>
      <c r="I56" s="49">
        <f t="shared" si="3"/>
        <v>3574.93</v>
      </c>
      <c r="J56" s="35"/>
      <c r="K56" s="67"/>
      <c r="L56" s="35"/>
      <c r="M56" s="35">
        <v>0</v>
      </c>
      <c r="N56" s="68"/>
      <c r="O56" s="68"/>
      <c r="P56" s="35"/>
      <c r="Q56" s="33"/>
      <c r="R56" s="33"/>
      <c r="S56" s="34"/>
      <c r="T56" s="34"/>
      <c r="U56" s="49">
        <f t="shared" si="59"/>
        <v>3574.93</v>
      </c>
      <c r="V56" s="33">
        <f t="shared" si="60"/>
        <v>357.49299999999999</v>
      </c>
      <c r="W56" s="49">
        <f t="shared" si="61"/>
        <v>3217.4369999999999</v>
      </c>
      <c r="X56" s="33">
        <f t="shared" si="62"/>
        <v>0</v>
      </c>
      <c r="Y56" s="33">
        <v>10.23</v>
      </c>
      <c r="Z56" s="33">
        <f t="shared" si="63"/>
        <v>0</v>
      </c>
      <c r="AA56" s="49">
        <f t="shared" si="64"/>
        <v>3585.16</v>
      </c>
      <c r="AB56" s="56"/>
      <c r="AC56" s="57"/>
      <c r="AD56" s="50">
        <f t="shared" si="65"/>
        <v>-3217.4369999999999</v>
      </c>
      <c r="AE56" s="36">
        <v>56708845254</v>
      </c>
      <c r="AF56" s="36"/>
      <c r="AG56" s="18" t="s">
        <v>180</v>
      </c>
    </row>
    <row r="57" spans="1:33" s="18" customFormat="1">
      <c r="A57" s="85" t="s">
        <v>28</v>
      </c>
      <c r="B57" s="34" t="s">
        <v>38</v>
      </c>
      <c r="C57" s="34" t="s">
        <v>75</v>
      </c>
      <c r="D57" s="34" t="s">
        <v>30</v>
      </c>
      <c r="E57" s="54">
        <v>41218</v>
      </c>
      <c r="F57" s="35">
        <v>4342.21</v>
      </c>
      <c r="G57" s="35"/>
      <c r="H57" s="35"/>
      <c r="I57" s="49">
        <f t="shared" si="3"/>
        <v>4342.21</v>
      </c>
      <c r="J57" s="35"/>
      <c r="K57" s="67"/>
      <c r="L57" s="35">
        <v>40.049999999999997</v>
      </c>
      <c r="M57" s="35">
        <v>0</v>
      </c>
      <c r="N57" s="68"/>
      <c r="O57" s="68"/>
      <c r="P57" s="35"/>
      <c r="Q57" s="33">
        <v>2224.86</v>
      </c>
      <c r="R57" s="33"/>
      <c r="S57" s="34"/>
      <c r="T57" s="34"/>
      <c r="U57" s="49">
        <f t="shared" si="59"/>
        <v>2077.2999999999997</v>
      </c>
      <c r="V57" s="33">
        <f t="shared" si="60"/>
        <v>434.221</v>
      </c>
      <c r="W57" s="49">
        <f t="shared" si="61"/>
        <v>1643.0789999999997</v>
      </c>
      <c r="X57" s="33">
        <f t="shared" si="62"/>
        <v>0</v>
      </c>
      <c r="Y57" s="33">
        <v>10.23</v>
      </c>
      <c r="Z57" s="33">
        <f t="shared" si="63"/>
        <v>0</v>
      </c>
      <c r="AA57" s="49">
        <f t="shared" si="64"/>
        <v>4352.4399999999996</v>
      </c>
      <c r="AB57" s="56"/>
      <c r="AC57" s="57"/>
      <c r="AD57" s="50">
        <f t="shared" si="65"/>
        <v>-1643.0789999999997</v>
      </c>
      <c r="AE57" s="36">
        <v>56708881596</v>
      </c>
      <c r="AF57" s="34"/>
      <c r="AG57" s="18" t="s">
        <v>180</v>
      </c>
    </row>
    <row r="58" spans="1:33" s="18" customFormat="1">
      <c r="A58" s="85" t="s">
        <v>26</v>
      </c>
      <c r="B58" s="34" t="s">
        <v>134</v>
      </c>
      <c r="C58" s="34"/>
      <c r="D58" s="34" t="s">
        <v>132</v>
      </c>
      <c r="E58" s="54">
        <v>42241</v>
      </c>
      <c r="F58" s="35"/>
      <c r="G58" s="35"/>
      <c r="H58" s="35"/>
      <c r="I58" s="49">
        <f t="shared" si="3"/>
        <v>0</v>
      </c>
      <c r="J58" s="35"/>
      <c r="K58" s="67"/>
      <c r="L58" s="35">
        <v>54.05</v>
      </c>
      <c r="M58" s="35"/>
      <c r="N58" s="68"/>
      <c r="O58" s="68"/>
      <c r="P58" s="35"/>
      <c r="Q58" s="33"/>
      <c r="R58" s="33"/>
      <c r="S58" s="34"/>
      <c r="T58" s="34"/>
      <c r="U58" s="49">
        <f t="shared" ref="U58" si="69">+I58-SUM(J58:T58)</f>
        <v>-54.05</v>
      </c>
      <c r="V58" s="33">
        <f t="shared" ref="V58" si="70">IF(I58&gt;2250,I58*0.1,0)</f>
        <v>0</v>
      </c>
      <c r="W58" s="49">
        <f t="shared" ref="W58" si="71">+U58-V58</f>
        <v>-54.05</v>
      </c>
      <c r="X58" s="33">
        <f t="shared" si="62"/>
        <v>0</v>
      </c>
      <c r="Y58" s="33"/>
      <c r="Z58" s="33"/>
      <c r="AA58" s="49"/>
      <c r="AB58" s="56"/>
      <c r="AC58" s="57"/>
      <c r="AD58" s="50"/>
      <c r="AE58" s="36">
        <v>56708845268</v>
      </c>
      <c r="AF58" s="36"/>
      <c r="AG58" s="18" t="s">
        <v>180</v>
      </c>
    </row>
    <row r="59" spans="1:33" s="18" customFormat="1">
      <c r="A59" s="85" t="s">
        <v>41</v>
      </c>
      <c r="B59" s="34" t="s">
        <v>96</v>
      </c>
      <c r="C59" s="34"/>
      <c r="D59" s="34" t="s">
        <v>45</v>
      </c>
      <c r="E59" s="54">
        <v>42333</v>
      </c>
      <c r="F59" s="70"/>
      <c r="G59" s="35"/>
      <c r="H59" s="35"/>
      <c r="I59" s="49">
        <f t="shared" si="3"/>
        <v>0</v>
      </c>
      <c r="J59" s="35"/>
      <c r="K59" s="67"/>
      <c r="L59" s="35"/>
      <c r="M59" s="35">
        <v>0</v>
      </c>
      <c r="N59" s="68"/>
      <c r="O59" s="68"/>
      <c r="P59" s="35"/>
      <c r="Q59" s="33"/>
      <c r="R59" s="33"/>
      <c r="S59" s="34"/>
      <c r="T59" s="34">
        <v>355.52</v>
      </c>
      <c r="U59" s="49">
        <f t="shared" si="59"/>
        <v>-355.52</v>
      </c>
      <c r="V59" s="33">
        <f t="shared" ref="V59:V67" si="72">IF(I59&gt;2250,I59*0.1,0)</f>
        <v>0</v>
      </c>
      <c r="W59" s="49">
        <f t="shared" si="61"/>
        <v>-355.52</v>
      </c>
      <c r="X59" s="33">
        <f t="shared" si="62"/>
        <v>0</v>
      </c>
      <c r="Y59" s="33">
        <v>10.23</v>
      </c>
      <c r="Z59" s="33">
        <f t="shared" si="63"/>
        <v>0</v>
      </c>
      <c r="AA59" s="49">
        <f t="shared" si="64"/>
        <v>10.23</v>
      </c>
      <c r="AB59" s="56"/>
      <c r="AC59" s="57"/>
      <c r="AD59" s="50">
        <f>+AB59+AC59-W59</f>
        <v>355.52</v>
      </c>
      <c r="AE59" s="36">
        <v>60589939521</v>
      </c>
      <c r="AF59" s="34"/>
      <c r="AG59" s="18" t="s">
        <v>180</v>
      </c>
    </row>
    <row r="60" spans="1:33" s="18" customFormat="1">
      <c r="A60" s="85" t="s">
        <v>28</v>
      </c>
      <c r="B60" s="34" t="s">
        <v>121</v>
      </c>
      <c r="C60" s="34"/>
      <c r="D60" s="34" t="s">
        <v>30</v>
      </c>
      <c r="E60" s="54">
        <v>42459</v>
      </c>
      <c r="F60" s="35"/>
      <c r="G60" s="35"/>
      <c r="H60" s="35"/>
      <c r="I60" s="49">
        <f t="shared" si="3"/>
        <v>0</v>
      </c>
      <c r="J60" s="35"/>
      <c r="K60" s="67">
        <v>1</v>
      </c>
      <c r="L60" s="35">
        <v>33.049999999999997</v>
      </c>
      <c r="M60" s="35">
        <v>0</v>
      </c>
      <c r="N60" s="68"/>
      <c r="O60" s="68"/>
      <c r="P60" s="35"/>
      <c r="Q60" s="33"/>
      <c r="R60" s="33"/>
      <c r="S60" s="34"/>
      <c r="T60" s="34"/>
      <c r="U60" s="49">
        <f t="shared" si="59"/>
        <v>-34.049999999999997</v>
      </c>
      <c r="V60" s="33">
        <f t="shared" si="72"/>
        <v>0</v>
      </c>
      <c r="W60" s="49">
        <f t="shared" si="61"/>
        <v>-34.049999999999997</v>
      </c>
      <c r="X60" s="33">
        <f t="shared" si="62"/>
        <v>0</v>
      </c>
      <c r="Y60" s="33">
        <v>10.23</v>
      </c>
      <c r="Z60" s="33">
        <f t="shared" si="63"/>
        <v>0</v>
      </c>
      <c r="AA60" s="49">
        <f t="shared" si="64"/>
        <v>10.23</v>
      </c>
      <c r="AB60" s="62"/>
      <c r="AC60" s="57"/>
      <c r="AD60" s="50">
        <f>+AB60+AC60-W60</f>
        <v>34.049999999999997</v>
      </c>
      <c r="AE60" s="36">
        <v>60589627948</v>
      </c>
      <c r="AF60" s="36"/>
      <c r="AG60" s="18" t="s">
        <v>180</v>
      </c>
    </row>
    <row r="61" spans="1:33" s="18" customFormat="1">
      <c r="A61" s="85" t="s">
        <v>26</v>
      </c>
      <c r="B61" s="34" t="s">
        <v>195</v>
      </c>
      <c r="C61" s="34"/>
      <c r="D61" s="34" t="s">
        <v>29</v>
      </c>
      <c r="E61" s="54">
        <v>42849</v>
      </c>
      <c r="F61" s="35">
        <v>441.17</v>
      </c>
      <c r="G61" s="35"/>
      <c r="H61" s="35"/>
      <c r="I61" s="49">
        <f t="shared" si="3"/>
        <v>441.17</v>
      </c>
      <c r="J61" s="35"/>
      <c r="K61" s="67"/>
      <c r="L61" s="35"/>
      <c r="M61" s="35"/>
      <c r="N61" s="68"/>
      <c r="O61" s="68"/>
      <c r="P61" s="35"/>
      <c r="Q61" s="33"/>
      <c r="R61" s="33"/>
      <c r="S61" s="34"/>
      <c r="T61" s="34"/>
      <c r="U61" s="49">
        <f t="shared" si="59"/>
        <v>441.17</v>
      </c>
      <c r="V61" s="33"/>
      <c r="W61" s="49"/>
      <c r="X61" s="33"/>
      <c r="Y61" s="33"/>
      <c r="Z61" s="33"/>
      <c r="AA61" s="49"/>
      <c r="AB61" s="62"/>
      <c r="AC61" s="57"/>
      <c r="AD61" s="50"/>
      <c r="AE61" s="36">
        <v>60590412629</v>
      </c>
      <c r="AF61" s="36"/>
      <c r="AG61" s="18" t="s">
        <v>180</v>
      </c>
    </row>
    <row r="62" spans="1:33" s="18" customFormat="1">
      <c r="A62" s="85" t="s">
        <v>26</v>
      </c>
      <c r="B62" s="71" t="s">
        <v>118</v>
      </c>
      <c r="C62" s="71"/>
      <c r="D62" s="71" t="s">
        <v>44</v>
      </c>
      <c r="E62" s="74">
        <v>42566</v>
      </c>
      <c r="F62" s="82"/>
      <c r="G62" s="82"/>
      <c r="H62" s="82"/>
      <c r="I62" s="49">
        <f t="shared" si="3"/>
        <v>0</v>
      </c>
      <c r="J62" s="35"/>
      <c r="K62" s="67"/>
      <c r="L62" s="35"/>
      <c r="M62" s="35"/>
      <c r="N62" s="68"/>
      <c r="O62" s="68"/>
      <c r="P62" s="35"/>
      <c r="Q62" s="33"/>
      <c r="R62" s="33"/>
      <c r="S62" s="34"/>
      <c r="T62" s="34"/>
      <c r="U62" s="49">
        <f t="shared" si="59"/>
        <v>0</v>
      </c>
      <c r="V62" s="33">
        <f t="shared" si="72"/>
        <v>0</v>
      </c>
      <c r="W62" s="49">
        <f t="shared" si="61"/>
        <v>0</v>
      </c>
      <c r="X62" s="33">
        <f t="shared" si="62"/>
        <v>0</v>
      </c>
      <c r="Y62" s="33">
        <v>21.23</v>
      </c>
      <c r="Z62" s="33">
        <f t="shared" si="63"/>
        <v>0</v>
      </c>
      <c r="AA62" s="49">
        <f t="shared" si="64"/>
        <v>21.23</v>
      </c>
      <c r="AB62" s="62"/>
      <c r="AC62" s="57"/>
      <c r="AD62" s="50"/>
      <c r="AE62" s="73"/>
      <c r="AF62" s="73" t="s">
        <v>168</v>
      </c>
    </row>
    <row r="63" spans="1:33" s="18" customFormat="1">
      <c r="A63" s="85" t="s">
        <v>28</v>
      </c>
      <c r="B63" s="34" t="s">
        <v>98</v>
      </c>
      <c r="C63" s="34" t="s">
        <v>77</v>
      </c>
      <c r="D63" s="34" t="s">
        <v>30</v>
      </c>
      <c r="E63" s="54">
        <v>42327</v>
      </c>
      <c r="F63" s="35">
        <v>1703.57</v>
      </c>
      <c r="G63" s="35"/>
      <c r="H63" s="35"/>
      <c r="I63" s="49">
        <f t="shared" si="3"/>
        <v>1703.57</v>
      </c>
      <c r="J63" s="35"/>
      <c r="K63" s="67"/>
      <c r="L63" s="35">
        <v>33.049999999999997</v>
      </c>
      <c r="M63" s="35">
        <v>0</v>
      </c>
      <c r="N63" s="68"/>
      <c r="O63" s="68"/>
      <c r="P63" s="35"/>
      <c r="Q63" s="33"/>
      <c r="R63" s="33"/>
      <c r="S63" s="34"/>
      <c r="T63" s="65">
        <v>505.56</v>
      </c>
      <c r="U63" s="49">
        <f t="shared" si="59"/>
        <v>1164.96</v>
      </c>
      <c r="V63" s="33">
        <f t="shared" si="72"/>
        <v>0</v>
      </c>
      <c r="W63" s="49">
        <f t="shared" si="61"/>
        <v>1164.96</v>
      </c>
      <c r="X63" s="33">
        <f t="shared" si="62"/>
        <v>170.357</v>
      </c>
      <c r="Y63" s="33">
        <v>10.23</v>
      </c>
      <c r="Z63" s="33">
        <f t="shared" si="63"/>
        <v>0</v>
      </c>
      <c r="AA63" s="49">
        <f t="shared" si="64"/>
        <v>1884.1569999999999</v>
      </c>
      <c r="AB63" s="56"/>
      <c r="AC63" s="57"/>
      <c r="AD63" s="50">
        <f t="shared" ref="AD63:AD66" si="73">+AB63+AC63-W63</f>
        <v>-1164.96</v>
      </c>
      <c r="AE63" s="36">
        <v>56708881807</v>
      </c>
      <c r="AF63" s="36"/>
      <c r="AG63" s="18" t="s">
        <v>180</v>
      </c>
    </row>
    <row r="64" spans="1:33" s="18" customFormat="1">
      <c r="A64" s="85" t="s">
        <v>27</v>
      </c>
      <c r="B64" s="34" t="s">
        <v>87</v>
      </c>
      <c r="C64" s="34" t="s">
        <v>78</v>
      </c>
      <c r="D64" s="34" t="s">
        <v>95</v>
      </c>
      <c r="E64" s="54">
        <v>42173</v>
      </c>
      <c r="F64" s="35">
        <v>2420.4899999999998</v>
      </c>
      <c r="G64" s="35"/>
      <c r="H64" s="35"/>
      <c r="I64" s="49">
        <f t="shared" si="3"/>
        <v>2420.4899999999998</v>
      </c>
      <c r="J64" s="35"/>
      <c r="K64" s="67"/>
      <c r="L64" s="35"/>
      <c r="M64" s="35">
        <v>0</v>
      </c>
      <c r="N64" s="68"/>
      <c r="O64" s="68"/>
      <c r="P64" s="35"/>
      <c r="Q64" s="33"/>
      <c r="R64" s="33"/>
      <c r="S64" s="34"/>
      <c r="T64" s="34"/>
      <c r="U64" s="49">
        <f t="shared" si="59"/>
        <v>2420.4899999999998</v>
      </c>
      <c r="V64" s="33">
        <f t="shared" si="72"/>
        <v>242.04899999999998</v>
      </c>
      <c r="W64" s="49">
        <f t="shared" si="61"/>
        <v>2178.4409999999998</v>
      </c>
      <c r="X64" s="33">
        <f t="shared" si="62"/>
        <v>0</v>
      </c>
      <c r="Y64" s="33">
        <v>10.23</v>
      </c>
      <c r="Z64" s="33">
        <f t="shared" si="63"/>
        <v>0</v>
      </c>
      <c r="AA64" s="49">
        <f t="shared" si="64"/>
        <v>2430.7199999999998</v>
      </c>
      <c r="AB64" s="62"/>
      <c r="AC64" s="63"/>
      <c r="AD64" s="50">
        <f t="shared" si="73"/>
        <v>-2178.4409999999998</v>
      </c>
      <c r="AE64" s="36">
        <v>56708881810</v>
      </c>
      <c r="AF64" s="36" t="s">
        <v>206</v>
      </c>
      <c r="AG64" s="18" t="s">
        <v>180</v>
      </c>
    </row>
    <row r="65" spans="1:186" s="18" customFormat="1">
      <c r="A65" s="85" t="s">
        <v>28</v>
      </c>
      <c r="B65" s="34" t="s">
        <v>191</v>
      </c>
      <c r="C65" s="34"/>
      <c r="D65" s="34" t="s">
        <v>30</v>
      </c>
      <c r="E65" s="54">
        <v>42842</v>
      </c>
      <c r="F65" s="35"/>
      <c r="G65" s="35"/>
      <c r="H65" s="35"/>
      <c r="I65" s="49">
        <f t="shared" si="3"/>
        <v>0</v>
      </c>
      <c r="J65" s="35"/>
      <c r="K65" s="67"/>
      <c r="L65" s="35"/>
      <c r="M65" s="35"/>
      <c r="N65" s="68"/>
      <c r="O65" s="68"/>
      <c r="P65" s="35"/>
      <c r="Q65" s="33"/>
      <c r="R65" s="33"/>
      <c r="S65" s="34"/>
      <c r="T65" s="34"/>
      <c r="U65" s="49"/>
      <c r="V65" s="33"/>
      <c r="W65" s="49"/>
      <c r="X65" s="33"/>
      <c r="Y65" s="33"/>
      <c r="Z65" s="33"/>
      <c r="AA65" s="49"/>
      <c r="AB65" s="62"/>
      <c r="AC65" s="63"/>
      <c r="AD65" s="50"/>
      <c r="AE65" s="36">
        <v>60590199370</v>
      </c>
      <c r="AF65" s="36"/>
      <c r="AG65" s="18" t="s">
        <v>180</v>
      </c>
    </row>
    <row r="66" spans="1:186" s="18" customFormat="1">
      <c r="A66" s="85" t="s">
        <v>28</v>
      </c>
      <c r="B66" s="34" t="s">
        <v>110</v>
      </c>
      <c r="C66" s="34" t="s">
        <v>75</v>
      </c>
      <c r="D66" s="34" t="s">
        <v>30</v>
      </c>
      <c r="E66" s="54">
        <v>42506</v>
      </c>
      <c r="F66" s="35">
        <f>5808.83+1056.45</f>
        <v>6865.28</v>
      </c>
      <c r="G66" s="35"/>
      <c r="H66" s="35"/>
      <c r="I66" s="49">
        <f t="shared" si="3"/>
        <v>6865.28</v>
      </c>
      <c r="J66" s="35"/>
      <c r="K66" s="67"/>
      <c r="L66" s="35">
        <v>33.049999999999997</v>
      </c>
      <c r="M66" s="35">
        <v>0</v>
      </c>
      <c r="N66" s="68"/>
      <c r="O66" s="68"/>
      <c r="P66" s="35"/>
      <c r="Q66" s="33">
        <v>205</v>
      </c>
      <c r="R66" s="33"/>
      <c r="S66" s="34"/>
      <c r="T66" s="65">
        <v>208.65</v>
      </c>
      <c r="U66" s="49">
        <f t="shared" si="59"/>
        <v>6418.58</v>
      </c>
      <c r="V66" s="33">
        <f t="shared" si="72"/>
        <v>686.52800000000002</v>
      </c>
      <c r="W66" s="49">
        <f t="shared" si="61"/>
        <v>5732.0519999999997</v>
      </c>
      <c r="X66" s="33">
        <f t="shared" si="62"/>
        <v>0</v>
      </c>
      <c r="Y66" s="33">
        <v>10.23</v>
      </c>
      <c r="Z66" s="33">
        <f t="shared" si="63"/>
        <v>0</v>
      </c>
      <c r="AA66" s="49">
        <f t="shared" si="64"/>
        <v>6875.5099999999993</v>
      </c>
      <c r="AB66" s="62"/>
      <c r="AC66" s="62"/>
      <c r="AD66" s="50">
        <f t="shared" si="73"/>
        <v>-5732.0519999999997</v>
      </c>
      <c r="AE66" s="84">
        <v>1179675078</v>
      </c>
      <c r="AF66" s="36"/>
      <c r="AG66" s="18" t="s">
        <v>182</v>
      </c>
      <c r="AH66" s="18" t="s">
        <v>194</v>
      </c>
    </row>
    <row r="67" spans="1:186" s="18" customFormat="1">
      <c r="A67" s="85" t="s">
        <v>26</v>
      </c>
      <c r="B67" s="34" t="s">
        <v>165</v>
      </c>
      <c r="C67" s="34"/>
      <c r="D67" s="34" t="s">
        <v>44</v>
      </c>
      <c r="E67" s="54">
        <v>42597</v>
      </c>
      <c r="F67" s="35">
        <v>2760</v>
      </c>
      <c r="G67" s="35"/>
      <c r="H67" s="35"/>
      <c r="I67" s="49">
        <f t="shared" si="3"/>
        <v>2760</v>
      </c>
      <c r="J67" s="35"/>
      <c r="K67" s="67"/>
      <c r="L67" s="35"/>
      <c r="M67" s="35"/>
      <c r="N67" s="68"/>
      <c r="O67" s="68"/>
      <c r="P67" s="35"/>
      <c r="Q67" s="33"/>
      <c r="R67" s="33"/>
      <c r="S67" s="34"/>
      <c r="T67" s="65"/>
      <c r="U67" s="49">
        <f t="shared" si="59"/>
        <v>2760</v>
      </c>
      <c r="V67" s="33">
        <f t="shared" si="72"/>
        <v>276</v>
      </c>
      <c r="W67" s="49">
        <f t="shared" si="61"/>
        <v>2484</v>
      </c>
      <c r="X67" s="33"/>
      <c r="Y67" s="33"/>
      <c r="Z67" s="33"/>
      <c r="AA67" s="49"/>
      <c r="AB67" s="62"/>
      <c r="AC67" s="62"/>
      <c r="AD67" s="50"/>
      <c r="AE67" s="36">
        <v>56708881838</v>
      </c>
      <c r="AF67" s="36"/>
      <c r="AG67" s="18" t="s">
        <v>180</v>
      </c>
    </row>
    <row r="68" spans="1:186" s="18" customFormat="1">
      <c r="A68" s="85" t="s">
        <v>39</v>
      </c>
      <c r="B68" s="34" t="s">
        <v>147</v>
      </c>
      <c r="C68" s="34"/>
      <c r="D68" s="34" t="s">
        <v>29</v>
      </c>
      <c r="E68" s="54">
        <v>42696</v>
      </c>
      <c r="F68" s="35">
        <v>1516.77</v>
      </c>
      <c r="G68" s="35"/>
      <c r="H68" s="35"/>
      <c r="I68" s="49">
        <f t="shared" si="3"/>
        <v>1516.77</v>
      </c>
      <c r="J68" s="35"/>
      <c r="K68" s="67"/>
      <c r="L68" s="35"/>
      <c r="M68" s="35"/>
      <c r="N68" s="68"/>
      <c r="O68" s="68"/>
      <c r="P68" s="35"/>
      <c r="Q68" s="33"/>
      <c r="R68" s="33"/>
      <c r="S68" s="34"/>
      <c r="T68" s="65"/>
      <c r="U68" s="49">
        <f t="shared" ref="U68" si="74">+I68-SUM(J68:T68)</f>
        <v>1516.77</v>
      </c>
      <c r="V68" s="33">
        <f t="shared" ref="V68" si="75">IF(I68&gt;2250,I68*0.1,0)</f>
        <v>0</v>
      </c>
      <c r="W68" s="49">
        <f t="shared" ref="W68" si="76">+U68-V68</f>
        <v>1516.77</v>
      </c>
      <c r="X68" s="33"/>
      <c r="Y68" s="33"/>
      <c r="Z68" s="33"/>
      <c r="AA68" s="49"/>
      <c r="AB68" s="62"/>
      <c r="AC68" s="62"/>
      <c r="AD68" s="50"/>
      <c r="AE68" s="36">
        <v>56710784605</v>
      </c>
      <c r="AF68" s="36"/>
      <c r="AG68" s="18" t="s">
        <v>180</v>
      </c>
    </row>
    <row r="69" spans="1:186" s="18" customFormat="1">
      <c r="A69" s="85" t="s">
        <v>28</v>
      </c>
      <c r="B69" s="34" t="s">
        <v>149</v>
      </c>
      <c r="C69" s="34"/>
      <c r="D69" s="34" t="s">
        <v>30</v>
      </c>
      <c r="E69" s="54">
        <v>42632</v>
      </c>
      <c r="F69" s="35"/>
      <c r="G69" s="35"/>
      <c r="H69" s="35"/>
      <c r="I69" s="49">
        <f t="shared" si="3"/>
        <v>0</v>
      </c>
      <c r="J69" s="35"/>
      <c r="K69" s="67"/>
      <c r="L69" s="35"/>
      <c r="M69" s="35"/>
      <c r="N69" s="68"/>
      <c r="O69" s="68"/>
      <c r="P69" s="35"/>
      <c r="Q69" s="33">
        <v>500</v>
      </c>
      <c r="R69" s="33"/>
      <c r="S69" s="34"/>
      <c r="T69" s="65"/>
      <c r="U69" s="49">
        <f t="shared" ref="U69:U70" si="77">+I69-SUM(J69:T69)</f>
        <v>-500</v>
      </c>
      <c r="V69" s="33">
        <f t="shared" ref="V69" si="78">IF(I69&gt;2250,I69*0.1,0)</f>
        <v>0</v>
      </c>
      <c r="W69" s="49">
        <f t="shared" ref="W69" si="79">+U69-V69</f>
        <v>-500</v>
      </c>
      <c r="X69" s="33"/>
      <c r="Y69" s="33"/>
      <c r="Z69" s="33"/>
      <c r="AA69" s="49"/>
      <c r="AB69" s="62"/>
      <c r="AC69" s="62"/>
      <c r="AD69" s="50"/>
      <c r="AE69" s="36">
        <v>60589620126</v>
      </c>
      <c r="AF69" s="36"/>
      <c r="AG69" s="18" t="s">
        <v>180</v>
      </c>
    </row>
    <row r="70" spans="1:186" s="18" customFormat="1">
      <c r="A70" s="85" t="s">
        <v>27</v>
      </c>
      <c r="B70" s="34" t="s">
        <v>196</v>
      </c>
      <c r="C70" s="34"/>
      <c r="D70" s="34" t="s">
        <v>30</v>
      </c>
      <c r="E70" s="54">
        <v>42748</v>
      </c>
      <c r="F70" s="35"/>
      <c r="G70" s="35"/>
      <c r="H70" s="35"/>
      <c r="I70" s="49">
        <f t="shared" si="3"/>
        <v>0</v>
      </c>
      <c r="J70" s="35"/>
      <c r="K70" s="67">
        <v>1</v>
      </c>
      <c r="L70" s="35"/>
      <c r="M70" s="35"/>
      <c r="N70" s="68"/>
      <c r="O70" s="68"/>
      <c r="P70" s="35"/>
      <c r="Q70" s="33"/>
      <c r="R70" s="33"/>
      <c r="S70" s="34"/>
      <c r="T70" s="65"/>
      <c r="U70" s="49">
        <f t="shared" si="77"/>
        <v>-1</v>
      </c>
      <c r="V70" s="33"/>
      <c r="W70" s="49"/>
      <c r="X70" s="33"/>
      <c r="Y70" s="33"/>
      <c r="Z70" s="33"/>
      <c r="AA70" s="49"/>
      <c r="AB70" s="62"/>
      <c r="AC70" s="62"/>
      <c r="AD70" s="50"/>
      <c r="AE70" s="36">
        <v>60589566067</v>
      </c>
      <c r="AF70" s="36"/>
      <c r="AG70" s="18" t="s">
        <v>180</v>
      </c>
    </row>
    <row r="71" spans="1:186" s="18" customFormat="1">
      <c r="A71" s="25"/>
      <c r="B71" s="26"/>
      <c r="C71" s="26"/>
      <c r="D71" s="26"/>
      <c r="E71" s="26"/>
      <c r="F71" s="27"/>
      <c r="G71" s="27"/>
      <c r="H71" s="27"/>
      <c r="I71" s="28"/>
      <c r="J71" s="27"/>
      <c r="K71" s="27"/>
      <c r="L71" s="27"/>
      <c r="M71" s="27"/>
      <c r="N71" s="27"/>
      <c r="O71" s="27"/>
      <c r="P71" s="27"/>
      <c r="Q71" s="37"/>
      <c r="R71" s="37"/>
      <c r="S71" s="37"/>
      <c r="T71" s="37"/>
      <c r="U71" s="28"/>
      <c r="V71" s="37"/>
      <c r="W71" s="28"/>
      <c r="X71" s="37"/>
      <c r="Y71" s="37"/>
      <c r="Z71" s="37"/>
      <c r="AA71" s="28"/>
      <c r="AB71" s="46"/>
      <c r="AC71" s="46"/>
      <c r="AD71" s="23"/>
    </row>
    <row r="72" spans="1:186">
      <c r="B72" s="38" t="s">
        <v>1</v>
      </c>
      <c r="C72" s="38"/>
      <c r="D72" s="38"/>
      <c r="E72" s="38"/>
      <c r="F72" s="39">
        <f>SUM(F7:F71)</f>
        <v>102641.30000000003</v>
      </c>
      <c r="G72" s="39">
        <f t="shared" ref="G72:J72" si="80">SUM(G8:G71)</f>
        <v>0</v>
      </c>
      <c r="H72" s="39">
        <f t="shared" si="80"/>
        <v>0</v>
      </c>
      <c r="I72" s="39">
        <f t="shared" si="80"/>
        <v>100530.32000000004</v>
      </c>
      <c r="J72" s="39">
        <f t="shared" si="80"/>
        <v>1568.37</v>
      </c>
      <c r="K72" s="39"/>
      <c r="L72" s="39">
        <f>SUM(L8:L71)</f>
        <v>879.53999999999974</v>
      </c>
      <c r="M72" s="40">
        <f t="shared" ref="M72:AD72" si="81">SUM(M8:M71)</f>
        <v>1300</v>
      </c>
      <c r="N72" s="40">
        <f t="shared" si="81"/>
        <v>0</v>
      </c>
      <c r="O72" s="40">
        <f t="shared" si="81"/>
        <v>0</v>
      </c>
      <c r="P72" s="40">
        <f t="shared" si="81"/>
        <v>0</v>
      </c>
      <c r="Q72" s="39">
        <f>SUM(Q8:Q71)</f>
        <v>8259.83</v>
      </c>
      <c r="R72" s="39">
        <f t="shared" si="81"/>
        <v>0.3</v>
      </c>
      <c r="S72" s="39">
        <f t="shared" si="81"/>
        <v>0</v>
      </c>
      <c r="T72" s="39">
        <f t="shared" si="81"/>
        <v>7230.0099999999993</v>
      </c>
      <c r="U72" s="39">
        <f t="shared" si="81"/>
        <v>80525.17</v>
      </c>
      <c r="V72" s="39">
        <f t="shared" si="81"/>
        <v>7659.5860000000002</v>
      </c>
      <c r="W72" s="39">
        <f t="shared" si="81"/>
        <v>71373.553999999989</v>
      </c>
      <c r="X72" s="39">
        <f t="shared" si="81"/>
        <v>927.68400000000008</v>
      </c>
      <c r="Y72" s="39">
        <f t="shared" si="81"/>
        <v>413.05000000000018</v>
      </c>
      <c r="Z72" s="39">
        <f t="shared" si="81"/>
        <v>0</v>
      </c>
      <c r="AA72" s="39">
        <f t="shared" si="81"/>
        <v>60705.724000000009</v>
      </c>
      <c r="AB72" s="47">
        <f t="shared" si="81"/>
        <v>0</v>
      </c>
      <c r="AC72" s="47">
        <f t="shared" si="81"/>
        <v>0</v>
      </c>
      <c r="AD72" s="41">
        <f t="shared" si="81"/>
        <v>-32086.755000000001</v>
      </c>
      <c r="AE72" s="29"/>
      <c r="AF72" s="29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8"/>
      <c r="FF72" s="18"/>
      <c r="FG72" s="18"/>
      <c r="FH72" s="18"/>
      <c r="FI72" s="18"/>
      <c r="FJ72" s="18"/>
      <c r="FK72" s="18"/>
      <c r="FL72" s="18"/>
      <c r="FM72" s="18"/>
      <c r="FN72" s="18"/>
      <c r="FO72" s="18"/>
      <c r="FP72" s="18"/>
      <c r="FQ72" s="18"/>
      <c r="FR72" s="18"/>
      <c r="FS72" s="18"/>
      <c r="FT72" s="18"/>
      <c r="FU72" s="18"/>
      <c r="FV72" s="18"/>
      <c r="FW72" s="18"/>
      <c r="FX72" s="18"/>
      <c r="FY72" s="18"/>
      <c r="FZ72" s="18"/>
      <c r="GA72" s="18"/>
      <c r="GB72" s="18"/>
      <c r="GC72" s="18"/>
      <c r="GD72" s="18"/>
    </row>
    <row r="73" spans="1:186">
      <c r="AA73" s="14">
        <f>AA72*0.16</f>
        <v>9712.9158400000015</v>
      </c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8"/>
      <c r="FT73" s="18"/>
      <c r="FU73" s="18"/>
      <c r="FV73" s="18"/>
      <c r="FW73" s="18"/>
      <c r="FX73" s="18"/>
      <c r="FY73" s="18"/>
      <c r="FZ73" s="18"/>
      <c r="GA73" s="18"/>
      <c r="GB73" s="18"/>
      <c r="GC73" s="18"/>
      <c r="GD73" s="18"/>
    </row>
    <row r="74" spans="1:186">
      <c r="A74" s="112" t="s">
        <v>90</v>
      </c>
      <c r="B74" s="112"/>
      <c r="C74" s="42"/>
      <c r="D74" s="29"/>
      <c r="E74" s="29"/>
      <c r="F74" s="31"/>
      <c r="G74" s="31"/>
      <c r="H74" s="31"/>
      <c r="I74" s="39"/>
      <c r="J74" s="31"/>
      <c r="K74" s="31"/>
      <c r="L74" s="31"/>
      <c r="M74" s="35"/>
      <c r="N74" s="35"/>
      <c r="O74" s="35"/>
      <c r="P74" s="35"/>
      <c r="Q74" s="31"/>
      <c r="R74" s="31"/>
      <c r="S74" s="31"/>
      <c r="T74" s="31"/>
      <c r="U74" s="39"/>
      <c r="V74" s="31"/>
      <c r="W74" s="39"/>
      <c r="X74" s="31"/>
      <c r="Y74" s="31"/>
      <c r="Z74" s="31"/>
      <c r="AA74" s="39">
        <f>+AA72+AA73</f>
        <v>70418.639840000018</v>
      </c>
      <c r="AB74" s="47"/>
      <c r="AC74" s="47"/>
      <c r="AD74" s="41"/>
      <c r="AE74" s="29"/>
      <c r="AF74" s="29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  <c r="FT74" s="18"/>
      <c r="FU74" s="18"/>
      <c r="FV74" s="18"/>
      <c r="FW74" s="18"/>
      <c r="FX74" s="18"/>
      <c r="FY74" s="18"/>
      <c r="FZ74" s="18"/>
      <c r="GA74" s="18"/>
      <c r="GB74" s="18"/>
      <c r="GC74" s="18"/>
      <c r="GD74" s="18"/>
    </row>
    <row r="75" spans="1:186">
      <c r="A75" s="34" t="s">
        <v>42</v>
      </c>
      <c r="B75" s="34" t="s">
        <v>91</v>
      </c>
      <c r="C75" s="30"/>
      <c r="D75" s="30" t="s">
        <v>127</v>
      </c>
      <c r="E75" s="55">
        <v>41142</v>
      </c>
      <c r="F75" s="35">
        <f>1181.331+3.736+98.62+405.55</f>
        <v>1689.2369999999999</v>
      </c>
      <c r="G75" s="32"/>
      <c r="H75" s="32"/>
      <c r="I75" s="49">
        <f>SUM(F75:H75)</f>
        <v>1689.2369999999999</v>
      </c>
      <c r="J75" s="35">
        <v>134.66999999999999</v>
      </c>
      <c r="K75" s="67"/>
      <c r="L75" s="35"/>
      <c r="M75" s="35"/>
      <c r="N75" s="68" t="s">
        <v>131</v>
      </c>
      <c r="O75" s="68" t="s">
        <v>131</v>
      </c>
      <c r="P75" s="35"/>
      <c r="Q75" s="33"/>
      <c r="R75" s="33"/>
      <c r="S75" s="34"/>
      <c r="T75" s="34"/>
      <c r="U75" s="49">
        <f>+I75-SUM(J75:T75)</f>
        <v>1554.5669999999998</v>
      </c>
      <c r="V75" s="33">
        <f>+U75*0.05</f>
        <v>77.728349999999992</v>
      </c>
      <c r="W75" s="49">
        <f>+U75-Q75-T75</f>
        <v>1554.5669999999998</v>
      </c>
      <c r="X75" s="61">
        <f>IF(U75&lt;3000,U75*0.1,0)</f>
        <v>155.45669999999998</v>
      </c>
      <c r="Y75" s="61">
        <v>0</v>
      </c>
      <c r="Z75" s="61"/>
      <c r="AA75" s="60">
        <f>+U75+X75+Y75</f>
        <v>1710.0236999999997</v>
      </c>
      <c r="AB75" s="48"/>
      <c r="AC75" s="48"/>
      <c r="AD75" s="43"/>
      <c r="AE75" s="36">
        <v>56708845760</v>
      </c>
      <c r="AF75" s="36" t="s">
        <v>159</v>
      </c>
      <c r="AG75" s="18" t="s">
        <v>180</v>
      </c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8"/>
      <c r="FF75" s="18"/>
      <c r="FG75" s="18"/>
      <c r="FH75" s="18"/>
      <c r="FI75" s="18"/>
      <c r="FJ75" s="18"/>
      <c r="FK75" s="18"/>
      <c r="FL75" s="18"/>
      <c r="FM75" s="18"/>
      <c r="FN75" s="18"/>
      <c r="FO75" s="18"/>
      <c r="FP75" s="18"/>
      <c r="FQ75" s="18"/>
      <c r="FR75" s="18"/>
      <c r="FS75" s="18"/>
      <c r="FT75" s="18"/>
      <c r="FU75" s="18"/>
      <c r="FV75" s="18"/>
      <c r="FW75" s="18"/>
      <c r="FX75" s="18"/>
      <c r="FY75" s="18"/>
      <c r="FZ75" s="18"/>
      <c r="GA75" s="18"/>
      <c r="GB75" s="18"/>
      <c r="GC75" s="18"/>
      <c r="GD75" s="18"/>
    </row>
    <row r="76" spans="1:186" s="18" customFormat="1">
      <c r="A76" s="34" t="s">
        <v>42</v>
      </c>
      <c r="B76" s="34" t="s">
        <v>54</v>
      </c>
      <c r="C76" s="34"/>
      <c r="D76" s="34" t="s">
        <v>127</v>
      </c>
      <c r="E76" s="54">
        <v>41381</v>
      </c>
      <c r="F76" s="35">
        <f>4224.641+2.599+819.93</f>
        <v>5047.17</v>
      </c>
      <c r="G76" s="35"/>
      <c r="H76" s="35"/>
      <c r="I76" s="49">
        <f t="shared" ref="I76:I121" si="82">SUM(F76:H76)</f>
        <v>5047.17</v>
      </c>
      <c r="J76" s="35">
        <v>372.75</v>
      </c>
      <c r="K76" s="67"/>
      <c r="L76" s="35"/>
      <c r="M76" s="35">
        <v>0</v>
      </c>
      <c r="N76" s="68" t="s">
        <v>131</v>
      </c>
      <c r="O76" s="68" t="s">
        <v>131</v>
      </c>
      <c r="P76" s="35"/>
      <c r="Q76" s="33"/>
      <c r="R76" s="33"/>
      <c r="S76" s="34"/>
      <c r="T76" s="34">
        <v>0</v>
      </c>
      <c r="U76" s="49">
        <f t="shared" ref="U76:U97" si="83">+I76-SUM(J76:T76)</f>
        <v>4674.42</v>
      </c>
      <c r="V76" s="33">
        <f t="shared" ref="V76:V86" si="84">IF(I76&gt;2250,I76*0.1,0)</f>
        <v>504.71700000000004</v>
      </c>
      <c r="W76" s="49">
        <f t="shared" ref="W76:W86" si="85">+U76-V76</f>
        <v>4169.7030000000004</v>
      </c>
      <c r="X76" s="33">
        <f t="shared" ref="X76:X86" si="86">IF(I76&lt;2250,I76*0.1,0)</f>
        <v>0</v>
      </c>
      <c r="Y76" s="33">
        <v>10.23</v>
      </c>
      <c r="Z76" s="33" t="str">
        <f t="shared" ref="Z76:Z86" si="87">+N76</f>
        <v>X</v>
      </c>
      <c r="AA76" s="49" t="e">
        <f t="shared" ref="AA76:AA86" si="88">+I76+X76+Y76+Z76</f>
        <v>#VALUE!</v>
      </c>
      <c r="AB76" s="56"/>
      <c r="AC76" s="57"/>
      <c r="AD76" s="50">
        <f t="shared" ref="AD76:AD81" si="89">+AB76+AC76-W76</f>
        <v>-4169.7030000000004</v>
      </c>
      <c r="AE76" s="36">
        <v>56708845774</v>
      </c>
      <c r="AF76" s="36" t="s">
        <v>159</v>
      </c>
      <c r="AG76" s="18" t="s">
        <v>180</v>
      </c>
    </row>
    <row r="77" spans="1:186" s="18" customFormat="1">
      <c r="A77" s="34" t="s">
        <v>40</v>
      </c>
      <c r="B77" s="34" t="s">
        <v>169</v>
      </c>
      <c r="C77" s="34"/>
      <c r="D77" s="34" t="s">
        <v>43</v>
      </c>
      <c r="E77" s="54">
        <v>42793</v>
      </c>
      <c r="F77" s="35">
        <f>507.3+2.972</f>
        <v>510.27199999999999</v>
      </c>
      <c r="G77" s="35"/>
      <c r="H77" s="35"/>
      <c r="I77" s="49">
        <f t="shared" si="82"/>
        <v>510.27199999999999</v>
      </c>
      <c r="J77" s="35"/>
      <c r="K77" s="67"/>
      <c r="L77" s="35"/>
      <c r="M77" s="35"/>
      <c r="N77" s="68"/>
      <c r="O77" s="68"/>
      <c r="P77" s="35"/>
      <c r="Q77" s="33"/>
      <c r="R77" s="33"/>
      <c r="S77" s="34"/>
      <c r="T77" s="34"/>
      <c r="U77" s="49">
        <f t="shared" si="83"/>
        <v>510.27199999999999</v>
      </c>
      <c r="V77" s="33"/>
      <c r="W77" s="49"/>
      <c r="X77" s="33"/>
      <c r="Y77" s="33"/>
      <c r="Z77" s="33"/>
      <c r="AA77" s="49"/>
      <c r="AB77" s="56"/>
      <c r="AC77" s="57"/>
      <c r="AD77" s="50"/>
      <c r="AE77" s="36">
        <v>56711602712</v>
      </c>
      <c r="AF77" s="36"/>
      <c r="AG77" s="18" t="s">
        <v>180</v>
      </c>
    </row>
    <row r="78" spans="1:186" s="18" customFormat="1">
      <c r="A78" s="34" t="s">
        <v>42</v>
      </c>
      <c r="B78" s="34" t="s">
        <v>104</v>
      </c>
      <c r="C78" s="34"/>
      <c r="D78" s="34" t="s">
        <v>127</v>
      </c>
      <c r="E78" s="54">
        <v>41740</v>
      </c>
      <c r="F78" s="35">
        <f>2300.219+5.571+345.78</f>
        <v>2651.5699999999997</v>
      </c>
      <c r="G78" s="35"/>
      <c r="H78" s="35"/>
      <c r="I78" s="49">
        <f t="shared" si="82"/>
        <v>2651.5699999999997</v>
      </c>
      <c r="J78" s="35">
        <v>275.38</v>
      </c>
      <c r="K78" s="67"/>
      <c r="L78" s="35"/>
      <c r="M78" s="35">
        <v>300</v>
      </c>
      <c r="N78" s="68" t="s">
        <v>131</v>
      </c>
      <c r="O78" s="68" t="s">
        <v>131</v>
      </c>
      <c r="P78" s="35"/>
      <c r="Q78" s="33"/>
      <c r="R78" s="33"/>
      <c r="S78" s="34"/>
      <c r="T78" s="34">
        <v>0</v>
      </c>
      <c r="U78" s="49">
        <f t="shared" si="83"/>
        <v>2076.1899999999996</v>
      </c>
      <c r="V78" s="33">
        <f t="shared" si="84"/>
        <v>265.15699999999998</v>
      </c>
      <c r="W78" s="49">
        <f t="shared" si="85"/>
        <v>1811.0329999999997</v>
      </c>
      <c r="X78" s="33">
        <f t="shared" si="86"/>
        <v>0</v>
      </c>
      <c r="Y78" s="33">
        <v>10.23</v>
      </c>
      <c r="Z78" s="33" t="str">
        <f t="shared" si="87"/>
        <v>X</v>
      </c>
      <c r="AA78" s="49" t="e">
        <f t="shared" si="88"/>
        <v>#VALUE!</v>
      </c>
      <c r="AB78" s="56"/>
      <c r="AC78" s="57"/>
      <c r="AD78" s="50">
        <f t="shared" si="89"/>
        <v>-1811.0329999999997</v>
      </c>
      <c r="AE78" s="36">
        <v>56708845788</v>
      </c>
      <c r="AF78" s="36" t="s">
        <v>159</v>
      </c>
      <c r="AG78" s="18" t="s">
        <v>180</v>
      </c>
    </row>
    <row r="79" spans="1:186" s="18" customFormat="1">
      <c r="A79" s="34" t="s">
        <v>42</v>
      </c>
      <c r="B79" s="34" t="s">
        <v>166</v>
      </c>
      <c r="C79" s="34"/>
      <c r="D79" s="34" t="s">
        <v>123</v>
      </c>
      <c r="E79" s="54">
        <v>42779</v>
      </c>
      <c r="F79" s="35">
        <v>973.45399999999995</v>
      </c>
      <c r="G79" s="35"/>
      <c r="H79" s="35"/>
      <c r="I79" s="49">
        <f t="shared" si="82"/>
        <v>973.45399999999995</v>
      </c>
      <c r="J79" s="35"/>
      <c r="K79" s="67"/>
      <c r="L79" s="35"/>
      <c r="M79" s="35"/>
      <c r="N79" s="68"/>
      <c r="O79" s="68"/>
      <c r="P79" s="35"/>
      <c r="Q79" s="33"/>
      <c r="R79" s="33"/>
      <c r="S79" s="34"/>
      <c r="T79" s="34"/>
      <c r="U79" s="49">
        <f t="shared" si="83"/>
        <v>973.45399999999995</v>
      </c>
      <c r="V79" s="33"/>
      <c r="W79" s="49"/>
      <c r="X79" s="33"/>
      <c r="Y79" s="33"/>
      <c r="Z79" s="33"/>
      <c r="AA79" s="49"/>
      <c r="AB79" s="56"/>
      <c r="AC79" s="57"/>
      <c r="AD79" s="50"/>
      <c r="AE79" s="36">
        <v>60589582591</v>
      </c>
      <c r="AF79" s="36"/>
      <c r="AG79" s="18" t="s">
        <v>180</v>
      </c>
    </row>
    <row r="80" spans="1:186" s="18" customFormat="1">
      <c r="A80" s="94" t="s">
        <v>42</v>
      </c>
      <c r="B80" s="94" t="s">
        <v>209</v>
      </c>
      <c r="C80" s="94"/>
      <c r="D80" s="94" t="s">
        <v>151</v>
      </c>
      <c r="E80" s="95">
        <v>42870</v>
      </c>
      <c r="F80" s="96">
        <v>71.497</v>
      </c>
      <c r="G80" s="96"/>
      <c r="H80" s="96"/>
      <c r="I80" s="49"/>
      <c r="J80" s="35"/>
      <c r="K80" s="67"/>
      <c r="L80" s="35"/>
      <c r="M80" s="35"/>
      <c r="N80" s="68"/>
      <c r="O80" s="68"/>
      <c r="P80" s="35"/>
      <c r="Q80" s="33"/>
      <c r="R80" s="33"/>
      <c r="S80" s="34"/>
      <c r="T80" s="34"/>
      <c r="U80" s="49"/>
      <c r="V80" s="33"/>
      <c r="W80" s="49"/>
      <c r="X80" s="33"/>
      <c r="Y80" s="33"/>
      <c r="Z80" s="33"/>
      <c r="AA80" s="49"/>
      <c r="AB80" s="56"/>
      <c r="AC80" s="57"/>
      <c r="AD80" s="50"/>
      <c r="AE80" s="97">
        <v>56687574175</v>
      </c>
      <c r="AF80" s="97"/>
      <c r="AG80" s="18" t="s">
        <v>180</v>
      </c>
    </row>
    <row r="81" spans="1:33" s="18" customFormat="1">
      <c r="A81" s="34" t="s">
        <v>42</v>
      </c>
      <c r="B81" s="34" t="s">
        <v>55</v>
      </c>
      <c r="C81" s="34"/>
      <c r="D81" s="34" t="s">
        <v>47</v>
      </c>
      <c r="E81" s="54">
        <v>41227</v>
      </c>
      <c r="F81" s="35"/>
      <c r="G81" s="35"/>
      <c r="H81" s="35"/>
      <c r="I81" s="49">
        <f t="shared" si="82"/>
        <v>0</v>
      </c>
      <c r="J81" s="35"/>
      <c r="K81" s="67"/>
      <c r="L81" s="35"/>
      <c r="M81" s="33" t="s">
        <v>131</v>
      </c>
      <c r="N81" s="68" t="s">
        <v>131</v>
      </c>
      <c r="O81" s="68" t="s">
        <v>131</v>
      </c>
      <c r="P81" s="35"/>
      <c r="Q81" s="33"/>
      <c r="R81" s="33"/>
      <c r="S81" s="34"/>
      <c r="T81" s="34">
        <v>0</v>
      </c>
      <c r="U81" s="49">
        <f t="shared" si="83"/>
        <v>0</v>
      </c>
      <c r="V81" s="33">
        <f t="shared" si="84"/>
        <v>0</v>
      </c>
      <c r="W81" s="49">
        <f t="shared" si="85"/>
        <v>0</v>
      </c>
      <c r="X81" s="33">
        <f t="shared" si="86"/>
        <v>0</v>
      </c>
      <c r="Y81" s="33">
        <v>10.23</v>
      </c>
      <c r="Z81" s="33" t="str">
        <f t="shared" si="87"/>
        <v>X</v>
      </c>
      <c r="AA81" s="49" t="e">
        <f t="shared" si="88"/>
        <v>#VALUE!</v>
      </c>
      <c r="AB81" s="56"/>
      <c r="AC81" s="57"/>
      <c r="AD81" s="50">
        <f t="shared" si="89"/>
        <v>0</v>
      </c>
      <c r="AE81" s="36">
        <v>56708845791</v>
      </c>
      <c r="AF81" s="36"/>
      <c r="AG81" s="18" t="s">
        <v>180</v>
      </c>
    </row>
    <row r="82" spans="1:33" s="18" customFormat="1">
      <c r="A82" s="34" t="s">
        <v>40</v>
      </c>
      <c r="B82" s="34" t="s">
        <v>99</v>
      </c>
      <c r="C82" s="34"/>
      <c r="D82" s="34" t="s">
        <v>123</v>
      </c>
      <c r="E82" s="54">
        <v>42338</v>
      </c>
      <c r="F82" s="35">
        <f>1003.92+2.972</f>
        <v>1006.8919999999999</v>
      </c>
      <c r="G82" s="35"/>
      <c r="H82" s="35"/>
      <c r="I82" s="49">
        <f t="shared" si="82"/>
        <v>1006.8919999999999</v>
      </c>
      <c r="J82" s="35"/>
      <c r="K82" s="67"/>
      <c r="L82" s="35"/>
      <c r="M82" s="35">
        <v>0</v>
      </c>
      <c r="N82" s="68"/>
      <c r="O82" s="68"/>
      <c r="P82" s="35"/>
      <c r="Q82" s="33"/>
      <c r="R82" s="33"/>
      <c r="S82" s="34"/>
      <c r="T82" s="34">
        <v>0</v>
      </c>
      <c r="U82" s="49">
        <f t="shared" si="83"/>
        <v>1006.8919999999999</v>
      </c>
      <c r="V82" s="33">
        <f t="shared" si="84"/>
        <v>0</v>
      </c>
      <c r="W82" s="49">
        <f t="shared" si="85"/>
        <v>1006.8919999999999</v>
      </c>
      <c r="X82" s="33">
        <f t="shared" si="86"/>
        <v>100.6892</v>
      </c>
      <c r="Y82" s="33">
        <v>10.23</v>
      </c>
      <c r="Z82" s="33">
        <f t="shared" si="87"/>
        <v>0</v>
      </c>
      <c r="AA82" s="49">
        <f t="shared" si="88"/>
        <v>1117.8111999999999</v>
      </c>
      <c r="AB82" s="56"/>
      <c r="AC82" s="57"/>
      <c r="AD82" s="50">
        <f>+AB82+AC82-W82</f>
        <v>-1006.8919999999999</v>
      </c>
      <c r="AE82" s="36">
        <v>56708881872</v>
      </c>
      <c r="AF82" s="36"/>
      <c r="AG82" s="18" t="s">
        <v>180</v>
      </c>
    </row>
    <row r="83" spans="1:33" s="18" customFormat="1">
      <c r="A83" s="34" t="s">
        <v>42</v>
      </c>
      <c r="B83" s="34" t="s">
        <v>174</v>
      </c>
      <c r="C83" s="34"/>
      <c r="D83" s="34" t="s">
        <v>123</v>
      </c>
      <c r="E83" s="54">
        <v>42807</v>
      </c>
      <c r="F83" s="35">
        <f>624.015+111.23</f>
        <v>735.245</v>
      </c>
      <c r="G83" s="35"/>
      <c r="H83" s="35"/>
      <c r="I83" s="49">
        <f t="shared" si="82"/>
        <v>735.245</v>
      </c>
      <c r="J83" s="35"/>
      <c r="K83" s="67"/>
      <c r="L83" s="35"/>
      <c r="M83" s="35"/>
      <c r="N83" s="68"/>
      <c r="O83" s="68"/>
      <c r="P83" s="35"/>
      <c r="Q83" s="33"/>
      <c r="R83" s="33"/>
      <c r="S83" s="34"/>
      <c r="T83" s="34"/>
      <c r="U83" s="49">
        <f t="shared" si="83"/>
        <v>735.245</v>
      </c>
      <c r="V83" s="33"/>
      <c r="W83" s="49"/>
      <c r="X83" s="33"/>
      <c r="Y83" s="33"/>
      <c r="Z83" s="33"/>
      <c r="AA83" s="49"/>
      <c r="AB83" s="56"/>
      <c r="AC83" s="57"/>
      <c r="AD83" s="50"/>
      <c r="AE83" s="36">
        <v>60589642468</v>
      </c>
      <c r="AF83" s="36"/>
      <c r="AG83" s="18" t="s">
        <v>180</v>
      </c>
    </row>
    <row r="84" spans="1:33" s="18" customFormat="1">
      <c r="A84" s="34" t="s">
        <v>40</v>
      </c>
      <c r="B84" s="34" t="s">
        <v>144</v>
      </c>
      <c r="C84" s="34"/>
      <c r="D84" s="34" t="s">
        <v>43</v>
      </c>
      <c r="E84" s="54">
        <v>42681</v>
      </c>
      <c r="F84" s="35">
        <f>785.76+3.714</f>
        <v>789.47400000000005</v>
      </c>
      <c r="G84" s="35"/>
      <c r="H84" s="35"/>
      <c r="I84" s="49">
        <f t="shared" si="82"/>
        <v>789.47400000000005</v>
      </c>
      <c r="J84" s="35"/>
      <c r="K84" s="67">
        <v>1</v>
      </c>
      <c r="L84" s="35"/>
      <c r="M84" s="35">
        <v>150</v>
      </c>
      <c r="N84" s="68"/>
      <c r="O84" s="68"/>
      <c r="P84" s="35"/>
      <c r="Q84" s="33"/>
      <c r="R84" s="33"/>
      <c r="S84" s="34"/>
      <c r="T84" s="34"/>
      <c r="U84" s="49">
        <f t="shared" si="83"/>
        <v>638.47400000000005</v>
      </c>
      <c r="V84" s="33">
        <f t="shared" ref="V84" si="90">IF(I84&gt;2250,I84*0.1,0)</f>
        <v>0</v>
      </c>
      <c r="W84" s="49">
        <f t="shared" ref="W84" si="91">+U84-V84</f>
        <v>638.47400000000005</v>
      </c>
      <c r="X84" s="33"/>
      <c r="Y84" s="33"/>
      <c r="Z84" s="33"/>
      <c r="AA84" s="49"/>
      <c r="AB84" s="56"/>
      <c r="AC84" s="57"/>
      <c r="AD84" s="50"/>
      <c r="AE84" s="36">
        <v>56710773131</v>
      </c>
      <c r="AF84" s="36"/>
      <c r="AG84" s="18" t="s">
        <v>180</v>
      </c>
    </row>
    <row r="85" spans="1:33" s="18" customFormat="1">
      <c r="A85" s="34" t="s">
        <v>42</v>
      </c>
      <c r="B85" s="34" t="s">
        <v>109</v>
      </c>
      <c r="C85" s="34"/>
      <c r="D85" s="34" t="s">
        <v>127</v>
      </c>
      <c r="E85" s="54">
        <v>41227</v>
      </c>
      <c r="F85" s="35">
        <f>140.308+2.599+384.12</f>
        <v>527.02700000000004</v>
      </c>
      <c r="G85" s="35"/>
      <c r="H85" s="35"/>
      <c r="I85" s="49">
        <f t="shared" si="82"/>
        <v>527.02700000000004</v>
      </c>
      <c r="J85" s="35">
        <v>199.21</v>
      </c>
      <c r="K85" s="67"/>
      <c r="L85" s="35"/>
      <c r="M85" s="33" t="s">
        <v>131</v>
      </c>
      <c r="N85" s="68" t="s">
        <v>131</v>
      </c>
      <c r="O85" s="68" t="s">
        <v>131</v>
      </c>
      <c r="P85" s="35"/>
      <c r="Q85" s="33"/>
      <c r="R85" s="33"/>
      <c r="S85" s="34"/>
      <c r="T85" s="34">
        <v>0</v>
      </c>
      <c r="U85" s="49">
        <f t="shared" si="83"/>
        <v>327.81700000000001</v>
      </c>
      <c r="V85" s="33">
        <f t="shared" si="84"/>
        <v>0</v>
      </c>
      <c r="W85" s="49">
        <f t="shared" si="85"/>
        <v>327.81700000000001</v>
      </c>
      <c r="X85" s="33">
        <f t="shared" si="86"/>
        <v>52.702700000000007</v>
      </c>
      <c r="Y85" s="33">
        <v>10.23</v>
      </c>
      <c r="Z85" s="33" t="str">
        <f t="shared" si="87"/>
        <v>X</v>
      </c>
      <c r="AA85" s="49" t="e">
        <f t="shared" si="88"/>
        <v>#VALUE!</v>
      </c>
      <c r="AB85" s="56"/>
      <c r="AC85" s="57"/>
      <c r="AD85" s="50">
        <f>+AB85+AC85-W85</f>
        <v>-327.81700000000001</v>
      </c>
      <c r="AE85" s="36">
        <v>56708845820</v>
      </c>
      <c r="AF85" s="36" t="s">
        <v>159</v>
      </c>
      <c r="AG85" s="18" t="s">
        <v>180</v>
      </c>
    </row>
    <row r="86" spans="1:33" s="18" customFormat="1">
      <c r="A86" s="34" t="s">
        <v>42</v>
      </c>
      <c r="B86" s="34" t="s">
        <v>67</v>
      </c>
      <c r="C86" s="34"/>
      <c r="D86" s="34" t="s">
        <v>127</v>
      </c>
      <c r="E86" s="54">
        <v>41227</v>
      </c>
      <c r="F86" s="35">
        <f>5246.55+5.571+972.02</f>
        <v>6224.1409999999996</v>
      </c>
      <c r="G86" s="35"/>
      <c r="H86" s="35"/>
      <c r="I86" s="49">
        <f t="shared" si="82"/>
        <v>6224.1409999999996</v>
      </c>
      <c r="J86" s="35"/>
      <c r="K86" s="67"/>
      <c r="L86" s="35"/>
      <c r="M86" s="35">
        <v>700</v>
      </c>
      <c r="N86" s="68" t="s">
        <v>131</v>
      </c>
      <c r="O86" s="68" t="s">
        <v>131</v>
      </c>
      <c r="P86" s="35"/>
      <c r="Q86" s="33"/>
      <c r="R86" s="33"/>
      <c r="S86" s="34"/>
      <c r="T86" s="34">
        <v>0</v>
      </c>
      <c r="U86" s="49">
        <f t="shared" si="83"/>
        <v>5524.1409999999996</v>
      </c>
      <c r="V86" s="33">
        <f t="shared" si="84"/>
        <v>622.41409999999996</v>
      </c>
      <c r="W86" s="49">
        <f t="shared" si="85"/>
        <v>4901.7268999999997</v>
      </c>
      <c r="X86" s="33">
        <f t="shared" si="86"/>
        <v>0</v>
      </c>
      <c r="Y86" s="33">
        <v>10.23</v>
      </c>
      <c r="Z86" s="33" t="str">
        <f t="shared" si="87"/>
        <v>X</v>
      </c>
      <c r="AA86" s="49" t="e">
        <f t="shared" si="88"/>
        <v>#VALUE!</v>
      </c>
      <c r="AB86" s="56"/>
      <c r="AC86" s="57"/>
      <c r="AD86" s="50">
        <f>+AB86+AC86-W86</f>
        <v>-4901.7268999999997</v>
      </c>
      <c r="AE86" s="36">
        <v>56708845834</v>
      </c>
      <c r="AF86" s="36"/>
      <c r="AG86" s="18" t="s">
        <v>180</v>
      </c>
    </row>
    <row r="87" spans="1:33" s="18" customFormat="1">
      <c r="A87" s="34" t="s">
        <v>42</v>
      </c>
      <c r="B87" s="34" t="s">
        <v>192</v>
      </c>
      <c r="C87" s="34"/>
      <c r="D87" s="34" t="s">
        <v>151</v>
      </c>
      <c r="E87" s="54">
        <v>42842</v>
      </c>
      <c r="F87" s="35">
        <f>40.275+2.599+1000+1500+300</f>
        <v>2842.8739999999998</v>
      </c>
      <c r="G87" s="35"/>
      <c r="H87" s="35"/>
      <c r="I87" s="49">
        <f t="shared" si="82"/>
        <v>2842.8739999999998</v>
      </c>
      <c r="J87" s="35"/>
      <c r="K87" s="67"/>
      <c r="L87" s="35"/>
      <c r="M87" s="35"/>
      <c r="N87" s="68"/>
      <c r="O87" s="68"/>
      <c r="P87" s="35"/>
      <c r="Q87" s="33"/>
      <c r="R87" s="33"/>
      <c r="S87" s="34"/>
      <c r="T87" s="34"/>
      <c r="U87" s="49">
        <f t="shared" si="83"/>
        <v>2842.8739999999998</v>
      </c>
      <c r="V87" s="33"/>
      <c r="W87" s="49"/>
      <c r="X87" s="33"/>
      <c r="Y87" s="33"/>
      <c r="Z87" s="33"/>
      <c r="AA87" s="49"/>
      <c r="AB87" s="56"/>
      <c r="AC87" s="57"/>
      <c r="AD87" s="50"/>
      <c r="AE87" s="36">
        <v>60590100738</v>
      </c>
      <c r="AF87" s="36"/>
      <c r="AG87" s="18" t="s">
        <v>180</v>
      </c>
    </row>
    <row r="88" spans="1:33" s="18" customFormat="1">
      <c r="A88" s="34" t="s">
        <v>40</v>
      </c>
      <c r="B88" s="34" t="s">
        <v>129</v>
      </c>
      <c r="C88" s="34"/>
      <c r="D88" s="34" t="s">
        <v>151</v>
      </c>
      <c r="E88" s="54">
        <v>42604</v>
      </c>
      <c r="F88" s="35">
        <f>413.277+152.54</f>
        <v>565.81700000000001</v>
      </c>
      <c r="G88" s="35"/>
      <c r="H88" s="35"/>
      <c r="I88" s="49">
        <f t="shared" si="82"/>
        <v>565.81700000000001</v>
      </c>
      <c r="J88" s="35"/>
      <c r="K88" s="67"/>
      <c r="L88" s="35"/>
      <c r="M88" s="35"/>
      <c r="N88" s="68"/>
      <c r="O88" s="68"/>
      <c r="P88" s="35"/>
      <c r="Q88" s="33"/>
      <c r="R88" s="33"/>
      <c r="S88" s="34"/>
      <c r="T88" s="34"/>
      <c r="U88" s="49">
        <f t="shared" si="83"/>
        <v>565.81700000000001</v>
      </c>
      <c r="V88" s="33">
        <f t="shared" ref="V88" si="92">IF(I88&gt;2250,I88*0.1,0)</f>
        <v>0</v>
      </c>
      <c r="W88" s="49">
        <f t="shared" ref="W88" si="93">+U88-V88</f>
        <v>565.81700000000001</v>
      </c>
      <c r="X88" s="33"/>
      <c r="Y88" s="33"/>
      <c r="Z88" s="33"/>
      <c r="AA88" s="49"/>
      <c r="AB88" s="56"/>
      <c r="AC88" s="57"/>
      <c r="AD88" s="50"/>
      <c r="AE88" s="36">
        <v>56708845848</v>
      </c>
      <c r="AF88" s="36"/>
      <c r="AG88" s="18" t="s">
        <v>180</v>
      </c>
    </row>
    <row r="89" spans="1:33" s="18" customFormat="1">
      <c r="A89" s="34" t="s">
        <v>42</v>
      </c>
      <c r="B89" s="34" t="s">
        <v>199</v>
      </c>
      <c r="C89" s="34"/>
      <c r="D89" s="34" t="s">
        <v>123</v>
      </c>
      <c r="E89" s="54">
        <v>42864</v>
      </c>
      <c r="F89" s="35">
        <v>80.040000000000006</v>
      </c>
      <c r="G89" s="35"/>
      <c r="H89" s="35"/>
      <c r="I89" s="49">
        <f t="shared" si="82"/>
        <v>80.040000000000006</v>
      </c>
      <c r="J89" s="35"/>
      <c r="K89" s="67"/>
      <c r="L89" s="35"/>
      <c r="M89" s="35"/>
      <c r="N89" s="68"/>
      <c r="O89" s="68"/>
      <c r="P89" s="35"/>
      <c r="Q89" s="33"/>
      <c r="R89" s="33"/>
      <c r="S89" s="34"/>
      <c r="T89" s="34"/>
      <c r="U89" s="49">
        <f t="shared" si="83"/>
        <v>80.040000000000006</v>
      </c>
      <c r="V89" s="33"/>
      <c r="W89" s="49"/>
      <c r="X89" s="33"/>
      <c r="Y89" s="33"/>
      <c r="Z89" s="33"/>
      <c r="AA89" s="49"/>
      <c r="AB89" s="56"/>
      <c r="AC89" s="57"/>
      <c r="AD89" s="50"/>
      <c r="AE89" s="36" t="s">
        <v>153</v>
      </c>
      <c r="AF89" s="36"/>
    </row>
    <row r="90" spans="1:33" s="18" customFormat="1">
      <c r="A90" s="34" t="s">
        <v>40</v>
      </c>
      <c r="B90" s="34" t="s">
        <v>68</v>
      </c>
      <c r="C90" s="34"/>
      <c r="D90" s="34" t="s">
        <v>43</v>
      </c>
      <c r="E90" s="54">
        <v>42319</v>
      </c>
      <c r="F90" s="35">
        <f>352.392+13.099</f>
        <v>365.49099999999999</v>
      </c>
      <c r="G90" s="35"/>
      <c r="H90" s="35"/>
      <c r="I90" s="49">
        <f t="shared" si="82"/>
        <v>365.49099999999999</v>
      </c>
      <c r="J90" s="35"/>
      <c r="K90" s="67"/>
      <c r="L90" s="35"/>
      <c r="M90" s="35">
        <v>0</v>
      </c>
      <c r="N90" s="68"/>
      <c r="O90" s="68"/>
      <c r="P90" s="35"/>
      <c r="Q90" s="33"/>
      <c r="R90" s="33"/>
      <c r="S90" s="34"/>
      <c r="T90" s="34">
        <v>0</v>
      </c>
      <c r="U90" s="49">
        <f t="shared" si="83"/>
        <v>365.49099999999999</v>
      </c>
      <c r="V90" s="33">
        <f t="shared" ref="V90:V116" si="94">IF(I90&gt;2250,I90*0.1,0)</f>
        <v>0</v>
      </c>
      <c r="W90" s="49">
        <f t="shared" ref="W90:W116" si="95">+U90-V90</f>
        <v>365.49099999999999</v>
      </c>
      <c r="X90" s="33">
        <f t="shared" ref="X90:X116" si="96">IF(I90&lt;2250,I90*0.1,0)</f>
        <v>36.549100000000003</v>
      </c>
      <c r="Y90" s="33">
        <v>19.23</v>
      </c>
      <c r="Z90" s="33">
        <f t="shared" ref="Z90:Z116" si="97">+N90</f>
        <v>0</v>
      </c>
      <c r="AA90" s="49">
        <f t="shared" ref="AA90:AA116" si="98">+I90+X90+Y90+Z90</f>
        <v>421.27010000000001</v>
      </c>
      <c r="AB90" s="56"/>
      <c r="AC90" s="57"/>
      <c r="AD90" s="50">
        <f>+AB90+AC90-W90</f>
        <v>-365.49099999999999</v>
      </c>
      <c r="AE90" s="36">
        <v>56708881901</v>
      </c>
      <c r="AF90" s="36"/>
      <c r="AG90" s="18" t="s">
        <v>180</v>
      </c>
    </row>
    <row r="91" spans="1:33" s="93" customFormat="1">
      <c r="A91" s="86" t="s">
        <v>40</v>
      </c>
      <c r="B91" s="86" t="s">
        <v>171</v>
      </c>
      <c r="C91" s="86"/>
      <c r="D91" s="86" t="s">
        <v>43</v>
      </c>
      <c r="E91" s="87">
        <v>42803</v>
      </c>
      <c r="F91" s="88"/>
      <c r="G91" s="88"/>
      <c r="H91" s="88"/>
      <c r="I91" s="40">
        <f t="shared" si="82"/>
        <v>0</v>
      </c>
      <c r="J91" s="88"/>
      <c r="K91" s="89"/>
      <c r="L91" s="88"/>
      <c r="M91" s="88"/>
      <c r="N91" s="90"/>
      <c r="O91" s="90"/>
      <c r="P91" s="88"/>
      <c r="Q91" s="91"/>
      <c r="R91" s="91"/>
      <c r="S91" s="86"/>
      <c r="T91" s="86"/>
      <c r="U91" s="40">
        <f t="shared" si="83"/>
        <v>0</v>
      </c>
      <c r="V91" s="33"/>
      <c r="W91" s="49"/>
      <c r="X91" s="33"/>
      <c r="Y91" s="33"/>
      <c r="Z91" s="33"/>
      <c r="AA91" s="49"/>
      <c r="AB91" s="56"/>
      <c r="AC91" s="57"/>
      <c r="AD91" s="50"/>
      <c r="AE91" s="92">
        <v>60589597854</v>
      </c>
      <c r="AF91" s="92" t="s">
        <v>207</v>
      </c>
      <c r="AG91" s="93" t="s">
        <v>180</v>
      </c>
    </row>
    <row r="92" spans="1:33" s="18" customFormat="1">
      <c r="A92" s="34" t="s">
        <v>42</v>
      </c>
      <c r="B92" s="34" t="s">
        <v>200</v>
      </c>
      <c r="C92" s="34"/>
      <c r="D92" s="34" t="s">
        <v>151</v>
      </c>
      <c r="E92" s="54">
        <v>42863</v>
      </c>
      <c r="F92" s="35">
        <f>597.653+2.599+34.71</f>
        <v>634.9620000000001</v>
      </c>
      <c r="G92" s="35"/>
      <c r="H92" s="35"/>
      <c r="I92" s="49"/>
      <c r="J92" s="35"/>
      <c r="K92" s="67"/>
      <c r="L92" s="35"/>
      <c r="M92" s="35"/>
      <c r="N92" s="68"/>
      <c r="O92" s="68"/>
      <c r="P92" s="35"/>
      <c r="Q92" s="33"/>
      <c r="R92" s="33"/>
      <c r="S92" s="34"/>
      <c r="T92" s="34"/>
      <c r="U92" s="49"/>
      <c r="V92" s="33"/>
      <c r="W92" s="49"/>
      <c r="X92" s="33"/>
      <c r="Y92" s="33"/>
      <c r="Z92" s="33"/>
      <c r="AA92" s="49"/>
      <c r="AB92" s="56"/>
      <c r="AC92" s="57"/>
      <c r="AD92" s="50"/>
      <c r="AE92" s="36">
        <v>60590821112</v>
      </c>
      <c r="AF92" s="36"/>
    </row>
    <row r="93" spans="1:33" s="18" customFormat="1">
      <c r="A93" s="34" t="s">
        <v>42</v>
      </c>
      <c r="B93" s="34" t="s">
        <v>51</v>
      </c>
      <c r="C93" s="34"/>
      <c r="D93" s="34" t="s">
        <v>151</v>
      </c>
      <c r="E93" s="54">
        <v>41981</v>
      </c>
      <c r="F93" s="35">
        <f>2344.969+2.599+11.45+260.58</f>
        <v>2619.598</v>
      </c>
      <c r="G93" s="35"/>
      <c r="H93" s="35"/>
      <c r="I93" s="49">
        <f t="shared" si="82"/>
        <v>2619.598</v>
      </c>
      <c r="J93" s="35"/>
      <c r="K93" s="67"/>
      <c r="L93" s="35"/>
      <c r="M93" s="35">
        <v>300</v>
      </c>
      <c r="N93" s="68" t="s">
        <v>131</v>
      </c>
      <c r="O93" s="68" t="s">
        <v>131</v>
      </c>
      <c r="P93" s="35"/>
      <c r="Q93" s="33"/>
      <c r="R93" s="33"/>
      <c r="S93" s="34"/>
      <c r="T93" s="34">
        <v>0</v>
      </c>
      <c r="U93" s="49">
        <f t="shared" si="83"/>
        <v>2319.598</v>
      </c>
      <c r="V93" s="33">
        <f t="shared" si="94"/>
        <v>261.95980000000003</v>
      </c>
      <c r="W93" s="49">
        <f t="shared" si="95"/>
        <v>2057.6381999999999</v>
      </c>
      <c r="X93" s="33">
        <f t="shared" si="96"/>
        <v>0</v>
      </c>
      <c r="Y93" s="33">
        <v>10.23</v>
      </c>
      <c r="Z93" s="33" t="str">
        <f t="shared" si="97"/>
        <v>X</v>
      </c>
      <c r="AA93" s="49" t="e">
        <f t="shared" si="98"/>
        <v>#VALUE!</v>
      </c>
      <c r="AB93" s="56"/>
      <c r="AC93" s="57"/>
      <c r="AD93" s="50">
        <f t="shared" ref="AD93:AD116" si="99">+AB93+AC93-W93</f>
        <v>-2057.6381999999999</v>
      </c>
      <c r="AE93" s="36">
        <v>56708845851</v>
      </c>
      <c r="AF93" s="36"/>
      <c r="AG93" s="18" t="s">
        <v>180</v>
      </c>
    </row>
    <row r="94" spans="1:33" s="18" customFormat="1">
      <c r="A94" s="34" t="s">
        <v>42</v>
      </c>
      <c r="B94" s="34" t="s">
        <v>84</v>
      </c>
      <c r="C94" s="34"/>
      <c r="D94" s="34" t="s">
        <v>127</v>
      </c>
      <c r="E94" s="53">
        <v>41284</v>
      </c>
      <c r="F94" s="35">
        <f>791.524+2.599+519.34</f>
        <v>1313.4630000000002</v>
      </c>
      <c r="G94" s="35"/>
      <c r="H94" s="35"/>
      <c r="I94" s="49">
        <f t="shared" si="82"/>
        <v>1313.4630000000002</v>
      </c>
      <c r="J94" s="35">
        <v>246.63</v>
      </c>
      <c r="K94" s="67"/>
      <c r="L94" s="35"/>
      <c r="M94" s="35">
        <v>0</v>
      </c>
      <c r="N94" s="68" t="s">
        <v>131</v>
      </c>
      <c r="O94" s="68" t="s">
        <v>131</v>
      </c>
      <c r="P94" s="35"/>
      <c r="Q94" s="33"/>
      <c r="R94" s="33"/>
      <c r="S94" s="34"/>
      <c r="T94" s="34">
        <v>0</v>
      </c>
      <c r="U94" s="49">
        <f t="shared" si="83"/>
        <v>1066.8330000000001</v>
      </c>
      <c r="V94" s="33">
        <f t="shared" si="94"/>
        <v>0</v>
      </c>
      <c r="W94" s="49">
        <f t="shared" si="95"/>
        <v>1066.8330000000001</v>
      </c>
      <c r="X94" s="33">
        <f t="shared" si="96"/>
        <v>131.34630000000001</v>
      </c>
      <c r="Y94" s="33">
        <v>10.23</v>
      </c>
      <c r="Z94" s="33" t="str">
        <f t="shared" si="97"/>
        <v>X</v>
      </c>
      <c r="AA94" s="49" t="e">
        <f t="shared" si="98"/>
        <v>#VALUE!</v>
      </c>
      <c r="AB94" s="56"/>
      <c r="AC94" s="57"/>
      <c r="AD94" s="50">
        <f t="shared" si="99"/>
        <v>-1066.8330000000001</v>
      </c>
      <c r="AE94" s="36">
        <v>56708881915</v>
      </c>
      <c r="AF94" s="36" t="s">
        <v>159</v>
      </c>
      <c r="AG94" s="18" t="s">
        <v>180</v>
      </c>
    </row>
    <row r="95" spans="1:33" s="18" customFormat="1">
      <c r="A95" s="34" t="s">
        <v>40</v>
      </c>
      <c r="B95" s="34" t="s">
        <v>187</v>
      </c>
      <c r="C95" s="34"/>
      <c r="D95" s="34" t="s">
        <v>43</v>
      </c>
      <c r="E95" s="54">
        <v>42823</v>
      </c>
      <c r="F95" s="35">
        <f>1129.53+3.714</f>
        <v>1133.2439999999999</v>
      </c>
      <c r="G95" s="35"/>
      <c r="H95" s="35"/>
      <c r="I95" s="49"/>
      <c r="J95" s="35"/>
      <c r="K95" s="67"/>
      <c r="L95" s="35"/>
      <c r="M95" s="35"/>
      <c r="N95" s="68"/>
      <c r="O95" s="68"/>
      <c r="P95" s="35"/>
      <c r="Q95" s="33"/>
      <c r="R95" s="33"/>
      <c r="S95" s="34"/>
      <c r="T95" s="34"/>
      <c r="U95" s="49"/>
      <c r="V95" s="33"/>
      <c r="W95" s="49"/>
      <c r="X95" s="33"/>
      <c r="Y95" s="33"/>
      <c r="Z95" s="33"/>
      <c r="AA95" s="49"/>
      <c r="AB95" s="56"/>
      <c r="AC95" s="57"/>
      <c r="AD95" s="50"/>
      <c r="AE95" s="36">
        <v>60589704184</v>
      </c>
      <c r="AF95" s="36"/>
      <c r="AG95" s="18" t="s">
        <v>180</v>
      </c>
    </row>
    <row r="96" spans="1:33" s="18" customFormat="1">
      <c r="A96" s="34" t="s">
        <v>42</v>
      </c>
      <c r="B96" s="34" t="s">
        <v>53</v>
      </c>
      <c r="C96" s="34"/>
      <c r="D96" s="34" t="s">
        <v>127</v>
      </c>
      <c r="E96" s="53">
        <v>41227</v>
      </c>
      <c r="F96" s="35">
        <f>1584.419+2.972+380.97</f>
        <v>1968.3610000000001</v>
      </c>
      <c r="G96" s="35"/>
      <c r="H96" s="35"/>
      <c r="I96" s="49">
        <f t="shared" si="82"/>
        <v>1968.3610000000001</v>
      </c>
      <c r="J96" s="35">
        <v>307.93</v>
      </c>
      <c r="K96" s="67"/>
      <c r="L96" s="35"/>
      <c r="M96" s="35">
        <v>0</v>
      </c>
      <c r="N96" s="68" t="s">
        <v>131</v>
      </c>
      <c r="O96" s="68" t="s">
        <v>131</v>
      </c>
      <c r="P96" s="35"/>
      <c r="Q96" s="33"/>
      <c r="R96" s="33"/>
      <c r="S96" s="34"/>
      <c r="T96" s="34">
        <v>0</v>
      </c>
      <c r="U96" s="49">
        <f t="shared" si="83"/>
        <v>1660.431</v>
      </c>
      <c r="V96" s="33">
        <f t="shared" si="94"/>
        <v>0</v>
      </c>
      <c r="W96" s="49">
        <f t="shared" si="95"/>
        <v>1660.431</v>
      </c>
      <c r="X96" s="33">
        <f t="shared" si="96"/>
        <v>196.83610000000002</v>
      </c>
      <c r="Y96" s="33">
        <v>10.23</v>
      </c>
      <c r="Z96" s="33" t="str">
        <f t="shared" si="97"/>
        <v>X</v>
      </c>
      <c r="AA96" s="49" t="e">
        <f t="shared" si="98"/>
        <v>#VALUE!</v>
      </c>
      <c r="AB96" s="56"/>
      <c r="AC96" s="56"/>
      <c r="AD96" s="50">
        <f t="shared" si="99"/>
        <v>-1660.431</v>
      </c>
      <c r="AE96" s="36">
        <v>56708845865</v>
      </c>
      <c r="AF96" s="36" t="s">
        <v>159</v>
      </c>
      <c r="AG96" s="18" t="s">
        <v>180</v>
      </c>
    </row>
    <row r="97" spans="1:33" s="18" customFormat="1">
      <c r="A97" s="34" t="s">
        <v>40</v>
      </c>
      <c r="B97" s="34" t="s">
        <v>69</v>
      </c>
      <c r="C97" s="34"/>
      <c r="D97" s="34" t="s">
        <v>43</v>
      </c>
      <c r="E97" s="53">
        <v>41493</v>
      </c>
      <c r="F97" s="35">
        <f>3137.147+13.099</f>
        <v>3150.2460000000001</v>
      </c>
      <c r="G97" s="35"/>
      <c r="H97" s="35"/>
      <c r="I97" s="49">
        <f t="shared" si="82"/>
        <v>3150.2460000000001</v>
      </c>
      <c r="J97" s="35"/>
      <c r="K97" s="67"/>
      <c r="L97" s="35"/>
      <c r="M97" s="35">
        <v>0</v>
      </c>
      <c r="N97" s="68"/>
      <c r="O97" s="68"/>
      <c r="P97" s="35"/>
      <c r="Q97" s="33"/>
      <c r="R97" s="33"/>
      <c r="S97" s="34"/>
      <c r="T97" s="34">
        <v>0</v>
      </c>
      <c r="U97" s="49">
        <f t="shared" si="83"/>
        <v>3150.2460000000001</v>
      </c>
      <c r="V97" s="33">
        <f t="shared" si="94"/>
        <v>315.02460000000002</v>
      </c>
      <c r="W97" s="49">
        <f t="shared" si="95"/>
        <v>2835.2213999999999</v>
      </c>
      <c r="X97" s="33">
        <f t="shared" si="96"/>
        <v>0</v>
      </c>
      <c r="Y97" s="33">
        <v>10.23</v>
      </c>
      <c r="Z97" s="33">
        <f t="shared" si="97"/>
        <v>0</v>
      </c>
      <c r="AA97" s="49">
        <f t="shared" si="98"/>
        <v>3160.4760000000001</v>
      </c>
      <c r="AB97" s="56"/>
      <c r="AC97" s="57"/>
      <c r="AD97" s="50">
        <f t="shared" si="99"/>
        <v>-2835.2213999999999</v>
      </c>
      <c r="AE97" s="36">
        <v>56708845879</v>
      </c>
      <c r="AF97" s="36"/>
      <c r="AG97" s="18" t="s">
        <v>180</v>
      </c>
    </row>
    <row r="98" spans="1:33" s="18" customFormat="1">
      <c r="A98" s="34" t="s">
        <v>42</v>
      </c>
      <c r="B98" s="34" t="s">
        <v>119</v>
      </c>
      <c r="C98" s="34"/>
      <c r="D98" s="34" t="s">
        <v>151</v>
      </c>
      <c r="E98" s="54">
        <v>42493</v>
      </c>
      <c r="F98" s="35">
        <f>3094.153+2.599+357.37</f>
        <v>3454.1219999999998</v>
      </c>
      <c r="G98" s="35"/>
      <c r="H98" s="35"/>
      <c r="I98" s="49">
        <f t="shared" si="82"/>
        <v>3454.1219999999998</v>
      </c>
      <c r="J98" s="35"/>
      <c r="K98" s="67"/>
      <c r="L98" s="35"/>
      <c r="M98" s="35">
        <v>0</v>
      </c>
      <c r="N98" s="68" t="s">
        <v>131</v>
      </c>
      <c r="O98" s="68" t="s">
        <v>131</v>
      </c>
      <c r="P98" s="35"/>
      <c r="Q98" s="33"/>
      <c r="R98" s="33"/>
      <c r="S98" s="34"/>
      <c r="T98" s="34">
        <v>0</v>
      </c>
      <c r="U98" s="49">
        <f t="shared" ref="U98:U116" si="100">+I98-SUM(J98:T98)</f>
        <v>3454.1219999999998</v>
      </c>
      <c r="V98" s="33">
        <f t="shared" si="94"/>
        <v>345.41219999999998</v>
      </c>
      <c r="W98" s="49">
        <f t="shared" si="95"/>
        <v>3108.7097999999996</v>
      </c>
      <c r="X98" s="33">
        <f t="shared" si="96"/>
        <v>0</v>
      </c>
      <c r="Y98" s="33">
        <v>10.23</v>
      </c>
      <c r="Z98" s="33" t="str">
        <f t="shared" si="97"/>
        <v>X</v>
      </c>
      <c r="AA98" s="49" t="e">
        <f t="shared" si="98"/>
        <v>#VALUE!</v>
      </c>
      <c r="AB98" s="56"/>
      <c r="AC98" s="56"/>
      <c r="AD98" s="50">
        <f t="shared" si="99"/>
        <v>-3108.7097999999996</v>
      </c>
      <c r="AE98" s="36">
        <v>56708845882</v>
      </c>
      <c r="AF98" s="36"/>
      <c r="AG98" s="18" t="s">
        <v>180</v>
      </c>
    </row>
    <row r="99" spans="1:33" s="18" customFormat="1">
      <c r="A99" s="34" t="s">
        <v>40</v>
      </c>
      <c r="B99" s="34" t="s">
        <v>150</v>
      </c>
      <c r="C99" s="34"/>
      <c r="D99" s="34" t="s">
        <v>123</v>
      </c>
      <c r="E99" s="54">
        <v>42716</v>
      </c>
      <c r="F99" s="35">
        <v>0</v>
      </c>
      <c r="G99" s="35"/>
      <c r="H99" s="35"/>
      <c r="I99" s="49">
        <f t="shared" si="82"/>
        <v>0</v>
      </c>
      <c r="J99" s="35"/>
      <c r="K99" s="67"/>
      <c r="L99" s="35"/>
      <c r="M99" s="35"/>
      <c r="N99" s="68"/>
      <c r="O99" s="68"/>
      <c r="P99" s="35"/>
      <c r="Q99" s="33"/>
      <c r="R99" s="33"/>
      <c r="S99" s="34"/>
      <c r="T99" s="65">
        <v>301.08999999999997</v>
      </c>
      <c r="U99" s="49">
        <f t="shared" ref="U99" si="101">+I99-SUM(J99:T99)</f>
        <v>-301.08999999999997</v>
      </c>
      <c r="V99" s="33">
        <f t="shared" ref="V99" si="102">IF(I99&gt;2250,I99*0.1,0)</f>
        <v>0</v>
      </c>
      <c r="W99" s="49">
        <f t="shared" ref="W99" si="103">+U99-V99</f>
        <v>-301.08999999999997</v>
      </c>
      <c r="X99" s="33"/>
      <c r="Y99" s="33"/>
      <c r="Z99" s="33"/>
      <c r="AA99" s="49"/>
      <c r="AB99" s="56"/>
      <c r="AC99" s="56"/>
      <c r="AD99" s="50"/>
      <c r="AE99" s="36">
        <v>60589845501</v>
      </c>
      <c r="AF99" s="36"/>
      <c r="AG99" s="18" t="s">
        <v>180</v>
      </c>
    </row>
    <row r="100" spans="1:33" s="18" customFormat="1">
      <c r="A100" s="34" t="s">
        <v>40</v>
      </c>
      <c r="B100" s="34" t="s">
        <v>100</v>
      </c>
      <c r="C100" s="34"/>
      <c r="D100" s="34" t="s">
        <v>43</v>
      </c>
      <c r="E100" s="54">
        <v>42170</v>
      </c>
      <c r="F100" s="35">
        <f>1977.496+13.099</f>
        <v>1990.595</v>
      </c>
      <c r="G100" s="35"/>
      <c r="H100" s="35"/>
      <c r="I100" s="49">
        <f t="shared" si="82"/>
        <v>1990.595</v>
      </c>
      <c r="J100" s="67"/>
      <c r="K100" s="67"/>
      <c r="L100" s="35"/>
      <c r="M100" s="35">
        <v>0</v>
      </c>
      <c r="N100" s="68"/>
      <c r="O100" s="68"/>
      <c r="P100" s="35"/>
      <c r="Q100" s="33"/>
      <c r="R100" s="33"/>
      <c r="S100" s="34"/>
      <c r="T100" s="34">
        <v>0</v>
      </c>
      <c r="U100" s="49">
        <f t="shared" si="100"/>
        <v>1990.595</v>
      </c>
      <c r="V100" s="33">
        <f t="shared" si="94"/>
        <v>0</v>
      </c>
      <c r="W100" s="49">
        <f t="shared" si="95"/>
        <v>1990.595</v>
      </c>
      <c r="X100" s="33">
        <f t="shared" si="96"/>
        <v>199.05950000000001</v>
      </c>
      <c r="Y100" s="33">
        <v>10.23</v>
      </c>
      <c r="Z100" s="33">
        <f t="shared" si="97"/>
        <v>0</v>
      </c>
      <c r="AA100" s="49">
        <f t="shared" si="98"/>
        <v>2199.8845000000001</v>
      </c>
      <c r="AB100" s="56"/>
      <c r="AC100" s="57"/>
      <c r="AD100" s="50">
        <f t="shared" si="99"/>
        <v>-1990.595</v>
      </c>
      <c r="AE100" s="36">
        <v>56708881929</v>
      </c>
      <c r="AF100" s="36"/>
      <c r="AG100" s="18" t="s">
        <v>180</v>
      </c>
    </row>
    <row r="101" spans="1:33" s="18" customFormat="1">
      <c r="A101" s="34" t="s">
        <v>42</v>
      </c>
      <c r="B101" s="34" t="s">
        <v>58</v>
      </c>
      <c r="C101" s="34"/>
      <c r="D101" s="34" t="s">
        <v>126</v>
      </c>
      <c r="E101" s="54">
        <v>36868</v>
      </c>
      <c r="F101" s="35">
        <f>1135.524+3.714+251.69</f>
        <v>1390.9279999999999</v>
      </c>
      <c r="G101" s="35"/>
      <c r="H101" s="35"/>
      <c r="I101" s="49">
        <f t="shared" si="82"/>
        <v>1390.9279999999999</v>
      </c>
      <c r="J101" s="35">
        <v>236.31</v>
      </c>
      <c r="K101" s="67"/>
      <c r="L101" s="35"/>
      <c r="M101" s="35">
        <v>0</v>
      </c>
      <c r="N101" s="68" t="s">
        <v>131</v>
      </c>
      <c r="O101" s="68" t="s">
        <v>131</v>
      </c>
      <c r="P101" s="35"/>
      <c r="Q101" s="33"/>
      <c r="R101" s="33"/>
      <c r="S101" s="34"/>
      <c r="T101" s="34">
        <v>0</v>
      </c>
      <c r="U101" s="49">
        <f t="shared" si="100"/>
        <v>1154.6179999999999</v>
      </c>
      <c r="V101" s="33">
        <f t="shared" si="94"/>
        <v>0</v>
      </c>
      <c r="W101" s="49">
        <f t="shared" si="95"/>
        <v>1154.6179999999999</v>
      </c>
      <c r="X101" s="33">
        <f t="shared" si="96"/>
        <v>139.09279999999998</v>
      </c>
      <c r="Y101" s="33">
        <v>10.23</v>
      </c>
      <c r="Z101" s="33" t="str">
        <f t="shared" si="97"/>
        <v>X</v>
      </c>
      <c r="AA101" s="49" t="e">
        <f t="shared" si="98"/>
        <v>#VALUE!</v>
      </c>
      <c r="AB101" s="56"/>
      <c r="AC101" s="56"/>
      <c r="AD101" s="50">
        <f t="shared" si="99"/>
        <v>-1154.6179999999999</v>
      </c>
      <c r="AE101" s="36">
        <v>56708845911</v>
      </c>
      <c r="AF101" s="36" t="s">
        <v>159</v>
      </c>
      <c r="AG101" s="18" t="s">
        <v>180</v>
      </c>
    </row>
    <row r="102" spans="1:33" s="18" customFormat="1">
      <c r="A102" s="34" t="s">
        <v>42</v>
      </c>
      <c r="B102" s="34" t="s">
        <v>56</v>
      </c>
      <c r="C102" s="34"/>
      <c r="D102" s="34" t="s">
        <v>124</v>
      </c>
      <c r="E102" s="54">
        <v>41949</v>
      </c>
      <c r="F102" s="35">
        <f>2723.4+7.428+651.89</f>
        <v>3382.7179999999998</v>
      </c>
      <c r="G102" s="35"/>
      <c r="H102" s="35"/>
      <c r="I102" s="49">
        <f t="shared" si="82"/>
        <v>3382.7179999999998</v>
      </c>
      <c r="J102" s="35"/>
      <c r="K102" s="67"/>
      <c r="L102" s="35"/>
      <c r="M102" s="35">
        <v>250</v>
      </c>
      <c r="N102" s="68" t="s">
        <v>131</v>
      </c>
      <c r="O102" s="68" t="s">
        <v>131</v>
      </c>
      <c r="P102" s="35"/>
      <c r="Q102" s="33"/>
      <c r="R102" s="33"/>
      <c r="S102" s="34"/>
      <c r="T102" s="34">
        <v>0</v>
      </c>
      <c r="U102" s="49">
        <f t="shared" si="100"/>
        <v>3132.7179999999998</v>
      </c>
      <c r="V102" s="33">
        <f t="shared" si="94"/>
        <v>338.27179999999998</v>
      </c>
      <c r="W102" s="49">
        <f t="shared" si="95"/>
        <v>2794.4461999999999</v>
      </c>
      <c r="X102" s="33">
        <f t="shared" si="96"/>
        <v>0</v>
      </c>
      <c r="Y102" s="33">
        <v>10.23</v>
      </c>
      <c r="Z102" s="33" t="str">
        <f t="shared" si="97"/>
        <v>X</v>
      </c>
      <c r="AA102" s="49" t="e">
        <f t="shared" si="98"/>
        <v>#VALUE!</v>
      </c>
      <c r="AB102" s="56"/>
      <c r="AC102" s="57"/>
      <c r="AD102" s="50">
        <f t="shared" si="99"/>
        <v>-2794.4461999999999</v>
      </c>
      <c r="AE102" s="36">
        <v>56708845925</v>
      </c>
      <c r="AF102" s="34"/>
      <c r="AG102" s="18" t="s">
        <v>180</v>
      </c>
    </row>
    <row r="103" spans="1:33" s="18" customFormat="1">
      <c r="A103" s="34" t="s">
        <v>40</v>
      </c>
      <c r="B103" s="34" t="s">
        <v>161</v>
      </c>
      <c r="C103" s="34"/>
      <c r="D103" s="34" t="s">
        <v>123</v>
      </c>
      <c r="E103" s="54">
        <v>42756</v>
      </c>
      <c r="F103" s="35">
        <v>0</v>
      </c>
      <c r="G103" s="35"/>
      <c r="H103" s="35"/>
      <c r="I103" s="49">
        <f t="shared" si="82"/>
        <v>0</v>
      </c>
      <c r="J103" s="35"/>
      <c r="K103" s="67"/>
      <c r="L103" s="35"/>
      <c r="M103" s="35"/>
      <c r="N103" s="68"/>
      <c r="O103" s="68"/>
      <c r="P103" s="35"/>
      <c r="Q103" s="33"/>
      <c r="R103" s="33"/>
      <c r="S103" s="34"/>
      <c r="T103" s="34"/>
      <c r="U103" s="49">
        <f t="shared" ref="U103:U104" si="104">+I103-SUM(J103:T103)</f>
        <v>0</v>
      </c>
      <c r="V103" s="33">
        <f t="shared" ref="V103:V104" si="105">IF(I103&gt;2250,I103*0.1,0)</f>
        <v>0</v>
      </c>
      <c r="W103" s="49">
        <f t="shared" ref="W103:W104" si="106">+U103-V103</f>
        <v>0</v>
      </c>
      <c r="X103" s="33"/>
      <c r="Y103" s="33"/>
      <c r="Z103" s="33"/>
      <c r="AA103" s="49"/>
      <c r="AB103" s="56"/>
      <c r="AC103" s="57"/>
      <c r="AD103" s="50"/>
      <c r="AE103" s="36">
        <v>60589806088</v>
      </c>
      <c r="AF103" s="34"/>
      <c r="AG103" s="18" t="s">
        <v>180</v>
      </c>
    </row>
    <row r="104" spans="1:33" s="18" customFormat="1">
      <c r="A104" s="34" t="s">
        <v>40</v>
      </c>
      <c r="B104" s="34" t="s">
        <v>34</v>
      </c>
      <c r="C104" s="34"/>
      <c r="D104" s="34" t="s">
        <v>43</v>
      </c>
      <c r="E104" s="54">
        <v>42129</v>
      </c>
      <c r="F104" s="35">
        <f>3634.14+13.099</f>
        <v>3647.239</v>
      </c>
      <c r="G104" s="35"/>
      <c r="H104" s="35"/>
      <c r="I104" s="49">
        <f t="shared" si="82"/>
        <v>3647.239</v>
      </c>
      <c r="J104" s="35"/>
      <c r="K104" s="67"/>
      <c r="L104" s="35"/>
      <c r="M104" s="35">
        <v>0</v>
      </c>
      <c r="N104" s="68"/>
      <c r="O104" s="68"/>
      <c r="P104" s="35"/>
      <c r="Q104" s="33"/>
      <c r="R104" s="33"/>
      <c r="S104" s="34"/>
      <c r="T104" s="34">
        <v>0</v>
      </c>
      <c r="U104" s="49">
        <f t="shared" si="104"/>
        <v>3647.239</v>
      </c>
      <c r="V104" s="33">
        <f t="shared" si="105"/>
        <v>364.72390000000001</v>
      </c>
      <c r="W104" s="49">
        <f t="shared" si="106"/>
        <v>3282.5151000000001</v>
      </c>
      <c r="X104" s="33">
        <f t="shared" si="96"/>
        <v>0</v>
      </c>
      <c r="Y104" s="33">
        <v>10.23</v>
      </c>
      <c r="Z104" s="33">
        <f t="shared" si="97"/>
        <v>0</v>
      </c>
      <c r="AA104" s="49">
        <f t="shared" si="98"/>
        <v>3657.4690000000001</v>
      </c>
      <c r="AB104" s="56"/>
      <c r="AC104" s="57"/>
      <c r="AD104" s="50">
        <f t="shared" si="99"/>
        <v>-3282.5151000000001</v>
      </c>
      <c r="AE104" s="36">
        <v>56708845939</v>
      </c>
      <c r="AF104" s="36"/>
      <c r="AG104" s="18" t="s">
        <v>180</v>
      </c>
    </row>
    <row r="105" spans="1:33" s="18" customFormat="1">
      <c r="A105" s="34" t="s">
        <v>40</v>
      </c>
      <c r="B105" s="34" t="s">
        <v>179</v>
      </c>
      <c r="C105" s="34"/>
      <c r="D105" s="34" t="s">
        <v>43</v>
      </c>
      <c r="E105" s="54">
        <v>42815</v>
      </c>
      <c r="F105" s="35">
        <f>1051.98+2.972+500</f>
        <v>1554.952</v>
      </c>
      <c r="G105" s="35"/>
      <c r="H105" s="35"/>
      <c r="I105" s="49">
        <f t="shared" si="82"/>
        <v>1554.952</v>
      </c>
      <c r="J105" s="35"/>
      <c r="K105" s="67"/>
      <c r="L105" s="35"/>
      <c r="M105" s="35"/>
      <c r="N105" s="68"/>
      <c r="O105" s="68"/>
      <c r="P105" s="35"/>
      <c r="Q105" s="33"/>
      <c r="R105" s="33"/>
      <c r="S105" s="34"/>
      <c r="T105" s="34"/>
      <c r="U105" s="49"/>
      <c r="V105" s="33"/>
      <c r="W105" s="49"/>
      <c r="X105" s="33"/>
      <c r="Y105" s="33"/>
      <c r="Z105" s="33"/>
      <c r="AA105" s="49"/>
      <c r="AB105" s="56"/>
      <c r="AC105" s="57"/>
      <c r="AD105" s="50"/>
      <c r="AE105" s="36">
        <v>60589426888</v>
      </c>
      <c r="AF105" s="36"/>
      <c r="AG105" s="18" t="s">
        <v>180</v>
      </c>
    </row>
    <row r="106" spans="1:33" s="18" customFormat="1">
      <c r="A106" s="34" t="s">
        <v>40</v>
      </c>
      <c r="B106" s="34" t="s">
        <v>86</v>
      </c>
      <c r="C106" s="34"/>
      <c r="D106" s="34" t="s">
        <v>123</v>
      </c>
      <c r="E106" s="54">
        <v>42422</v>
      </c>
      <c r="F106" s="35">
        <f>3061.19+13.099</f>
        <v>3074.2890000000002</v>
      </c>
      <c r="G106" s="35"/>
      <c r="H106" s="35"/>
      <c r="I106" s="49">
        <f t="shared" si="82"/>
        <v>3074.2890000000002</v>
      </c>
      <c r="J106" s="35"/>
      <c r="K106" s="67"/>
      <c r="L106" s="35"/>
      <c r="M106" s="35">
        <v>0</v>
      </c>
      <c r="N106" s="68"/>
      <c r="O106" s="68"/>
      <c r="P106" s="35"/>
      <c r="Q106" s="33"/>
      <c r="R106" s="33"/>
      <c r="S106" s="34"/>
      <c r="T106" s="34">
        <v>0</v>
      </c>
      <c r="U106" s="49">
        <f t="shared" ref="U106" si="107">+I106-SUM(J106:T106)</f>
        <v>3074.2890000000002</v>
      </c>
      <c r="V106" s="33">
        <f t="shared" ref="V106" si="108">IF(I106&gt;2250,I106*0.1,0)</f>
        <v>307.42890000000006</v>
      </c>
      <c r="W106" s="49">
        <f t="shared" ref="W106" si="109">+U106-V106</f>
        <v>2766.8601000000003</v>
      </c>
      <c r="X106" s="33">
        <f t="shared" si="96"/>
        <v>0</v>
      </c>
      <c r="Y106" s="33">
        <v>10.23</v>
      </c>
      <c r="Z106" s="33">
        <f t="shared" si="97"/>
        <v>0</v>
      </c>
      <c r="AA106" s="49">
        <f t="shared" si="98"/>
        <v>3084.5190000000002</v>
      </c>
      <c r="AB106" s="56"/>
      <c r="AC106" s="57"/>
      <c r="AD106" s="50">
        <f t="shared" si="99"/>
        <v>-2766.8601000000003</v>
      </c>
      <c r="AE106" s="36">
        <v>56708845942</v>
      </c>
      <c r="AF106" s="36"/>
      <c r="AG106" s="18" t="s">
        <v>180</v>
      </c>
    </row>
    <row r="107" spans="1:33" s="18" customFormat="1">
      <c r="A107" s="34" t="s">
        <v>42</v>
      </c>
      <c r="B107" s="34" t="s">
        <v>101</v>
      </c>
      <c r="C107" s="34"/>
      <c r="D107" s="34" t="s">
        <v>127</v>
      </c>
      <c r="E107" s="54">
        <v>41227</v>
      </c>
      <c r="F107" s="35">
        <f>3908.706+2.599+632.82</f>
        <v>4544.125</v>
      </c>
      <c r="G107" s="35"/>
      <c r="H107" s="35"/>
      <c r="I107" s="49">
        <f t="shared" si="82"/>
        <v>4544.125</v>
      </c>
      <c r="J107" s="35">
        <f>209.76</f>
        <v>209.76</v>
      </c>
      <c r="K107" s="67"/>
      <c r="L107" s="35"/>
      <c r="M107" s="35">
        <v>400</v>
      </c>
      <c r="N107" s="68" t="s">
        <v>131</v>
      </c>
      <c r="O107" s="68" t="s">
        <v>131</v>
      </c>
      <c r="P107" s="35">
        <v>343.11</v>
      </c>
      <c r="Q107" s="33"/>
      <c r="R107" s="33"/>
      <c r="S107" s="34"/>
      <c r="T107" s="34">
        <v>0</v>
      </c>
      <c r="U107" s="49">
        <f t="shared" si="100"/>
        <v>3591.2550000000001</v>
      </c>
      <c r="V107" s="33">
        <f t="shared" si="94"/>
        <v>454.41250000000002</v>
      </c>
      <c r="W107" s="49">
        <f t="shared" si="95"/>
        <v>3136.8425000000002</v>
      </c>
      <c r="X107" s="33">
        <f t="shared" si="96"/>
        <v>0</v>
      </c>
      <c r="Y107" s="33">
        <v>10.23</v>
      </c>
      <c r="Z107" s="33" t="str">
        <f t="shared" si="97"/>
        <v>X</v>
      </c>
      <c r="AA107" s="49" t="e">
        <f t="shared" si="98"/>
        <v>#VALUE!</v>
      </c>
      <c r="AB107" s="56"/>
      <c r="AC107" s="56"/>
      <c r="AD107" s="50">
        <f t="shared" si="99"/>
        <v>-3136.8425000000002</v>
      </c>
      <c r="AE107" s="36">
        <v>56708881946</v>
      </c>
      <c r="AF107" s="36" t="s">
        <v>159</v>
      </c>
      <c r="AG107" s="18" t="s">
        <v>180</v>
      </c>
    </row>
    <row r="108" spans="1:33" s="18" customFormat="1">
      <c r="A108" s="34" t="s">
        <v>40</v>
      </c>
      <c r="B108" s="34" t="s">
        <v>197</v>
      </c>
      <c r="C108" s="34"/>
      <c r="D108" s="34" t="s">
        <v>43</v>
      </c>
      <c r="E108" s="54">
        <v>42851</v>
      </c>
      <c r="F108" s="35">
        <f>1047.68+3.714</f>
        <v>1051.394</v>
      </c>
      <c r="G108" s="35"/>
      <c r="H108" s="35"/>
      <c r="I108" s="49">
        <f t="shared" si="82"/>
        <v>1051.394</v>
      </c>
      <c r="J108" s="35"/>
      <c r="K108" s="67"/>
      <c r="L108" s="35"/>
      <c r="M108" s="35"/>
      <c r="N108" s="68"/>
      <c r="O108" s="68"/>
      <c r="P108" s="35"/>
      <c r="Q108" s="33"/>
      <c r="R108" s="33"/>
      <c r="S108" s="34"/>
      <c r="T108" s="34"/>
      <c r="U108" s="49"/>
      <c r="V108" s="33"/>
      <c r="W108" s="49"/>
      <c r="X108" s="33"/>
      <c r="Y108" s="33"/>
      <c r="Z108" s="33"/>
      <c r="AA108" s="49"/>
      <c r="AB108" s="56"/>
      <c r="AC108" s="56"/>
      <c r="AD108" s="50"/>
      <c r="AE108" s="36">
        <v>60590455941</v>
      </c>
      <c r="AF108" s="36"/>
      <c r="AG108" s="18" t="s">
        <v>180</v>
      </c>
    </row>
    <row r="109" spans="1:33" s="18" customFormat="1">
      <c r="A109" s="34" t="s">
        <v>42</v>
      </c>
      <c r="B109" s="34" t="s">
        <v>135</v>
      </c>
      <c r="C109" s="34"/>
      <c r="D109" s="34" t="s">
        <v>123</v>
      </c>
      <c r="E109" s="54">
        <v>42635</v>
      </c>
      <c r="F109" s="35">
        <v>722.5</v>
      </c>
      <c r="G109" s="35"/>
      <c r="H109" s="35"/>
      <c r="I109" s="49">
        <f t="shared" si="82"/>
        <v>722.5</v>
      </c>
      <c r="J109" s="35"/>
      <c r="K109" s="67"/>
      <c r="L109" s="35"/>
      <c r="M109" s="35"/>
      <c r="N109" s="68"/>
      <c r="O109" s="68"/>
      <c r="P109" s="35"/>
      <c r="Q109" s="33"/>
      <c r="R109" s="33"/>
      <c r="S109" s="34"/>
      <c r="T109" s="34"/>
      <c r="U109" s="49">
        <f t="shared" ref="U109" si="110">+I109-SUM(J109:T109)</f>
        <v>722.5</v>
      </c>
      <c r="V109" s="33">
        <f t="shared" ref="V109" si="111">IF(I109&gt;2250,I109*0.1,0)</f>
        <v>0</v>
      </c>
      <c r="W109" s="49">
        <f t="shared" ref="W109" si="112">+U109-V109</f>
        <v>722.5</v>
      </c>
      <c r="X109" s="33"/>
      <c r="Y109" s="33"/>
      <c r="Z109" s="33"/>
      <c r="AA109" s="49"/>
      <c r="AB109" s="56"/>
      <c r="AC109" s="56"/>
      <c r="AD109" s="50"/>
      <c r="AE109" s="36">
        <v>56708881608</v>
      </c>
      <c r="AF109" s="34"/>
      <c r="AG109" s="18" t="s">
        <v>180</v>
      </c>
    </row>
    <row r="110" spans="1:33" s="18" customFormat="1">
      <c r="A110" s="34" t="s">
        <v>42</v>
      </c>
      <c r="B110" s="34" t="s">
        <v>103</v>
      </c>
      <c r="C110" s="34"/>
      <c r="D110" s="34" t="s">
        <v>127</v>
      </c>
      <c r="E110" s="54">
        <v>41703</v>
      </c>
      <c r="F110" s="35">
        <f>871.492+239.76</f>
        <v>1111.252</v>
      </c>
      <c r="G110" s="35"/>
      <c r="H110" s="35"/>
      <c r="I110" s="49">
        <f t="shared" si="82"/>
        <v>1111.252</v>
      </c>
      <c r="J110" s="35"/>
      <c r="K110" s="67"/>
      <c r="L110" s="35"/>
      <c r="M110" s="35">
        <v>0</v>
      </c>
      <c r="N110" s="68" t="s">
        <v>131</v>
      </c>
      <c r="O110" s="68" t="s">
        <v>131</v>
      </c>
      <c r="P110" s="35"/>
      <c r="Q110" s="33"/>
      <c r="R110" s="33"/>
      <c r="S110" s="34"/>
      <c r="T110" s="34">
        <v>0</v>
      </c>
      <c r="U110" s="49">
        <f t="shared" si="100"/>
        <v>1111.252</v>
      </c>
      <c r="V110" s="33">
        <f t="shared" si="94"/>
        <v>0</v>
      </c>
      <c r="W110" s="49">
        <f t="shared" si="95"/>
        <v>1111.252</v>
      </c>
      <c r="X110" s="33">
        <f t="shared" si="96"/>
        <v>111.12520000000001</v>
      </c>
      <c r="Y110" s="33">
        <v>10.23</v>
      </c>
      <c r="Z110" s="33" t="str">
        <f t="shared" si="97"/>
        <v>X</v>
      </c>
      <c r="AA110" s="49" t="e">
        <f t="shared" si="98"/>
        <v>#VALUE!</v>
      </c>
      <c r="AB110" s="56"/>
      <c r="AC110" s="56"/>
      <c r="AD110" s="50">
        <f t="shared" si="99"/>
        <v>-1111.252</v>
      </c>
      <c r="AE110" s="36">
        <v>56708845973</v>
      </c>
      <c r="AF110" s="34"/>
      <c r="AG110" s="18" t="s">
        <v>180</v>
      </c>
    </row>
    <row r="111" spans="1:33" s="18" customFormat="1">
      <c r="A111" s="34" t="s">
        <v>42</v>
      </c>
      <c r="B111" s="34" t="s">
        <v>172</v>
      </c>
      <c r="C111" s="34"/>
      <c r="D111" s="34" t="s">
        <v>151</v>
      </c>
      <c r="E111" s="54">
        <v>42804</v>
      </c>
      <c r="F111" s="35">
        <f>480.6+2.972</f>
        <v>483.572</v>
      </c>
      <c r="G111" s="35"/>
      <c r="H111" s="35"/>
      <c r="I111" s="49">
        <f t="shared" si="82"/>
        <v>483.572</v>
      </c>
      <c r="J111" s="35"/>
      <c r="K111" s="67"/>
      <c r="L111" s="35"/>
      <c r="M111" s="35"/>
      <c r="N111" s="68"/>
      <c r="O111" s="68"/>
      <c r="P111" s="35"/>
      <c r="Q111" s="33"/>
      <c r="R111" s="33"/>
      <c r="S111" s="34"/>
      <c r="T111" s="34"/>
      <c r="U111" s="49">
        <f t="shared" si="100"/>
        <v>483.572</v>
      </c>
      <c r="V111" s="33"/>
      <c r="W111" s="49"/>
      <c r="X111" s="33"/>
      <c r="Y111" s="33"/>
      <c r="Z111" s="33"/>
      <c r="AA111" s="49"/>
      <c r="AB111" s="56"/>
      <c r="AC111" s="56"/>
      <c r="AD111" s="50"/>
      <c r="AE111" s="36">
        <v>56684566360</v>
      </c>
      <c r="AF111" s="34"/>
      <c r="AG111" s="18" t="s">
        <v>180</v>
      </c>
    </row>
    <row r="112" spans="1:33" s="18" customFormat="1">
      <c r="A112" s="34" t="s">
        <v>42</v>
      </c>
      <c r="B112" s="34" t="s">
        <v>52</v>
      </c>
      <c r="C112" s="34"/>
      <c r="D112" s="34" t="s">
        <v>127</v>
      </c>
      <c r="E112" s="54">
        <v>41291</v>
      </c>
      <c r="F112" s="35">
        <f>2721.798+2.599+705.44</f>
        <v>3429.837</v>
      </c>
      <c r="G112" s="35"/>
      <c r="H112" s="35"/>
      <c r="I112" s="49">
        <f t="shared" si="82"/>
        <v>3429.837</v>
      </c>
      <c r="J112" s="35">
        <v>216.71</v>
      </c>
      <c r="K112" s="67"/>
      <c r="L112" s="35"/>
      <c r="M112" s="35">
        <v>200</v>
      </c>
      <c r="N112" s="68" t="s">
        <v>131</v>
      </c>
      <c r="O112" s="68" t="s">
        <v>131</v>
      </c>
      <c r="P112" s="35">
        <v>343.11</v>
      </c>
      <c r="Q112" s="33"/>
      <c r="R112" s="33"/>
      <c r="S112" s="34"/>
      <c r="T112" s="34">
        <v>0</v>
      </c>
      <c r="U112" s="49">
        <f t="shared" si="100"/>
        <v>2670.0169999999998</v>
      </c>
      <c r="V112" s="33">
        <f t="shared" si="94"/>
        <v>342.9837</v>
      </c>
      <c r="W112" s="49">
        <f t="shared" si="95"/>
        <v>2327.0333000000001</v>
      </c>
      <c r="X112" s="33">
        <f t="shared" si="96"/>
        <v>0</v>
      </c>
      <c r="Y112" s="33">
        <v>10.23</v>
      </c>
      <c r="Z112" s="33" t="str">
        <f t="shared" si="97"/>
        <v>X</v>
      </c>
      <c r="AA112" s="49" t="e">
        <f t="shared" si="98"/>
        <v>#VALUE!</v>
      </c>
      <c r="AB112" s="56"/>
      <c r="AC112" s="56"/>
      <c r="AD112" s="50">
        <f t="shared" si="99"/>
        <v>-2327.0333000000001</v>
      </c>
      <c r="AE112" s="36">
        <v>56708881963</v>
      </c>
      <c r="AF112" s="36" t="s">
        <v>159</v>
      </c>
      <c r="AG112" s="18" t="s">
        <v>180</v>
      </c>
    </row>
    <row r="113" spans="1:186" s="18" customFormat="1">
      <c r="A113" s="34" t="s">
        <v>40</v>
      </c>
      <c r="B113" s="34" t="s">
        <v>60</v>
      </c>
      <c r="C113" s="34"/>
      <c r="D113" s="34" t="s">
        <v>43</v>
      </c>
      <c r="E113" s="54">
        <v>41666</v>
      </c>
      <c r="F113" s="35">
        <f>2403.534+7.428</f>
        <v>2410.962</v>
      </c>
      <c r="G113" s="35"/>
      <c r="H113" s="35"/>
      <c r="I113" s="49">
        <f t="shared" si="82"/>
        <v>2410.962</v>
      </c>
      <c r="J113" s="35"/>
      <c r="K113" s="67"/>
      <c r="L113" s="35"/>
      <c r="M113" s="35">
        <v>200</v>
      </c>
      <c r="N113" s="68"/>
      <c r="O113" s="68"/>
      <c r="P113" s="35"/>
      <c r="Q113" s="33"/>
      <c r="R113" s="33"/>
      <c r="S113" s="34"/>
      <c r="T113" s="34">
        <v>0</v>
      </c>
      <c r="U113" s="49">
        <f t="shared" si="100"/>
        <v>2210.962</v>
      </c>
      <c r="V113" s="33">
        <f t="shared" si="94"/>
        <v>241.09620000000001</v>
      </c>
      <c r="W113" s="49">
        <f t="shared" si="95"/>
        <v>1969.8658</v>
      </c>
      <c r="X113" s="33">
        <f t="shared" si="96"/>
        <v>0</v>
      </c>
      <c r="Y113" s="33">
        <v>10.23</v>
      </c>
      <c r="Z113" s="33">
        <f t="shared" si="97"/>
        <v>0</v>
      </c>
      <c r="AA113" s="49">
        <f t="shared" si="98"/>
        <v>2421.192</v>
      </c>
      <c r="AB113" s="56"/>
      <c r="AC113" s="57"/>
      <c r="AD113" s="50">
        <f t="shared" si="99"/>
        <v>-1969.8658</v>
      </c>
      <c r="AE113" s="36">
        <v>56708845990</v>
      </c>
      <c r="AF113" s="34"/>
      <c r="AG113" s="18" t="s">
        <v>180</v>
      </c>
    </row>
    <row r="114" spans="1:186" s="18" customFormat="1">
      <c r="A114" s="34" t="s">
        <v>40</v>
      </c>
      <c r="B114" s="34" t="s">
        <v>175</v>
      </c>
      <c r="C114" s="34"/>
      <c r="D114" s="34" t="s">
        <v>43</v>
      </c>
      <c r="E114" s="54">
        <v>42809</v>
      </c>
      <c r="F114" s="35">
        <f>2160.84+13.099</f>
        <v>2173.9390000000003</v>
      </c>
      <c r="G114" s="35"/>
      <c r="H114" s="35"/>
      <c r="I114" s="49">
        <f t="shared" si="82"/>
        <v>2173.9390000000003</v>
      </c>
      <c r="J114" s="35"/>
      <c r="K114" s="67"/>
      <c r="L114" s="35"/>
      <c r="M114" s="35"/>
      <c r="N114" s="68"/>
      <c r="O114" s="68"/>
      <c r="P114" s="35"/>
      <c r="Q114" s="33"/>
      <c r="R114" s="33"/>
      <c r="S114" s="34"/>
      <c r="T114" s="34"/>
      <c r="U114" s="49">
        <f t="shared" si="100"/>
        <v>2173.9390000000003</v>
      </c>
      <c r="V114" s="33"/>
      <c r="W114" s="49"/>
      <c r="X114" s="33"/>
      <c r="Y114" s="33"/>
      <c r="Z114" s="33"/>
      <c r="AA114" s="49"/>
      <c r="AB114" s="56"/>
      <c r="AC114" s="57"/>
      <c r="AD114" s="50"/>
      <c r="AE114" s="36">
        <v>60589597089</v>
      </c>
      <c r="AF114" s="36"/>
      <c r="AG114" s="18" t="s">
        <v>180</v>
      </c>
    </row>
    <row r="115" spans="1:186" s="18" customFormat="1">
      <c r="A115" s="34" t="s">
        <v>42</v>
      </c>
      <c r="B115" s="34" t="s">
        <v>158</v>
      </c>
      <c r="C115" s="34"/>
      <c r="D115" s="34" t="s">
        <v>123</v>
      </c>
      <c r="E115" s="54">
        <v>42752</v>
      </c>
      <c r="F115" s="35">
        <f>621.423+149.38</f>
        <v>770.803</v>
      </c>
      <c r="G115" s="35"/>
      <c r="H115" s="35"/>
      <c r="I115" s="49">
        <f t="shared" si="82"/>
        <v>770.803</v>
      </c>
      <c r="J115" s="35"/>
      <c r="K115" s="67"/>
      <c r="L115" s="35"/>
      <c r="M115" s="35"/>
      <c r="N115" s="68"/>
      <c r="O115" s="68"/>
      <c r="P115" s="35"/>
      <c r="Q115" s="33"/>
      <c r="R115" s="33"/>
      <c r="S115" s="34"/>
      <c r="T115" s="34"/>
      <c r="U115" s="49">
        <f t="shared" ref="U115" si="113">+I115-SUM(J115:T115)</f>
        <v>770.803</v>
      </c>
      <c r="V115" s="33">
        <f t="shared" ref="V115" si="114">IF(I115&gt;2250,I115*0.1,0)</f>
        <v>0</v>
      </c>
      <c r="W115" s="49">
        <f t="shared" ref="W115" si="115">+U115-V115</f>
        <v>770.803</v>
      </c>
      <c r="X115" s="33"/>
      <c r="Y115" s="33"/>
      <c r="Z115" s="33"/>
      <c r="AA115" s="49"/>
      <c r="AB115" s="56"/>
      <c r="AC115" s="57"/>
      <c r="AD115" s="50"/>
      <c r="AE115" s="36">
        <v>60589634536</v>
      </c>
      <c r="AF115" s="36"/>
      <c r="AG115" s="18" t="s">
        <v>180</v>
      </c>
    </row>
    <row r="116" spans="1:186" s="18" customFormat="1">
      <c r="A116" s="34" t="s">
        <v>42</v>
      </c>
      <c r="B116" s="34" t="s">
        <v>122</v>
      </c>
      <c r="C116" s="34"/>
      <c r="D116" s="34" t="s">
        <v>126</v>
      </c>
      <c r="E116" s="54">
        <v>29733</v>
      </c>
      <c r="F116" s="35">
        <f>4469.363+3.714+608.03</f>
        <v>5081.107</v>
      </c>
      <c r="G116" s="35"/>
      <c r="H116" s="35"/>
      <c r="I116" s="49">
        <f t="shared" si="82"/>
        <v>5081.107</v>
      </c>
      <c r="J116" s="35">
        <v>470.2</v>
      </c>
      <c r="K116" s="67"/>
      <c r="L116" s="35"/>
      <c r="M116" s="35">
        <v>50</v>
      </c>
      <c r="N116" s="68" t="s">
        <v>131</v>
      </c>
      <c r="O116" s="68" t="s">
        <v>131</v>
      </c>
      <c r="P116" s="35"/>
      <c r="Q116" s="33"/>
      <c r="R116" s="33"/>
      <c r="S116" s="34"/>
      <c r="T116" s="34">
        <v>0</v>
      </c>
      <c r="U116" s="49">
        <f t="shared" si="100"/>
        <v>4560.9070000000002</v>
      </c>
      <c r="V116" s="33">
        <f t="shared" si="94"/>
        <v>508.11070000000001</v>
      </c>
      <c r="W116" s="49">
        <f t="shared" si="95"/>
        <v>4052.7963</v>
      </c>
      <c r="X116" s="33">
        <f t="shared" si="96"/>
        <v>0</v>
      </c>
      <c r="Y116" s="33">
        <v>10.23</v>
      </c>
      <c r="Z116" s="33" t="str">
        <f t="shared" si="97"/>
        <v>X</v>
      </c>
      <c r="AA116" s="49" t="e">
        <f t="shared" si="98"/>
        <v>#VALUE!</v>
      </c>
      <c r="AB116" s="56"/>
      <c r="AC116" s="57"/>
      <c r="AD116" s="50">
        <f t="shared" si="99"/>
        <v>-4052.7963</v>
      </c>
      <c r="AE116" s="36">
        <v>60589747903</v>
      </c>
      <c r="AF116" s="36" t="s">
        <v>159</v>
      </c>
      <c r="AG116" s="18" t="s">
        <v>180</v>
      </c>
    </row>
    <row r="117" spans="1:186" s="18" customFormat="1">
      <c r="A117" s="34" t="s">
        <v>40</v>
      </c>
      <c r="B117" s="34" t="s">
        <v>130</v>
      </c>
      <c r="C117" s="34"/>
      <c r="D117" s="34" t="s">
        <v>151</v>
      </c>
      <c r="E117" s="54">
        <v>42604</v>
      </c>
      <c r="F117" s="35">
        <f>263.031+131.8</f>
        <v>394.83100000000002</v>
      </c>
      <c r="G117" s="35"/>
      <c r="H117" s="35"/>
      <c r="I117" s="49">
        <f t="shared" si="82"/>
        <v>394.83100000000002</v>
      </c>
      <c r="J117" s="35"/>
      <c r="K117" s="67"/>
      <c r="L117" s="35"/>
      <c r="M117" s="35"/>
      <c r="N117" s="68"/>
      <c r="O117" s="68"/>
      <c r="P117" s="35"/>
      <c r="Q117" s="33"/>
      <c r="R117" s="33"/>
      <c r="S117" s="34"/>
      <c r="T117" s="34"/>
      <c r="U117" s="49">
        <f t="shared" ref="U117" si="116">+I117-SUM(J117:T117)</f>
        <v>394.83100000000002</v>
      </c>
      <c r="V117" s="33">
        <f t="shared" ref="V117" si="117">IF(I117&gt;2250,I117*0.1,0)</f>
        <v>0</v>
      </c>
      <c r="W117" s="49">
        <f t="shared" ref="W117" si="118">+U117-V117</f>
        <v>394.83100000000002</v>
      </c>
      <c r="X117" s="33"/>
      <c r="Y117" s="33"/>
      <c r="Z117" s="33"/>
      <c r="AA117" s="49"/>
      <c r="AB117" s="56"/>
      <c r="AC117" s="63"/>
      <c r="AD117" s="50"/>
      <c r="AE117" s="36">
        <v>60590218306</v>
      </c>
      <c r="AF117" s="34"/>
      <c r="AG117" s="18" t="s">
        <v>180</v>
      </c>
    </row>
    <row r="118" spans="1:186" s="18" customFormat="1">
      <c r="A118" s="34" t="s">
        <v>40</v>
      </c>
      <c r="B118" s="34" t="s">
        <v>35</v>
      </c>
      <c r="C118" s="34"/>
      <c r="D118" s="34" t="s">
        <v>43</v>
      </c>
      <c r="E118" s="54">
        <v>42361</v>
      </c>
      <c r="F118" s="35">
        <f>2634.222+7.428</f>
        <v>2641.65</v>
      </c>
      <c r="G118" s="35"/>
      <c r="H118" s="35"/>
      <c r="I118" s="49">
        <f t="shared" si="82"/>
        <v>2641.65</v>
      </c>
      <c r="J118" s="35"/>
      <c r="K118" s="67"/>
      <c r="L118" s="35"/>
      <c r="M118" s="35">
        <v>0</v>
      </c>
      <c r="N118" s="68"/>
      <c r="O118" s="68"/>
      <c r="P118" s="35"/>
      <c r="Q118" s="33"/>
      <c r="R118" s="33"/>
      <c r="S118" s="34"/>
      <c r="T118" s="34">
        <v>0</v>
      </c>
      <c r="U118" s="49">
        <f>+I118-SUM(J118:T118)</f>
        <v>2641.65</v>
      </c>
      <c r="V118" s="33">
        <f>IF(I118&gt;2250,I118*0.1,0)</f>
        <v>264.16500000000002</v>
      </c>
      <c r="W118" s="49">
        <f>+U118-V118</f>
        <v>2377.4850000000001</v>
      </c>
      <c r="X118" s="33">
        <f>IF(I118&lt;2250,I118*0.1,0)</f>
        <v>0</v>
      </c>
      <c r="Y118" s="33">
        <v>10.23</v>
      </c>
      <c r="Z118" s="33">
        <f>+N118</f>
        <v>0</v>
      </c>
      <c r="AA118" s="49">
        <f>+I118+X118+Y118+Z118</f>
        <v>2651.88</v>
      </c>
      <c r="AB118" s="56"/>
      <c r="AC118" s="62"/>
      <c r="AD118" s="50">
        <f>+AB118+AC118-W118</f>
        <v>-2377.4850000000001</v>
      </c>
      <c r="AE118" s="36">
        <v>56708846047</v>
      </c>
      <c r="AF118" s="36"/>
      <c r="AG118" s="18" t="s">
        <v>180</v>
      </c>
    </row>
    <row r="119" spans="1:186" s="18" customFormat="1">
      <c r="A119" s="34" t="s">
        <v>40</v>
      </c>
      <c r="B119" s="34" t="s">
        <v>59</v>
      </c>
      <c r="C119" s="34"/>
      <c r="D119" s="34" t="s">
        <v>43</v>
      </c>
      <c r="E119" s="54">
        <v>41549</v>
      </c>
      <c r="F119" s="35">
        <f>4796.41+13.099</f>
        <v>4809.509</v>
      </c>
      <c r="G119" s="35"/>
      <c r="H119" s="35"/>
      <c r="I119" s="49">
        <f t="shared" si="82"/>
        <v>4809.509</v>
      </c>
      <c r="J119" s="35"/>
      <c r="K119" s="67"/>
      <c r="L119" s="35"/>
      <c r="M119" s="35">
        <v>500</v>
      </c>
      <c r="N119" s="68"/>
      <c r="O119" s="68"/>
      <c r="P119" s="35"/>
      <c r="Q119" s="33"/>
      <c r="R119" s="33"/>
      <c r="S119" s="34"/>
      <c r="T119" s="34">
        <v>0</v>
      </c>
      <c r="U119" s="49">
        <f>+I119-SUM(J119:T119)</f>
        <v>4309.509</v>
      </c>
      <c r="V119" s="33">
        <f>IF(I119&gt;2250,I119*0.1,0)</f>
        <v>480.95090000000005</v>
      </c>
      <c r="W119" s="49">
        <f>+U119-V119</f>
        <v>3828.5581000000002</v>
      </c>
      <c r="X119" s="33">
        <f>IF(I119&lt;2250,I119*0.1,0)</f>
        <v>0</v>
      </c>
      <c r="Y119" s="33">
        <v>10.23</v>
      </c>
      <c r="Z119" s="33">
        <f>+N119</f>
        <v>0</v>
      </c>
      <c r="AA119" s="49">
        <f>+I119+X119+Y119+Z119</f>
        <v>4819.7389999999996</v>
      </c>
      <c r="AB119" s="56"/>
      <c r="AC119" s="57"/>
      <c r="AD119" s="50">
        <f>+AB119+AC119-W119</f>
        <v>-3828.5581000000002</v>
      </c>
      <c r="AE119" s="36">
        <v>56708846050</v>
      </c>
      <c r="AF119" s="36"/>
      <c r="AG119" s="18" t="s">
        <v>180</v>
      </c>
    </row>
    <row r="120" spans="1:186">
      <c r="A120" s="29"/>
      <c r="B120" s="34"/>
      <c r="C120" s="29"/>
      <c r="D120" s="29"/>
      <c r="E120" s="66"/>
      <c r="F120" s="31"/>
      <c r="G120" s="31"/>
      <c r="H120" s="31"/>
      <c r="I120" s="49">
        <f t="shared" si="82"/>
        <v>0</v>
      </c>
      <c r="J120" s="35"/>
      <c r="K120" s="35"/>
      <c r="L120" s="35"/>
      <c r="M120" s="35"/>
      <c r="N120" s="35"/>
      <c r="O120" s="35"/>
      <c r="P120" s="35"/>
      <c r="Q120" s="33"/>
      <c r="R120" s="33"/>
      <c r="S120" s="33"/>
      <c r="T120" s="33"/>
      <c r="U120" s="49"/>
      <c r="V120" s="33"/>
      <c r="W120" s="49"/>
      <c r="X120" s="61"/>
      <c r="Y120" s="61"/>
      <c r="Z120" s="61"/>
      <c r="AA120" s="60"/>
      <c r="AB120" s="47"/>
      <c r="AC120" s="47"/>
      <c r="AD120" s="41"/>
      <c r="AE120" s="29"/>
      <c r="AF120" s="29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</row>
    <row r="121" spans="1:186">
      <c r="A121" s="29"/>
      <c r="B121" s="36" t="s">
        <v>164</v>
      </c>
      <c r="C121" s="29"/>
      <c r="D121" s="29"/>
      <c r="E121" s="66"/>
      <c r="F121" s="39">
        <f>SUM(F75:F119)</f>
        <v>83020.399000000005</v>
      </c>
      <c r="G121" s="39">
        <f t="shared" ref="G121:W121" si="119">SUM(G75:G119)</f>
        <v>0</v>
      </c>
      <c r="H121" s="39">
        <f t="shared" si="119"/>
        <v>0</v>
      </c>
      <c r="I121" s="49">
        <f t="shared" si="82"/>
        <v>83020.399000000005</v>
      </c>
      <c r="J121" s="39">
        <f t="shared" si="119"/>
        <v>2669.5499999999997</v>
      </c>
      <c r="K121" s="39">
        <f t="shared" si="119"/>
        <v>1</v>
      </c>
      <c r="L121" s="39">
        <f t="shared" si="119"/>
        <v>0</v>
      </c>
      <c r="M121" s="39">
        <f t="shared" si="119"/>
        <v>3050</v>
      </c>
      <c r="N121" s="39">
        <f t="shared" si="119"/>
        <v>0</v>
      </c>
      <c r="O121" s="39">
        <f t="shared" si="119"/>
        <v>0</v>
      </c>
      <c r="P121" s="39">
        <f t="shared" si="119"/>
        <v>686.22</v>
      </c>
      <c r="Q121" s="39">
        <f t="shared" si="119"/>
        <v>0</v>
      </c>
      <c r="R121" s="39">
        <f t="shared" si="119"/>
        <v>0</v>
      </c>
      <c r="S121" s="39">
        <f t="shared" si="119"/>
        <v>0</v>
      </c>
      <c r="T121" s="39">
        <f t="shared" si="119"/>
        <v>301.08999999999997</v>
      </c>
      <c r="U121" s="39">
        <f t="shared" si="119"/>
        <v>71866.490000000005</v>
      </c>
      <c r="V121" s="39">
        <f t="shared" si="119"/>
        <v>5694.5566499999995</v>
      </c>
      <c r="W121" s="39">
        <f t="shared" si="119"/>
        <v>58450.265699999996</v>
      </c>
      <c r="X121" s="61"/>
      <c r="Y121" s="61"/>
      <c r="Z121" s="61"/>
      <c r="AA121" s="60"/>
      <c r="AB121" s="47"/>
      <c r="AC121" s="47"/>
      <c r="AD121" s="41"/>
      <c r="AE121" s="29"/>
      <c r="AF121" s="29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</row>
    <row r="122" spans="1:186">
      <c r="B122" s="20"/>
      <c r="C122" s="20"/>
      <c r="AA122" s="14" t="e">
        <f>+#REF!*0.16</f>
        <v>#REF!</v>
      </c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</row>
    <row r="123" spans="1:186"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</row>
    <row r="124" spans="1:186"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</row>
    <row r="125" spans="1:186"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</row>
    <row r="126" spans="1:186" ht="23.25">
      <c r="A126" s="100" t="s">
        <v>25</v>
      </c>
      <c r="B126" s="100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</row>
    <row r="127" spans="1:186" s="93" customFormat="1" ht="15" customHeight="1">
      <c r="A127" s="86" t="s">
        <v>28</v>
      </c>
      <c r="B127" s="86" t="s">
        <v>142</v>
      </c>
      <c r="C127" s="86"/>
      <c r="D127" s="86" t="s">
        <v>30</v>
      </c>
      <c r="E127" s="87">
        <v>42668</v>
      </c>
      <c r="F127" s="88"/>
      <c r="G127" s="88"/>
      <c r="H127" s="88"/>
      <c r="I127" s="40">
        <f>SUM(F127:H127)</f>
        <v>0</v>
      </c>
      <c r="J127" s="88"/>
      <c r="K127" s="89"/>
      <c r="L127" s="88"/>
      <c r="M127" s="88"/>
      <c r="N127" s="90"/>
      <c r="O127" s="90"/>
      <c r="P127" s="88"/>
      <c r="Q127" s="91"/>
      <c r="R127" s="98"/>
      <c r="S127" s="86"/>
      <c r="T127" s="99"/>
      <c r="U127" s="40">
        <v>2737.24</v>
      </c>
      <c r="V127" s="33">
        <v>273.72399999999999</v>
      </c>
      <c r="W127" s="49">
        <v>2463.5159999999996</v>
      </c>
      <c r="X127" s="33"/>
      <c r="Y127" s="33"/>
      <c r="Z127" s="33"/>
      <c r="AA127" s="49"/>
      <c r="AB127" s="58"/>
      <c r="AC127" s="56"/>
      <c r="AD127" s="50"/>
      <c r="AE127" s="86">
        <v>56710773114</v>
      </c>
      <c r="AF127" s="92" t="s">
        <v>207</v>
      </c>
      <c r="AG127" s="93" t="s">
        <v>180</v>
      </c>
    </row>
    <row r="128" spans="1:186" s="18" customFormat="1" ht="15.75">
      <c r="A128" s="71" t="s">
        <v>41</v>
      </c>
      <c r="B128" s="71" t="s">
        <v>143</v>
      </c>
      <c r="C128" s="71"/>
      <c r="D128" s="71" t="s">
        <v>45</v>
      </c>
      <c r="E128" s="74"/>
      <c r="F128" s="35"/>
      <c r="G128" s="35"/>
      <c r="H128" s="35"/>
      <c r="I128" s="49">
        <f t="shared" ref="I128:I132" si="120">SUM(F128:H128)</f>
        <v>0</v>
      </c>
      <c r="J128" s="35"/>
      <c r="K128" s="67"/>
      <c r="L128" s="35"/>
      <c r="M128" s="35">
        <v>150</v>
      </c>
      <c r="N128" s="68"/>
      <c r="O128" s="68"/>
      <c r="P128" s="35"/>
      <c r="Q128" s="33"/>
      <c r="R128" s="69"/>
      <c r="S128" s="34"/>
      <c r="T128" s="64"/>
      <c r="U128" s="49">
        <v>-150</v>
      </c>
      <c r="V128" s="33">
        <v>0</v>
      </c>
      <c r="W128" s="49">
        <v>-150</v>
      </c>
      <c r="X128" s="33"/>
      <c r="Y128" s="33"/>
      <c r="Z128" s="33"/>
      <c r="AA128" s="49"/>
      <c r="AB128" s="58"/>
      <c r="AC128" s="56"/>
      <c r="AD128" s="50"/>
      <c r="AE128" s="34">
        <v>60590405464</v>
      </c>
      <c r="AF128" s="76" t="s">
        <v>176</v>
      </c>
      <c r="AG128" s="18" t="s">
        <v>180</v>
      </c>
    </row>
    <row r="129" spans="1:186">
      <c r="A129" s="71" t="s">
        <v>39</v>
      </c>
      <c r="B129" s="71" t="s">
        <v>128</v>
      </c>
      <c r="C129" s="71"/>
      <c r="D129" s="71" t="s">
        <v>45</v>
      </c>
      <c r="E129" s="72">
        <v>34275</v>
      </c>
      <c r="F129" s="35"/>
      <c r="G129" s="35"/>
      <c r="H129" s="35"/>
      <c r="I129" s="49">
        <f t="shared" si="120"/>
        <v>0</v>
      </c>
      <c r="J129" s="35"/>
      <c r="K129" s="67"/>
      <c r="L129" s="35"/>
      <c r="M129" s="35"/>
      <c r="N129" s="68"/>
      <c r="O129" s="68"/>
      <c r="P129" s="35"/>
      <c r="Q129" s="33"/>
      <c r="R129" s="33"/>
      <c r="S129" s="34"/>
      <c r="T129" s="34"/>
      <c r="U129" s="49">
        <v>0</v>
      </c>
      <c r="V129" s="33">
        <v>0</v>
      </c>
      <c r="W129" s="49">
        <v>0</v>
      </c>
      <c r="X129" s="61"/>
      <c r="Y129" s="61"/>
      <c r="Z129" s="61"/>
      <c r="AA129" s="60"/>
      <c r="AB129" s="47"/>
      <c r="AC129" s="47"/>
      <c r="AD129" s="41"/>
      <c r="AE129" s="29">
        <v>60590317373</v>
      </c>
      <c r="AF129" s="76" t="s">
        <v>177</v>
      </c>
      <c r="AG129" s="18" t="s">
        <v>180</v>
      </c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</row>
    <row r="130" spans="1:186">
      <c r="A130" s="71" t="s">
        <v>41</v>
      </c>
      <c r="B130" s="71" t="s">
        <v>162</v>
      </c>
      <c r="C130" s="71"/>
      <c r="D130" s="71" t="s">
        <v>163</v>
      </c>
      <c r="E130" s="72">
        <v>38825</v>
      </c>
      <c r="F130" s="35"/>
      <c r="G130" s="35"/>
      <c r="H130" s="35"/>
      <c r="I130" s="49">
        <f t="shared" si="120"/>
        <v>0</v>
      </c>
      <c r="J130" s="35"/>
      <c r="K130" s="67"/>
      <c r="L130" s="35"/>
      <c r="M130" s="35"/>
      <c r="N130" s="68"/>
      <c r="O130" s="68"/>
      <c r="P130" s="35"/>
      <c r="Q130" s="33"/>
      <c r="R130" s="33"/>
      <c r="S130" s="34"/>
      <c r="T130" s="34"/>
      <c r="U130" s="49"/>
      <c r="V130" s="33"/>
      <c r="W130" s="49"/>
      <c r="X130" s="61"/>
      <c r="Y130" s="61"/>
      <c r="Z130" s="61"/>
      <c r="AA130" s="60"/>
      <c r="AB130" s="47"/>
      <c r="AC130" s="47"/>
      <c r="AD130" s="41"/>
      <c r="AE130" s="29">
        <v>56708845376</v>
      </c>
      <c r="AF130" s="76" t="s">
        <v>178</v>
      </c>
      <c r="AG130" s="18" t="s">
        <v>180</v>
      </c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  <c r="FS130" s="18"/>
      <c r="FT130" s="18"/>
      <c r="FU130" s="18"/>
      <c r="FV130" s="18"/>
      <c r="FW130" s="18"/>
      <c r="FX130" s="18"/>
      <c r="FY130" s="18"/>
      <c r="FZ130" s="18"/>
      <c r="GA130" s="18"/>
      <c r="GB130" s="18"/>
      <c r="GC130" s="18"/>
      <c r="GD130" s="18"/>
    </row>
    <row r="131" spans="1:186">
      <c r="A131" s="71" t="s">
        <v>42</v>
      </c>
      <c r="B131" s="71" t="s">
        <v>173</v>
      </c>
      <c r="C131" s="71"/>
      <c r="D131" s="71" t="s">
        <v>123</v>
      </c>
      <c r="E131" s="72">
        <v>42807</v>
      </c>
      <c r="F131" s="35">
        <v>791.43100000000004</v>
      </c>
      <c r="G131" s="35"/>
      <c r="H131" s="35"/>
      <c r="I131" s="49">
        <f t="shared" si="120"/>
        <v>791.43100000000004</v>
      </c>
      <c r="J131" s="35"/>
      <c r="K131" s="67"/>
      <c r="L131" s="35"/>
      <c r="M131" s="35"/>
      <c r="N131" s="68"/>
      <c r="O131" s="68"/>
      <c r="P131" s="35"/>
      <c r="Q131" s="33"/>
      <c r="R131" s="33"/>
      <c r="S131" s="34"/>
      <c r="T131" s="34"/>
      <c r="U131" s="49">
        <f t="shared" ref="U131" si="121">+I131-SUM(J131:T131)</f>
        <v>791.43100000000004</v>
      </c>
      <c r="V131" s="33"/>
      <c r="W131" s="49"/>
      <c r="X131" s="61"/>
      <c r="Y131" s="61"/>
      <c r="Z131" s="61"/>
      <c r="AA131" s="60"/>
      <c r="AB131" s="47"/>
      <c r="AC131" s="47"/>
      <c r="AD131" s="41"/>
      <c r="AE131" s="38" t="s">
        <v>153</v>
      </c>
      <c r="AF131" s="76" t="s">
        <v>188</v>
      </c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18"/>
      <c r="FG131" s="18"/>
      <c r="FH131" s="18"/>
      <c r="FI131" s="18"/>
      <c r="FJ131" s="18"/>
      <c r="FK131" s="18"/>
      <c r="FL131" s="18"/>
      <c r="FM131" s="18"/>
      <c r="FN131" s="18"/>
      <c r="FO131" s="18"/>
      <c r="FP131" s="18"/>
      <c r="FQ131" s="18"/>
      <c r="FR131" s="18"/>
      <c r="FS131" s="18"/>
      <c r="FT131" s="18"/>
      <c r="FU131" s="18"/>
      <c r="FV131" s="18"/>
      <c r="FW131" s="18"/>
      <c r="FX131" s="18"/>
      <c r="FY131" s="18"/>
      <c r="FZ131" s="18"/>
      <c r="GA131" s="18"/>
      <c r="GB131" s="18"/>
      <c r="GC131" s="18"/>
      <c r="GD131" s="18"/>
    </row>
    <row r="132" spans="1:186">
      <c r="A132" s="85" t="s">
        <v>39</v>
      </c>
      <c r="B132" s="71" t="s">
        <v>133</v>
      </c>
      <c r="C132" s="71"/>
      <c r="D132" s="71" t="s">
        <v>132</v>
      </c>
      <c r="E132" s="72">
        <v>42809</v>
      </c>
      <c r="F132" s="35"/>
      <c r="G132" s="35"/>
      <c r="H132" s="35"/>
      <c r="I132" s="49">
        <f t="shared" si="120"/>
        <v>0</v>
      </c>
      <c r="J132" s="35"/>
      <c r="K132" s="67"/>
      <c r="L132" s="35"/>
      <c r="M132" s="35"/>
      <c r="N132" s="68"/>
      <c r="O132" s="68"/>
      <c r="P132" s="35"/>
      <c r="Q132" s="33"/>
      <c r="R132" s="33"/>
      <c r="S132" s="34"/>
      <c r="T132" s="34"/>
      <c r="U132" s="49"/>
      <c r="V132" s="33"/>
      <c r="W132" s="49"/>
      <c r="X132" s="61"/>
      <c r="Y132" s="61"/>
      <c r="Z132" s="61"/>
      <c r="AA132" s="60"/>
      <c r="AB132" s="47"/>
      <c r="AC132" s="47"/>
      <c r="AD132" s="41"/>
      <c r="AE132" s="29">
        <v>60590314454</v>
      </c>
      <c r="AF132" s="76" t="s">
        <v>184</v>
      </c>
      <c r="AG132" s="18" t="s">
        <v>180</v>
      </c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8"/>
      <c r="EE132" s="18"/>
      <c r="EF132" s="18"/>
      <c r="EG132" s="18"/>
      <c r="EH132" s="18"/>
      <c r="EI132" s="18"/>
      <c r="EJ132" s="18"/>
      <c r="EK132" s="18"/>
      <c r="EL132" s="18"/>
      <c r="EM132" s="18"/>
      <c r="EN132" s="18"/>
      <c r="EO132" s="18"/>
      <c r="EP132" s="18"/>
      <c r="EQ132" s="18"/>
      <c r="ER132" s="18"/>
      <c r="ES132" s="18"/>
      <c r="ET132" s="18"/>
      <c r="EU132" s="18"/>
      <c r="EV132" s="18"/>
      <c r="EW132" s="18"/>
      <c r="EX132" s="18"/>
      <c r="EY132" s="18"/>
      <c r="EZ132" s="18"/>
      <c r="FA132" s="18"/>
      <c r="FB132" s="18"/>
      <c r="FC132" s="18"/>
      <c r="FD132" s="18"/>
      <c r="FE132" s="18"/>
      <c r="FF132" s="18"/>
      <c r="FG132" s="18"/>
      <c r="FH132" s="18"/>
      <c r="FI132" s="18"/>
      <c r="FJ132" s="18"/>
      <c r="FK132" s="18"/>
      <c r="FL132" s="18"/>
      <c r="FM132" s="18"/>
      <c r="FN132" s="18"/>
      <c r="FO132" s="18"/>
      <c r="FP132" s="18"/>
      <c r="FQ132" s="18"/>
      <c r="FR132" s="18"/>
      <c r="FS132" s="18"/>
      <c r="FT132" s="18"/>
      <c r="FU132" s="18"/>
      <c r="FV132" s="18"/>
      <c r="FW132" s="18"/>
      <c r="FX132" s="18"/>
      <c r="FY132" s="18"/>
      <c r="FZ132" s="18"/>
      <c r="GA132" s="18"/>
      <c r="GB132" s="18"/>
      <c r="GC132" s="18"/>
      <c r="GD132" s="18"/>
    </row>
    <row r="133" spans="1:186"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18"/>
      <c r="EG133" s="18"/>
      <c r="EH133" s="18"/>
      <c r="EI133" s="18"/>
      <c r="EJ133" s="18"/>
      <c r="EK133" s="18"/>
      <c r="EL133" s="18"/>
      <c r="EM133" s="18"/>
      <c r="EN133" s="18"/>
      <c r="EO133" s="18"/>
      <c r="EP133" s="18"/>
      <c r="EQ133" s="18"/>
      <c r="ER133" s="18"/>
      <c r="ES133" s="18"/>
      <c r="ET133" s="18"/>
      <c r="EU133" s="18"/>
      <c r="EV133" s="18"/>
      <c r="EW133" s="18"/>
      <c r="EX133" s="18"/>
      <c r="EY133" s="18"/>
      <c r="EZ133" s="18"/>
      <c r="FA133" s="18"/>
      <c r="FB133" s="18"/>
      <c r="FC133" s="18"/>
      <c r="FD133" s="18"/>
      <c r="FE133" s="18"/>
      <c r="FF133" s="18"/>
      <c r="FG133" s="18"/>
      <c r="FH133" s="18"/>
      <c r="FI133" s="18"/>
      <c r="FJ133" s="18"/>
      <c r="FK133" s="18"/>
      <c r="FL133" s="18"/>
      <c r="FM133" s="18"/>
      <c r="FN133" s="18"/>
      <c r="FO133" s="18"/>
      <c r="FP133" s="18"/>
      <c r="FQ133" s="18"/>
      <c r="FR133" s="18"/>
      <c r="FS133" s="18"/>
      <c r="FT133" s="18"/>
      <c r="FU133" s="18"/>
      <c r="FV133" s="18"/>
      <c r="FW133" s="18"/>
      <c r="FX133" s="18"/>
      <c r="FY133" s="18"/>
      <c r="FZ133" s="18"/>
      <c r="GA133" s="18"/>
      <c r="GB133" s="18"/>
      <c r="GC133" s="18"/>
      <c r="GD133" s="18"/>
    </row>
    <row r="134" spans="1:186"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18"/>
      <c r="DW134" s="18"/>
      <c r="DX134" s="18"/>
      <c r="DY134" s="18"/>
      <c r="DZ134" s="18"/>
      <c r="EA134" s="18"/>
      <c r="EB134" s="18"/>
      <c r="EC134" s="18"/>
      <c r="ED134" s="18"/>
      <c r="EE134" s="18"/>
      <c r="EF134" s="18"/>
      <c r="EG134" s="18"/>
      <c r="EH134" s="18"/>
      <c r="EI134" s="18"/>
      <c r="EJ134" s="18"/>
      <c r="EK134" s="18"/>
      <c r="EL134" s="18"/>
      <c r="EM134" s="18"/>
      <c r="EN134" s="18"/>
      <c r="EO134" s="18"/>
      <c r="EP134" s="18"/>
      <c r="EQ134" s="18"/>
      <c r="ER134" s="18"/>
      <c r="ES134" s="18"/>
      <c r="ET134" s="18"/>
      <c r="EU134" s="18"/>
      <c r="EV134" s="18"/>
      <c r="EW134" s="18"/>
      <c r="EX134" s="18"/>
      <c r="EY134" s="18"/>
      <c r="EZ134" s="18"/>
      <c r="FA134" s="18"/>
      <c r="FB134" s="18"/>
      <c r="FC134" s="18"/>
      <c r="FD134" s="18"/>
      <c r="FE134" s="18"/>
      <c r="FF134" s="18"/>
      <c r="FG134" s="18"/>
      <c r="FH134" s="18"/>
      <c r="FI134" s="18"/>
      <c r="FJ134" s="18"/>
      <c r="FK134" s="18"/>
      <c r="FL134" s="18"/>
      <c r="FM134" s="18"/>
      <c r="FN134" s="18"/>
      <c r="FO134" s="18"/>
      <c r="FP134" s="18"/>
      <c r="FQ134" s="18"/>
      <c r="FR134" s="18"/>
      <c r="FS134" s="18"/>
      <c r="FT134" s="18"/>
      <c r="FU134" s="18"/>
      <c r="FV134" s="18"/>
      <c r="FW134" s="18"/>
      <c r="FX134" s="18"/>
      <c r="FY134" s="18"/>
      <c r="FZ134" s="18"/>
      <c r="GA134" s="18"/>
      <c r="GB134" s="18"/>
      <c r="GC134" s="18"/>
      <c r="GD134" s="18"/>
    </row>
    <row r="135" spans="1:186"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  <c r="EA135" s="18"/>
      <c r="EB135" s="18"/>
      <c r="EC135" s="18"/>
      <c r="ED135" s="18"/>
      <c r="EE135" s="18"/>
      <c r="EF135" s="18"/>
      <c r="EG135" s="18"/>
      <c r="EH135" s="18"/>
      <c r="EI135" s="18"/>
      <c r="EJ135" s="18"/>
      <c r="EK135" s="18"/>
      <c r="EL135" s="18"/>
      <c r="EM135" s="18"/>
      <c r="EN135" s="18"/>
      <c r="EO135" s="18"/>
      <c r="EP135" s="18"/>
      <c r="EQ135" s="18"/>
      <c r="ER135" s="18"/>
      <c r="ES135" s="18"/>
      <c r="ET135" s="18"/>
      <c r="EU135" s="18"/>
      <c r="EV135" s="18"/>
      <c r="EW135" s="18"/>
      <c r="EX135" s="18"/>
      <c r="EY135" s="18"/>
      <c r="EZ135" s="18"/>
      <c r="FA135" s="18"/>
      <c r="FB135" s="18"/>
      <c r="FC135" s="18"/>
      <c r="FD135" s="18"/>
      <c r="FE135" s="18"/>
      <c r="FF135" s="18"/>
      <c r="FG135" s="18"/>
      <c r="FH135" s="18"/>
      <c r="FI135" s="18"/>
      <c r="FJ135" s="18"/>
      <c r="FK135" s="18"/>
      <c r="FL135" s="18"/>
      <c r="FM135" s="18"/>
      <c r="FN135" s="18"/>
      <c r="FO135" s="18"/>
      <c r="FP135" s="18"/>
      <c r="FQ135" s="18"/>
      <c r="FR135" s="18"/>
      <c r="FS135" s="18"/>
      <c r="FT135" s="18"/>
      <c r="FU135" s="18"/>
      <c r="FV135" s="18"/>
      <c r="FW135" s="18"/>
      <c r="FX135" s="18"/>
      <c r="FY135" s="18"/>
      <c r="FZ135" s="18"/>
      <c r="GA135" s="18"/>
      <c r="GB135" s="18"/>
      <c r="GC135" s="18"/>
      <c r="GD135" s="18"/>
    </row>
    <row r="136" spans="1:186"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  <c r="DT136" s="18"/>
      <c r="DU136" s="18"/>
      <c r="DV136" s="18"/>
      <c r="DW136" s="18"/>
      <c r="DX136" s="18"/>
      <c r="DY136" s="18"/>
      <c r="DZ136" s="18"/>
      <c r="EA136" s="18"/>
      <c r="EB136" s="18"/>
      <c r="EC136" s="18"/>
      <c r="ED136" s="18"/>
      <c r="EE136" s="18"/>
      <c r="EF136" s="18"/>
      <c r="EG136" s="18"/>
      <c r="EH136" s="18"/>
      <c r="EI136" s="18"/>
      <c r="EJ136" s="18"/>
      <c r="EK136" s="18"/>
      <c r="EL136" s="18"/>
      <c r="EM136" s="18"/>
      <c r="EN136" s="18"/>
      <c r="EO136" s="18"/>
      <c r="EP136" s="18"/>
      <c r="EQ136" s="18"/>
      <c r="ER136" s="18"/>
      <c r="ES136" s="18"/>
      <c r="ET136" s="18"/>
      <c r="EU136" s="18"/>
      <c r="EV136" s="18"/>
      <c r="EW136" s="18"/>
      <c r="EX136" s="18"/>
      <c r="EY136" s="18"/>
      <c r="EZ136" s="18"/>
      <c r="FA136" s="18"/>
      <c r="FB136" s="18"/>
      <c r="FC136" s="18"/>
      <c r="FD136" s="18"/>
      <c r="FE136" s="18"/>
      <c r="FF136" s="18"/>
      <c r="FG136" s="18"/>
      <c r="FH136" s="18"/>
      <c r="FI136" s="18"/>
      <c r="FJ136" s="18"/>
      <c r="FK136" s="18"/>
      <c r="FL136" s="18"/>
      <c r="FM136" s="18"/>
      <c r="FN136" s="18"/>
      <c r="FO136" s="18"/>
      <c r="FP136" s="18"/>
      <c r="FQ136" s="18"/>
      <c r="FR136" s="18"/>
      <c r="FS136" s="18"/>
      <c r="FT136" s="18"/>
      <c r="FU136" s="18"/>
      <c r="FV136" s="18"/>
      <c r="FW136" s="18"/>
      <c r="FX136" s="18"/>
      <c r="FY136" s="18"/>
      <c r="FZ136" s="18"/>
      <c r="GA136" s="18"/>
      <c r="GB136" s="18"/>
      <c r="GC136" s="18"/>
      <c r="GD136" s="18"/>
    </row>
    <row r="137" spans="1:186">
      <c r="A137" s="19" t="s">
        <v>17</v>
      </c>
      <c r="B137" s="13"/>
      <c r="C137" s="13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  <c r="DX137" s="18"/>
      <c r="DY137" s="18"/>
      <c r="DZ137" s="18"/>
      <c r="EA137" s="18"/>
      <c r="EB137" s="18"/>
      <c r="EC137" s="18"/>
      <c r="ED137" s="18"/>
      <c r="EE137" s="18"/>
      <c r="EF137" s="18"/>
      <c r="EG137" s="18"/>
      <c r="EH137" s="18"/>
      <c r="EI137" s="18"/>
      <c r="EJ137" s="18"/>
      <c r="EK137" s="18"/>
      <c r="EL137" s="18"/>
      <c r="EM137" s="18"/>
      <c r="EN137" s="18"/>
      <c r="EO137" s="18"/>
      <c r="EP137" s="18"/>
      <c r="EQ137" s="18"/>
      <c r="ER137" s="18"/>
      <c r="ES137" s="18"/>
      <c r="ET137" s="18"/>
      <c r="EU137" s="18"/>
      <c r="EV137" s="18"/>
      <c r="EW137" s="18"/>
      <c r="EX137" s="18"/>
      <c r="EY137" s="18"/>
      <c r="EZ137" s="18"/>
      <c r="FA137" s="18"/>
      <c r="FB137" s="18"/>
      <c r="FC137" s="18"/>
      <c r="FD137" s="18"/>
      <c r="FE137" s="18"/>
      <c r="FF137" s="18"/>
      <c r="FG137" s="18"/>
      <c r="FH137" s="18"/>
      <c r="FI137" s="18"/>
      <c r="FJ137" s="18"/>
      <c r="FK137" s="18"/>
      <c r="FL137" s="18"/>
      <c r="FM137" s="18"/>
      <c r="FN137" s="18"/>
      <c r="FO137" s="18"/>
      <c r="FP137" s="18"/>
      <c r="FQ137" s="18"/>
      <c r="FR137" s="18"/>
      <c r="FS137" s="18"/>
      <c r="FT137" s="18"/>
      <c r="FU137" s="18"/>
      <c r="FV137" s="18"/>
      <c r="FW137" s="18"/>
      <c r="FX137" s="18"/>
      <c r="FY137" s="18"/>
      <c r="FZ137" s="18"/>
      <c r="GA137" s="18"/>
      <c r="GB137" s="18"/>
      <c r="GC137" s="18"/>
      <c r="GD137" s="18"/>
    </row>
    <row r="138" spans="1:186">
      <c r="A138" s="19" t="s">
        <v>18</v>
      </c>
      <c r="B138" s="13"/>
      <c r="C138" s="13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18"/>
      <c r="DS138" s="18"/>
      <c r="DT138" s="18"/>
      <c r="DU138" s="18"/>
      <c r="DV138" s="18"/>
      <c r="DW138" s="18"/>
      <c r="DX138" s="18"/>
      <c r="DY138" s="18"/>
      <c r="DZ138" s="18"/>
      <c r="EA138" s="18"/>
      <c r="EB138" s="18"/>
      <c r="EC138" s="18"/>
      <c r="ED138" s="18"/>
      <c r="EE138" s="18"/>
      <c r="EF138" s="18"/>
      <c r="EG138" s="18"/>
      <c r="EH138" s="18"/>
      <c r="EI138" s="18"/>
      <c r="EJ138" s="18"/>
      <c r="EK138" s="18"/>
      <c r="EL138" s="18"/>
      <c r="EM138" s="18"/>
      <c r="EN138" s="18"/>
      <c r="EO138" s="18"/>
      <c r="EP138" s="18"/>
      <c r="EQ138" s="18"/>
      <c r="ER138" s="18"/>
      <c r="ES138" s="18"/>
      <c r="ET138" s="18"/>
      <c r="EU138" s="18"/>
      <c r="EV138" s="18"/>
      <c r="EW138" s="18"/>
      <c r="EX138" s="18"/>
      <c r="EY138" s="18"/>
      <c r="EZ138" s="18"/>
      <c r="FA138" s="18"/>
      <c r="FB138" s="18"/>
      <c r="FC138" s="18"/>
      <c r="FD138" s="18"/>
      <c r="FE138" s="18"/>
      <c r="FF138" s="18"/>
      <c r="FG138" s="18"/>
      <c r="FH138" s="18"/>
      <c r="FI138" s="18"/>
      <c r="FJ138" s="18"/>
      <c r="FK138" s="18"/>
      <c r="FL138" s="18"/>
      <c r="FM138" s="18"/>
      <c r="FN138" s="18"/>
      <c r="FO138" s="18"/>
      <c r="FP138" s="18"/>
      <c r="FQ138" s="18"/>
      <c r="FR138" s="18"/>
      <c r="FS138" s="18"/>
      <c r="FT138" s="18"/>
      <c r="FU138" s="18"/>
      <c r="FV138" s="18"/>
      <c r="FW138" s="18"/>
      <c r="FX138" s="18"/>
      <c r="FY138" s="18"/>
      <c r="FZ138" s="18"/>
      <c r="GA138" s="18"/>
      <c r="GB138" s="18"/>
      <c r="GC138" s="18"/>
      <c r="GD138" s="18"/>
    </row>
    <row r="139" spans="1:186">
      <c r="A139" s="19" t="s">
        <v>19</v>
      </c>
      <c r="B139" s="13"/>
      <c r="C139" s="13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  <c r="DJ139" s="18"/>
      <c r="DK139" s="18"/>
      <c r="DL139" s="18"/>
      <c r="DM139" s="18"/>
      <c r="DN139" s="18"/>
      <c r="DO139" s="18"/>
      <c r="DP139" s="18"/>
      <c r="DQ139" s="18"/>
      <c r="DR139" s="18"/>
      <c r="DS139" s="18"/>
      <c r="DT139" s="18"/>
      <c r="DU139" s="18"/>
      <c r="DV139" s="18"/>
      <c r="DW139" s="18"/>
      <c r="DX139" s="18"/>
      <c r="DY139" s="18"/>
      <c r="DZ139" s="18"/>
      <c r="EA139" s="18"/>
      <c r="EB139" s="18"/>
      <c r="EC139" s="18"/>
      <c r="ED139" s="18"/>
      <c r="EE139" s="18"/>
      <c r="EF139" s="18"/>
      <c r="EG139" s="18"/>
      <c r="EH139" s="18"/>
      <c r="EI139" s="18"/>
      <c r="EJ139" s="18"/>
      <c r="EK139" s="18"/>
      <c r="EL139" s="18"/>
      <c r="EM139" s="18"/>
      <c r="EN139" s="18"/>
      <c r="EO139" s="18"/>
      <c r="EP139" s="18"/>
      <c r="EQ139" s="18"/>
      <c r="ER139" s="18"/>
      <c r="ES139" s="18"/>
      <c r="ET139" s="18"/>
      <c r="EU139" s="18"/>
      <c r="EV139" s="18"/>
      <c r="EW139" s="18"/>
      <c r="EX139" s="18"/>
      <c r="EY139" s="18"/>
      <c r="EZ139" s="18"/>
      <c r="FA139" s="18"/>
      <c r="FB139" s="18"/>
      <c r="FC139" s="18"/>
      <c r="FD139" s="18"/>
      <c r="FE139" s="18"/>
      <c r="FF139" s="18"/>
      <c r="FG139" s="18"/>
      <c r="FH139" s="18"/>
      <c r="FI139" s="18"/>
      <c r="FJ139" s="18"/>
      <c r="FK139" s="18"/>
      <c r="FL139" s="18"/>
      <c r="FM139" s="18"/>
      <c r="FN139" s="18"/>
      <c r="FO139" s="18"/>
      <c r="FP139" s="18"/>
      <c r="FQ139" s="18"/>
      <c r="FR139" s="18"/>
      <c r="FS139" s="18"/>
      <c r="FT139" s="18"/>
      <c r="FU139" s="18"/>
      <c r="FV139" s="18"/>
      <c r="FW139" s="18"/>
      <c r="FX139" s="18"/>
      <c r="FY139" s="18"/>
      <c r="FZ139" s="18"/>
      <c r="GA139" s="18"/>
      <c r="GB139" s="18"/>
      <c r="GC139" s="18"/>
      <c r="GD139" s="18"/>
    </row>
    <row r="140" spans="1:186">
      <c r="A140" s="19" t="s">
        <v>20</v>
      </c>
      <c r="B140" s="13"/>
      <c r="C140" s="13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  <c r="DI140" s="18"/>
      <c r="DJ140" s="18"/>
      <c r="DK140" s="18"/>
      <c r="DL140" s="18"/>
      <c r="DM140" s="18"/>
      <c r="DN140" s="18"/>
      <c r="DO140" s="18"/>
      <c r="DP140" s="18"/>
      <c r="DQ140" s="18"/>
      <c r="DR140" s="18"/>
      <c r="DS140" s="18"/>
      <c r="DT140" s="18"/>
      <c r="DU140" s="18"/>
      <c r="DV140" s="18"/>
      <c r="DW140" s="18"/>
      <c r="DX140" s="18"/>
      <c r="DY140" s="18"/>
      <c r="DZ140" s="18"/>
      <c r="EA140" s="18"/>
      <c r="EB140" s="18"/>
      <c r="EC140" s="18"/>
      <c r="ED140" s="18"/>
      <c r="EE140" s="18"/>
      <c r="EF140" s="18"/>
      <c r="EG140" s="18"/>
      <c r="EH140" s="18"/>
      <c r="EI140" s="18"/>
      <c r="EJ140" s="18"/>
      <c r="EK140" s="18"/>
      <c r="EL140" s="18"/>
      <c r="EM140" s="18"/>
      <c r="EN140" s="18"/>
      <c r="EO140" s="18"/>
      <c r="EP140" s="18"/>
      <c r="EQ140" s="18"/>
      <c r="ER140" s="18"/>
      <c r="ES140" s="18"/>
      <c r="ET140" s="18"/>
      <c r="EU140" s="18"/>
      <c r="EV140" s="18"/>
      <c r="EW140" s="18"/>
      <c r="EX140" s="18"/>
      <c r="EY140" s="18"/>
      <c r="EZ140" s="18"/>
      <c r="FA140" s="18"/>
      <c r="FB140" s="18"/>
      <c r="FC140" s="18"/>
      <c r="FD140" s="18"/>
      <c r="FE140" s="18"/>
      <c r="FF140" s="18"/>
      <c r="FG140" s="18"/>
      <c r="FH140" s="18"/>
      <c r="FI140" s="18"/>
      <c r="FJ140" s="18"/>
      <c r="FK140" s="18"/>
      <c r="FL140" s="18"/>
      <c r="FM140" s="18"/>
      <c r="FN140" s="18"/>
      <c r="FO140" s="18"/>
      <c r="FP140" s="18"/>
      <c r="FQ140" s="18"/>
      <c r="FR140" s="18"/>
      <c r="FS140" s="18"/>
      <c r="FT140" s="18"/>
      <c r="FU140" s="18"/>
      <c r="FV140" s="18"/>
      <c r="FW140" s="18"/>
      <c r="FX140" s="18"/>
      <c r="FY140" s="18"/>
      <c r="FZ140" s="18"/>
      <c r="GA140" s="18"/>
      <c r="GB140" s="18"/>
      <c r="GC140" s="18"/>
      <c r="GD140" s="18"/>
    </row>
    <row r="141" spans="1:186">
      <c r="A141" s="19" t="s">
        <v>21</v>
      </c>
      <c r="B141" s="13"/>
      <c r="C141" s="13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  <c r="CF141" s="18"/>
      <c r="CG141" s="18"/>
      <c r="CH141" s="18"/>
      <c r="CI141" s="18"/>
      <c r="CJ141" s="18"/>
      <c r="CK141" s="18"/>
      <c r="CL141" s="18"/>
      <c r="CM141" s="18"/>
      <c r="CN141" s="18"/>
      <c r="CO141" s="18"/>
      <c r="CP141" s="18"/>
      <c r="CQ141" s="18"/>
      <c r="CR141" s="18"/>
      <c r="CS141" s="18"/>
      <c r="CT141" s="18"/>
      <c r="CU141" s="18"/>
      <c r="CV141" s="18"/>
      <c r="CW141" s="18"/>
      <c r="CX141" s="18"/>
      <c r="CY141" s="18"/>
      <c r="CZ141" s="18"/>
      <c r="DA141" s="18"/>
      <c r="DB141" s="18"/>
      <c r="DC141" s="18"/>
      <c r="DD141" s="18"/>
      <c r="DE141" s="18"/>
      <c r="DF141" s="18"/>
      <c r="DG141" s="18"/>
      <c r="DH141" s="18"/>
      <c r="DI141" s="18"/>
      <c r="DJ141" s="18"/>
      <c r="DK141" s="18"/>
      <c r="DL141" s="18"/>
      <c r="DM141" s="18"/>
      <c r="DN141" s="18"/>
      <c r="DO141" s="18"/>
      <c r="DP141" s="18"/>
      <c r="DQ141" s="18"/>
      <c r="DR141" s="18"/>
      <c r="DS141" s="18"/>
      <c r="DT141" s="18"/>
      <c r="DU141" s="18"/>
      <c r="DV141" s="18"/>
      <c r="DW141" s="18"/>
      <c r="DX141" s="18"/>
      <c r="DY141" s="18"/>
      <c r="DZ141" s="18"/>
      <c r="EA141" s="18"/>
      <c r="EB141" s="18"/>
      <c r="EC141" s="18"/>
      <c r="ED141" s="18"/>
      <c r="EE141" s="18"/>
      <c r="EF141" s="18"/>
      <c r="EG141" s="18"/>
      <c r="EH141" s="18"/>
      <c r="EI141" s="18"/>
      <c r="EJ141" s="18"/>
      <c r="EK141" s="18"/>
      <c r="EL141" s="18"/>
      <c r="EM141" s="18"/>
      <c r="EN141" s="18"/>
      <c r="EO141" s="18"/>
      <c r="EP141" s="18"/>
      <c r="EQ141" s="18"/>
      <c r="ER141" s="18"/>
      <c r="ES141" s="18"/>
      <c r="ET141" s="18"/>
      <c r="EU141" s="18"/>
      <c r="EV141" s="18"/>
      <c r="EW141" s="18"/>
      <c r="EX141" s="18"/>
      <c r="EY141" s="18"/>
      <c r="EZ141" s="18"/>
      <c r="FA141" s="18"/>
      <c r="FB141" s="18"/>
      <c r="FC141" s="18"/>
      <c r="FD141" s="18"/>
      <c r="FE141" s="18"/>
      <c r="FF141" s="18"/>
      <c r="FG141" s="18"/>
      <c r="FH141" s="18"/>
      <c r="FI141" s="18"/>
      <c r="FJ141" s="18"/>
      <c r="FK141" s="18"/>
      <c r="FL141" s="18"/>
      <c r="FM141" s="18"/>
      <c r="FN141" s="18"/>
      <c r="FO141" s="18"/>
      <c r="FP141" s="18"/>
      <c r="FQ141" s="18"/>
      <c r="FR141" s="18"/>
      <c r="FS141" s="18"/>
      <c r="FT141" s="18"/>
      <c r="FU141" s="18"/>
      <c r="FV141" s="18"/>
      <c r="FW141" s="18"/>
      <c r="FX141" s="18"/>
      <c r="FY141" s="18"/>
      <c r="FZ141" s="18"/>
      <c r="GA141" s="18"/>
      <c r="GB141" s="18"/>
      <c r="GC141" s="18"/>
      <c r="GD141" s="18"/>
    </row>
    <row r="142" spans="1:186">
      <c r="A142" s="19" t="s">
        <v>22</v>
      </c>
      <c r="B142" s="13"/>
      <c r="C142" s="13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  <c r="CD142" s="18"/>
      <c r="CE142" s="18"/>
      <c r="CF142" s="18"/>
      <c r="CG142" s="18"/>
      <c r="CH142" s="18"/>
      <c r="CI142" s="18"/>
      <c r="CJ142" s="18"/>
      <c r="CK142" s="18"/>
      <c r="CL142" s="18"/>
      <c r="CM142" s="18"/>
      <c r="CN142" s="18"/>
      <c r="CO142" s="18"/>
      <c r="CP142" s="18"/>
      <c r="CQ142" s="18"/>
      <c r="CR142" s="18"/>
      <c r="CS142" s="18"/>
      <c r="CT142" s="18"/>
      <c r="CU142" s="18"/>
      <c r="CV142" s="18"/>
      <c r="CW142" s="18"/>
      <c r="CX142" s="18"/>
      <c r="CY142" s="18"/>
      <c r="CZ142" s="18"/>
      <c r="DA142" s="18"/>
      <c r="DB142" s="18"/>
      <c r="DC142" s="18"/>
      <c r="DD142" s="18"/>
      <c r="DE142" s="18"/>
      <c r="DF142" s="18"/>
      <c r="DG142" s="18"/>
      <c r="DH142" s="18"/>
      <c r="DI142" s="18"/>
      <c r="DJ142" s="18"/>
      <c r="DK142" s="18"/>
      <c r="DL142" s="18"/>
      <c r="DM142" s="18"/>
      <c r="DN142" s="18"/>
      <c r="DO142" s="18"/>
      <c r="DP142" s="18"/>
      <c r="DQ142" s="18"/>
      <c r="DR142" s="18"/>
      <c r="DS142" s="18"/>
      <c r="DT142" s="18"/>
      <c r="DU142" s="18"/>
      <c r="DV142" s="18"/>
      <c r="DW142" s="18"/>
      <c r="DX142" s="18"/>
      <c r="DY142" s="18"/>
      <c r="DZ142" s="18"/>
      <c r="EA142" s="18"/>
      <c r="EB142" s="18"/>
      <c r="EC142" s="18"/>
      <c r="ED142" s="18"/>
      <c r="EE142" s="18"/>
      <c r="EF142" s="18"/>
      <c r="EG142" s="18"/>
      <c r="EH142" s="18"/>
      <c r="EI142" s="18"/>
      <c r="EJ142" s="18"/>
      <c r="EK142" s="18"/>
      <c r="EL142" s="18"/>
      <c r="EM142" s="18"/>
      <c r="EN142" s="18"/>
      <c r="EO142" s="18"/>
      <c r="EP142" s="18"/>
      <c r="EQ142" s="18"/>
      <c r="ER142" s="18"/>
      <c r="ES142" s="18"/>
      <c r="ET142" s="18"/>
      <c r="EU142" s="18"/>
      <c r="EV142" s="18"/>
      <c r="EW142" s="18"/>
      <c r="EX142" s="18"/>
      <c r="EY142" s="18"/>
      <c r="EZ142" s="18"/>
      <c r="FA142" s="18"/>
      <c r="FB142" s="18"/>
      <c r="FC142" s="18"/>
      <c r="FD142" s="18"/>
      <c r="FE142" s="18"/>
      <c r="FF142" s="18"/>
      <c r="FG142" s="18"/>
      <c r="FH142" s="18"/>
      <c r="FI142" s="18"/>
      <c r="FJ142" s="18"/>
      <c r="FK142" s="18"/>
      <c r="FL142" s="18"/>
      <c r="FM142" s="18"/>
      <c r="FN142" s="18"/>
      <c r="FO142" s="18"/>
      <c r="FP142" s="18"/>
      <c r="FQ142" s="18"/>
      <c r="FR142" s="18"/>
      <c r="FS142" s="18"/>
      <c r="FT142" s="18"/>
      <c r="FU142" s="18"/>
      <c r="FV142" s="18"/>
      <c r="FW142" s="18"/>
      <c r="FX142" s="18"/>
      <c r="FY142" s="18"/>
      <c r="FZ142" s="18"/>
      <c r="GA142" s="18"/>
      <c r="GB142" s="18"/>
      <c r="GC142" s="18"/>
      <c r="GD142" s="18"/>
    </row>
    <row r="143" spans="1:186"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/>
      <c r="CD143" s="18"/>
      <c r="CE143" s="18"/>
      <c r="CF143" s="18"/>
      <c r="CG143" s="18"/>
      <c r="CH143" s="18"/>
      <c r="CI143" s="18"/>
      <c r="CJ143" s="18"/>
      <c r="CK143" s="18"/>
      <c r="CL143" s="18"/>
      <c r="CM143" s="18"/>
      <c r="CN143" s="18"/>
      <c r="CO143" s="18"/>
      <c r="CP143" s="18"/>
      <c r="CQ143" s="18"/>
      <c r="CR143" s="18"/>
      <c r="CS143" s="18"/>
      <c r="CT143" s="18"/>
      <c r="CU143" s="18"/>
      <c r="CV143" s="18"/>
      <c r="CW143" s="18"/>
      <c r="CX143" s="18"/>
      <c r="CY143" s="18"/>
      <c r="CZ143" s="18"/>
      <c r="DA143" s="18"/>
      <c r="DB143" s="18"/>
      <c r="DC143" s="18"/>
      <c r="DD143" s="18"/>
      <c r="DE143" s="18"/>
      <c r="DF143" s="18"/>
      <c r="DG143" s="18"/>
      <c r="DH143" s="18"/>
      <c r="DI143" s="18"/>
      <c r="DJ143" s="18"/>
      <c r="DK143" s="18"/>
      <c r="DL143" s="18"/>
      <c r="DM143" s="18"/>
      <c r="DN143" s="18"/>
      <c r="DO143" s="18"/>
      <c r="DP143" s="18"/>
      <c r="DQ143" s="18"/>
      <c r="DR143" s="18"/>
      <c r="DS143" s="18"/>
      <c r="DT143" s="18"/>
      <c r="DU143" s="18"/>
      <c r="DV143" s="18"/>
      <c r="DW143" s="18"/>
      <c r="DX143" s="18"/>
      <c r="DY143" s="18"/>
      <c r="DZ143" s="18"/>
      <c r="EA143" s="18"/>
      <c r="EB143" s="18"/>
      <c r="EC143" s="18"/>
      <c r="ED143" s="18"/>
      <c r="EE143" s="18"/>
      <c r="EF143" s="18"/>
      <c r="EG143" s="18"/>
      <c r="EH143" s="18"/>
      <c r="EI143" s="18"/>
      <c r="EJ143" s="18"/>
      <c r="EK143" s="18"/>
      <c r="EL143" s="18"/>
      <c r="EM143" s="18"/>
      <c r="EN143" s="18"/>
      <c r="EO143" s="18"/>
      <c r="EP143" s="18"/>
      <c r="EQ143" s="18"/>
      <c r="ER143" s="18"/>
      <c r="ES143" s="18"/>
      <c r="ET143" s="18"/>
      <c r="EU143" s="18"/>
      <c r="EV143" s="18"/>
      <c r="EW143" s="18"/>
      <c r="EX143" s="18"/>
      <c r="EY143" s="18"/>
      <c r="EZ143" s="18"/>
      <c r="FA143" s="18"/>
      <c r="FB143" s="18"/>
      <c r="FC143" s="18"/>
      <c r="FD143" s="18"/>
      <c r="FE143" s="18"/>
      <c r="FF143" s="18"/>
      <c r="FG143" s="18"/>
      <c r="FH143" s="18"/>
      <c r="FI143" s="18"/>
      <c r="FJ143" s="18"/>
      <c r="FK143" s="18"/>
      <c r="FL143" s="18"/>
      <c r="FM143" s="18"/>
      <c r="FN143" s="18"/>
      <c r="FO143" s="18"/>
      <c r="FP143" s="18"/>
      <c r="FQ143" s="18"/>
      <c r="FR143" s="18"/>
      <c r="FS143" s="18"/>
      <c r="FT143" s="18"/>
      <c r="FU143" s="18"/>
      <c r="FV143" s="18"/>
      <c r="FW143" s="18"/>
      <c r="FX143" s="18"/>
      <c r="FY143" s="18"/>
      <c r="FZ143" s="18"/>
      <c r="GA143" s="18"/>
      <c r="GB143" s="18"/>
      <c r="GC143" s="18"/>
      <c r="GD143" s="18"/>
    </row>
    <row r="144" spans="1:186"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  <c r="BM144" s="1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  <c r="BZ144" s="18"/>
      <c r="CA144" s="18"/>
      <c r="CB144" s="18"/>
      <c r="CC144" s="18"/>
      <c r="CD144" s="18"/>
      <c r="CE144" s="18"/>
      <c r="CF144" s="18"/>
      <c r="CG144" s="18"/>
      <c r="CH144" s="18"/>
      <c r="CI144" s="18"/>
      <c r="CJ144" s="18"/>
      <c r="CK144" s="18"/>
      <c r="CL144" s="18"/>
      <c r="CM144" s="18"/>
      <c r="CN144" s="18"/>
      <c r="CO144" s="18"/>
      <c r="CP144" s="18"/>
      <c r="CQ144" s="18"/>
      <c r="CR144" s="18"/>
      <c r="CS144" s="18"/>
      <c r="CT144" s="18"/>
      <c r="CU144" s="18"/>
      <c r="CV144" s="18"/>
      <c r="CW144" s="18"/>
      <c r="CX144" s="18"/>
      <c r="CY144" s="18"/>
      <c r="CZ144" s="18"/>
      <c r="DA144" s="18"/>
      <c r="DB144" s="18"/>
      <c r="DC144" s="18"/>
      <c r="DD144" s="18"/>
      <c r="DE144" s="18"/>
      <c r="DF144" s="18"/>
      <c r="DG144" s="18"/>
      <c r="DH144" s="18"/>
      <c r="DI144" s="18"/>
      <c r="DJ144" s="18"/>
      <c r="DK144" s="18"/>
      <c r="DL144" s="18"/>
      <c r="DM144" s="18"/>
      <c r="DN144" s="18"/>
      <c r="DO144" s="18"/>
      <c r="DP144" s="18"/>
      <c r="DQ144" s="18"/>
      <c r="DR144" s="18"/>
      <c r="DS144" s="18"/>
      <c r="DT144" s="18"/>
      <c r="DU144" s="18"/>
      <c r="DV144" s="18"/>
      <c r="DW144" s="18"/>
      <c r="DX144" s="18"/>
      <c r="DY144" s="18"/>
      <c r="DZ144" s="18"/>
      <c r="EA144" s="18"/>
      <c r="EB144" s="18"/>
      <c r="EC144" s="18"/>
      <c r="ED144" s="18"/>
      <c r="EE144" s="18"/>
      <c r="EF144" s="18"/>
      <c r="EG144" s="18"/>
      <c r="EH144" s="18"/>
      <c r="EI144" s="18"/>
      <c r="EJ144" s="18"/>
      <c r="EK144" s="18"/>
      <c r="EL144" s="18"/>
      <c r="EM144" s="18"/>
      <c r="EN144" s="18"/>
      <c r="EO144" s="18"/>
      <c r="EP144" s="18"/>
      <c r="EQ144" s="18"/>
      <c r="ER144" s="18"/>
      <c r="ES144" s="18"/>
      <c r="ET144" s="18"/>
      <c r="EU144" s="18"/>
      <c r="EV144" s="18"/>
      <c r="EW144" s="18"/>
      <c r="EX144" s="18"/>
      <c r="EY144" s="18"/>
      <c r="EZ144" s="18"/>
      <c r="FA144" s="18"/>
      <c r="FB144" s="18"/>
      <c r="FC144" s="18"/>
      <c r="FD144" s="18"/>
      <c r="FE144" s="18"/>
      <c r="FF144" s="18"/>
      <c r="FG144" s="18"/>
      <c r="FH144" s="18"/>
      <c r="FI144" s="18"/>
      <c r="FJ144" s="18"/>
      <c r="FK144" s="18"/>
      <c r="FL144" s="18"/>
      <c r="FM144" s="18"/>
      <c r="FN144" s="18"/>
      <c r="FO144" s="18"/>
      <c r="FP144" s="18"/>
      <c r="FQ144" s="18"/>
      <c r="FR144" s="18"/>
      <c r="FS144" s="18"/>
      <c r="FT144" s="18"/>
      <c r="FU144" s="18"/>
      <c r="FV144" s="18"/>
      <c r="FW144" s="18"/>
      <c r="FX144" s="18"/>
      <c r="FY144" s="18"/>
      <c r="FZ144" s="18"/>
      <c r="GA144" s="18"/>
      <c r="GB144" s="18"/>
      <c r="GC144" s="18"/>
      <c r="GD144" s="18"/>
    </row>
    <row r="146" spans="2:3">
      <c r="B146" s="17"/>
      <c r="C146" s="21"/>
    </row>
    <row r="147" spans="2:3">
      <c r="B147" s="17"/>
      <c r="C147" s="21"/>
    </row>
    <row r="148" spans="2:3">
      <c r="B148" s="17"/>
      <c r="C148" s="21"/>
    </row>
  </sheetData>
  <sheetProtection selectLockedCells="1" selectUnlockedCells="1"/>
  <autoFilter ref="A5:AF70">
    <filterColumn colId="3"/>
    <filterColumn colId="27" showButton="0"/>
    <sortState ref="A8:AH99">
      <sortCondition ref="B5:B99"/>
    </sortState>
  </autoFilter>
  <mergeCells count="32">
    <mergeCell ref="AF5:AF6"/>
    <mergeCell ref="A74:B74"/>
    <mergeCell ref="AA5:AA6"/>
    <mergeCell ref="AB5:AC5"/>
    <mergeCell ref="AD5:AD6"/>
    <mergeCell ref="AE5:AE6"/>
    <mergeCell ref="T5:T6"/>
    <mergeCell ref="U5:U6"/>
    <mergeCell ref="V5:V6"/>
    <mergeCell ref="W5:W6"/>
    <mergeCell ref="X5:X6"/>
    <mergeCell ref="Y5:Y6"/>
    <mergeCell ref="N5:N6"/>
    <mergeCell ref="O5:O6"/>
    <mergeCell ref="P5:P6"/>
    <mergeCell ref="Q5:Q6"/>
    <mergeCell ref="R5:R6"/>
    <mergeCell ref="S5:S6"/>
    <mergeCell ref="G5:G6"/>
    <mergeCell ref="H5:H6"/>
    <mergeCell ref="I5:I6"/>
    <mergeCell ref="J5:J6"/>
    <mergeCell ref="M5:M6"/>
    <mergeCell ref="K5:K6"/>
    <mergeCell ref="L5:L6"/>
    <mergeCell ref="A126:B126"/>
    <mergeCell ref="F5:F6"/>
    <mergeCell ref="A5:A6"/>
    <mergeCell ref="B5:B6"/>
    <mergeCell ref="C5:C6"/>
    <mergeCell ref="D5:D6"/>
    <mergeCell ref="E5:E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NOMINA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2017-05-19T00:02:35Z</dcterms:modified>
</cp:coreProperties>
</file>