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2045"/>
  </bookViews>
  <sheets>
    <sheet name="FORMATO NOMINA" sheetId="4" r:id="rId1"/>
  </sheets>
  <definedNames>
    <definedName name="_xlnm._FilterDatabase" localSheetId="0" hidden="1">'FORMATO NOMINA'!$A$5:$AF$72</definedName>
  </definedNames>
  <calcPr calcId="124519"/>
</workbook>
</file>

<file path=xl/calcChain.xml><?xml version="1.0" encoding="utf-8"?>
<calcChain xmlns="http://schemas.openxmlformats.org/spreadsheetml/2006/main">
  <c r="F120" i="4"/>
  <c r="F119"/>
  <c r="F115"/>
  <c r="F113"/>
  <c r="F110"/>
  <c r="F104"/>
  <c r="F100"/>
  <c r="F96"/>
  <c r="F95"/>
  <c r="F91"/>
  <c r="F89"/>
  <c r="F88"/>
  <c r="F84"/>
  <c r="F80"/>
  <c r="F78"/>
  <c r="F77"/>
  <c r="U90" l="1"/>
  <c r="I90"/>
  <c r="I67"/>
  <c r="F103" l="1"/>
  <c r="F107"/>
  <c r="F109"/>
  <c r="F85"/>
  <c r="F99"/>
  <c r="F97"/>
  <c r="F122"/>
  <c r="F93"/>
  <c r="F102"/>
  <c r="F116"/>
  <c r="F117"/>
  <c r="F79"/>
  <c r="F92"/>
  <c r="F87"/>
  <c r="F121"/>
  <c r="F105"/>
  <c r="F83"/>
  <c r="F108"/>
  <c r="F114"/>
  <c r="I136" l="1"/>
  <c r="I131"/>
  <c r="I132"/>
  <c r="I133"/>
  <c r="I134"/>
  <c r="I135"/>
  <c r="I130"/>
  <c r="I78"/>
  <c r="I79"/>
  <c r="I80"/>
  <c r="I81"/>
  <c r="I82"/>
  <c r="I83"/>
  <c r="I84"/>
  <c r="I85"/>
  <c r="I86"/>
  <c r="I87"/>
  <c r="I88"/>
  <c r="I89"/>
  <c r="I91"/>
  <c r="I92"/>
  <c r="I94"/>
  <c r="I95"/>
  <c r="I96"/>
  <c r="I98"/>
  <c r="I99"/>
  <c r="I100"/>
  <c r="I46"/>
  <c r="I101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8"/>
  <c r="I9"/>
  <c r="I10"/>
  <c r="I11"/>
  <c r="I12"/>
  <c r="I13"/>
  <c r="I14"/>
  <c r="I15"/>
  <c r="I16"/>
  <c r="I17"/>
  <c r="I18"/>
  <c r="I19"/>
  <c r="I20"/>
  <c r="I21"/>
  <c r="I23"/>
  <c r="I24"/>
  <c r="I25"/>
  <c r="I26"/>
  <c r="I27"/>
  <c r="I28"/>
  <c r="I29"/>
  <c r="I30"/>
  <c r="I31"/>
  <c r="I32"/>
  <c r="I34"/>
  <c r="I35"/>
  <c r="I36"/>
  <c r="I37"/>
  <c r="I38"/>
  <c r="I39"/>
  <c r="I40"/>
  <c r="I41"/>
  <c r="I43"/>
  <c r="I44"/>
  <c r="I45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8"/>
  <c r="I69"/>
  <c r="I70"/>
  <c r="I71"/>
  <c r="I72"/>
  <c r="I7"/>
  <c r="F74" l="1"/>
  <c r="U117" l="1"/>
  <c r="J110" l="1"/>
  <c r="U135" l="1"/>
  <c r="U82" l="1"/>
  <c r="U83"/>
  <c r="U84"/>
  <c r="U85"/>
  <c r="U86"/>
  <c r="U87"/>
  <c r="U88"/>
  <c r="U89"/>
  <c r="U91"/>
  <c r="U92"/>
  <c r="U94"/>
  <c r="U95"/>
  <c r="U114"/>
  <c r="U79" l="1"/>
  <c r="U11"/>
  <c r="U27"/>
  <c r="U30"/>
  <c r="V30" l="1"/>
  <c r="W30" s="1"/>
  <c r="U69"/>
  <c r="U17" l="1"/>
  <c r="U81"/>
  <c r="J124" l="1"/>
  <c r="K124"/>
  <c r="L124"/>
  <c r="M124"/>
  <c r="N124"/>
  <c r="O124"/>
  <c r="P124"/>
  <c r="Q124"/>
  <c r="R124"/>
  <c r="S124"/>
  <c r="T124"/>
  <c r="G124"/>
  <c r="H124"/>
  <c r="F124"/>
  <c r="I124" l="1"/>
  <c r="U106"/>
  <c r="V23"/>
  <c r="V106" l="1"/>
  <c r="W106" s="1"/>
  <c r="U23"/>
  <c r="W23" s="1"/>
  <c r="U46"/>
  <c r="U107" l="1"/>
  <c r="V107"/>
  <c r="W46"/>
  <c r="X46"/>
  <c r="AA46" s="1"/>
  <c r="V46"/>
  <c r="W107" l="1"/>
  <c r="V118"/>
  <c r="V49"/>
  <c r="U111"/>
  <c r="V111" l="1"/>
  <c r="W111" s="1"/>
  <c r="U118"/>
  <c r="W118" s="1"/>
  <c r="U49"/>
  <c r="W49" s="1"/>
  <c r="V53" l="1"/>
  <c r="U53" l="1"/>
  <c r="W53" s="1"/>
  <c r="V54" l="1"/>
  <c r="L74"/>
  <c r="U54" l="1"/>
  <c r="W54" s="1"/>
  <c r="V10"/>
  <c r="U10" l="1"/>
  <c r="W10" s="1"/>
  <c r="V101" l="1"/>
  <c r="U101" l="1"/>
  <c r="W101" s="1"/>
  <c r="U12"/>
  <c r="V12" l="1"/>
  <c r="W12" s="1"/>
  <c r="V71" l="1"/>
  <c r="T74"/>
  <c r="U71" l="1"/>
  <c r="W71" s="1"/>
  <c r="V48"/>
  <c r="U48" l="1"/>
  <c r="W48" s="1"/>
  <c r="U7"/>
  <c r="V7" l="1"/>
  <c r="W7" s="1"/>
  <c r="V34" l="1"/>
  <c r="U34" l="1"/>
  <c r="W34" s="1"/>
  <c r="V87" l="1"/>
  <c r="W87" s="1"/>
  <c r="U47" l="1"/>
  <c r="V47" l="1"/>
  <c r="W47" s="1"/>
  <c r="V26"/>
  <c r="V45"/>
  <c r="U45" l="1"/>
  <c r="W45" s="1"/>
  <c r="U26"/>
  <c r="W26" s="1"/>
  <c r="V58"/>
  <c r="U58" l="1"/>
  <c r="W58" s="1"/>
  <c r="V112"/>
  <c r="U112" l="1"/>
  <c r="W112" s="1"/>
  <c r="V72" l="1"/>
  <c r="U72" l="1"/>
  <c r="W72" s="1"/>
  <c r="U61" l="1"/>
  <c r="V61" l="1"/>
  <c r="W61" s="1"/>
  <c r="X61"/>
  <c r="U120" l="1"/>
  <c r="V91" l="1"/>
  <c r="W91" s="1"/>
  <c r="V120"/>
  <c r="W120" s="1"/>
  <c r="V70" l="1"/>
  <c r="U70" l="1"/>
  <c r="W70" s="1"/>
  <c r="Z50" l="1"/>
  <c r="V50" l="1"/>
  <c r="U50"/>
  <c r="X50"/>
  <c r="AA50" s="1"/>
  <c r="W50" l="1"/>
  <c r="X40"/>
  <c r="Z40"/>
  <c r="U64"/>
  <c r="Z64"/>
  <c r="AA40" l="1"/>
  <c r="U40"/>
  <c r="V40"/>
  <c r="X64"/>
  <c r="AA64" s="1"/>
  <c r="V64"/>
  <c r="W64" s="1"/>
  <c r="Z29"/>
  <c r="W40" l="1"/>
  <c r="X29"/>
  <c r="AA29" s="1"/>
  <c r="U29"/>
  <c r="V29"/>
  <c r="W29" l="1"/>
  <c r="AD29" s="1"/>
  <c r="Z55" l="1"/>
  <c r="U55"/>
  <c r="X55" l="1"/>
  <c r="AA55" s="1"/>
  <c r="V55"/>
  <c r="W55" s="1"/>
  <c r="Z25" l="1"/>
  <c r="Z28"/>
  <c r="Z31"/>
  <c r="Z32"/>
  <c r="Z92"/>
  <c r="Z35"/>
  <c r="Z36"/>
  <c r="U25"/>
  <c r="X25" l="1"/>
  <c r="AA25" s="1"/>
  <c r="V25"/>
  <c r="W25" s="1"/>
  <c r="X36" l="1"/>
  <c r="AA36" s="1"/>
  <c r="U36"/>
  <c r="V36"/>
  <c r="W36" l="1"/>
  <c r="V92" l="1"/>
  <c r="X92"/>
  <c r="AA92" s="1"/>
  <c r="W92" l="1"/>
  <c r="Z68" l="1"/>
  <c r="Z52"/>
  <c r="X31" l="1"/>
  <c r="AA31" s="1"/>
  <c r="U31"/>
  <c r="V31"/>
  <c r="U68"/>
  <c r="X68"/>
  <c r="AA68" s="1"/>
  <c r="V52"/>
  <c r="X52"/>
  <c r="AA52" s="1"/>
  <c r="V68"/>
  <c r="U52"/>
  <c r="Z57"/>
  <c r="X57"/>
  <c r="W31" l="1"/>
  <c r="AD31" s="1"/>
  <c r="W68"/>
  <c r="W52"/>
  <c r="AA57"/>
  <c r="U57"/>
  <c r="V57"/>
  <c r="W57" l="1"/>
  <c r="AD68" l="1"/>
  <c r="AD52" l="1"/>
  <c r="Z62"/>
  <c r="V100" l="1"/>
  <c r="X100"/>
  <c r="Z100"/>
  <c r="AA100" l="1"/>
  <c r="U100"/>
  <c r="W100" s="1"/>
  <c r="AD100" s="1"/>
  <c r="Z21" l="1"/>
  <c r="V21" l="1"/>
  <c r="U21"/>
  <c r="U24"/>
  <c r="X21"/>
  <c r="AA21" s="1"/>
  <c r="V24"/>
  <c r="W21" l="1"/>
  <c r="W24"/>
  <c r="AD21" l="1"/>
  <c r="Z56" l="1"/>
  <c r="V32" l="1"/>
  <c r="X32"/>
  <c r="AA32" s="1"/>
  <c r="U32"/>
  <c r="Z63"/>
  <c r="X63" l="1"/>
  <c r="W32"/>
  <c r="V63" l="1"/>
  <c r="U63"/>
  <c r="AA63"/>
  <c r="W63" l="1"/>
  <c r="AD63" s="1"/>
  <c r="Z19" l="1"/>
  <c r="V110" l="1"/>
  <c r="X110"/>
  <c r="Z122"/>
  <c r="Z121"/>
  <c r="Z66"/>
  <c r="Z65"/>
  <c r="Z116"/>
  <c r="Z60"/>
  <c r="Z59"/>
  <c r="Z109"/>
  <c r="Z107"/>
  <c r="Z51"/>
  <c r="Z103"/>
  <c r="Z44"/>
  <c r="Z43"/>
  <c r="Z41"/>
  <c r="Z99"/>
  <c r="Z39"/>
  <c r="Z38"/>
  <c r="Z37"/>
  <c r="Z20"/>
  <c r="Z85"/>
  <c r="Z18"/>
  <c r="Z16"/>
  <c r="Z14"/>
  <c r="Z15"/>
  <c r="Z13"/>
  <c r="Z9"/>
  <c r="Z8"/>
  <c r="V19" l="1"/>
  <c r="X19"/>
  <c r="AA19" s="1"/>
  <c r="U19"/>
  <c r="Z110"/>
  <c r="W19" l="1"/>
  <c r="AD19" s="1"/>
  <c r="AA110"/>
  <c r="U110"/>
  <c r="W110" s="1"/>
  <c r="AD110" s="1"/>
  <c r="V109" l="1"/>
  <c r="U109"/>
  <c r="X109"/>
  <c r="AA109" s="1"/>
  <c r="Y74"/>
  <c r="I77"/>
  <c r="AC74"/>
  <c r="AB74"/>
  <c r="Q74"/>
  <c r="P74"/>
  <c r="J74"/>
  <c r="H74"/>
  <c r="G74"/>
  <c r="X62"/>
  <c r="U99"/>
  <c r="U98"/>
  <c r="U96"/>
  <c r="W109" l="1"/>
  <c r="AD109" s="1"/>
  <c r="U35"/>
  <c r="V35"/>
  <c r="X35"/>
  <c r="AA35" s="1"/>
  <c r="V51"/>
  <c r="X51"/>
  <c r="AA51" s="1"/>
  <c r="V38"/>
  <c r="X38"/>
  <c r="AA38" s="1"/>
  <c r="V39"/>
  <c r="X39"/>
  <c r="V44"/>
  <c r="X44"/>
  <c r="AA44" s="1"/>
  <c r="V18"/>
  <c r="X18"/>
  <c r="V37"/>
  <c r="X37"/>
  <c r="V41"/>
  <c r="X41"/>
  <c r="AA41" s="1"/>
  <c r="V43"/>
  <c r="X43"/>
  <c r="V15"/>
  <c r="X15"/>
  <c r="AA15" s="1"/>
  <c r="V9"/>
  <c r="X9"/>
  <c r="AA9" s="1"/>
  <c r="V13"/>
  <c r="X13"/>
  <c r="AA13" s="1"/>
  <c r="V16"/>
  <c r="X16"/>
  <c r="AA16" s="1"/>
  <c r="V80"/>
  <c r="X80"/>
  <c r="X107"/>
  <c r="AA107" s="1"/>
  <c r="V85"/>
  <c r="X85"/>
  <c r="AA85" s="1"/>
  <c r="V83"/>
  <c r="X83"/>
  <c r="V104"/>
  <c r="X104"/>
  <c r="V84"/>
  <c r="X84"/>
  <c r="V78"/>
  <c r="X78"/>
  <c r="V95"/>
  <c r="X95"/>
  <c r="V88"/>
  <c r="X88"/>
  <c r="V103"/>
  <c r="X103"/>
  <c r="AA103" s="1"/>
  <c r="V99"/>
  <c r="X99"/>
  <c r="AA99" s="1"/>
  <c r="V60"/>
  <c r="X60"/>
  <c r="V119"/>
  <c r="X119"/>
  <c r="V116"/>
  <c r="X116"/>
  <c r="AA116" s="1"/>
  <c r="V66"/>
  <c r="X66"/>
  <c r="AA66" s="1"/>
  <c r="V122"/>
  <c r="X122"/>
  <c r="AA122" s="1"/>
  <c r="V59"/>
  <c r="X59"/>
  <c r="AA59" s="1"/>
  <c r="V115"/>
  <c r="X115"/>
  <c r="V113"/>
  <c r="X113"/>
  <c r="V121"/>
  <c r="X121"/>
  <c r="AA121" s="1"/>
  <c r="U56"/>
  <c r="X56"/>
  <c r="AA56" s="1"/>
  <c r="V105"/>
  <c r="X105"/>
  <c r="V98"/>
  <c r="X98"/>
  <c r="V96"/>
  <c r="X96"/>
  <c r="V89"/>
  <c r="X89"/>
  <c r="V62"/>
  <c r="V56"/>
  <c r="R74"/>
  <c r="Z96"/>
  <c r="AA62"/>
  <c r="Z88"/>
  <c r="S74"/>
  <c r="Z83"/>
  <c r="U44"/>
  <c r="U103"/>
  <c r="AD32"/>
  <c r="U13"/>
  <c r="U116"/>
  <c r="U66"/>
  <c r="U16"/>
  <c r="Z98"/>
  <c r="U121"/>
  <c r="Z95"/>
  <c r="U9"/>
  <c r="Z80"/>
  <c r="Z89"/>
  <c r="Z78"/>
  <c r="U15"/>
  <c r="Z84"/>
  <c r="AD57"/>
  <c r="U41"/>
  <c r="Z104"/>
  <c r="Z105"/>
  <c r="Z119"/>
  <c r="U38"/>
  <c r="U59"/>
  <c r="Z113"/>
  <c r="Z115"/>
  <c r="U51"/>
  <c r="U62"/>
  <c r="U122"/>
  <c r="U28" l="1"/>
  <c r="X28"/>
  <c r="AA28" s="1"/>
  <c r="V28"/>
  <c r="W35"/>
  <c r="W15"/>
  <c r="AD15" s="1"/>
  <c r="W66"/>
  <c r="AD66" s="1"/>
  <c r="W122"/>
  <c r="AD122" s="1"/>
  <c r="W51"/>
  <c r="AD51" s="1"/>
  <c r="W38"/>
  <c r="AD38" s="1"/>
  <c r="W99"/>
  <c r="AD99" s="1"/>
  <c r="V20"/>
  <c r="X20"/>
  <c r="AA20" s="1"/>
  <c r="X14"/>
  <c r="AA14" s="1"/>
  <c r="V8"/>
  <c r="X8"/>
  <c r="AA8" s="1"/>
  <c r="W121"/>
  <c r="AD121" s="1"/>
  <c r="V65"/>
  <c r="X65"/>
  <c r="AA65" s="1"/>
  <c r="U77"/>
  <c r="W56"/>
  <c r="AD56" s="1"/>
  <c r="U14"/>
  <c r="V14"/>
  <c r="U65"/>
  <c r="U20"/>
  <c r="AD92"/>
  <c r="W103"/>
  <c r="AD103" s="1"/>
  <c r="W41"/>
  <c r="AD41" s="1"/>
  <c r="W16"/>
  <c r="AD16" s="1"/>
  <c r="W9"/>
  <c r="AD9" s="1"/>
  <c r="AD107"/>
  <c r="W44"/>
  <c r="AD44" s="1"/>
  <c r="W85"/>
  <c r="AD85" s="1"/>
  <c r="W116"/>
  <c r="AD116" s="1"/>
  <c r="W59"/>
  <c r="AD59" s="1"/>
  <c r="W13"/>
  <c r="AD13" s="1"/>
  <c r="W62"/>
  <c r="AD62" s="1"/>
  <c r="AA89"/>
  <c r="AA119"/>
  <c r="AA115"/>
  <c r="AA96"/>
  <c r="AA95"/>
  <c r="AA98"/>
  <c r="AA83"/>
  <c r="AA78"/>
  <c r="AA104"/>
  <c r="AA84"/>
  <c r="AA88"/>
  <c r="AA80"/>
  <c r="AA105"/>
  <c r="AA113"/>
  <c r="Z74"/>
  <c r="W96"/>
  <c r="AD96" s="1"/>
  <c r="W98"/>
  <c r="AD98" s="1"/>
  <c r="U115"/>
  <c r="W115" s="1"/>
  <c r="AD115" s="1"/>
  <c r="W88"/>
  <c r="AD88" s="1"/>
  <c r="U37"/>
  <c r="AA37"/>
  <c r="AA18"/>
  <c r="AA60"/>
  <c r="U39"/>
  <c r="AA39"/>
  <c r="U43"/>
  <c r="AA43"/>
  <c r="W83"/>
  <c r="AD83" s="1"/>
  <c r="U18"/>
  <c r="U104"/>
  <c r="W104" s="1"/>
  <c r="AD104" s="1"/>
  <c r="U105"/>
  <c r="W105" s="1"/>
  <c r="AD105" s="1"/>
  <c r="W95"/>
  <c r="AD95" s="1"/>
  <c r="W89"/>
  <c r="AD89" s="1"/>
  <c r="U80"/>
  <c r="W80" s="1"/>
  <c r="AD80" s="1"/>
  <c r="M74"/>
  <c r="U119"/>
  <c r="W119" s="1"/>
  <c r="AD119" s="1"/>
  <c r="N74"/>
  <c r="O74"/>
  <c r="U8"/>
  <c r="U60"/>
  <c r="W84"/>
  <c r="AD84" s="1"/>
  <c r="U78"/>
  <c r="W78" s="1"/>
  <c r="AD78" s="1"/>
  <c r="U113"/>
  <c r="W113" s="1"/>
  <c r="AD113" s="1"/>
  <c r="V77" l="1"/>
  <c r="V124" s="1"/>
  <c r="U124"/>
  <c r="W28"/>
  <c r="AD28" s="1"/>
  <c r="W20"/>
  <c r="AD20" s="1"/>
  <c r="W65"/>
  <c r="AD65" s="1"/>
  <c r="W77"/>
  <c r="W124" s="1"/>
  <c r="X77"/>
  <c r="AA77" s="1"/>
  <c r="AA125" s="1"/>
  <c r="W14"/>
  <c r="AD14" s="1"/>
  <c r="AD35"/>
  <c r="W18"/>
  <c r="AD18" s="1"/>
  <c r="W39"/>
  <c r="W37"/>
  <c r="AD37" s="1"/>
  <c r="W60"/>
  <c r="AD60" s="1"/>
  <c r="W43"/>
  <c r="AD43" s="1"/>
  <c r="W8"/>
  <c r="AD8" s="1"/>
  <c r="I74" l="1"/>
  <c r="X74"/>
  <c r="V74"/>
  <c r="U74" l="1"/>
  <c r="AA74"/>
  <c r="W74" l="1"/>
  <c r="AD74"/>
  <c r="AA75"/>
  <c r="AA76" s="1"/>
</calcChain>
</file>

<file path=xl/sharedStrings.xml><?xml version="1.0" encoding="utf-8"?>
<sst xmlns="http://schemas.openxmlformats.org/spreadsheetml/2006/main" count="604" uniqueCount="217">
  <si>
    <t>Puesto</t>
  </si>
  <si>
    <t>TOTAL NOMINA</t>
  </si>
  <si>
    <t>Comision subsidiada</t>
  </si>
  <si>
    <t>Comision empleado</t>
  </si>
  <si>
    <t>Impto Nomina</t>
  </si>
  <si>
    <t>Factura</t>
  </si>
  <si>
    <t>Fonacot</t>
  </si>
  <si>
    <t>Neto a Recibir</t>
  </si>
  <si>
    <t>Infonavit</t>
  </si>
  <si>
    <t>Prima Vacacional</t>
  </si>
  <si>
    <t>Dias de Vacaciones</t>
  </si>
  <si>
    <t>Total Percepciones</t>
  </si>
  <si>
    <t>Descuentos Cta 254</t>
  </si>
  <si>
    <t>Area</t>
  </si>
  <si>
    <t>Nombre</t>
  </si>
  <si>
    <t>SEG GTS MED MAY</t>
  </si>
  <si>
    <t>Pension</t>
  </si>
  <si>
    <t>700-070 VENTAS</t>
  </si>
  <si>
    <t>701-070 USADOS</t>
  </si>
  <si>
    <t>703-070 ADMON</t>
  </si>
  <si>
    <t>704-070 REFACC</t>
  </si>
  <si>
    <t>705-001-070 SERV</t>
  </si>
  <si>
    <t>683-001-001 COSTO</t>
  </si>
  <si>
    <t>Total Deduciones</t>
  </si>
  <si>
    <t>CONSULTORES</t>
  </si>
  <si>
    <t>SINDICATO</t>
  </si>
  <si>
    <t>ADMON SERVICIO</t>
  </si>
  <si>
    <t>SEMINUEVOS</t>
  </si>
  <si>
    <t>VENTAS</t>
  </si>
  <si>
    <t>ASESOR DE SERVICIO</t>
  </si>
  <si>
    <t>ASESOR DE VENTAS</t>
  </si>
  <si>
    <t>COACH DE VENTAS</t>
  </si>
  <si>
    <t>COMISION</t>
  </si>
  <si>
    <t>Servicios Prestados a : QUERETARO MOTORS, SA</t>
  </si>
  <si>
    <t>PEREZ PEREZ ISMAEL</t>
  </si>
  <si>
    <t>VEGA RIVERA ISMAEL</t>
  </si>
  <si>
    <t>LARA OVIEDO SORAYA</t>
  </si>
  <si>
    <t>ARENAS VARGAS MOISES</t>
  </si>
  <si>
    <t>RUIZ RODRIGUEZ OMAR</t>
  </si>
  <si>
    <t>SERVICIO</t>
  </si>
  <si>
    <t>HOJALATERIA</t>
  </si>
  <si>
    <t>ADMINISTRACION</t>
  </si>
  <si>
    <t>COSTO</t>
  </si>
  <si>
    <t>HOJALATERO</t>
  </si>
  <si>
    <t>TELEMARKETING</t>
  </si>
  <si>
    <t>VIGILANTE</t>
  </si>
  <si>
    <t>ASESOR DE VENTAS SEM</t>
  </si>
  <si>
    <t>ESTETICAS</t>
  </si>
  <si>
    <t>AHORRO CTM</t>
  </si>
  <si>
    <t>PRESTAMO CTM</t>
  </si>
  <si>
    <t>DIFERENCIA</t>
  </si>
  <si>
    <t>MARTINEZ ALVARADO ADRIAN</t>
  </si>
  <si>
    <t>SANCHEZ HURTADO CARLOS</t>
  </si>
  <si>
    <t>MARTINEZ GUERRERO LEONEL</t>
  </si>
  <si>
    <t>ALAVEZ LOPEZ INOCENCIO</t>
  </si>
  <si>
    <t>CANCINO RODRIGUEZ GREGORIO</t>
  </si>
  <si>
    <t>OLVERA SOTO LUIS ANGEL</t>
  </si>
  <si>
    <t>ARTEAGA SILVA ALFREDO</t>
  </si>
  <si>
    <t>DE JESUS CRUZ JUAN CARLOS</t>
  </si>
  <si>
    <t>OLVERA HERNANDEZ JOSE TOMAS</t>
  </si>
  <si>
    <t>VIGUERAS MARTINEZ JUAN CARLOS</t>
  </si>
  <si>
    <t>SANCHEZ RODRIGUEZ FREDY</t>
  </si>
  <si>
    <t>CUOTA SINDICAL 1%</t>
  </si>
  <si>
    <t>FONDO DE AHORRO 4.9%</t>
  </si>
  <si>
    <t>MIJANGOS HERNANDEZ JULIO CESAR</t>
  </si>
  <si>
    <t>REYES FLORES ALAN RICARDO</t>
  </si>
  <si>
    <t>AGUILAR GONZALEZ ANAEL</t>
  </si>
  <si>
    <t>ARROYO ZARAZUA GILBERTO</t>
  </si>
  <si>
    <t>HERNANDEZ SOLIS GUMERCINDO</t>
  </si>
  <si>
    <t>FONSECA GUILLEN JOSE FELIPE</t>
  </si>
  <si>
    <t>HERNANDEZ SILVA EDGAR SAMUEL</t>
  </si>
  <si>
    <t>MARTINEZ LORENZO LUIS ALEJANDRO</t>
  </si>
  <si>
    <t>AGUILAR BRAVO CRISTIAN SAUL</t>
  </si>
  <si>
    <t>RODRIGUEZ RODRIGUEZ ANUAR</t>
  </si>
  <si>
    <t>RIVERA AGUILAR GABRIEL</t>
  </si>
  <si>
    <t>CASTILLO ORDOÑEZ JORGE</t>
  </si>
  <si>
    <t>FECHA DE INICIO</t>
  </si>
  <si>
    <t>ANAEL</t>
  </si>
  <si>
    <t xml:space="preserve">HERNANDEZ CHAVEZ PEDRO </t>
  </si>
  <si>
    <t>ARTURO</t>
  </si>
  <si>
    <t>COACH</t>
  </si>
  <si>
    <t>ADMON VENTAS</t>
  </si>
  <si>
    <t>MOISES</t>
  </si>
  <si>
    <t>LOBATO RECAMIER ROSELLIN</t>
  </si>
  <si>
    <t>CUENTA</t>
  </si>
  <si>
    <t>OBSERVACIONES</t>
  </si>
  <si>
    <t>MARTINEZ GALLEGOS LUIS FERNANDO</t>
  </si>
  <si>
    <t>CARRASCO TOVAR ARTURO</t>
  </si>
  <si>
    <t>CASTAÑON TAVARES MANUEL</t>
  </si>
  <si>
    <t>RESENDIZ CAMPUZANO ISRAEL</t>
  </si>
  <si>
    <t>TORIBIO DEL ANGEL OSCAR</t>
  </si>
  <si>
    <t>UNIFORMES</t>
  </si>
  <si>
    <t>PALETA GUADARRAMA RICARDO</t>
  </si>
  <si>
    <t>ESPECIALES</t>
  </si>
  <si>
    <t xml:space="preserve">AGUILAR PEREZ MARCOS ARTEMIO </t>
  </si>
  <si>
    <t>CORONEL DE LEON JONATHAN</t>
  </si>
  <si>
    <t>MORALES SANCHEZ ANGEL</t>
  </si>
  <si>
    <t>OSCAR</t>
  </si>
  <si>
    <t>COACH DE VENTAS SEMINUEVOS</t>
  </si>
  <si>
    <t>SERENO CUELLAR JUVENAL</t>
  </si>
  <si>
    <t>DISPERSION</t>
  </si>
  <si>
    <t>TIRADO SAAVEDRA CARLOS ALEJANDRO</t>
  </si>
  <si>
    <t>CORTEZ OVANDO FAUSTINO ALI</t>
  </si>
  <si>
    <t>OLVERA BAUTISTA J. DOLORES GILBERTO</t>
  </si>
  <si>
    <t>RESENDIZ ECHEVERRIA MARIO ALBERTO</t>
  </si>
  <si>
    <t>MEDINA CASTRO CARLOS MANUEL</t>
  </si>
  <si>
    <t>SALDAÑA GARCIA MARCO ANTONIO</t>
  </si>
  <si>
    <t>ARVIZU RODRIGUEZ ALEJANDRO URIEL</t>
  </si>
  <si>
    <t>JIMENEZ HERNANDEZ JULIO CESAR</t>
  </si>
  <si>
    <t>GRANADOS PEREZ BRENDA LAURA</t>
  </si>
  <si>
    <t>DOMINGUEZ ALCANTARA MIGUEL ANGEL</t>
  </si>
  <si>
    <t>MELENDEZ PADILLA CLAUDIA CRISTINA</t>
  </si>
  <si>
    <t>ENRIQUEZ RUBIO FERNANDO</t>
  </si>
  <si>
    <t>TRONCOSO PEÑA GERARDO</t>
  </si>
  <si>
    <t>PATIÑO NAVARRO OSCAR MARTIN</t>
  </si>
  <si>
    <t>HERNANDEZ ARREOLA RODOLFO MAYOLO</t>
  </si>
  <si>
    <t>JEFE DE TALLER</t>
  </si>
  <si>
    <t>GALLEGOS RAMIREZ JOSE</t>
  </si>
  <si>
    <t>REYES ARMADILLO JORGE ANDRES</t>
  </si>
  <si>
    <t>FALTAS</t>
  </si>
  <si>
    <t>GUERRERO GOMEZ MARVIN NOE</t>
  </si>
  <si>
    <t>SOLORZANO LUNA MARIANA</t>
  </si>
  <si>
    <t>MATILDE SANTIAGO URIEL</t>
  </si>
  <si>
    <t>LUPERCIO ESPINO ALAN JAIRO</t>
  </si>
  <si>
    <t>SIFONTES SARDUA DAYAN JESUS</t>
  </si>
  <si>
    <t>VALDEZ MARTINEZ MARTIN</t>
  </si>
  <si>
    <t>AYUDANTE</t>
  </si>
  <si>
    <t>ESTETICAS AYUDANTE</t>
  </si>
  <si>
    <t>MANTENIMIENTO</t>
  </si>
  <si>
    <t>TECNICO A</t>
  </si>
  <si>
    <t>TECNICO B</t>
  </si>
  <si>
    <t>CAMACHO HERNANDEZ LEOPOLDO</t>
  </si>
  <si>
    <t>PADILLA RUIZ JOSE ANTONIO</t>
  </si>
  <si>
    <t>SANCHEZ DE SANTIAGO RICARDO</t>
  </si>
  <si>
    <t>HERNANDEZ AGUILAR ROBERTO CARLOS</t>
  </si>
  <si>
    <t xml:space="preserve">VEGA GRANADOS JUAN MANUEL </t>
  </si>
  <si>
    <t>X</t>
  </si>
  <si>
    <t>WEB MASTER</t>
  </si>
  <si>
    <t>GUZMAN NAVARRO EDUARDO</t>
  </si>
  <si>
    <t>SALDAÑA SANCHEZ JULIO CESAR</t>
  </si>
  <si>
    <t>SALAS MARTINEZ OSCAR JESUS</t>
  </si>
  <si>
    <t>RODRIGUEZ PINACHO CESAR OCTAVIO</t>
  </si>
  <si>
    <t>MIRANDA PEON JULIO CESAR</t>
  </si>
  <si>
    <t>GALLEGOS ROMERO CRISTIAN</t>
  </si>
  <si>
    <t>COACH BDC</t>
  </si>
  <si>
    <t>MUÑOZ RODRIGUEZ CONRADO ISRAEL</t>
  </si>
  <si>
    <t>GUZMAN TREJO DIEGO ARTURO</t>
  </si>
  <si>
    <t>ARIAS MONROY JOSE</t>
  </si>
  <si>
    <t>GAYTAN MARTINEZ RAUL</t>
  </si>
  <si>
    <t>DOMINGUEZ GUDIÑO OMAR</t>
  </si>
  <si>
    <t>HERNANDEZ SANCHEZ RODRIGO</t>
  </si>
  <si>
    <t>NAVARRO ARENAS ANDREA ARELI</t>
  </si>
  <si>
    <t>VARGAS GOMEZ RAUL ARMANDO</t>
  </si>
  <si>
    <t>Ingenieria Fiscal Laboral S.C.</t>
  </si>
  <si>
    <t>VASQUEZ CHAVES LILIANA ANDREA</t>
  </si>
  <si>
    <t>NAVA RUBIO JAVIER</t>
  </si>
  <si>
    <t>TECNICO</t>
  </si>
  <si>
    <t>ALVIZAR ORGANISTA EDUARDO</t>
  </si>
  <si>
    <t>EN TRAMITE</t>
  </si>
  <si>
    <t>AGUILAR HERNANDEZ CARLA CECILIA</t>
  </si>
  <si>
    <t>RAMIREZ MOYA NESTOR</t>
  </si>
  <si>
    <t>FLORES ALDRETE DANIEL</t>
  </si>
  <si>
    <t>PINEDA HERNANDEZ BRIANDA IVONNE</t>
  </si>
  <si>
    <t xml:space="preserve">RUIZ MIRANDA GADIEL </t>
  </si>
  <si>
    <t>OLIVAS MANCILLA JESUS DANIEL</t>
  </si>
  <si>
    <t>VALDEZ BERNAL JUAN PABLO</t>
  </si>
  <si>
    <t>DESCUENTO CTA 254 POR CONCEPTO DE HERRAMIENTAS</t>
  </si>
  <si>
    <t>ESTRADA UNZUETA ALEJANDRA</t>
  </si>
  <si>
    <t>ORTEGA BUSTAMANTE JESUS GERARDO</t>
  </si>
  <si>
    <t>FERRER GONZALEZ MARIA ELENA</t>
  </si>
  <si>
    <t>AUX. ADMON.</t>
  </si>
  <si>
    <t>TOTAL DE LA NOMINA</t>
  </si>
  <si>
    <t>VALDEZ HERNANDEZ ELDA NELLY</t>
  </si>
  <si>
    <t>BAUTISTA RAMIREZ MARIO ALEXIS</t>
  </si>
  <si>
    <t>CASILLAS GARCIA DEL VALLE RODRIGO BARUCH</t>
  </si>
  <si>
    <t>URBINA SIERRA ANGELICA</t>
  </si>
  <si>
    <t>INCAPACIDAD POR MATERNIDAD</t>
  </si>
  <si>
    <t>ARIAS CORTES ROBERTO CARLOS</t>
  </si>
  <si>
    <t>GONZALEZ RODRIGUEZ ERICK</t>
  </si>
  <si>
    <t>ALARCON ORTIZ JOSE AURELIO</t>
  </si>
  <si>
    <t xml:space="preserve">LOPEZ LABRADA DANIEL </t>
  </si>
  <si>
    <t>SANCHEZ DE JESUS FROYLAN</t>
  </si>
  <si>
    <t>JUAREZ URIBE MICHEL</t>
  </si>
  <si>
    <t>DE JESUS PADILLA ALFREDO</t>
  </si>
  <si>
    <t>CAMPA LOPEZ JOSE ABRAHAM</t>
  </si>
  <si>
    <t>SAUCEDO MAGAÑA VICTOR HUGO</t>
  </si>
  <si>
    <t>DESCUENTO CTA 254 POR CONCEPTO DE OPTICA</t>
  </si>
  <si>
    <t>SUELDO SEMANAL $1,026.69</t>
  </si>
  <si>
    <t>SUELDO SEMANAL $1,677</t>
  </si>
  <si>
    <t>FAVOR DE PASAR SU SUELDO $1,516</t>
  </si>
  <si>
    <t xml:space="preserve">SUELDO SEMANAL $1,516 </t>
  </si>
  <si>
    <t>SUELDO SEMANAL DE $2,100</t>
  </si>
  <si>
    <t>PUEBLA ARENAS JOSE ANDRES</t>
  </si>
  <si>
    <t>SANTANDER</t>
  </si>
  <si>
    <t>PENDIENTE</t>
  </si>
  <si>
    <t>BANCOMER</t>
  </si>
  <si>
    <t>EFECTIVO</t>
  </si>
  <si>
    <t>SUELDO SEMANAL $937.50</t>
  </si>
  <si>
    <t>MEDINA ESPARZA JOSUE</t>
  </si>
  <si>
    <t>HERNANDEZ MATA AURELIANO</t>
  </si>
  <si>
    <t xml:space="preserve">MARTINEZ GARCIA JOSE JUAN </t>
  </si>
  <si>
    <t>IBARRA ROMERO IVAN ANDRES</t>
  </si>
  <si>
    <t>NIETO CRESPO JOSE ALBERTO</t>
  </si>
  <si>
    <t>DESCUENTO CTA 254 POR CONCEPTO DE TRAJES 3/24</t>
  </si>
  <si>
    <t>DESCONTAR $300 POR PAGO INDEVIDO. DESCUENTO 4/10</t>
  </si>
  <si>
    <t>ESCALONA DOMINGUEZ RAUL</t>
  </si>
  <si>
    <t>SUELDO SEMANAL $560.28</t>
  </si>
  <si>
    <t>Periodo Semana 16</t>
  </si>
  <si>
    <t>12/04/17 AL 18/04/17</t>
  </si>
  <si>
    <t>AGUAS OROZCO FRANCISCO JAVIER</t>
  </si>
  <si>
    <t>HURTADO PAJARO JOSE EDUARDO</t>
  </si>
  <si>
    <t>BAJA</t>
  </si>
  <si>
    <t>2 DIAS DE INCAPACIDAD</t>
  </si>
  <si>
    <t xml:space="preserve">TORRES IBARRA LUIS GERARDO </t>
  </si>
  <si>
    <t>GUTIERREZ LARA GEOVANNI</t>
  </si>
  <si>
    <t>SE QUEDA DE MOMENTO EN BANCOMER YA QUE NO TIENE EIFE</t>
  </si>
  <si>
    <t>SE QUEDA EN BANCOMER POR PROBLEMAS EN SANTANDER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</si>
</sst>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dd/mm/yy"/>
  </numFmts>
  <fonts count="18">
    <font>
      <sz val="10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10"/>
      <name val="Arial"/>
      <family val="2"/>
      <charset val="1"/>
    </font>
    <font>
      <sz val="11"/>
      <color rgb="FFFF0000"/>
      <name val="Calibri"/>
      <family val="2"/>
      <scheme val="minor"/>
    </font>
    <font>
      <b/>
      <sz val="11"/>
      <color indexed="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48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0"/>
      <name val="Calibri   "/>
    </font>
    <font>
      <sz val="11"/>
      <name val="Calibri   "/>
    </font>
    <font>
      <sz val="11"/>
      <name val="Calibri  "/>
    </font>
    <font>
      <sz val="11"/>
      <color rgb="FF000000"/>
      <name val="Calibri  "/>
    </font>
    <font>
      <b/>
      <sz val="12"/>
      <name val="Calibri"/>
      <family val="2"/>
      <scheme val="minor"/>
    </font>
    <font>
      <sz val="11"/>
      <color rgb="FFFF00FF"/>
      <name val="Calibri"/>
      <family val="2"/>
      <scheme val="minor"/>
    </font>
    <font>
      <b/>
      <sz val="18"/>
      <name val="Calibri"/>
      <family val="2"/>
      <scheme val="minor"/>
    </font>
    <font>
      <sz val="10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43" fontId="1" fillId="0" borderId="0" applyFill="0" applyBorder="0" applyAlignment="0" applyProtection="0"/>
    <xf numFmtId="0" fontId="2" fillId="0" borderId="0"/>
    <xf numFmtId="0" fontId="1" fillId="0" borderId="0"/>
  </cellStyleXfs>
  <cellXfs count="121">
    <xf numFmtId="0" fontId="0" fillId="0" borderId="0" xfId="0"/>
    <xf numFmtId="43" fontId="1" fillId="0" borderId="0" xfId="2"/>
    <xf numFmtId="0" fontId="5" fillId="0" borderId="0" xfId="3" applyFont="1" applyFill="1" applyAlignment="1" applyProtection="1">
      <alignment horizontal="left"/>
    </xf>
    <xf numFmtId="0" fontId="5" fillId="0" borderId="0" xfId="3" applyFont="1" applyFill="1" applyAlignment="1" applyProtection="1">
      <alignment horizontal="center"/>
    </xf>
    <xf numFmtId="43" fontId="6" fillId="0" borderId="0" xfId="2" applyFont="1" applyFill="1" applyAlignment="1" applyProtection="1">
      <alignment horizontal="center"/>
    </xf>
    <xf numFmtId="43" fontId="7" fillId="0" borderId="0" xfId="2" applyFont="1" applyFill="1" applyAlignment="1" applyProtection="1">
      <alignment horizontal="center"/>
    </xf>
    <xf numFmtId="0" fontId="6" fillId="0" borderId="0" xfId="0" applyFont="1" applyFill="1" applyProtection="1"/>
    <xf numFmtId="0" fontId="6" fillId="0" borderId="0" xfId="0" applyFont="1" applyProtection="1"/>
    <xf numFmtId="0" fontId="8" fillId="0" borderId="0" xfId="3" applyFont="1" applyFill="1" applyAlignment="1" applyProtection="1">
      <alignment horizontal="left"/>
    </xf>
    <xf numFmtId="0" fontId="8" fillId="0" borderId="0" xfId="3" applyFont="1" applyFill="1" applyAlignment="1" applyProtection="1">
      <alignment horizontal="center"/>
    </xf>
    <xf numFmtId="15" fontId="5" fillId="0" borderId="0" xfId="3" applyNumberFormat="1" applyFont="1" applyFill="1" applyAlignment="1" applyProtection="1">
      <alignment horizontal="left"/>
    </xf>
    <xf numFmtId="15" fontId="5" fillId="0" borderId="0" xfId="3" applyNumberFormat="1" applyFont="1" applyFill="1" applyAlignment="1" applyProtection="1">
      <alignment horizontal="center"/>
    </xf>
    <xf numFmtId="0" fontId="7" fillId="0" borderId="0" xfId="0" applyFont="1"/>
    <xf numFmtId="43" fontId="6" fillId="0" borderId="0" xfId="2" applyFont="1"/>
    <xf numFmtId="43" fontId="7" fillId="0" borderId="0" xfId="2" applyFont="1"/>
    <xf numFmtId="43" fontId="6" fillId="0" borderId="0" xfId="2" applyFont="1" applyFill="1"/>
    <xf numFmtId="0" fontId="7" fillId="0" borderId="0" xfId="0" applyFont="1" applyFill="1"/>
    <xf numFmtId="0" fontId="6" fillId="0" borderId="1" xfId="0" applyFont="1" applyBorder="1"/>
    <xf numFmtId="0" fontId="6" fillId="0" borderId="0" xfId="0" applyFont="1" applyFill="1"/>
    <xf numFmtId="0" fontId="6" fillId="0" borderId="0" xfId="0" applyFont="1"/>
    <xf numFmtId="0" fontId="9" fillId="0" borderId="0" xfId="0" applyFont="1"/>
    <xf numFmtId="0" fontId="6" fillId="0" borderId="0" xfId="0" applyFont="1" applyBorder="1"/>
    <xf numFmtId="43" fontId="1" fillId="0" borderId="0" xfId="2" applyProtection="1"/>
    <xf numFmtId="43" fontId="1" fillId="0" borderId="0" xfId="2" applyFill="1"/>
    <xf numFmtId="43" fontId="7" fillId="5" borderId="1" xfId="2" applyFont="1" applyFill="1" applyBorder="1" applyAlignment="1">
      <alignment horizontal="center" wrapText="1"/>
    </xf>
    <xf numFmtId="0" fontId="7" fillId="0" borderId="6" xfId="0" applyFont="1" applyFill="1" applyBorder="1"/>
    <xf numFmtId="0" fontId="6" fillId="0" borderId="8" xfId="0" applyFont="1" applyFill="1" applyBorder="1"/>
    <xf numFmtId="43" fontId="6" fillId="0" borderId="8" xfId="2" applyFont="1" applyFill="1" applyBorder="1"/>
    <xf numFmtId="43" fontId="7" fillId="0" borderId="8" xfId="2" applyFont="1" applyFill="1" applyBorder="1"/>
    <xf numFmtId="0" fontId="6" fillId="0" borderId="7" xfId="0" applyFont="1" applyBorder="1"/>
    <xf numFmtId="0" fontId="6" fillId="2" borderId="7" xfId="0" applyFont="1" applyFill="1" applyBorder="1"/>
    <xf numFmtId="43" fontId="6" fillId="0" borderId="7" xfId="2" applyFont="1" applyBorder="1"/>
    <xf numFmtId="43" fontId="6" fillId="2" borderId="7" xfId="2" applyFont="1" applyFill="1" applyBorder="1"/>
    <xf numFmtId="43" fontId="6" fillId="0" borderId="7" xfId="2" applyFont="1" applyFill="1" applyBorder="1" applyAlignment="1">
      <alignment horizontal="center"/>
    </xf>
    <xf numFmtId="0" fontId="6" fillId="0" borderId="7" xfId="0" applyFont="1" applyFill="1" applyBorder="1"/>
    <xf numFmtId="43" fontId="6" fillId="0" borderId="7" xfId="2" applyFont="1" applyFill="1" applyBorder="1"/>
    <xf numFmtId="0" fontId="7" fillId="0" borderId="7" xfId="0" applyFont="1" applyFill="1" applyBorder="1"/>
    <xf numFmtId="43" fontId="6" fillId="0" borderId="8" xfId="2" applyFont="1" applyFill="1" applyBorder="1" applyAlignment="1">
      <alignment horizontal="center"/>
    </xf>
    <xf numFmtId="0" fontId="7" fillId="0" borderId="7" xfId="0" applyFont="1" applyBorder="1"/>
    <xf numFmtId="43" fontId="7" fillId="0" borderId="7" xfId="2" applyFont="1" applyBorder="1"/>
    <xf numFmtId="43" fontId="7" fillId="9" borderId="7" xfId="2" applyFont="1" applyFill="1" applyBorder="1"/>
    <xf numFmtId="43" fontId="1" fillId="0" borderId="7" xfId="2" applyBorder="1"/>
    <xf numFmtId="0" fontId="7" fillId="4" borderId="7" xfId="0" applyFont="1" applyFill="1" applyBorder="1" applyAlignment="1">
      <alignment horizontal="center"/>
    </xf>
    <xf numFmtId="43" fontId="1" fillId="3" borderId="7" xfId="2" applyFill="1" applyBorder="1"/>
    <xf numFmtId="43" fontId="11" fillId="0" borderId="0" xfId="2" applyFont="1" applyProtection="1"/>
    <xf numFmtId="43" fontId="11" fillId="0" borderId="0" xfId="2" applyFont="1"/>
    <xf numFmtId="43" fontId="11" fillId="0" borderId="0" xfId="2" applyFont="1" applyFill="1"/>
    <xf numFmtId="43" fontId="11" fillId="0" borderId="7" xfId="2" applyFont="1" applyBorder="1"/>
    <xf numFmtId="43" fontId="11" fillId="3" borderId="7" xfId="2" applyFont="1" applyFill="1" applyBorder="1"/>
    <xf numFmtId="43" fontId="7" fillId="0" borderId="7" xfId="2" applyFont="1" applyFill="1" applyBorder="1"/>
    <xf numFmtId="43" fontId="12" fillId="0" borderId="7" xfId="2" applyFont="1" applyFill="1" applyBorder="1"/>
    <xf numFmtId="2" fontId="6" fillId="0" borderId="7" xfId="0" applyNumberFormat="1" applyFont="1" applyFill="1" applyBorder="1"/>
    <xf numFmtId="43" fontId="12" fillId="8" borderId="7" xfId="2" applyFont="1" applyFill="1" applyBorder="1"/>
    <xf numFmtId="14" fontId="12" fillId="0" borderId="7" xfId="0" applyNumberFormat="1" applyFont="1" applyFill="1" applyBorder="1"/>
    <xf numFmtId="164" fontId="12" fillId="0" borderId="7" xfId="0" applyNumberFormat="1" applyFont="1" applyFill="1" applyBorder="1"/>
    <xf numFmtId="14" fontId="6" fillId="0" borderId="7" xfId="0" applyNumberFormat="1" applyFont="1" applyFill="1" applyBorder="1" applyAlignment="1"/>
    <xf numFmtId="0" fontId="12" fillId="0" borderId="7" xfId="0" applyFont="1" applyFill="1" applyBorder="1" applyAlignment="1">
      <alignment wrapText="1"/>
    </xf>
    <xf numFmtId="4" fontId="12" fillId="0" borderId="7" xfId="0" applyNumberFormat="1" applyFont="1" applyFill="1" applyBorder="1" applyAlignment="1">
      <alignment wrapText="1"/>
    </xf>
    <xf numFmtId="0" fontId="13" fillId="0" borderId="7" xfId="0" applyFont="1" applyFill="1" applyBorder="1"/>
    <xf numFmtId="164" fontId="12" fillId="0" borderId="7" xfId="0" applyNumberFormat="1" applyFont="1" applyFill="1" applyBorder="1" applyAlignment="1">
      <alignment horizontal="right" vertical="center"/>
    </xf>
    <xf numFmtId="43" fontId="7" fillId="7" borderId="7" xfId="2" applyFont="1" applyFill="1" applyBorder="1"/>
    <xf numFmtId="43" fontId="6" fillId="7" borderId="7" xfId="2" applyFont="1" applyFill="1" applyBorder="1" applyAlignment="1">
      <alignment horizontal="center"/>
    </xf>
    <xf numFmtId="0" fontId="12" fillId="0" borderId="7" xfId="0" applyFont="1" applyFill="1" applyBorder="1"/>
    <xf numFmtId="4" fontId="12" fillId="0" borderId="7" xfId="0" applyNumberFormat="1" applyFont="1" applyFill="1" applyBorder="1"/>
    <xf numFmtId="4" fontId="6" fillId="0" borderId="7" xfId="0" applyNumberFormat="1" applyFont="1" applyFill="1" applyBorder="1"/>
    <xf numFmtId="43" fontId="6" fillId="0" borderId="7" xfId="0" applyNumberFormat="1" applyFont="1" applyFill="1" applyBorder="1"/>
    <xf numFmtId="14" fontId="6" fillId="0" borderId="7" xfId="0" applyNumberFormat="1" applyFont="1" applyBorder="1"/>
    <xf numFmtId="0" fontId="7" fillId="0" borderId="7" xfId="2" applyNumberFormat="1" applyFont="1" applyFill="1" applyBorder="1" applyAlignment="1">
      <alignment horizontal="center"/>
    </xf>
    <xf numFmtId="43" fontId="7" fillId="0" borderId="7" xfId="2" applyFont="1" applyFill="1" applyBorder="1" applyAlignment="1">
      <alignment horizontal="center"/>
    </xf>
    <xf numFmtId="43" fontId="14" fillId="0" borderId="7" xfId="2" applyFont="1" applyFill="1" applyBorder="1" applyAlignment="1">
      <alignment horizontal="center"/>
    </xf>
    <xf numFmtId="43" fontId="15" fillId="0" borderId="7" xfId="2" applyFont="1" applyFill="1" applyBorder="1"/>
    <xf numFmtId="43" fontId="15" fillId="0" borderId="7" xfId="2" applyFont="1" applyBorder="1"/>
    <xf numFmtId="0" fontId="6" fillId="7" borderId="7" xfId="0" applyFont="1" applyFill="1" applyBorder="1"/>
    <xf numFmtId="14" fontId="6" fillId="7" borderId="7" xfId="0" applyNumberFormat="1" applyFont="1" applyFill="1" applyBorder="1"/>
    <xf numFmtId="0" fontId="7" fillId="7" borderId="7" xfId="0" applyFont="1" applyFill="1" applyBorder="1"/>
    <xf numFmtId="164" fontId="12" fillId="7" borderId="7" xfId="0" applyNumberFormat="1" applyFont="1" applyFill="1" applyBorder="1"/>
    <xf numFmtId="164" fontId="12" fillId="0" borderId="7" xfId="0" applyNumberFormat="1" applyFont="1" applyFill="1" applyBorder="1" applyAlignment="1">
      <alignment horizontal="right"/>
    </xf>
    <xf numFmtId="0" fontId="7" fillId="7" borderId="7" xfId="0" applyFont="1" applyFill="1" applyBorder="1" applyAlignment="1">
      <alignment wrapText="1"/>
    </xf>
    <xf numFmtId="9" fontId="14" fillId="0" borderId="7" xfId="2" applyNumberFormat="1" applyFont="1" applyFill="1" applyBorder="1" applyAlignment="1">
      <alignment horizontal="center"/>
    </xf>
    <xf numFmtId="43" fontId="7" fillId="5" borderId="2" xfId="2" applyFont="1" applyFill="1" applyBorder="1" applyAlignment="1">
      <alignment horizontal="center" wrapText="1"/>
    </xf>
    <xf numFmtId="43" fontId="10" fillId="5" borderId="2" xfId="2" applyFont="1" applyFill="1" applyBorder="1" applyAlignment="1">
      <alignment horizontal="center" wrapText="1"/>
    </xf>
    <xf numFmtId="0" fontId="7" fillId="0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3" fontId="6" fillId="7" borderId="7" xfId="2" applyFont="1" applyFill="1" applyBorder="1"/>
    <xf numFmtId="0" fontId="4" fillId="0" borderId="7" xfId="0" applyFont="1" applyFill="1" applyBorder="1"/>
    <xf numFmtId="0" fontId="17" fillId="0" borderId="7" xfId="0" applyFont="1" applyFill="1" applyBorder="1"/>
    <xf numFmtId="0" fontId="6" fillId="6" borderId="7" xfId="0" applyFont="1" applyFill="1" applyBorder="1"/>
    <xf numFmtId="0" fontId="6" fillId="9" borderId="7" xfId="0" applyFont="1" applyFill="1" applyBorder="1"/>
    <xf numFmtId="164" fontId="12" fillId="9" borderId="7" xfId="0" applyNumberFormat="1" applyFont="1" applyFill="1" applyBorder="1"/>
    <xf numFmtId="43" fontId="15" fillId="9" borderId="7" xfId="2" applyFont="1" applyFill="1" applyBorder="1"/>
    <xf numFmtId="43" fontId="6" fillId="9" borderId="7" xfId="2" applyFont="1" applyFill="1" applyBorder="1"/>
    <xf numFmtId="0" fontId="7" fillId="9" borderId="7" xfId="2" applyNumberFormat="1" applyFont="1" applyFill="1" applyBorder="1" applyAlignment="1">
      <alignment horizontal="center"/>
    </xf>
    <xf numFmtId="43" fontId="7" fillId="9" borderId="7" xfId="2" applyFont="1" applyFill="1" applyBorder="1" applyAlignment="1">
      <alignment horizontal="center"/>
    </xf>
    <xf numFmtId="43" fontId="6" fillId="9" borderId="7" xfId="2" applyFont="1" applyFill="1" applyBorder="1" applyAlignment="1">
      <alignment horizontal="center"/>
    </xf>
    <xf numFmtId="0" fontId="12" fillId="9" borderId="7" xfId="0" applyFont="1" applyFill="1" applyBorder="1" applyAlignment="1">
      <alignment wrapText="1"/>
    </xf>
    <xf numFmtId="43" fontId="12" fillId="9" borderId="7" xfId="2" applyFont="1" applyFill="1" applyBorder="1"/>
    <xf numFmtId="0" fontId="7" fillId="9" borderId="7" xfId="0" applyFont="1" applyFill="1" applyBorder="1"/>
    <xf numFmtId="0" fontId="6" fillId="9" borderId="0" xfId="0" applyFont="1" applyFill="1"/>
    <xf numFmtId="0" fontId="6" fillId="10" borderId="7" xfId="0" applyFont="1" applyFill="1" applyBorder="1"/>
    <xf numFmtId="0" fontId="6" fillId="8" borderId="7" xfId="0" applyFont="1" applyFill="1" applyBorder="1"/>
    <xf numFmtId="164" fontId="12" fillId="8" borderId="7" xfId="0" applyNumberFormat="1" applyFont="1" applyFill="1" applyBorder="1"/>
    <xf numFmtId="43" fontId="6" fillId="8" borderId="7" xfId="2" applyFont="1" applyFill="1" applyBorder="1"/>
    <xf numFmtId="0" fontId="7" fillId="8" borderId="7" xfId="0" applyFont="1" applyFill="1" applyBorder="1"/>
    <xf numFmtId="0" fontId="7" fillId="4" borderId="5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/>
    </xf>
    <xf numFmtId="43" fontId="7" fillId="5" borderId="1" xfId="2" applyFont="1" applyFill="1" applyBorder="1" applyAlignment="1">
      <alignment horizontal="center" wrapText="1"/>
    </xf>
    <xf numFmtId="43" fontId="7" fillId="5" borderId="2" xfId="2" applyFont="1" applyFill="1" applyBorder="1" applyAlignment="1">
      <alignment horizontal="center" wrapText="1"/>
    </xf>
    <xf numFmtId="43" fontId="10" fillId="5" borderId="3" xfId="2" applyFont="1" applyFill="1" applyBorder="1" applyAlignment="1">
      <alignment horizontal="center" wrapText="1"/>
    </xf>
    <xf numFmtId="43" fontId="10" fillId="5" borderId="4" xfId="2" applyFont="1" applyFill="1" applyBorder="1" applyAlignment="1">
      <alignment horizontal="center" wrapText="1"/>
    </xf>
    <xf numFmtId="43" fontId="1" fillId="4" borderId="5" xfId="2" applyFill="1" applyBorder="1" applyAlignment="1">
      <alignment horizontal="center"/>
    </xf>
    <xf numFmtId="43" fontId="7" fillId="5" borderId="1" xfId="2" applyFont="1" applyFill="1" applyBorder="1" applyAlignment="1">
      <alignment horizontal="center" vertical="center" wrapText="1"/>
    </xf>
    <xf numFmtId="43" fontId="7" fillId="5" borderId="2" xfId="2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43" fontId="7" fillId="5" borderId="9" xfId="2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/>
    </xf>
    <xf numFmtId="43" fontId="7" fillId="5" borderId="8" xfId="2" applyFont="1" applyFill="1" applyBorder="1" applyAlignment="1">
      <alignment horizontal="center" vertical="center" wrapText="1"/>
    </xf>
    <xf numFmtId="3" fontId="7" fillId="5" borderId="2" xfId="0" applyNumberFormat="1" applyFont="1" applyFill="1" applyBorder="1" applyAlignment="1">
      <alignment horizontal="center" vertical="center"/>
    </xf>
    <xf numFmtId="3" fontId="7" fillId="5" borderId="9" xfId="0" applyNumberFormat="1" applyFont="1" applyFill="1" applyBorder="1" applyAlignment="1">
      <alignment horizontal="center" vertical="center"/>
    </xf>
    <xf numFmtId="3" fontId="7" fillId="5" borderId="2" xfId="0" applyNumberFormat="1" applyFont="1" applyFill="1" applyBorder="1" applyAlignment="1">
      <alignment horizontal="center" vertical="center" wrapText="1"/>
    </xf>
    <xf numFmtId="3" fontId="7" fillId="5" borderId="9" xfId="0" applyNumberFormat="1" applyFont="1" applyFill="1" applyBorder="1" applyAlignment="1">
      <alignment horizontal="center" vertical="center" wrapText="1"/>
    </xf>
  </cellXfs>
  <cellStyles count="5">
    <cellStyle name="Excel Built-in Normal" xfId="1"/>
    <cellStyle name="Millares" xfId="2" builtinId="3"/>
    <cellStyle name="Normal" xfId="0" builtinId="0"/>
    <cellStyle name="Normal 4" xfId="4"/>
    <cellStyle name="Normal_Hoja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CCFF"/>
      <color rgb="FF66CCFF"/>
      <color rgb="FFFF00FF"/>
      <color rgb="FFFFFF66"/>
      <color rgb="FFF4B082"/>
      <color rgb="FF9999FF"/>
      <color rgb="FFBCD6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D152"/>
  <sheetViews>
    <sheetView tabSelected="1"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3" sqref="A3"/>
    </sheetView>
  </sheetViews>
  <sheetFormatPr baseColWidth="10" defaultColWidth="11.5703125" defaultRowHeight="15"/>
  <cols>
    <col min="1" max="1" width="20.42578125" style="19" customWidth="1"/>
    <col min="2" max="2" width="40" style="19" customWidth="1"/>
    <col min="3" max="3" width="8.140625" style="19" customWidth="1"/>
    <col min="4" max="4" width="29" style="19" customWidth="1"/>
    <col min="5" max="5" width="13.28515625" style="19" customWidth="1"/>
    <col min="6" max="6" width="13.85546875" style="13" customWidth="1"/>
    <col min="7" max="8" width="13.5703125" style="13" customWidth="1"/>
    <col min="9" max="9" width="17" style="14" customWidth="1"/>
    <col min="10" max="12" width="13.5703125" style="13" customWidth="1"/>
    <col min="13" max="13" width="13.5703125" style="15" customWidth="1"/>
    <col min="14" max="14" width="19.28515625" style="15" customWidth="1"/>
    <col min="15" max="15" width="16.85546875" style="15" customWidth="1"/>
    <col min="16" max="16" width="16.140625" style="15" customWidth="1"/>
    <col min="17" max="20" width="13.5703125" style="13" customWidth="1"/>
    <col min="21" max="21" width="16.7109375" style="14" customWidth="1"/>
    <col min="22" max="22" width="16.7109375" style="13" hidden="1" customWidth="1"/>
    <col min="23" max="23" width="15.42578125" style="14" hidden="1" customWidth="1"/>
    <col min="24" max="26" width="13.5703125" style="13" hidden="1" customWidth="1"/>
    <col min="27" max="27" width="15.42578125" style="14" hidden="1" customWidth="1"/>
    <col min="28" max="28" width="15.28515625" style="45" hidden="1" customWidth="1"/>
    <col min="29" max="29" width="12.7109375" style="45" hidden="1" customWidth="1"/>
    <col min="30" max="30" width="11.5703125" style="1" hidden="1" customWidth="1"/>
    <col min="31" max="31" width="19.28515625" style="19" bestFit="1" customWidth="1"/>
    <col min="32" max="32" width="52.42578125" style="19" bestFit="1" customWidth="1"/>
    <col min="33" max="33" width="11.85546875" style="18" bestFit="1" customWidth="1"/>
    <col min="34" max="46" width="11.5703125" style="18"/>
    <col min="47" max="16384" width="11.5703125" style="19"/>
  </cols>
  <sheetData>
    <row r="1" spans="1:46" s="7" customFormat="1">
      <c r="A1" s="2" t="s">
        <v>153</v>
      </c>
      <c r="B1" s="2"/>
      <c r="C1" s="2"/>
      <c r="D1" s="3"/>
      <c r="E1" s="3"/>
      <c r="F1" s="4"/>
      <c r="G1" s="4"/>
      <c r="H1" s="4"/>
      <c r="I1" s="5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5"/>
      <c r="V1" s="4"/>
      <c r="W1" s="5"/>
      <c r="X1" s="4"/>
      <c r="Y1" s="4"/>
      <c r="Z1" s="4"/>
      <c r="AA1" s="5"/>
      <c r="AB1" s="44"/>
      <c r="AC1" s="44"/>
      <c r="AD1" s="22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</row>
    <row r="2" spans="1:46" s="7" customFormat="1">
      <c r="A2" s="8" t="s">
        <v>33</v>
      </c>
      <c r="B2" s="8"/>
      <c r="C2" s="8"/>
      <c r="D2" s="9"/>
      <c r="E2" s="9"/>
      <c r="F2" s="4"/>
      <c r="G2" s="4"/>
      <c r="H2" s="4"/>
      <c r="I2" s="5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5"/>
      <c r="V2" s="4"/>
      <c r="W2" s="5"/>
      <c r="X2" s="4"/>
      <c r="Y2" s="4"/>
      <c r="Z2" s="4"/>
      <c r="AA2" s="5"/>
      <c r="AB2" s="44"/>
      <c r="AC2" s="44"/>
      <c r="AD2" s="22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</row>
    <row r="3" spans="1:46" s="7" customFormat="1">
      <c r="A3" s="10" t="s">
        <v>207</v>
      </c>
      <c r="B3" s="10"/>
      <c r="C3" s="10"/>
      <c r="D3" s="11"/>
      <c r="E3" s="11"/>
      <c r="F3" s="4"/>
      <c r="G3" s="4"/>
      <c r="H3" s="4"/>
      <c r="I3" s="5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5"/>
      <c r="X3" s="4"/>
      <c r="Y3" s="4"/>
      <c r="Z3" s="4"/>
      <c r="AA3" s="5"/>
      <c r="AB3" s="44"/>
      <c r="AC3" s="44"/>
      <c r="AD3" s="22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</row>
    <row r="4" spans="1:46" s="12" customFormat="1">
      <c r="A4" s="12" t="s">
        <v>208</v>
      </c>
      <c r="F4" s="13"/>
      <c r="G4" s="13"/>
      <c r="H4" s="13"/>
      <c r="I4" s="14"/>
      <c r="J4" s="13"/>
      <c r="K4" s="13"/>
      <c r="L4" s="13"/>
      <c r="M4" s="15"/>
      <c r="N4" s="15"/>
      <c r="O4" s="15"/>
      <c r="P4" s="15"/>
      <c r="Q4" s="13"/>
      <c r="R4" s="13"/>
      <c r="S4" s="13"/>
      <c r="T4" s="13"/>
      <c r="U4" s="14"/>
      <c r="V4" s="13"/>
      <c r="W4" s="14"/>
      <c r="X4" s="13"/>
      <c r="Y4" s="13"/>
      <c r="Z4" s="13"/>
      <c r="AA4" s="14"/>
      <c r="AB4" s="45"/>
      <c r="AC4" s="45"/>
      <c r="AD4" s="1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</row>
    <row r="5" spans="1:46" s="12" customFormat="1" ht="28.5" customHeight="1">
      <c r="A5" s="117" t="s">
        <v>13</v>
      </c>
      <c r="B5" s="117" t="s">
        <v>14</v>
      </c>
      <c r="C5" s="117" t="s">
        <v>80</v>
      </c>
      <c r="D5" s="117" t="s">
        <v>0</v>
      </c>
      <c r="E5" s="119" t="s">
        <v>76</v>
      </c>
      <c r="F5" s="111" t="s">
        <v>32</v>
      </c>
      <c r="G5" s="110" t="s">
        <v>9</v>
      </c>
      <c r="H5" s="110" t="s">
        <v>10</v>
      </c>
      <c r="I5" s="110" t="s">
        <v>11</v>
      </c>
      <c r="J5" s="110" t="s">
        <v>12</v>
      </c>
      <c r="K5" s="111" t="s">
        <v>119</v>
      </c>
      <c r="L5" s="111" t="s">
        <v>91</v>
      </c>
      <c r="M5" s="112" t="s">
        <v>48</v>
      </c>
      <c r="N5" s="112" t="s">
        <v>63</v>
      </c>
      <c r="O5" s="112" t="s">
        <v>62</v>
      </c>
      <c r="P5" s="112" t="s">
        <v>49</v>
      </c>
      <c r="Q5" s="110" t="s">
        <v>6</v>
      </c>
      <c r="R5" s="110" t="s">
        <v>16</v>
      </c>
      <c r="S5" s="110" t="s">
        <v>15</v>
      </c>
      <c r="T5" s="110" t="s">
        <v>8</v>
      </c>
      <c r="U5" s="110" t="s">
        <v>23</v>
      </c>
      <c r="V5" s="105" t="s">
        <v>3</v>
      </c>
      <c r="W5" s="105" t="s">
        <v>7</v>
      </c>
      <c r="X5" s="105" t="s">
        <v>2</v>
      </c>
      <c r="Y5" s="105" t="s">
        <v>4</v>
      </c>
      <c r="Z5" s="24"/>
      <c r="AA5" s="105" t="s">
        <v>5</v>
      </c>
      <c r="AB5" s="107" t="s">
        <v>100</v>
      </c>
      <c r="AC5" s="108"/>
      <c r="AD5" s="109" t="s">
        <v>50</v>
      </c>
      <c r="AE5" s="103" t="s">
        <v>84</v>
      </c>
      <c r="AF5" s="103" t="s">
        <v>85</v>
      </c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</row>
    <row r="6" spans="1:46" s="82" customFormat="1" ht="39" customHeight="1">
      <c r="A6" s="118"/>
      <c r="B6" s="118"/>
      <c r="C6" s="118"/>
      <c r="D6" s="118"/>
      <c r="E6" s="120"/>
      <c r="F6" s="116"/>
      <c r="G6" s="111"/>
      <c r="H6" s="111"/>
      <c r="I6" s="111"/>
      <c r="J6" s="111"/>
      <c r="K6" s="114"/>
      <c r="L6" s="114"/>
      <c r="M6" s="113"/>
      <c r="N6" s="113"/>
      <c r="O6" s="113"/>
      <c r="P6" s="113"/>
      <c r="Q6" s="111"/>
      <c r="R6" s="111"/>
      <c r="S6" s="111"/>
      <c r="T6" s="111"/>
      <c r="U6" s="111"/>
      <c r="V6" s="106"/>
      <c r="W6" s="106"/>
      <c r="X6" s="106"/>
      <c r="Y6" s="106"/>
      <c r="Z6" s="79"/>
      <c r="AA6" s="106"/>
      <c r="AB6" s="80" t="s">
        <v>24</v>
      </c>
      <c r="AC6" s="80" t="s">
        <v>25</v>
      </c>
      <c r="AD6" s="109"/>
      <c r="AE6" s="103"/>
      <c r="AF6" s="103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</row>
    <row r="7" spans="1:46" s="18" customFormat="1">
      <c r="A7" s="98" t="s">
        <v>28</v>
      </c>
      <c r="B7" s="34" t="s">
        <v>209</v>
      </c>
      <c r="C7" s="34"/>
      <c r="D7" s="34" t="s">
        <v>30</v>
      </c>
      <c r="E7" s="76">
        <v>42689</v>
      </c>
      <c r="F7" s="35">
        <v>6624.36</v>
      </c>
      <c r="G7" s="35"/>
      <c r="H7" s="35"/>
      <c r="I7" s="49">
        <f>SUM(F7:H7)</f>
        <v>6624.36</v>
      </c>
      <c r="J7" s="35"/>
      <c r="K7" s="67"/>
      <c r="L7" s="35"/>
      <c r="M7" s="35"/>
      <c r="N7" s="68"/>
      <c r="O7" s="68"/>
      <c r="P7" s="35"/>
      <c r="Q7" s="33"/>
      <c r="R7" s="33"/>
      <c r="S7" s="34"/>
      <c r="T7" s="34"/>
      <c r="U7" s="49">
        <f t="shared" ref="U7:U29" si="0">+I7-SUM(J7:T7)</f>
        <v>6624.36</v>
      </c>
      <c r="V7" s="33">
        <f t="shared" ref="V7:V29" si="1">IF(I7&gt;2250,I7*0.1,0)</f>
        <v>662.43600000000004</v>
      </c>
      <c r="W7" s="49">
        <f t="shared" ref="W7:W29" si="2">+U7-V7</f>
        <v>5961.924</v>
      </c>
      <c r="X7" s="33"/>
      <c r="Y7" s="33"/>
      <c r="Z7" s="33"/>
      <c r="AA7" s="49"/>
      <c r="AB7" s="56"/>
      <c r="AC7" s="57"/>
      <c r="AD7" s="50"/>
      <c r="AE7" s="36">
        <v>60590331922</v>
      </c>
      <c r="AF7" s="34"/>
      <c r="AG7" s="18" t="s">
        <v>193</v>
      </c>
    </row>
    <row r="8" spans="1:46" s="18" customFormat="1">
      <c r="A8" s="98" t="s">
        <v>39</v>
      </c>
      <c r="B8" s="34" t="s">
        <v>72</v>
      </c>
      <c r="C8" s="34"/>
      <c r="D8" s="34" t="s">
        <v>29</v>
      </c>
      <c r="E8" s="54">
        <v>42062</v>
      </c>
      <c r="F8" s="35">
        <v>1528.55</v>
      </c>
      <c r="G8" s="35"/>
      <c r="H8" s="35"/>
      <c r="I8" s="49">
        <f t="shared" ref="I8:I72" si="3">SUM(F8:H8)</f>
        <v>1528.55</v>
      </c>
      <c r="J8" s="35"/>
      <c r="K8" s="67">
        <v>1</v>
      </c>
      <c r="L8" s="35"/>
      <c r="M8" s="35">
        <v>0</v>
      </c>
      <c r="N8" s="68"/>
      <c r="O8" s="68"/>
      <c r="P8" s="35"/>
      <c r="Q8" s="33"/>
      <c r="R8" s="33"/>
      <c r="S8" s="34"/>
      <c r="T8" s="34">
        <v>0</v>
      </c>
      <c r="U8" s="49">
        <f t="shared" si="0"/>
        <v>1527.55</v>
      </c>
      <c r="V8" s="33">
        <f t="shared" si="1"/>
        <v>0</v>
      </c>
      <c r="W8" s="49">
        <f t="shared" si="2"/>
        <v>1527.55</v>
      </c>
      <c r="X8" s="33">
        <f t="shared" ref="X8:X29" si="4">IF(I8&lt;2250,I8*0.1,0)</f>
        <v>152.85499999999999</v>
      </c>
      <c r="Y8" s="33">
        <v>10.23</v>
      </c>
      <c r="Z8" s="33">
        <f t="shared" ref="Z8:Z29" si="5">+N8</f>
        <v>0</v>
      </c>
      <c r="AA8" s="49">
        <f t="shared" ref="AA8:AA29" si="6">+I8+X8+Y8+Z8</f>
        <v>1691.635</v>
      </c>
      <c r="AB8" s="56"/>
      <c r="AC8" s="57"/>
      <c r="AD8" s="50">
        <f t="shared" ref="AD8:AD15" si="7">+AB8+AC8-W8</f>
        <v>-1527.55</v>
      </c>
      <c r="AE8" s="36">
        <v>56708844887</v>
      </c>
      <c r="AF8" s="34"/>
      <c r="AG8" s="18" t="s">
        <v>193</v>
      </c>
    </row>
    <row r="9" spans="1:46" s="18" customFormat="1">
      <c r="A9" s="98" t="s">
        <v>28</v>
      </c>
      <c r="B9" s="34" t="s">
        <v>66</v>
      </c>
      <c r="C9" s="34" t="s">
        <v>80</v>
      </c>
      <c r="D9" s="34" t="s">
        <v>31</v>
      </c>
      <c r="E9" s="54">
        <v>41797</v>
      </c>
      <c r="F9" s="35"/>
      <c r="G9" s="35"/>
      <c r="H9" s="35"/>
      <c r="I9" s="49">
        <f t="shared" si="3"/>
        <v>0</v>
      </c>
      <c r="J9" s="35">
        <v>327</v>
      </c>
      <c r="K9" s="67"/>
      <c r="L9" s="67"/>
      <c r="M9" s="35">
        <v>0</v>
      </c>
      <c r="N9" s="68"/>
      <c r="O9" s="68"/>
      <c r="P9" s="35"/>
      <c r="Q9" s="33"/>
      <c r="R9" s="33"/>
      <c r="S9" s="34"/>
      <c r="T9" s="34">
        <v>0</v>
      </c>
      <c r="U9" s="49">
        <f>+I9-SUM(J9:T9)</f>
        <v>-327</v>
      </c>
      <c r="V9" s="33">
        <f>IF(I9&gt;2250,I9*0.1,0)</f>
        <v>0</v>
      </c>
      <c r="W9" s="49">
        <f>+U9-V9</f>
        <v>-327</v>
      </c>
      <c r="X9" s="33">
        <f>IF(I9&lt;2250,I9*0.1,0)</f>
        <v>0</v>
      </c>
      <c r="Y9" s="33">
        <v>10.23</v>
      </c>
      <c r="Z9" s="33">
        <f>+N9</f>
        <v>0</v>
      </c>
      <c r="AA9" s="49">
        <f>+I9+X9+Y9+Z9</f>
        <v>10.23</v>
      </c>
      <c r="AB9" s="56"/>
      <c r="AC9" s="57"/>
      <c r="AD9" s="50">
        <f>+AB9+AC9-W9</f>
        <v>327</v>
      </c>
      <c r="AE9" s="36">
        <v>56708844890</v>
      </c>
      <c r="AF9" s="36" t="s">
        <v>203</v>
      </c>
      <c r="AG9" s="18" t="s">
        <v>193</v>
      </c>
    </row>
    <row r="10" spans="1:46" s="18" customFormat="1">
      <c r="A10" s="98" t="s">
        <v>39</v>
      </c>
      <c r="B10" s="34" t="s">
        <v>159</v>
      </c>
      <c r="C10" s="34"/>
      <c r="D10" s="34" t="s">
        <v>29</v>
      </c>
      <c r="E10" s="54">
        <v>42725</v>
      </c>
      <c r="F10" s="35">
        <v>1414.66</v>
      </c>
      <c r="G10" s="35"/>
      <c r="H10" s="35"/>
      <c r="I10" s="49">
        <f t="shared" si="3"/>
        <v>1414.66</v>
      </c>
      <c r="J10" s="35"/>
      <c r="K10" s="67"/>
      <c r="L10" s="35"/>
      <c r="M10" s="35"/>
      <c r="N10" s="68"/>
      <c r="O10" s="68"/>
      <c r="P10" s="35"/>
      <c r="Q10" s="33"/>
      <c r="R10" s="33"/>
      <c r="S10" s="34"/>
      <c r="T10" s="34"/>
      <c r="U10" s="49">
        <f t="shared" ref="U10:U11" si="8">+I10-SUM(J10:T10)</f>
        <v>1414.66</v>
      </c>
      <c r="V10" s="33">
        <f t="shared" ref="V10" si="9">IF(I10&gt;2250,I10*0.1,0)</f>
        <v>0</v>
      </c>
      <c r="W10" s="49">
        <f t="shared" ref="W10" si="10">+U10-V10</f>
        <v>1414.66</v>
      </c>
      <c r="X10" s="33"/>
      <c r="Y10" s="33"/>
      <c r="Z10" s="33"/>
      <c r="AA10" s="49"/>
      <c r="AB10" s="56"/>
      <c r="AC10" s="57"/>
      <c r="AD10" s="50"/>
      <c r="AE10" s="36">
        <v>56708519619</v>
      </c>
      <c r="AF10" s="36"/>
      <c r="AG10" s="18" t="s">
        <v>193</v>
      </c>
    </row>
    <row r="11" spans="1:46" s="18" customFormat="1">
      <c r="A11" s="98" t="s">
        <v>28</v>
      </c>
      <c r="B11" s="34" t="s">
        <v>179</v>
      </c>
      <c r="C11" s="34"/>
      <c r="D11" s="34" t="s">
        <v>30</v>
      </c>
      <c r="E11" s="54">
        <v>42796</v>
      </c>
      <c r="F11" s="35"/>
      <c r="G11" s="35"/>
      <c r="H11" s="35"/>
      <c r="I11" s="49">
        <f t="shared" si="3"/>
        <v>0</v>
      </c>
      <c r="J11" s="35"/>
      <c r="K11" s="67"/>
      <c r="L11" s="35"/>
      <c r="M11" s="35"/>
      <c r="N11" s="68"/>
      <c r="O11" s="68"/>
      <c r="P11" s="35"/>
      <c r="Q11" s="33"/>
      <c r="R11" s="33"/>
      <c r="S11" s="34"/>
      <c r="T11" s="34">
        <v>192</v>
      </c>
      <c r="U11" s="49">
        <f t="shared" si="8"/>
        <v>-192</v>
      </c>
      <c r="V11" s="33"/>
      <c r="W11" s="49"/>
      <c r="X11" s="33"/>
      <c r="Y11" s="33"/>
      <c r="Z11" s="33"/>
      <c r="AA11" s="49"/>
      <c r="AB11" s="56"/>
      <c r="AC11" s="57"/>
      <c r="AD11" s="50"/>
      <c r="AE11" s="36">
        <v>56676948556</v>
      </c>
      <c r="AF11" s="36"/>
      <c r="AG11" s="18" t="s">
        <v>193</v>
      </c>
    </row>
    <row r="12" spans="1:46" s="18" customFormat="1">
      <c r="A12" s="98" t="s">
        <v>39</v>
      </c>
      <c r="B12" s="34" t="s">
        <v>157</v>
      </c>
      <c r="C12" s="34"/>
      <c r="D12" s="34" t="s">
        <v>116</v>
      </c>
      <c r="E12" s="54">
        <v>42718</v>
      </c>
      <c r="F12" s="35">
        <v>3168</v>
      </c>
      <c r="G12" s="35"/>
      <c r="H12" s="35"/>
      <c r="I12" s="49">
        <f t="shared" si="3"/>
        <v>3168</v>
      </c>
      <c r="J12" s="35"/>
      <c r="K12" s="67"/>
      <c r="L12" s="67"/>
      <c r="M12" s="35"/>
      <c r="N12" s="68"/>
      <c r="O12" s="68"/>
      <c r="P12" s="35"/>
      <c r="Q12" s="33"/>
      <c r="R12" s="33"/>
      <c r="S12" s="34"/>
      <c r="T12" s="34">
        <v>1817</v>
      </c>
      <c r="U12" s="49">
        <f t="shared" ref="U12" si="11">+I12-SUM(J12:T12)</f>
        <v>1351</v>
      </c>
      <c r="V12" s="33">
        <f t="shared" ref="V12" si="12">IF(I12&gt;2250,I12*0.1,0)</f>
        <v>316.8</v>
      </c>
      <c r="W12" s="49">
        <f t="shared" ref="W12" si="13">+U12-V12</f>
        <v>1034.2</v>
      </c>
      <c r="X12" s="33"/>
      <c r="Y12" s="33"/>
      <c r="Z12" s="33"/>
      <c r="AA12" s="49"/>
      <c r="AB12" s="56"/>
      <c r="AC12" s="57"/>
      <c r="AD12" s="50"/>
      <c r="AE12" s="36">
        <v>60590124291</v>
      </c>
      <c r="AF12" s="34"/>
      <c r="AG12" s="18" t="s">
        <v>193</v>
      </c>
    </row>
    <row r="13" spans="1:46" s="18" customFormat="1">
      <c r="A13" s="98" t="s">
        <v>28</v>
      </c>
      <c r="B13" s="34" t="s">
        <v>37</v>
      </c>
      <c r="C13" s="34" t="s">
        <v>80</v>
      </c>
      <c r="D13" s="34" t="s">
        <v>31</v>
      </c>
      <c r="E13" s="54">
        <v>39508</v>
      </c>
      <c r="F13" s="35"/>
      <c r="G13" s="35"/>
      <c r="H13" s="35"/>
      <c r="I13" s="49">
        <f t="shared" si="3"/>
        <v>0</v>
      </c>
      <c r="J13" s="35">
        <v>413.79</v>
      </c>
      <c r="K13" s="67"/>
      <c r="L13" s="35"/>
      <c r="M13" s="35">
        <v>0</v>
      </c>
      <c r="N13" s="68"/>
      <c r="O13" s="68"/>
      <c r="P13" s="35"/>
      <c r="Q13" s="33"/>
      <c r="R13" s="33"/>
      <c r="S13" s="34"/>
      <c r="T13" s="34">
        <v>0</v>
      </c>
      <c r="U13" s="49">
        <f t="shared" si="0"/>
        <v>-413.79</v>
      </c>
      <c r="V13" s="33">
        <f t="shared" si="1"/>
        <v>0</v>
      </c>
      <c r="W13" s="49">
        <f t="shared" si="2"/>
        <v>-413.79</v>
      </c>
      <c r="X13" s="33">
        <f t="shared" si="4"/>
        <v>0</v>
      </c>
      <c r="Y13" s="33">
        <v>10.23</v>
      </c>
      <c r="Z13" s="33">
        <f t="shared" si="5"/>
        <v>0</v>
      </c>
      <c r="AA13" s="49">
        <f t="shared" si="6"/>
        <v>10.23</v>
      </c>
      <c r="AB13" s="56"/>
      <c r="AC13" s="57"/>
      <c r="AD13" s="50">
        <f t="shared" si="7"/>
        <v>413.79</v>
      </c>
      <c r="AE13" s="36">
        <v>56708881292</v>
      </c>
      <c r="AF13" s="36" t="s">
        <v>203</v>
      </c>
      <c r="AG13" s="18" t="s">
        <v>193</v>
      </c>
    </row>
    <row r="14" spans="1:46" s="18" customFormat="1">
      <c r="A14" s="98" t="s">
        <v>28</v>
      </c>
      <c r="B14" s="34" t="s">
        <v>67</v>
      </c>
      <c r="C14" s="34" t="s">
        <v>77</v>
      </c>
      <c r="D14" s="34" t="s">
        <v>30</v>
      </c>
      <c r="E14" s="54">
        <v>42383</v>
      </c>
      <c r="F14" s="35">
        <v>5163.4399999999996</v>
      </c>
      <c r="G14" s="35"/>
      <c r="H14" s="35"/>
      <c r="I14" s="49">
        <f t="shared" si="3"/>
        <v>5163.4399999999996</v>
      </c>
      <c r="J14" s="35"/>
      <c r="K14" s="67"/>
      <c r="L14" s="35">
        <v>54.05</v>
      </c>
      <c r="M14" s="35">
        <v>0</v>
      </c>
      <c r="N14" s="68"/>
      <c r="O14" s="68"/>
      <c r="P14" s="35"/>
      <c r="Q14" s="33"/>
      <c r="R14" s="33"/>
      <c r="S14" s="34"/>
      <c r="T14" s="34">
        <v>345.36</v>
      </c>
      <c r="U14" s="49">
        <f t="shared" si="0"/>
        <v>4764.03</v>
      </c>
      <c r="V14" s="33">
        <f t="shared" si="1"/>
        <v>516.34399999999994</v>
      </c>
      <c r="W14" s="49">
        <f t="shared" si="2"/>
        <v>4247.6859999999997</v>
      </c>
      <c r="X14" s="33">
        <f t="shared" si="4"/>
        <v>0</v>
      </c>
      <c r="Y14" s="33">
        <v>10.23</v>
      </c>
      <c r="Z14" s="33">
        <f t="shared" si="5"/>
        <v>0</v>
      </c>
      <c r="AA14" s="49">
        <f t="shared" si="6"/>
        <v>5173.6699999999992</v>
      </c>
      <c r="AB14" s="56"/>
      <c r="AC14" s="57"/>
      <c r="AD14" s="50">
        <f t="shared" si="7"/>
        <v>-4247.6859999999997</v>
      </c>
      <c r="AE14" s="36">
        <v>56708881304</v>
      </c>
      <c r="AF14" s="34"/>
      <c r="AG14" s="18" t="s">
        <v>193</v>
      </c>
    </row>
    <row r="15" spans="1:46" s="18" customFormat="1">
      <c r="A15" s="98" t="s">
        <v>27</v>
      </c>
      <c r="B15" s="34" t="s">
        <v>57</v>
      </c>
      <c r="C15" s="34" t="s">
        <v>97</v>
      </c>
      <c r="D15" s="34" t="s">
        <v>46</v>
      </c>
      <c r="E15" s="54">
        <v>42416</v>
      </c>
      <c r="F15" s="35"/>
      <c r="G15" s="35"/>
      <c r="H15" s="35"/>
      <c r="I15" s="49">
        <f t="shared" si="3"/>
        <v>0</v>
      </c>
      <c r="J15" s="35"/>
      <c r="K15" s="67"/>
      <c r="L15" s="35">
        <v>66.88</v>
      </c>
      <c r="M15" s="35">
        <v>0</v>
      </c>
      <c r="N15" s="68"/>
      <c r="O15" s="68"/>
      <c r="P15" s="35"/>
      <c r="Q15" s="33"/>
      <c r="R15" s="33"/>
      <c r="S15" s="34"/>
      <c r="T15" s="34">
        <v>437.38</v>
      </c>
      <c r="U15" s="49">
        <f t="shared" si="0"/>
        <v>-504.26</v>
      </c>
      <c r="V15" s="33">
        <f t="shared" si="1"/>
        <v>0</v>
      </c>
      <c r="W15" s="49">
        <f t="shared" si="2"/>
        <v>-504.26</v>
      </c>
      <c r="X15" s="33">
        <f t="shared" si="4"/>
        <v>0</v>
      </c>
      <c r="Y15" s="33">
        <v>10.23</v>
      </c>
      <c r="Z15" s="33">
        <f t="shared" si="5"/>
        <v>0</v>
      </c>
      <c r="AA15" s="49">
        <f t="shared" si="6"/>
        <v>10.23</v>
      </c>
      <c r="AB15" s="56"/>
      <c r="AC15" s="57"/>
      <c r="AD15" s="50">
        <f t="shared" si="7"/>
        <v>504.26</v>
      </c>
      <c r="AE15" s="36">
        <v>56708881318</v>
      </c>
      <c r="AF15" s="34"/>
      <c r="AG15" s="18" t="s">
        <v>193</v>
      </c>
    </row>
    <row r="16" spans="1:46" s="18" customFormat="1">
      <c r="A16" s="98" t="s">
        <v>28</v>
      </c>
      <c r="B16" s="34" t="s">
        <v>87</v>
      </c>
      <c r="C16" s="34" t="s">
        <v>80</v>
      </c>
      <c r="D16" s="34" t="s">
        <v>31</v>
      </c>
      <c r="E16" s="54">
        <v>39699</v>
      </c>
      <c r="F16" s="35"/>
      <c r="G16" s="35"/>
      <c r="H16" s="35"/>
      <c r="I16" s="49">
        <f t="shared" si="3"/>
        <v>0</v>
      </c>
      <c r="J16" s="35">
        <v>413.79</v>
      </c>
      <c r="K16" s="67"/>
      <c r="L16" s="35"/>
      <c r="M16" s="35">
        <v>1000</v>
      </c>
      <c r="N16" s="68"/>
      <c r="O16" s="68"/>
      <c r="P16" s="35"/>
      <c r="Q16" s="33"/>
      <c r="R16" s="33"/>
      <c r="S16" s="34"/>
      <c r="T16" s="34">
        <v>0</v>
      </c>
      <c r="U16" s="49">
        <f t="shared" si="0"/>
        <v>-1413.79</v>
      </c>
      <c r="V16" s="33">
        <f t="shared" si="1"/>
        <v>0</v>
      </c>
      <c r="W16" s="49">
        <f t="shared" si="2"/>
        <v>-1413.79</v>
      </c>
      <c r="X16" s="33">
        <f t="shared" si="4"/>
        <v>0</v>
      </c>
      <c r="Y16" s="33">
        <v>10.23</v>
      </c>
      <c r="Z16" s="33">
        <f t="shared" si="5"/>
        <v>0</v>
      </c>
      <c r="AA16" s="49">
        <f t="shared" si="6"/>
        <v>10.23</v>
      </c>
      <c r="AB16" s="56"/>
      <c r="AC16" s="57"/>
      <c r="AD16" s="50">
        <f t="shared" ref="AD16:AD19" si="14">+AB16+AC16-W16</f>
        <v>1413.79</v>
      </c>
      <c r="AE16" s="36">
        <v>56708881349</v>
      </c>
      <c r="AF16" s="36" t="s">
        <v>203</v>
      </c>
      <c r="AG16" s="18" t="s">
        <v>193</v>
      </c>
    </row>
    <row r="17" spans="1:34" s="18" customFormat="1">
      <c r="A17" s="98" t="s">
        <v>28</v>
      </c>
      <c r="B17" s="34" t="s">
        <v>174</v>
      </c>
      <c r="C17" s="34"/>
      <c r="D17" s="34" t="s">
        <v>30</v>
      </c>
      <c r="E17" s="54">
        <v>42776</v>
      </c>
      <c r="F17" s="35"/>
      <c r="G17" s="35"/>
      <c r="H17" s="35"/>
      <c r="I17" s="49">
        <f t="shared" si="3"/>
        <v>0</v>
      </c>
      <c r="J17" s="35"/>
      <c r="K17" s="67"/>
      <c r="L17" s="35"/>
      <c r="M17" s="35"/>
      <c r="N17" s="68"/>
      <c r="O17" s="68"/>
      <c r="P17" s="35"/>
      <c r="Q17" s="33"/>
      <c r="R17" s="33"/>
      <c r="S17" s="34"/>
      <c r="T17" s="34">
        <v>43.66</v>
      </c>
      <c r="U17" s="49">
        <f t="shared" si="0"/>
        <v>-43.66</v>
      </c>
      <c r="V17" s="33"/>
      <c r="W17" s="49"/>
      <c r="X17" s="33"/>
      <c r="Y17" s="33"/>
      <c r="Z17" s="33"/>
      <c r="AA17" s="49"/>
      <c r="AB17" s="56"/>
      <c r="AC17" s="57"/>
      <c r="AD17" s="50"/>
      <c r="AE17" s="36">
        <v>60589631591</v>
      </c>
      <c r="AF17" s="34"/>
      <c r="AG17" s="18" t="s">
        <v>193</v>
      </c>
    </row>
    <row r="18" spans="1:34" s="18" customFormat="1">
      <c r="A18" s="98" t="s">
        <v>27</v>
      </c>
      <c r="B18" s="34" t="s">
        <v>75</v>
      </c>
      <c r="C18" s="34" t="s">
        <v>97</v>
      </c>
      <c r="D18" s="34" t="s">
        <v>46</v>
      </c>
      <c r="E18" s="54">
        <v>42332</v>
      </c>
      <c r="F18" s="35"/>
      <c r="G18" s="35"/>
      <c r="H18" s="35"/>
      <c r="I18" s="49">
        <f t="shared" si="3"/>
        <v>0</v>
      </c>
      <c r="J18" s="35"/>
      <c r="K18" s="67"/>
      <c r="L18" s="35">
        <v>54.05</v>
      </c>
      <c r="M18" s="35">
        <v>0</v>
      </c>
      <c r="N18" s="68"/>
      <c r="O18" s="68"/>
      <c r="P18" s="35"/>
      <c r="Q18" s="33"/>
      <c r="R18" s="33"/>
      <c r="S18" s="34"/>
      <c r="T18" s="34">
        <v>700</v>
      </c>
      <c r="U18" s="49">
        <f t="shared" si="0"/>
        <v>-754.05</v>
      </c>
      <c r="V18" s="33">
        <f t="shared" si="1"/>
        <v>0</v>
      </c>
      <c r="W18" s="49">
        <f t="shared" si="2"/>
        <v>-754.05</v>
      </c>
      <c r="X18" s="33">
        <f t="shared" si="4"/>
        <v>0</v>
      </c>
      <c r="Y18" s="33">
        <v>10.23</v>
      </c>
      <c r="Z18" s="33">
        <f t="shared" si="5"/>
        <v>0</v>
      </c>
      <c r="AA18" s="49">
        <f t="shared" si="6"/>
        <v>10.23</v>
      </c>
      <c r="AB18" s="56"/>
      <c r="AC18" s="57"/>
      <c r="AD18" s="50">
        <f t="shared" si="14"/>
        <v>754.05</v>
      </c>
      <c r="AE18" s="36">
        <v>56708844947</v>
      </c>
      <c r="AF18" s="36"/>
      <c r="AG18" s="18" t="s">
        <v>193</v>
      </c>
    </row>
    <row r="19" spans="1:34" s="18" customFormat="1">
      <c r="A19" s="98" t="s">
        <v>28</v>
      </c>
      <c r="B19" s="34" t="s">
        <v>95</v>
      </c>
      <c r="C19" s="34" t="s">
        <v>82</v>
      </c>
      <c r="D19" s="34" t="s">
        <v>30</v>
      </c>
      <c r="E19" s="54">
        <v>42437</v>
      </c>
      <c r="F19" s="35"/>
      <c r="G19" s="35"/>
      <c r="H19" s="35"/>
      <c r="I19" s="49">
        <f t="shared" si="3"/>
        <v>0</v>
      </c>
      <c r="J19" s="35"/>
      <c r="K19" s="67"/>
      <c r="L19" s="35">
        <v>47.05</v>
      </c>
      <c r="M19" s="35">
        <v>0</v>
      </c>
      <c r="N19" s="68"/>
      <c r="O19" s="68"/>
      <c r="P19" s="35"/>
      <c r="Q19" s="33"/>
      <c r="R19" s="33"/>
      <c r="S19" s="34"/>
      <c r="T19" s="34">
        <v>0</v>
      </c>
      <c r="U19" s="49">
        <f t="shared" si="0"/>
        <v>-47.05</v>
      </c>
      <c r="V19" s="33">
        <f t="shared" si="1"/>
        <v>0</v>
      </c>
      <c r="W19" s="49">
        <f t="shared" si="2"/>
        <v>-47.05</v>
      </c>
      <c r="X19" s="33">
        <f t="shared" si="4"/>
        <v>0</v>
      </c>
      <c r="Y19" s="33">
        <v>10.23</v>
      </c>
      <c r="Z19" s="33">
        <f t="shared" si="5"/>
        <v>0</v>
      </c>
      <c r="AA19" s="49">
        <f t="shared" si="6"/>
        <v>10.23</v>
      </c>
      <c r="AB19" s="56"/>
      <c r="AC19" s="57"/>
      <c r="AD19" s="50">
        <f t="shared" si="14"/>
        <v>47.05</v>
      </c>
      <c r="AE19" s="36">
        <v>56708881352</v>
      </c>
      <c r="AF19" s="36"/>
      <c r="AG19" s="18" t="s">
        <v>193</v>
      </c>
    </row>
    <row r="20" spans="1:34" s="18" customFormat="1" ht="15.75">
      <c r="A20" s="98" t="s">
        <v>81</v>
      </c>
      <c r="B20" s="34" t="s">
        <v>58</v>
      </c>
      <c r="C20" s="34"/>
      <c r="D20" s="86" t="s">
        <v>45</v>
      </c>
      <c r="E20" s="54">
        <v>42205</v>
      </c>
      <c r="F20" s="70"/>
      <c r="G20" s="35"/>
      <c r="H20" s="35"/>
      <c r="I20" s="49">
        <f t="shared" si="3"/>
        <v>0</v>
      </c>
      <c r="J20" s="35"/>
      <c r="K20" s="67"/>
      <c r="L20" s="35"/>
      <c r="M20" s="35">
        <v>300</v>
      </c>
      <c r="N20" s="68"/>
      <c r="O20" s="68"/>
      <c r="P20" s="35"/>
      <c r="Q20" s="33"/>
      <c r="R20" s="78">
        <v>0.3</v>
      </c>
      <c r="S20" s="34"/>
      <c r="T20" s="34">
        <v>0</v>
      </c>
      <c r="U20" s="49">
        <f t="shared" si="0"/>
        <v>-300.3</v>
      </c>
      <c r="V20" s="33">
        <f t="shared" si="1"/>
        <v>0</v>
      </c>
      <c r="W20" s="49">
        <f t="shared" si="2"/>
        <v>-300.3</v>
      </c>
      <c r="X20" s="33">
        <f t="shared" si="4"/>
        <v>0</v>
      </c>
      <c r="Y20" s="33">
        <v>10.23</v>
      </c>
      <c r="Z20" s="33">
        <f t="shared" si="5"/>
        <v>0</v>
      </c>
      <c r="AA20" s="49">
        <f t="shared" si="6"/>
        <v>10.23</v>
      </c>
      <c r="AB20" s="56"/>
      <c r="AC20" s="56"/>
      <c r="AD20" s="50">
        <f t="shared" ref="AD20" si="15">+AB20+AC20-W20</f>
        <v>300.3</v>
      </c>
      <c r="AE20" s="36">
        <v>56708844950</v>
      </c>
      <c r="AF20" s="34"/>
      <c r="AG20" s="18" t="s">
        <v>193</v>
      </c>
    </row>
    <row r="21" spans="1:34" s="18" customFormat="1">
      <c r="A21" s="98" t="s">
        <v>81</v>
      </c>
      <c r="B21" s="34" t="s">
        <v>110</v>
      </c>
      <c r="C21" s="34"/>
      <c r="D21" s="86" t="s">
        <v>45</v>
      </c>
      <c r="E21" s="54">
        <v>42476</v>
      </c>
      <c r="F21" s="70">
        <v>2500</v>
      </c>
      <c r="G21" s="35"/>
      <c r="H21" s="35"/>
      <c r="I21" s="49">
        <f t="shared" si="3"/>
        <v>2500</v>
      </c>
      <c r="J21" s="35"/>
      <c r="K21" s="67"/>
      <c r="L21" s="35"/>
      <c r="M21" s="35">
        <v>0</v>
      </c>
      <c r="N21" s="68"/>
      <c r="O21" s="68"/>
      <c r="P21" s="35"/>
      <c r="Q21" s="33"/>
      <c r="R21" s="33"/>
      <c r="S21" s="34"/>
      <c r="T21" s="34">
        <v>0</v>
      </c>
      <c r="U21" s="49">
        <f t="shared" ref="U21" si="16">+I21-SUM(J21:T21)</f>
        <v>2500</v>
      </c>
      <c r="V21" s="33">
        <f t="shared" ref="V21" si="17">IF(I21&gt;2250,I21*0.1,0)</f>
        <v>250</v>
      </c>
      <c r="W21" s="49">
        <f t="shared" ref="W21" si="18">+U21-V21</f>
        <v>2250</v>
      </c>
      <c r="X21" s="33">
        <f t="shared" si="4"/>
        <v>0</v>
      </c>
      <c r="Y21" s="33">
        <v>10.23</v>
      </c>
      <c r="Z21" s="33">
        <f t="shared" si="5"/>
        <v>0</v>
      </c>
      <c r="AA21" s="49">
        <f t="shared" si="6"/>
        <v>2510.23</v>
      </c>
      <c r="AB21" s="56"/>
      <c r="AC21" s="56"/>
      <c r="AD21" s="50">
        <f>+AB21+AC21-W24</f>
        <v>-2250</v>
      </c>
      <c r="AE21" s="36">
        <v>56708844964</v>
      </c>
      <c r="AF21" s="36"/>
      <c r="AG21" s="18" t="s">
        <v>193</v>
      </c>
    </row>
    <row r="22" spans="1:34" s="97" customFormat="1">
      <c r="A22" s="87" t="s">
        <v>41</v>
      </c>
      <c r="B22" s="87" t="s">
        <v>205</v>
      </c>
      <c r="C22" s="87"/>
      <c r="D22" s="87" t="s">
        <v>45</v>
      </c>
      <c r="E22" s="88">
        <v>42834</v>
      </c>
      <c r="F22" s="89"/>
      <c r="G22" s="90"/>
      <c r="H22" s="90"/>
      <c r="I22" s="40"/>
      <c r="J22" s="90"/>
      <c r="K22" s="91"/>
      <c r="L22" s="90"/>
      <c r="M22" s="90"/>
      <c r="N22" s="92"/>
      <c r="O22" s="92"/>
      <c r="P22" s="90"/>
      <c r="Q22" s="93"/>
      <c r="R22" s="93"/>
      <c r="S22" s="87"/>
      <c r="T22" s="87"/>
      <c r="U22" s="40"/>
      <c r="V22" s="93"/>
      <c r="W22" s="40"/>
      <c r="X22" s="93"/>
      <c r="Y22" s="93"/>
      <c r="Z22" s="93"/>
      <c r="AA22" s="40"/>
      <c r="AB22" s="94"/>
      <c r="AC22" s="94"/>
      <c r="AD22" s="95"/>
      <c r="AE22" s="96">
        <v>60590050780</v>
      </c>
      <c r="AF22" s="96" t="s">
        <v>211</v>
      </c>
      <c r="AG22" s="97" t="s">
        <v>193</v>
      </c>
    </row>
    <row r="23" spans="1:34" s="18" customFormat="1">
      <c r="A23" s="98" t="s">
        <v>26</v>
      </c>
      <c r="B23" s="34" t="s">
        <v>167</v>
      </c>
      <c r="C23" s="34"/>
      <c r="D23" s="34" t="s">
        <v>44</v>
      </c>
      <c r="E23" s="54">
        <v>42756</v>
      </c>
      <c r="F23" s="35">
        <v>2040</v>
      </c>
      <c r="G23" s="35"/>
      <c r="H23" s="35"/>
      <c r="I23" s="49">
        <f t="shared" si="3"/>
        <v>2040</v>
      </c>
      <c r="J23" s="35"/>
      <c r="K23" s="67" t="s">
        <v>212</v>
      </c>
      <c r="L23" s="35"/>
      <c r="M23" s="35"/>
      <c r="N23" s="68"/>
      <c r="O23" s="68"/>
      <c r="P23" s="35"/>
      <c r="Q23" s="33"/>
      <c r="R23" s="33"/>
      <c r="S23" s="34"/>
      <c r="T23" s="34"/>
      <c r="U23" s="49">
        <f t="shared" ref="U23" si="19">+I23-SUM(J23:T23)</f>
        <v>2040</v>
      </c>
      <c r="V23" s="33">
        <f t="shared" ref="V23" si="20">IF(I23&gt;2250,I23*0.1,0)</f>
        <v>0</v>
      </c>
      <c r="W23" s="49">
        <f t="shared" ref="W23" si="21">+U23-V23</f>
        <v>2040</v>
      </c>
      <c r="X23" s="33"/>
      <c r="Y23" s="33"/>
      <c r="Z23" s="33"/>
      <c r="AA23" s="49"/>
      <c r="AB23" s="56"/>
      <c r="AC23" s="56"/>
      <c r="AD23" s="50"/>
      <c r="AE23" s="36">
        <v>56706751056</v>
      </c>
      <c r="AF23" s="36"/>
      <c r="AG23" s="18" t="s">
        <v>193</v>
      </c>
    </row>
    <row r="24" spans="1:34" s="18" customFormat="1">
      <c r="A24" s="98" t="s">
        <v>39</v>
      </c>
      <c r="B24" s="34" t="s">
        <v>161</v>
      </c>
      <c r="C24" s="34"/>
      <c r="D24" s="34" t="s">
        <v>29</v>
      </c>
      <c r="E24" s="54">
        <v>42740</v>
      </c>
      <c r="F24" s="35">
        <v>1364.49</v>
      </c>
      <c r="G24" s="35"/>
      <c r="H24" s="35"/>
      <c r="I24" s="49">
        <f t="shared" si="3"/>
        <v>1364.49</v>
      </c>
      <c r="J24" s="35"/>
      <c r="K24" s="67"/>
      <c r="L24" s="35"/>
      <c r="M24" s="35"/>
      <c r="N24" s="68"/>
      <c r="O24" s="68"/>
      <c r="P24" s="35"/>
      <c r="Q24" s="33"/>
      <c r="R24" s="33"/>
      <c r="S24" s="34"/>
      <c r="T24" s="34">
        <v>660.45</v>
      </c>
      <c r="U24" s="34">
        <f>+I21-SUM(J21:T21)</f>
        <v>2500</v>
      </c>
      <c r="V24" s="34">
        <f>IF(I21&gt;2250,I21*0.1,0)</f>
        <v>250</v>
      </c>
      <c r="W24" s="34">
        <f>+U24-V24</f>
        <v>2250</v>
      </c>
      <c r="X24" s="33"/>
      <c r="Y24" s="33"/>
      <c r="Z24" s="33"/>
      <c r="AA24" s="49"/>
      <c r="AB24" s="56"/>
      <c r="AC24" s="56"/>
      <c r="AD24" s="50"/>
      <c r="AE24" s="84" t="s">
        <v>196</v>
      </c>
      <c r="AF24" s="36"/>
      <c r="AG24" s="18" t="s">
        <v>194</v>
      </c>
    </row>
    <row r="25" spans="1:34" s="18" customFormat="1">
      <c r="A25" s="98" t="s">
        <v>39</v>
      </c>
      <c r="B25" s="34" t="s">
        <v>117</v>
      </c>
      <c r="C25" s="34"/>
      <c r="D25" s="34" t="s">
        <v>29</v>
      </c>
      <c r="E25" s="54">
        <v>42514</v>
      </c>
      <c r="F25" s="35">
        <v>2077.79</v>
      </c>
      <c r="G25" s="35"/>
      <c r="H25" s="35"/>
      <c r="I25" s="49">
        <f t="shared" si="3"/>
        <v>2077.79</v>
      </c>
      <c r="J25" s="35"/>
      <c r="K25" s="67"/>
      <c r="L25" s="35"/>
      <c r="M25" s="35">
        <v>0</v>
      </c>
      <c r="N25" s="68"/>
      <c r="O25" s="68"/>
      <c r="P25" s="35"/>
      <c r="Q25" s="33"/>
      <c r="R25" s="33"/>
      <c r="S25" s="34"/>
      <c r="T25" s="34">
        <v>0</v>
      </c>
      <c r="U25" s="49">
        <f t="shared" si="0"/>
        <v>2077.79</v>
      </c>
      <c r="V25" s="33">
        <f t="shared" si="1"/>
        <v>0</v>
      </c>
      <c r="W25" s="49">
        <f t="shared" si="2"/>
        <v>2077.79</v>
      </c>
      <c r="X25" s="33">
        <f t="shared" si="4"/>
        <v>207.779</v>
      </c>
      <c r="Y25" s="33">
        <v>11.23</v>
      </c>
      <c r="Z25" s="33">
        <f t="shared" si="5"/>
        <v>0</v>
      </c>
      <c r="AA25" s="49">
        <f t="shared" si="6"/>
        <v>2296.799</v>
      </c>
      <c r="AB25" s="56"/>
      <c r="AC25" s="57"/>
      <c r="AD25" s="50"/>
      <c r="AE25" s="36">
        <v>56708844978</v>
      </c>
      <c r="AF25" s="36"/>
      <c r="AG25" s="18" t="s">
        <v>193</v>
      </c>
    </row>
    <row r="26" spans="1:34" s="18" customFormat="1">
      <c r="A26" s="98" t="s">
        <v>28</v>
      </c>
      <c r="B26" s="34" t="s">
        <v>143</v>
      </c>
      <c r="C26" s="34"/>
      <c r="D26" s="34" t="s">
        <v>144</v>
      </c>
      <c r="E26" s="54">
        <v>41359</v>
      </c>
      <c r="F26" s="35">
        <v>4375.8</v>
      </c>
      <c r="G26" s="35"/>
      <c r="H26" s="35"/>
      <c r="I26" s="49">
        <f t="shared" si="3"/>
        <v>4375.8</v>
      </c>
      <c r="J26" s="35">
        <v>413.79</v>
      </c>
      <c r="K26" s="67"/>
      <c r="L26" s="35"/>
      <c r="M26" s="35"/>
      <c r="N26" s="68"/>
      <c r="O26" s="68"/>
      <c r="P26" s="35"/>
      <c r="Q26" s="33"/>
      <c r="R26" s="33"/>
      <c r="S26" s="34"/>
      <c r="T26" s="34"/>
      <c r="U26" s="49">
        <f t="shared" ref="U26" si="22">+I26-SUM(J26:T26)</f>
        <v>3962.01</v>
      </c>
      <c r="V26" s="33">
        <f t="shared" ref="V26" si="23">IF(I26&gt;2250,I26*0.1,0)</f>
        <v>437.58000000000004</v>
      </c>
      <c r="W26" s="49">
        <f t="shared" ref="W26" si="24">+U26-V26</f>
        <v>3524.4300000000003</v>
      </c>
      <c r="X26" s="33"/>
      <c r="Y26" s="33"/>
      <c r="Z26" s="33"/>
      <c r="AA26" s="49"/>
      <c r="AB26" s="56"/>
      <c r="AC26" s="57"/>
      <c r="AD26" s="50"/>
      <c r="AE26" s="36">
        <v>56708881383</v>
      </c>
      <c r="AF26" s="36" t="s">
        <v>203</v>
      </c>
      <c r="AG26" s="18" t="s">
        <v>193</v>
      </c>
    </row>
    <row r="27" spans="1:34" s="18" customFormat="1">
      <c r="A27" s="98" t="s">
        <v>28</v>
      </c>
      <c r="B27" s="34" t="s">
        <v>178</v>
      </c>
      <c r="C27" s="34"/>
      <c r="D27" s="34" t="s">
        <v>30</v>
      </c>
      <c r="E27" s="54">
        <v>42798</v>
      </c>
      <c r="F27" s="35">
        <v>7803.22</v>
      </c>
      <c r="G27" s="35"/>
      <c r="H27" s="35"/>
      <c r="I27" s="49">
        <f t="shared" si="3"/>
        <v>7803.22</v>
      </c>
      <c r="J27" s="35"/>
      <c r="K27" s="67"/>
      <c r="L27" s="35"/>
      <c r="M27" s="35"/>
      <c r="N27" s="68"/>
      <c r="O27" s="68"/>
      <c r="P27" s="35"/>
      <c r="Q27" s="33"/>
      <c r="R27" s="33"/>
      <c r="S27" s="34"/>
      <c r="T27" s="34">
        <v>2500</v>
      </c>
      <c r="U27" s="49">
        <f t="shared" ref="U27" si="25">+I27-SUM(J27:T27)</f>
        <v>5303.22</v>
      </c>
      <c r="V27" s="33"/>
      <c r="W27" s="49"/>
      <c r="X27" s="33"/>
      <c r="Y27" s="33"/>
      <c r="Z27" s="33"/>
      <c r="AA27" s="49"/>
      <c r="AB27" s="56"/>
      <c r="AC27" s="57"/>
      <c r="AD27" s="50"/>
      <c r="AE27" s="84">
        <v>1129000062</v>
      </c>
      <c r="AF27" s="36"/>
      <c r="AG27" s="18" t="s">
        <v>195</v>
      </c>
      <c r="AH27" s="18" t="s">
        <v>215</v>
      </c>
    </row>
    <row r="28" spans="1:34" s="18" customFormat="1">
      <c r="A28" s="98" t="s">
        <v>28</v>
      </c>
      <c r="B28" s="34" t="s">
        <v>109</v>
      </c>
      <c r="C28" s="34" t="s">
        <v>77</v>
      </c>
      <c r="D28" s="34" t="s">
        <v>30</v>
      </c>
      <c r="E28" s="54">
        <v>42413</v>
      </c>
      <c r="F28" s="35"/>
      <c r="G28" s="35"/>
      <c r="H28" s="35"/>
      <c r="I28" s="49">
        <f t="shared" si="3"/>
        <v>0</v>
      </c>
      <c r="J28" s="35"/>
      <c r="K28" s="67"/>
      <c r="L28" s="35">
        <v>33.049999999999997</v>
      </c>
      <c r="M28" s="35">
        <v>0</v>
      </c>
      <c r="N28" s="68"/>
      <c r="O28" s="68"/>
      <c r="P28" s="35"/>
      <c r="Q28" s="33"/>
      <c r="R28" s="33"/>
      <c r="S28" s="34"/>
      <c r="T28" s="34">
        <v>0</v>
      </c>
      <c r="U28" s="49">
        <f t="shared" si="0"/>
        <v>-33.049999999999997</v>
      </c>
      <c r="V28" s="33">
        <f t="shared" si="1"/>
        <v>0</v>
      </c>
      <c r="W28" s="49">
        <f t="shared" si="2"/>
        <v>-33.049999999999997</v>
      </c>
      <c r="X28" s="33">
        <f t="shared" si="4"/>
        <v>0</v>
      </c>
      <c r="Y28" s="33">
        <v>13.23</v>
      </c>
      <c r="Z28" s="33">
        <f t="shared" si="5"/>
        <v>0</v>
      </c>
      <c r="AA28" s="49">
        <f t="shared" si="6"/>
        <v>13.23</v>
      </c>
      <c r="AB28" s="56"/>
      <c r="AC28" s="57"/>
      <c r="AD28" s="50">
        <f>+AB28+AC28-W28</f>
        <v>33.049999999999997</v>
      </c>
      <c r="AE28" s="36">
        <v>60590329504</v>
      </c>
      <c r="AF28" s="36"/>
      <c r="AG28" s="18" t="s">
        <v>193</v>
      </c>
    </row>
    <row r="29" spans="1:34" s="18" customFormat="1">
      <c r="A29" s="98" t="s">
        <v>28</v>
      </c>
      <c r="B29" s="34" t="s">
        <v>120</v>
      </c>
      <c r="C29" s="34"/>
      <c r="D29" s="34" t="s">
        <v>30</v>
      </c>
      <c r="E29" s="54">
        <v>42532</v>
      </c>
      <c r="F29" s="35">
        <v>4863.91</v>
      </c>
      <c r="G29" s="35"/>
      <c r="H29" s="35"/>
      <c r="I29" s="49">
        <f t="shared" si="3"/>
        <v>4863.91</v>
      </c>
      <c r="J29" s="35"/>
      <c r="K29" s="67"/>
      <c r="L29" s="35">
        <v>33.049999999999997</v>
      </c>
      <c r="M29" s="35">
        <v>0</v>
      </c>
      <c r="N29" s="68"/>
      <c r="O29" s="68"/>
      <c r="P29" s="35"/>
      <c r="Q29" s="33"/>
      <c r="R29" s="33"/>
      <c r="S29" s="34"/>
      <c r="T29" s="34">
        <v>0</v>
      </c>
      <c r="U29" s="49">
        <f t="shared" si="0"/>
        <v>4830.8599999999997</v>
      </c>
      <c r="V29" s="33">
        <f t="shared" si="1"/>
        <v>486.39100000000002</v>
      </c>
      <c r="W29" s="49">
        <f t="shared" si="2"/>
        <v>4344.4690000000001</v>
      </c>
      <c r="X29" s="33">
        <f t="shared" si="4"/>
        <v>0</v>
      </c>
      <c r="Y29" s="33">
        <v>13.23</v>
      </c>
      <c r="Z29" s="33">
        <f t="shared" si="5"/>
        <v>0</v>
      </c>
      <c r="AA29" s="49">
        <f t="shared" si="6"/>
        <v>4877.1399999999994</v>
      </c>
      <c r="AB29" s="56"/>
      <c r="AC29" s="57"/>
      <c r="AD29" s="50">
        <f>+AB29+AC29-W29</f>
        <v>-4344.4690000000001</v>
      </c>
      <c r="AE29" s="36">
        <v>56708881426</v>
      </c>
      <c r="AF29" s="36"/>
      <c r="AG29" s="18" t="s">
        <v>193</v>
      </c>
    </row>
    <row r="30" spans="1:34" s="18" customFormat="1">
      <c r="A30" s="98" t="s">
        <v>27</v>
      </c>
      <c r="B30" s="34" t="s">
        <v>146</v>
      </c>
      <c r="C30" s="34"/>
      <c r="D30" s="34" t="s">
        <v>46</v>
      </c>
      <c r="E30" s="54">
        <v>42660</v>
      </c>
      <c r="F30" s="35"/>
      <c r="G30" s="35"/>
      <c r="H30" s="35"/>
      <c r="I30" s="49">
        <f t="shared" si="3"/>
        <v>0</v>
      </c>
      <c r="J30" s="35"/>
      <c r="K30" s="67"/>
      <c r="L30" s="35"/>
      <c r="M30" s="35"/>
      <c r="N30" s="68"/>
      <c r="O30" s="68"/>
      <c r="P30" s="35"/>
      <c r="Q30" s="33"/>
      <c r="R30" s="33"/>
      <c r="S30" s="34"/>
      <c r="T30" s="34"/>
      <c r="U30" s="49">
        <f t="shared" ref="U30" si="26">+I30-SUM(J30:T30)</f>
        <v>0</v>
      </c>
      <c r="V30" s="33">
        <f t="shared" ref="V30" si="27">IF(I30&gt;2250,I30*0.1,0)</f>
        <v>0</v>
      </c>
      <c r="W30" s="49">
        <f t="shared" ref="W30" si="28">+U30-V30</f>
        <v>0</v>
      </c>
      <c r="X30" s="33"/>
      <c r="Y30" s="33"/>
      <c r="Z30" s="33"/>
      <c r="AA30" s="49"/>
      <c r="AB30" s="56"/>
      <c r="AC30" s="57"/>
      <c r="AD30" s="50"/>
      <c r="AE30" s="36">
        <v>60589655838</v>
      </c>
      <c r="AF30" s="36"/>
      <c r="AG30" s="18" t="s">
        <v>193</v>
      </c>
    </row>
    <row r="31" spans="1:34" s="18" customFormat="1">
      <c r="A31" s="98" t="s">
        <v>28</v>
      </c>
      <c r="B31" s="34" t="s">
        <v>115</v>
      </c>
      <c r="C31" s="34"/>
      <c r="D31" s="34" t="s">
        <v>128</v>
      </c>
      <c r="E31" s="54">
        <v>42480</v>
      </c>
      <c r="F31" s="35"/>
      <c r="G31" s="35"/>
      <c r="H31" s="35"/>
      <c r="I31" s="49">
        <f t="shared" si="3"/>
        <v>0</v>
      </c>
      <c r="J31" s="35"/>
      <c r="K31" s="67"/>
      <c r="L31" s="35"/>
      <c r="M31" s="35">
        <v>0</v>
      </c>
      <c r="N31" s="68"/>
      <c r="O31" s="68"/>
      <c r="P31" s="35"/>
      <c r="Q31" s="33"/>
      <c r="R31" s="33"/>
      <c r="S31" s="34"/>
      <c r="T31" s="34">
        <v>0</v>
      </c>
      <c r="U31" s="49">
        <f t="shared" ref="U31:U52" si="29">+I31-SUM(J31:T31)</f>
        <v>0</v>
      </c>
      <c r="V31" s="33">
        <f t="shared" ref="V31:V52" si="30">IF(I31&gt;2250,I31*0.1,0)</f>
        <v>0</v>
      </c>
      <c r="W31" s="49">
        <f t="shared" ref="W31:W52" si="31">+U31-V31</f>
        <v>0</v>
      </c>
      <c r="X31" s="33">
        <f t="shared" ref="X31:X52" si="32">IF(I31&lt;2250,I31*0.1,0)</f>
        <v>0</v>
      </c>
      <c r="Y31" s="33">
        <v>17.23</v>
      </c>
      <c r="Z31" s="33">
        <f t="shared" ref="Z31:Z52" si="33">+N31</f>
        <v>0</v>
      </c>
      <c r="AA31" s="49">
        <f t="shared" ref="AA31:AA52" si="34">+I31+X31+Y31+Z31</f>
        <v>17.23</v>
      </c>
      <c r="AB31" s="56"/>
      <c r="AC31" s="57"/>
      <c r="AD31" s="50">
        <f>+AB31+AC31-W31</f>
        <v>0</v>
      </c>
      <c r="AE31" s="36">
        <v>56708845010</v>
      </c>
      <c r="AF31" s="36"/>
      <c r="AG31" s="18" t="s">
        <v>193</v>
      </c>
    </row>
    <row r="32" spans="1:34" s="18" customFormat="1">
      <c r="A32" s="98" t="s">
        <v>28</v>
      </c>
      <c r="B32" s="34" t="s">
        <v>78</v>
      </c>
      <c r="C32" s="34" t="s">
        <v>77</v>
      </c>
      <c r="D32" s="34" t="s">
        <v>30</v>
      </c>
      <c r="E32" s="54">
        <v>42240</v>
      </c>
      <c r="F32" s="35"/>
      <c r="G32" s="35"/>
      <c r="H32" s="35"/>
      <c r="I32" s="49">
        <f t="shared" si="3"/>
        <v>0</v>
      </c>
      <c r="J32" s="35"/>
      <c r="K32" s="67"/>
      <c r="L32" s="35">
        <v>33.049999999999997</v>
      </c>
      <c r="M32" s="35">
        <v>0</v>
      </c>
      <c r="N32" s="68"/>
      <c r="O32" s="68"/>
      <c r="P32" s="35"/>
      <c r="Q32" s="33"/>
      <c r="R32" s="33"/>
      <c r="S32" s="34"/>
      <c r="T32" s="34">
        <v>0</v>
      </c>
      <c r="U32" s="49">
        <f t="shared" si="29"/>
        <v>-33.049999999999997</v>
      </c>
      <c r="V32" s="33">
        <f t="shared" si="30"/>
        <v>0</v>
      </c>
      <c r="W32" s="49">
        <f t="shared" si="31"/>
        <v>-33.049999999999997</v>
      </c>
      <c r="X32" s="33">
        <f t="shared" si="32"/>
        <v>0</v>
      </c>
      <c r="Y32" s="33">
        <v>18.23</v>
      </c>
      <c r="Z32" s="33">
        <f t="shared" si="33"/>
        <v>0</v>
      </c>
      <c r="AA32" s="49">
        <f t="shared" si="34"/>
        <v>18.23</v>
      </c>
      <c r="AB32" s="58"/>
      <c r="AC32" s="58"/>
      <c r="AD32" s="50">
        <f>+AB32+AC32-W32</f>
        <v>33.049999999999997</v>
      </c>
      <c r="AE32" s="36">
        <v>56708845024</v>
      </c>
      <c r="AF32" s="36"/>
      <c r="AG32" s="18" t="s">
        <v>193</v>
      </c>
    </row>
    <row r="33" spans="1:186" s="18" customFormat="1">
      <c r="A33" s="98" t="s">
        <v>41</v>
      </c>
      <c r="B33" s="34" t="s">
        <v>199</v>
      </c>
      <c r="C33" s="34"/>
      <c r="D33" s="34" t="s">
        <v>45</v>
      </c>
      <c r="E33" s="54">
        <v>42826</v>
      </c>
      <c r="F33" s="35">
        <v>400</v>
      </c>
      <c r="G33" s="35"/>
      <c r="H33" s="35"/>
      <c r="I33" s="49"/>
      <c r="J33" s="35"/>
      <c r="K33" s="67"/>
      <c r="L33" s="35"/>
      <c r="M33" s="35"/>
      <c r="N33" s="68"/>
      <c r="O33" s="68"/>
      <c r="P33" s="35"/>
      <c r="Q33" s="33"/>
      <c r="R33" s="33"/>
      <c r="S33" s="34"/>
      <c r="T33" s="34"/>
      <c r="U33" s="49"/>
      <c r="V33" s="33"/>
      <c r="W33" s="49"/>
      <c r="X33" s="33"/>
      <c r="Y33" s="33"/>
      <c r="Z33" s="33"/>
      <c r="AA33" s="49"/>
      <c r="AB33" s="58"/>
      <c r="AC33" s="58"/>
      <c r="AD33" s="50"/>
      <c r="AE33" s="36">
        <v>60590035118</v>
      </c>
      <c r="AF33" s="36"/>
      <c r="AG33" s="18" t="s">
        <v>193</v>
      </c>
    </row>
    <row r="34" spans="1:186" s="18" customFormat="1">
      <c r="A34" s="98" t="s">
        <v>28</v>
      </c>
      <c r="B34" s="34" t="s">
        <v>150</v>
      </c>
      <c r="C34" s="34"/>
      <c r="D34" s="34" t="s">
        <v>30</v>
      </c>
      <c r="E34" s="54">
        <v>42415</v>
      </c>
      <c r="F34" s="35"/>
      <c r="G34" s="35"/>
      <c r="H34" s="35"/>
      <c r="I34" s="49">
        <f t="shared" si="3"/>
        <v>0</v>
      </c>
      <c r="J34" s="35"/>
      <c r="K34" s="67"/>
      <c r="L34" s="35">
        <v>33.049999999999997</v>
      </c>
      <c r="M34" s="35"/>
      <c r="N34" s="68"/>
      <c r="O34" s="68"/>
      <c r="P34" s="35"/>
      <c r="Q34" s="33"/>
      <c r="R34" s="33"/>
      <c r="S34" s="34"/>
      <c r="T34" s="34"/>
      <c r="U34" s="49">
        <f t="shared" ref="U34" si="35">+I34-SUM(J34:T34)</f>
        <v>-33.049999999999997</v>
      </c>
      <c r="V34" s="33">
        <f t="shared" ref="V34" si="36">IF(I34&gt;2250,I34*0.1,0)</f>
        <v>0</v>
      </c>
      <c r="W34" s="49">
        <f t="shared" ref="W34" si="37">+U34-V34</f>
        <v>-33.049999999999997</v>
      </c>
      <c r="X34" s="33"/>
      <c r="Y34" s="33"/>
      <c r="Z34" s="33"/>
      <c r="AA34" s="49"/>
      <c r="AB34" s="58"/>
      <c r="AC34" s="58"/>
      <c r="AD34" s="50"/>
      <c r="AE34" s="36">
        <v>56708881656</v>
      </c>
      <c r="AF34" s="36"/>
      <c r="AG34" s="18" t="s">
        <v>193</v>
      </c>
    </row>
    <row r="35" spans="1:186" s="18" customFormat="1">
      <c r="A35" s="98" t="s">
        <v>28</v>
      </c>
      <c r="B35" s="34" t="s">
        <v>68</v>
      </c>
      <c r="C35" s="34" t="s">
        <v>79</v>
      </c>
      <c r="D35" s="34" t="s">
        <v>30</v>
      </c>
      <c r="E35" s="54">
        <v>41463</v>
      </c>
      <c r="F35" s="35">
        <v>7043.84</v>
      </c>
      <c r="G35" s="35"/>
      <c r="H35" s="35"/>
      <c r="I35" s="49">
        <f t="shared" si="3"/>
        <v>7043.84</v>
      </c>
      <c r="J35" s="35"/>
      <c r="K35" s="67"/>
      <c r="L35" s="35">
        <v>33.049999999999997</v>
      </c>
      <c r="M35" s="35">
        <v>0</v>
      </c>
      <c r="N35" s="68"/>
      <c r="O35" s="68"/>
      <c r="P35" s="35"/>
      <c r="Q35" s="33"/>
      <c r="R35" s="33"/>
      <c r="S35" s="34"/>
      <c r="T35" s="34">
        <v>0</v>
      </c>
      <c r="U35" s="49">
        <f t="shared" si="29"/>
        <v>7010.79</v>
      </c>
      <c r="V35" s="33">
        <f t="shared" si="30"/>
        <v>704.38400000000001</v>
      </c>
      <c r="W35" s="49">
        <f t="shared" si="31"/>
        <v>6306.4059999999999</v>
      </c>
      <c r="X35" s="33">
        <f t="shared" si="32"/>
        <v>0</v>
      </c>
      <c r="Y35" s="33">
        <v>20.23</v>
      </c>
      <c r="Z35" s="33">
        <f t="shared" si="33"/>
        <v>0</v>
      </c>
      <c r="AA35" s="49">
        <f t="shared" si="34"/>
        <v>7064.07</v>
      </c>
      <c r="AB35" s="56"/>
      <c r="AC35" s="57"/>
      <c r="AD35" s="50">
        <f>+AB35+AC35-W35</f>
        <v>-6306.4059999999999</v>
      </c>
      <c r="AE35" s="36">
        <v>56708881457</v>
      </c>
      <c r="AF35" s="34"/>
      <c r="AG35" s="18" t="s">
        <v>193</v>
      </c>
    </row>
    <row r="36" spans="1:186" s="18" customFormat="1">
      <c r="A36" s="98" t="s">
        <v>26</v>
      </c>
      <c r="B36" s="34" t="s">
        <v>210</v>
      </c>
      <c r="C36" s="34"/>
      <c r="D36" s="34" t="s">
        <v>116</v>
      </c>
      <c r="E36" s="59">
        <v>40618</v>
      </c>
      <c r="F36" s="35">
        <v>4128</v>
      </c>
      <c r="G36" s="35"/>
      <c r="H36" s="35"/>
      <c r="I36" s="49">
        <f t="shared" si="3"/>
        <v>4128</v>
      </c>
      <c r="J36" s="35"/>
      <c r="K36" s="67"/>
      <c r="L36" s="35"/>
      <c r="M36" s="35">
        <v>0</v>
      </c>
      <c r="N36" s="68"/>
      <c r="O36" s="68"/>
      <c r="P36" s="35"/>
      <c r="Q36" s="33"/>
      <c r="R36" s="33"/>
      <c r="S36" s="34"/>
      <c r="T36" s="34">
        <v>0</v>
      </c>
      <c r="U36" s="49">
        <f t="shared" si="29"/>
        <v>4128</v>
      </c>
      <c r="V36" s="33">
        <f t="shared" si="30"/>
        <v>412.8</v>
      </c>
      <c r="W36" s="49">
        <f t="shared" si="31"/>
        <v>3715.2</v>
      </c>
      <c r="X36" s="33">
        <f t="shared" si="32"/>
        <v>0</v>
      </c>
      <c r="Y36" s="33">
        <v>21.23</v>
      </c>
      <c r="Z36" s="33">
        <f t="shared" si="33"/>
        <v>0</v>
      </c>
      <c r="AA36" s="49">
        <f t="shared" si="34"/>
        <v>4149.2299999999996</v>
      </c>
      <c r="AB36" s="56"/>
      <c r="AC36" s="57"/>
      <c r="AD36" s="50"/>
      <c r="AE36" s="36">
        <v>56708845038</v>
      </c>
      <c r="AF36" s="36"/>
      <c r="AG36" s="18" t="s">
        <v>193</v>
      </c>
    </row>
    <row r="37" spans="1:186" s="18" customFormat="1">
      <c r="A37" s="98" t="s">
        <v>28</v>
      </c>
      <c r="B37" s="34" t="s">
        <v>108</v>
      </c>
      <c r="C37" s="34" t="s">
        <v>82</v>
      </c>
      <c r="D37" s="34" t="s">
        <v>30</v>
      </c>
      <c r="E37" s="54">
        <v>42296</v>
      </c>
      <c r="F37" s="35">
        <v>6073.62</v>
      </c>
      <c r="G37" s="35"/>
      <c r="H37" s="35"/>
      <c r="I37" s="49">
        <f t="shared" si="3"/>
        <v>6073.62</v>
      </c>
      <c r="J37" s="35"/>
      <c r="K37" s="67"/>
      <c r="L37" s="35">
        <v>33.049999999999997</v>
      </c>
      <c r="M37" s="35">
        <v>0</v>
      </c>
      <c r="N37" s="68"/>
      <c r="O37" s="68"/>
      <c r="P37" s="35"/>
      <c r="Q37" s="33">
        <v>2500</v>
      </c>
      <c r="R37" s="33"/>
      <c r="S37" s="34"/>
      <c r="T37" s="34">
        <v>672</v>
      </c>
      <c r="U37" s="49">
        <f t="shared" si="29"/>
        <v>2868.5699999999997</v>
      </c>
      <c r="V37" s="33">
        <f t="shared" si="30"/>
        <v>607.36199999999997</v>
      </c>
      <c r="W37" s="49">
        <f t="shared" si="31"/>
        <v>2261.2079999999996</v>
      </c>
      <c r="X37" s="33">
        <f t="shared" si="32"/>
        <v>0</v>
      </c>
      <c r="Y37" s="33">
        <v>10.23</v>
      </c>
      <c r="Z37" s="33">
        <f t="shared" si="33"/>
        <v>0</v>
      </c>
      <c r="AA37" s="49">
        <f t="shared" si="34"/>
        <v>6083.8499999999995</v>
      </c>
      <c r="AB37" s="56"/>
      <c r="AC37" s="57"/>
      <c r="AD37" s="50">
        <f>+AB37+AC37-W37</f>
        <v>-2261.2079999999996</v>
      </c>
      <c r="AE37" s="36">
        <v>56708881460</v>
      </c>
      <c r="AF37" s="36"/>
      <c r="AG37" s="18" t="s">
        <v>193</v>
      </c>
    </row>
    <row r="38" spans="1:186" s="18" customFormat="1">
      <c r="A38" s="98" t="s">
        <v>27</v>
      </c>
      <c r="B38" s="34" t="s">
        <v>36</v>
      </c>
      <c r="C38" s="34" t="s">
        <v>97</v>
      </c>
      <c r="D38" s="34" t="s">
        <v>46</v>
      </c>
      <c r="E38" s="54">
        <v>42199</v>
      </c>
      <c r="F38" s="35"/>
      <c r="G38" s="35"/>
      <c r="H38" s="35"/>
      <c r="I38" s="49">
        <f t="shared" si="3"/>
        <v>0</v>
      </c>
      <c r="J38" s="35"/>
      <c r="K38" s="67"/>
      <c r="L38" s="35">
        <v>54.05</v>
      </c>
      <c r="M38" s="35">
        <v>0</v>
      </c>
      <c r="N38" s="68"/>
      <c r="O38" s="68"/>
      <c r="P38" s="35"/>
      <c r="Q38" s="33"/>
      <c r="R38" s="33"/>
      <c r="S38" s="34"/>
      <c r="T38" s="34">
        <v>0</v>
      </c>
      <c r="U38" s="49">
        <f t="shared" si="29"/>
        <v>-54.05</v>
      </c>
      <c r="V38" s="33">
        <f t="shared" si="30"/>
        <v>0</v>
      </c>
      <c r="W38" s="49">
        <f t="shared" si="31"/>
        <v>-54.05</v>
      </c>
      <c r="X38" s="33">
        <f t="shared" si="32"/>
        <v>0</v>
      </c>
      <c r="Y38" s="33">
        <v>10.23</v>
      </c>
      <c r="Z38" s="33">
        <f t="shared" si="33"/>
        <v>0</v>
      </c>
      <c r="AA38" s="49">
        <f t="shared" si="34"/>
        <v>10.23</v>
      </c>
      <c r="AB38" s="56"/>
      <c r="AC38" s="57"/>
      <c r="AD38" s="50">
        <f>+AB38+AC38-W38</f>
        <v>54.05</v>
      </c>
      <c r="AE38" s="36">
        <v>56708881474</v>
      </c>
      <c r="AF38" s="34"/>
      <c r="AG38" s="18" t="s">
        <v>193</v>
      </c>
    </row>
    <row r="39" spans="1:186" s="18" customFormat="1">
      <c r="A39" s="98" t="s">
        <v>28</v>
      </c>
      <c r="B39" s="34" t="s">
        <v>83</v>
      </c>
      <c r="C39" s="34" t="s">
        <v>82</v>
      </c>
      <c r="D39" s="34" t="s">
        <v>30</v>
      </c>
      <c r="E39" s="54">
        <v>42304</v>
      </c>
      <c r="F39" s="35">
        <v>5007.6000000000004</v>
      </c>
      <c r="G39" s="35"/>
      <c r="H39" s="35"/>
      <c r="I39" s="49">
        <f t="shared" si="3"/>
        <v>5007.6000000000004</v>
      </c>
      <c r="J39" s="35"/>
      <c r="K39" s="67"/>
      <c r="L39" s="35">
        <v>33.049999999999997</v>
      </c>
      <c r="M39" s="35">
        <v>0</v>
      </c>
      <c r="N39" s="68"/>
      <c r="O39" s="68"/>
      <c r="P39" s="35"/>
      <c r="Q39" s="33"/>
      <c r="R39" s="33"/>
      <c r="S39" s="34"/>
      <c r="T39" s="34">
        <v>0</v>
      </c>
      <c r="U39" s="49">
        <f t="shared" si="29"/>
        <v>4974.55</v>
      </c>
      <c r="V39" s="33">
        <f t="shared" si="30"/>
        <v>500.76000000000005</v>
      </c>
      <c r="W39" s="49">
        <f t="shared" si="31"/>
        <v>4473.79</v>
      </c>
      <c r="X39" s="33">
        <f t="shared" si="32"/>
        <v>0</v>
      </c>
      <c r="Y39" s="33">
        <v>10.23</v>
      </c>
      <c r="Z39" s="33">
        <f t="shared" si="33"/>
        <v>0</v>
      </c>
      <c r="AA39" s="49">
        <f t="shared" si="34"/>
        <v>5017.83</v>
      </c>
      <c r="AB39" s="50"/>
      <c r="AC39" s="50"/>
      <c r="AD39" s="50"/>
      <c r="AE39" s="36">
        <v>56708845069</v>
      </c>
      <c r="AF39" s="36"/>
      <c r="AG39" s="18" t="s">
        <v>193</v>
      </c>
    </row>
    <row r="40" spans="1:186" s="18" customFormat="1">
      <c r="A40" s="98" t="s">
        <v>27</v>
      </c>
      <c r="B40" s="34" t="s">
        <v>123</v>
      </c>
      <c r="C40" s="34"/>
      <c r="D40" s="34" t="s">
        <v>46</v>
      </c>
      <c r="E40" s="54">
        <v>42576</v>
      </c>
      <c r="F40" s="35"/>
      <c r="G40" s="35"/>
      <c r="H40" s="35"/>
      <c r="I40" s="49">
        <f t="shared" si="3"/>
        <v>0</v>
      </c>
      <c r="J40" s="35"/>
      <c r="K40" s="67"/>
      <c r="L40" s="35"/>
      <c r="M40" s="35">
        <v>0</v>
      </c>
      <c r="N40" s="68"/>
      <c r="O40" s="68"/>
      <c r="P40" s="35"/>
      <c r="Q40" s="33"/>
      <c r="R40" s="33"/>
      <c r="S40" s="34"/>
      <c r="T40" s="34">
        <v>0</v>
      </c>
      <c r="U40" s="49">
        <f t="shared" si="29"/>
        <v>0</v>
      </c>
      <c r="V40" s="33">
        <f t="shared" si="30"/>
        <v>0</v>
      </c>
      <c r="W40" s="49">
        <f t="shared" si="31"/>
        <v>0</v>
      </c>
      <c r="X40" s="33">
        <f t="shared" si="32"/>
        <v>0</v>
      </c>
      <c r="Y40" s="33">
        <v>11.23</v>
      </c>
      <c r="Z40" s="33">
        <f t="shared" si="33"/>
        <v>0</v>
      </c>
      <c r="AA40" s="49">
        <f t="shared" si="34"/>
        <v>11.23</v>
      </c>
      <c r="AB40" s="52"/>
      <c r="AC40" s="52"/>
      <c r="AD40" s="52"/>
      <c r="AE40" s="36">
        <v>56708845072</v>
      </c>
      <c r="AF40" s="36"/>
      <c r="AG40" s="18" t="s">
        <v>193</v>
      </c>
    </row>
    <row r="41" spans="1:186" s="18" customFormat="1">
      <c r="A41" s="98" t="s">
        <v>28</v>
      </c>
      <c r="B41" s="34" t="s">
        <v>105</v>
      </c>
      <c r="C41" s="34" t="s">
        <v>82</v>
      </c>
      <c r="D41" s="34" t="s">
        <v>30</v>
      </c>
      <c r="E41" s="54">
        <v>41622</v>
      </c>
      <c r="F41" s="35"/>
      <c r="G41" s="35"/>
      <c r="H41" s="35"/>
      <c r="I41" s="49">
        <f t="shared" si="3"/>
        <v>0</v>
      </c>
      <c r="J41" s="35"/>
      <c r="K41" s="67"/>
      <c r="L41" s="35">
        <v>33.049999999999997</v>
      </c>
      <c r="M41" s="35">
        <v>0</v>
      </c>
      <c r="N41" s="68"/>
      <c r="O41" s="68"/>
      <c r="P41" s="35"/>
      <c r="Q41" s="33"/>
      <c r="R41" s="33"/>
      <c r="S41" s="34"/>
      <c r="T41" s="34">
        <v>0</v>
      </c>
      <c r="U41" s="49">
        <f t="shared" si="29"/>
        <v>-33.049999999999997</v>
      </c>
      <c r="V41" s="33">
        <f t="shared" si="30"/>
        <v>0</v>
      </c>
      <c r="W41" s="49">
        <f t="shared" si="31"/>
        <v>-33.049999999999997</v>
      </c>
      <c r="X41" s="33">
        <f t="shared" si="32"/>
        <v>0</v>
      </c>
      <c r="Y41" s="33">
        <v>10.23</v>
      </c>
      <c r="Z41" s="33">
        <f t="shared" si="33"/>
        <v>0</v>
      </c>
      <c r="AA41" s="49">
        <f t="shared" si="34"/>
        <v>10.23</v>
      </c>
      <c r="AB41" s="56"/>
      <c r="AC41" s="56"/>
      <c r="AD41" s="50">
        <f t="shared" ref="AD41:AD44" si="38">+AB41+AC41-W41</f>
        <v>33.049999999999997</v>
      </c>
      <c r="AE41" s="36">
        <v>56708881491</v>
      </c>
      <c r="AF41" s="34"/>
      <c r="AG41" s="18" t="s">
        <v>193</v>
      </c>
    </row>
    <row r="42" spans="1:186" s="18" customFormat="1">
      <c r="A42" s="98" t="s">
        <v>28</v>
      </c>
      <c r="B42" s="34" t="s">
        <v>198</v>
      </c>
      <c r="C42" s="34"/>
      <c r="D42" s="34" t="s">
        <v>30</v>
      </c>
      <c r="E42" s="54">
        <v>42828</v>
      </c>
      <c r="F42" s="35"/>
      <c r="G42" s="35"/>
      <c r="H42" s="35"/>
      <c r="I42" s="49"/>
      <c r="J42" s="35"/>
      <c r="K42" s="67"/>
      <c r="L42" s="35"/>
      <c r="M42" s="35"/>
      <c r="N42" s="68"/>
      <c r="O42" s="68"/>
      <c r="P42" s="35"/>
      <c r="Q42" s="33"/>
      <c r="R42" s="33"/>
      <c r="S42" s="34"/>
      <c r="T42" s="34"/>
      <c r="U42" s="49"/>
      <c r="V42" s="33"/>
      <c r="W42" s="49"/>
      <c r="X42" s="33"/>
      <c r="Y42" s="33"/>
      <c r="Z42" s="33"/>
      <c r="AA42" s="49"/>
      <c r="AB42" s="58"/>
      <c r="AC42" s="58"/>
      <c r="AD42" s="50"/>
      <c r="AE42" s="36">
        <v>60589861092</v>
      </c>
      <c r="AF42" s="36"/>
      <c r="AG42" s="18" t="s">
        <v>193</v>
      </c>
    </row>
    <row r="43" spans="1:186" s="18" customFormat="1">
      <c r="A43" s="98" t="s">
        <v>28</v>
      </c>
      <c r="B43" s="34" t="s">
        <v>111</v>
      </c>
      <c r="C43" s="34" t="s">
        <v>79</v>
      </c>
      <c r="D43" s="34" t="s">
        <v>30</v>
      </c>
      <c r="E43" s="54">
        <v>37834</v>
      </c>
      <c r="F43" s="35">
        <v>15543.81</v>
      </c>
      <c r="G43" s="35"/>
      <c r="H43" s="35"/>
      <c r="I43" s="49">
        <f t="shared" si="3"/>
        <v>15543.81</v>
      </c>
      <c r="J43" s="35"/>
      <c r="K43" s="67"/>
      <c r="L43" s="35">
        <v>33.049999999999997</v>
      </c>
      <c r="M43" s="35">
        <v>0</v>
      </c>
      <c r="N43" s="68"/>
      <c r="O43" s="68"/>
      <c r="P43" s="35"/>
      <c r="Q43" s="33"/>
      <c r="R43" s="33"/>
      <c r="S43" s="34"/>
      <c r="T43" s="34">
        <v>0</v>
      </c>
      <c r="U43" s="49">
        <f t="shared" si="29"/>
        <v>15510.76</v>
      </c>
      <c r="V43" s="33">
        <f t="shared" si="30"/>
        <v>1554.3810000000001</v>
      </c>
      <c r="W43" s="49">
        <f t="shared" si="31"/>
        <v>13956.379000000001</v>
      </c>
      <c r="X43" s="33">
        <f t="shared" si="32"/>
        <v>0</v>
      </c>
      <c r="Y43" s="33">
        <v>10.23</v>
      </c>
      <c r="Z43" s="33">
        <f t="shared" si="33"/>
        <v>0</v>
      </c>
      <c r="AA43" s="49">
        <f t="shared" si="34"/>
        <v>15554.039999999999</v>
      </c>
      <c r="AB43" s="56"/>
      <c r="AC43" s="57"/>
      <c r="AD43" s="50">
        <f t="shared" si="38"/>
        <v>-13956.379000000001</v>
      </c>
      <c r="AE43" s="36">
        <v>56708881503</v>
      </c>
      <c r="AF43" s="36"/>
      <c r="AG43" s="18" t="s">
        <v>193</v>
      </c>
    </row>
    <row r="44" spans="1:186" s="18" customFormat="1">
      <c r="A44" s="98" t="s">
        <v>28</v>
      </c>
      <c r="B44" s="34" t="s">
        <v>64</v>
      </c>
      <c r="C44" s="34" t="s">
        <v>77</v>
      </c>
      <c r="D44" s="34" t="s">
        <v>30</v>
      </c>
      <c r="E44" s="54">
        <v>42394</v>
      </c>
      <c r="F44" s="35"/>
      <c r="G44" s="35"/>
      <c r="H44" s="35"/>
      <c r="I44" s="49">
        <f t="shared" si="3"/>
        <v>0</v>
      </c>
      <c r="J44" s="35">
        <v>100</v>
      </c>
      <c r="K44" s="67"/>
      <c r="L44" s="35">
        <v>33.049999999999997</v>
      </c>
      <c r="M44" s="35">
        <v>0</v>
      </c>
      <c r="N44" s="68"/>
      <c r="O44" s="68"/>
      <c r="P44" s="35"/>
      <c r="Q44" s="33"/>
      <c r="R44" s="33"/>
      <c r="S44" s="51"/>
      <c r="T44" s="51">
        <v>500</v>
      </c>
      <c r="U44" s="49">
        <f t="shared" si="29"/>
        <v>-633.04999999999995</v>
      </c>
      <c r="V44" s="33">
        <f t="shared" si="30"/>
        <v>0</v>
      </c>
      <c r="W44" s="49">
        <f t="shared" si="31"/>
        <v>-633.04999999999995</v>
      </c>
      <c r="X44" s="33">
        <f t="shared" si="32"/>
        <v>0</v>
      </c>
      <c r="Y44" s="33">
        <v>10.23</v>
      </c>
      <c r="Z44" s="33">
        <f t="shared" si="33"/>
        <v>0</v>
      </c>
      <c r="AA44" s="49">
        <f t="shared" si="34"/>
        <v>10.23</v>
      </c>
      <c r="AB44" s="56"/>
      <c r="AC44" s="57"/>
      <c r="AD44" s="50">
        <f t="shared" si="38"/>
        <v>633.04999999999995</v>
      </c>
      <c r="AE44" s="36">
        <v>56708881517</v>
      </c>
      <c r="AF44" s="36" t="s">
        <v>186</v>
      </c>
      <c r="AG44" s="18" t="s">
        <v>193</v>
      </c>
    </row>
    <row r="45" spans="1:186" s="18" customFormat="1">
      <c r="A45" s="98" t="s">
        <v>28</v>
      </c>
      <c r="B45" s="34" t="s">
        <v>142</v>
      </c>
      <c r="C45" s="34"/>
      <c r="D45" s="34" t="s">
        <v>30</v>
      </c>
      <c r="E45" s="54">
        <v>42342</v>
      </c>
      <c r="F45" s="35">
        <v>3713.85</v>
      </c>
      <c r="G45" s="35"/>
      <c r="H45" s="35"/>
      <c r="I45" s="49">
        <f t="shared" si="3"/>
        <v>3713.85</v>
      </c>
      <c r="J45" s="35"/>
      <c r="K45" s="67"/>
      <c r="L45" s="35">
        <v>26.44</v>
      </c>
      <c r="M45" s="35">
        <v>0</v>
      </c>
      <c r="N45" s="68"/>
      <c r="O45" s="68"/>
      <c r="P45" s="35"/>
      <c r="Q45" s="33">
        <v>257.3</v>
      </c>
      <c r="R45" s="33"/>
      <c r="S45" s="51"/>
      <c r="T45" s="51"/>
      <c r="U45" s="49">
        <f t="shared" ref="U45" si="39">+I45-SUM(J45:T45)</f>
        <v>3430.1099999999997</v>
      </c>
      <c r="V45" s="33">
        <f t="shared" ref="V45" si="40">IF(I45&gt;2250,I45*0.1,0)</f>
        <v>371.38499999999999</v>
      </c>
      <c r="W45" s="49">
        <f t="shared" ref="W45" si="41">+U45-V45</f>
        <v>3058.7249999999995</v>
      </c>
      <c r="X45" s="33"/>
      <c r="Y45" s="33"/>
      <c r="Z45" s="33"/>
      <c r="AA45" s="49"/>
      <c r="AB45" s="56"/>
      <c r="AC45" s="57"/>
      <c r="AD45" s="50"/>
      <c r="AE45" s="36">
        <v>56708845101</v>
      </c>
      <c r="AF45" s="36"/>
      <c r="AG45" s="18" t="s">
        <v>193</v>
      </c>
    </row>
    <row r="46" spans="1:186">
      <c r="A46" s="98" t="s">
        <v>28</v>
      </c>
      <c r="B46" s="34" t="s">
        <v>96</v>
      </c>
      <c r="C46" s="29"/>
      <c r="D46" s="86" t="s">
        <v>45</v>
      </c>
      <c r="E46" s="66">
        <v>40813</v>
      </c>
      <c r="F46" s="71">
        <v>400</v>
      </c>
      <c r="G46" s="31"/>
      <c r="H46" s="31"/>
      <c r="I46" s="49">
        <f>SUM(F46:H46)</f>
        <v>400</v>
      </c>
      <c r="J46" s="35"/>
      <c r="K46" s="67"/>
      <c r="L46" s="35"/>
      <c r="M46" s="35"/>
      <c r="N46" s="68"/>
      <c r="O46" s="68"/>
      <c r="P46" s="35"/>
      <c r="Q46" s="33"/>
      <c r="R46" s="33"/>
      <c r="S46" s="34"/>
      <c r="T46" s="34"/>
      <c r="U46" s="49">
        <f>+I46-SUM(J46:T46)</f>
        <v>400</v>
      </c>
      <c r="V46" s="33">
        <f t="shared" ref="V46" si="42">+U46*0.05</f>
        <v>20</v>
      </c>
      <c r="W46" s="49">
        <f t="shared" ref="W46" si="43">+U46-Q46-T46</f>
        <v>400</v>
      </c>
      <c r="X46" s="61">
        <f t="shared" ref="X46" si="44">IF(U46&lt;3000,U46*0.1,0)</f>
        <v>40</v>
      </c>
      <c r="Y46" s="61"/>
      <c r="Z46" s="61"/>
      <c r="AA46" s="60">
        <f t="shared" ref="AA46" si="45">+U46+X46+Y46</f>
        <v>440</v>
      </c>
      <c r="AB46" s="47"/>
      <c r="AC46" s="47"/>
      <c r="AD46" s="41"/>
      <c r="AE46" s="36">
        <v>60589552237</v>
      </c>
      <c r="AF46" s="36"/>
      <c r="AG46" s="18" t="s">
        <v>193</v>
      </c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18"/>
      <c r="CY46" s="18"/>
      <c r="CZ46" s="18"/>
      <c r="DA46" s="18"/>
      <c r="DB46" s="18"/>
      <c r="DC46" s="18"/>
      <c r="DD46" s="18"/>
      <c r="DE46" s="18"/>
      <c r="DF46" s="18"/>
      <c r="DG46" s="18"/>
      <c r="DH46" s="18"/>
      <c r="DI46" s="18"/>
      <c r="DJ46" s="18"/>
      <c r="DK46" s="18"/>
      <c r="DL46" s="18"/>
      <c r="DM46" s="18"/>
      <c r="DN46" s="18"/>
      <c r="DO46" s="18"/>
      <c r="DP46" s="18"/>
      <c r="DQ46" s="18"/>
      <c r="DR46" s="18"/>
      <c r="DS46" s="18"/>
      <c r="DT46" s="18"/>
      <c r="DU46" s="18"/>
      <c r="DV46" s="18"/>
      <c r="DW46" s="18"/>
      <c r="DX46" s="18"/>
      <c r="DY46" s="18"/>
      <c r="DZ46" s="18"/>
      <c r="EA46" s="18"/>
      <c r="EB46" s="18"/>
      <c r="EC46" s="18"/>
      <c r="ED46" s="18"/>
      <c r="EE46" s="18"/>
      <c r="EF46" s="18"/>
      <c r="EG46" s="18"/>
      <c r="EH46" s="18"/>
      <c r="EI46" s="18"/>
      <c r="EJ46" s="18"/>
      <c r="EK46" s="18"/>
      <c r="EL46" s="18"/>
      <c r="EM46" s="18"/>
      <c r="EN46" s="18"/>
      <c r="EO46" s="18"/>
      <c r="EP46" s="18"/>
      <c r="EQ46" s="18"/>
      <c r="ER46" s="18"/>
      <c r="ES46" s="18"/>
      <c r="ET46" s="18"/>
      <c r="EU46" s="18"/>
      <c r="EV46" s="18"/>
      <c r="EW46" s="18"/>
      <c r="EX46" s="18"/>
      <c r="EY46" s="18"/>
      <c r="EZ46" s="18"/>
      <c r="FA46" s="18"/>
      <c r="FB46" s="18"/>
      <c r="FC46" s="18"/>
      <c r="FD46" s="18"/>
      <c r="FE46" s="18"/>
      <c r="FF46" s="18"/>
      <c r="FG46" s="18"/>
      <c r="FH46" s="18"/>
      <c r="FI46" s="18"/>
      <c r="FJ46" s="18"/>
      <c r="FK46" s="18"/>
      <c r="FL46" s="18"/>
      <c r="FM46" s="18"/>
      <c r="FN46" s="18"/>
      <c r="FO46" s="18"/>
      <c r="FP46" s="18"/>
      <c r="FQ46" s="18"/>
      <c r="FR46" s="18"/>
      <c r="FS46" s="18"/>
      <c r="FT46" s="18"/>
      <c r="FU46" s="18"/>
      <c r="FV46" s="18"/>
      <c r="FW46" s="18"/>
      <c r="FX46" s="18"/>
      <c r="FY46" s="18"/>
      <c r="FZ46" s="18"/>
      <c r="GA46" s="18"/>
      <c r="GB46" s="18"/>
      <c r="GC46" s="18"/>
      <c r="GD46" s="18"/>
    </row>
    <row r="47" spans="1:186" s="18" customFormat="1">
      <c r="A47" s="98" t="s">
        <v>28</v>
      </c>
      <c r="B47" s="34" t="s">
        <v>145</v>
      </c>
      <c r="C47" s="34"/>
      <c r="D47" s="34" t="s">
        <v>30</v>
      </c>
      <c r="E47" s="54">
        <v>42648</v>
      </c>
      <c r="F47" s="35">
        <v>11065.67</v>
      </c>
      <c r="G47" s="35"/>
      <c r="H47" s="35"/>
      <c r="I47" s="49">
        <f t="shared" si="3"/>
        <v>11065.67</v>
      </c>
      <c r="J47" s="35"/>
      <c r="K47" s="67"/>
      <c r="L47" s="35">
        <v>33.049999999999997</v>
      </c>
      <c r="M47" s="35"/>
      <c r="N47" s="68"/>
      <c r="O47" s="68"/>
      <c r="P47" s="35"/>
      <c r="Q47" s="33"/>
      <c r="R47" s="33"/>
      <c r="S47" s="51"/>
      <c r="T47" s="51"/>
      <c r="U47" s="49">
        <f t="shared" ref="U47" si="46">+I47-SUM(J47:T47)</f>
        <v>11032.62</v>
      </c>
      <c r="V47" s="33">
        <f t="shared" ref="V47" si="47">IF(I47&gt;2250,I47*0.1,0)</f>
        <v>1106.567</v>
      </c>
      <c r="W47" s="49">
        <f t="shared" ref="W47" si="48">+U47-V47</f>
        <v>9926.0529999999999</v>
      </c>
      <c r="X47" s="33"/>
      <c r="Y47" s="33"/>
      <c r="Z47" s="33"/>
      <c r="AA47" s="49"/>
      <c r="AB47" s="56"/>
      <c r="AC47" s="57"/>
      <c r="AD47" s="50"/>
      <c r="AE47" s="36">
        <v>56708845115</v>
      </c>
      <c r="AF47" s="36"/>
      <c r="AG47" s="18" t="s">
        <v>193</v>
      </c>
    </row>
    <row r="48" spans="1:186" s="18" customFormat="1">
      <c r="A48" s="98" t="s">
        <v>27</v>
      </c>
      <c r="B48" s="34" t="s">
        <v>151</v>
      </c>
      <c r="C48" s="34"/>
      <c r="D48" s="34" t="s">
        <v>46</v>
      </c>
      <c r="E48" s="54">
        <v>42644</v>
      </c>
      <c r="F48" s="35"/>
      <c r="G48" s="35"/>
      <c r="H48" s="35"/>
      <c r="I48" s="49">
        <f t="shared" si="3"/>
        <v>0</v>
      </c>
      <c r="J48" s="35"/>
      <c r="K48" s="67"/>
      <c r="L48" s="35"/>
      <c r="M48" s="35"/>
      <c r="N48" s="68"/>
      <c r="O48" s="68"/>
      <c r="P48" s="35"/>
      <c r="Q48" s="33"/>
      <c r="R48" s="33"/>
      <c r="S48" s="51"/>
      <c r="T48" s="51"/>
      <c r="U48" s="49">
        <f t="shared" ref="U48" si="49">+I48-SUM(J48:T48)</f>
        <v>0</v>
      </c>
      <c r="V48" s="33">
        <f t="shared" ref="V48" si="50">IF(I48&gt;2250,I48*0.1,0)</f>
        <v>0</v>
      </c>
      <c r="W48" s="49">
        <f t="shared" ref="W48" si="51">+U48-V48</f>
        <v>0</v>
      </c>
      <c r="X48" s="33"/>
      <c r="Y48" s="33"/>
      <c r="Z48" s="33"/>
      <c r="AA48" s="49"/>
      <c r="AB48" s="56"/>
      <c r="AC48" s="57"/>
      <c r="AD48" s="50"/>
      <c r="AE48" s="36">
        <v>56708845530</v>
      </c>
      <c r="AF48" s="36"/>
      <c r="AG48" s="18" t="s">
        <v>193</v>
      </c>
    </row>
    <row r="49" spans="1:33" s="18" customFormat="1">
      <c r="A49" s="98" t="s">
        <v>28</v>
      </c>
      <c r="B49" s="34" t="s">
        <v>164</v>
      </c>
      <c r="C49" s="34"/>
      <c r="D49" s="34" t="s">
        <v>30</v>
      </c>
      <c r="E49" s="54">
        <v>42751</v>
      </c>
      <c r="F49" s="35"/>
      <c r="G49" s="35"/>
      <c r="H49" s="35"/>
      <c r="I49" s="49">
        <f t="shared" si="3"/>
        <v>0</v>
      </c>
      <c r="J49" s="35"/>
      <c r="K49" s="67"/>
      <c r="L49" s="35"/>
      <c r="M49" s="35"/>
      <c r="N49" s="68"/>
      <c r="O49" s="68"/>
      <c r="P49" s="35"/>
      <c r="Q49" s="33"/>
      <c r="R49" s="33"/>
      <c r="S49" s="34"/>
      <c r="T49" s="34"/>
      <c r="U49" s="49">
        <f t="shared" ref="U49" si="52">+I49-SUM(J49:T49)</f>
        <v>0</v>
      </c>
      <c r="V49" s="33">
        <f t="shared" ref="V49" si="53">IF(I49&gt;2250,I49*0.1,0)</f>
        <v>0</v>
      </c>
      <c r="W49" s="49">
        <f t="shared" ref="W49" si="54">+U49-V49</f>
        <v>0</v>
      </c>
      <c r="X49" s="33"/>
      <c r="Y49" s="33"/>
      <c r="Z49" s="33"/>
      <c r="AA49" s="49"/>
      <c r="AB49" s="56"/>
      <c r="AC49" s="57"/>
      <c r="AD49" s="50"/>
      <c r="AE49" s="36">
        <v>60589665774</v>
      </c>
      <c r="AF49" s="34"/>
      <c r="AG49" s="18" t="s">
        <v>193</v>
      </c>
    </row>
    <row r="50" spans="1:33" s="18" customFormat="1">
      <c r="A50" s="98" t="s">
        <v>41</v>
      </c>
      <c r="B50" s="34" t="s">
        <v>132</v>
      </c>
      <c r="C50" s="34"/>
      <c r="D50" s="86" t="s">
        <v>45</v>
      </c>
      <c r="E50" s="54">
        <v>41709</v>
      </c>
      <c r="F50" s="70">
        <v>400</v>
      </c>
      <c r="G50" s="35"/>
      <c r="H50" s="35"/>
      <c r="I50" s="49">
        <f t="shared" si="3"/>
        <v>400</v>
      </c>
      <c r="J50" s="35"/>
      <c r="K50" s="67">
        <v>3</v>
      </c>
      <c r="L50" s="35"/>
      <c r="M50" s="35"/>
      <c r="N50" s="68"/>
      <c r="O50" s="68"/>
      <c r="P50" s="35"/>
      <c r="Q50" s="33"/>
      <c r="R50" s="33"/>
      <c r="S50" s="34"/>
      <c r="T50" s="34">
        <v>0</v>
      </c>
      <c r="U50" s="49">
        <f t="shared" si="29"/>
        <v>397</v>
      </c>
      <c r="V50" s="33">
        <f t="shared" si="30"/>
        <v>0</v>
      </c>
      <c r="W50" s="49">
        <f t="shared" si="31"/>
        <v>397</v>
      </c>
      <c r="X50" s="33">
        <f t="shared" si="32"/>
        <v>40</v>
      </c>
      <c r="Y50" s="33">
        <v>11.23</v>
      </c>
      <c r="Z50" s="33">
        <f t="shared" si="33"/>
        <v>0</v>
      </c>
      <c r="AA50" s="49">
        <f t="shared" si="34"/>
        <v>451.23</v>
      </c>
      <c r="AB50" s="56"/>
      <c r="AC50" s="57"/>
      <c r="AD50" s="50"/>
      <c r="AE50" s="36">
        <v>60590340221</v>
      </c>
      <c r="AF50" s="34"/>
      <c r="AG50" s="18" t="s">
        <v>193</v>
      </c>
    </row>
    <row r="51" spans="1:33" s="18" customFormat="1">
      <c r="A51" s="98" t="s">
        <v>28</v>
      </c>
      <c r="B51" s="34" t="s">
        <v>92</v>
      </c>
      <c r="C51" s="34" t="s">
        <v>82</v>
      </c>
      <c r="D51" s="34" t="s">
        <v>30</v>
      </c>
      <c r="E51" s="54">
        <v>42251</v>
      </c>
      <c r="F51" s="35"/>
      <c r="G51" s="35"/>
      <c r="H51" s="35"/>
      <c r="I51" s="49">
        <f t="shared" si="3"/>
        <v>0</v>
      </c>
      <c r="J51" s="35"/>
      <c r="K51" s="67"/>
      <c r="L51" s="35">
        <v>33.049999999999997</v>
      </c>
      <c r="M51" s="35">
        <v>0</v>
      </c>
      <c r="N51" s="68"/>
      <c r="O51" s="68"/>
      <c r="P51" s="35"/>
      <c r="Q51" s="33"/>
      <c r="R51" s="33"/>
      <c r="S51" s="34"/>
      <c r="T51" s="34">
        <v>0</v>
      </c>
      <c r="U51" s="49">
        <f t="shared" si="29"/>
        <v>-33.049999999999997</v>
      </c>
      <c r="V51" s="33">
        <f t="shared" si="30"/>
        <v>0</v>
      </c>
      <c r="W51" s="49">
        <f t="shared" si="31"/>
        <v>-33.049999999999997</v>
      </c>
      <c r="X51" s="33">
        <f t="shared" si="32"/>
        <v>0</v>
      </c>
      <c r="Y51" s="33">
        <v>10.23</v>
      </c>
      <c r="Z51" s="33">
        <f t="shared" si="33"/>
        <v>0</v>
      </c>
      <c r="AA51" s="49">
        <f t="shared" si="34"/>
        <v>10.23</v>
      </c>
      <c r="AB51" s="56"/>
      <c r="AC51" s="57"/>
      <c r="AD51" s="50">
        <f t="shared" ref="AD51:AD52" si="55">+AB51+AC51-W51</f>
        <v>33.049999999999997</v>
      </c>
      <c r="AE51" s="36">
        <v>56708881548</v>
      </c>
      <c r="AF51" s="34"/>
      <c r="AG51" s="18" t="s">
        <v>193</v>
      </c>
    </row>
    <row r="52" spans="1:33" s="18" customFormat="1">
      <c r="A52" s="98" t="s">
        <v>39</v>
      </c>
      <c r="B52" s="34" t="s">
        <v>114</v>
      </c>
      <c r="C52" s="34"/>
      <c r="D52" s="34" t="s">
        <v>29</v>
      </c>
      <c r="E52" s="54">
        <v>42506</v>
      </c>
      <c r="F52" s="35">
        <v>1957.12</v>
      </c>
      <c r="G52" s="35"/>
      <c r="H52" s="35"/>
      <c r="I52" s="49">
        <f t="shared" si="3"/>
        <v>1957.12</v>
      </c>
      <c r="J52" s="35"/>
      <c r="K52" s="67"/>
      <c r="L52" s="35"/>
      <c r="M52" s="35">
        <v>0</v>
      </c>
      <c r="N52" s="68"/>
      <c r="O52" s="68"/>
      <c r="P52" s="35"/>
      <c r="Q52" s="33"/>
      <c r="R52" s="33"/>
      <c r="S52" s="34"/>
      <c r="T52" s="34">
        <v>0</v>
      </c>
      <c r="U52" s="49">
        <f t="shared" si="29"/>
        <v>1957.12</v>
      </c>
      <c r="V52" s="33">
        <f t="shared" si="30"/>
        <v>0</v>
      </c>
      <c r="W52" s="49">
        <f t="shared" si="31"/>
        <v>1957.12</v>
      </c>
      <c r="X52" s="33">
        <f t="shared" si="32"/>
        <v>195.71199999999999</v>
      </c>
      <c r="Y52" s="33">
        <v>10.23</v>
      </c>
      <c r="Z52" s="33">
        <f t="shared" si="33"/>
        <v>0</v>
      </c>
      <c r="AA52" s="49">
        <f t="shared" si="34"/>
        <v>2163.0619999999999</v>
      </c>
      <c r="AB52" s="56"/>
      <c r="AC52" s="56"/>
      <c r="AD52" s="50">
        <f t="shared" si="55"/>
        <v>-1957.12</v>
      </c>
      <c r="AE52" s="36">
        <v>56708881551</v>
      </c>
      <c r="AF52" s="36"/>
      <c r="AG52" s="18" t="s">
        <v>193</v>
      </c>
    </row>
    <row r="53" spans="1:33" s="18" customFormat="1">
      <c r="A53" s="98" t="s">
        <v>27</v>
      </c>
      <c r="B53" s="34" t="s">
        <v>162</v>
      </c>
      <c r="C53" s="34"/>
      <c r="D53" s="34" t="s">
        <v>46</v>
      </c>
      <c r="E53" s="54">
        <v>42739</v>
      </c>
      <c r="F53" s="35"/>
      <c r="G53" s="35"/>
      <c r="H53" s="35"/>
      <c r="I53" s="49">
        <f t="shared" si="3"/>
        <v>0</v>
      </c>
      <c r="J53" s="35"/>
      <c r="K53" s="67"/>
      <c r="L53" s="35"/>
      <c r="M53" s="35"/>
      <c r="N53" s="68"/>
      <c r="O53" s="68"/>
      <c r="P53" s="35"/>
      <c r="Q53" s="33"/>
      <c r="R53" s="33"/>
      <c r="S53" s="34"/>
      <c r="T53" s="34"/>
      <c r="U53" s="49">
        <f t="shared" ref="U53" si="56">+I53-SUM(J53:T53)</f>
        <v>0</v>
      </c>
      <c r="V53" s="33">
        <f t="shared" ref="V53" si="57">IF(I53&gt;2250,I53*0.1,0)</f>
        <v>0</v>
      </c>
      <c r="W53" s="49">
        <f t="shared" ref="W53" si="58">+U53-V53</f>
        <v>0</v>
      </c>
      <c r="X53" s="33"/>
      <c r="Y53" s="33"/>
      <c r="Z53" s="33"/>
      <c r="AA53" s="49"/>
      <c r="AB53" s="56"/>
      <c r="AC53" s="56"/>
      <c r="AD53" s="50"/>
      <c r="AE53" s="36">
        <v>56678011103</v>
      </c>
      <c r="AF53" s="36"/>
      <c r="AG53" s="18" t="s">
        <v>193</v>
      </c>
    </row>
    <row r="54" spans="1:33" s="18" customFormat="1">
      <c r="A54" s="98" t="s">
        <v>28</v>
      </c>
      <c r="B54" s="34" t="s">
        <v>160</v>
      </c>
      <c r="C54" s="34"/>
      <c r="D54" s="34" t="s">
        <v>30</v>
      </c>
      <c r="E54" s="54">
        <v>42730</v>
      </c>
      <c r="F54" s="35">
        <v>1095.1500000000001</v>
      </c>
      <c r="G54" s="35"/>
      <c r="H54" s="35"/>
      <c r="I54" s="49">
        <f t="shared" si="3"/>
        <v>1095.1500000000001</v>
      </c>
      <c r="J54" s="35"/>
      <c r="K54" s="67"/>
      <c r="L54" s="35"/>
      <c r="M54" s="35"/>
      <c r="N54" s="68"/>
      <c r="O54" s="68"/>
      <c r="P54" s="35"/>
      <c r="Q54" s="33"/>
      <c r="R54" s="33"/>
      <c r="S54" s="34"/>
      <c r="T54" s="34"/>
      <c r="U54" s="49">
        <f t="shared" ref="U54" si="59">+I54-SUM(J54:T54)</f>
        <v>1095.1500000000001</v>
      </c>
      <c r="V54" s="33">
        <f t="shared" ref="V54" si="60">IF(I54&gt;2250,I54*0.1,0)</f>
        <v>0</v>
      </c>
      <c r="W54" s="49">
        <f t="shared" ref="W54" si="61">+U54-V54</f>
        <v>1095.1500000000001</v>
      </c>
      <c r="X54" s="33"/>
      <c r="Y54" s="33"/>
      <c r="Z54" s="33"/>
      <c r="AA54" s="49"/>
      <c r="AB54" s="56"/>
      <c r="AC54" s="56"/>
      <c r="AD54" s="50"/>
      <c r="AE54" s="36">
        <v>60589669043</v>
      </c>
      <c r="AF54" s="36"/>
      <c r="AG54" s="18" t="s">
        <v>193</v>
      </c>
    </row>
    <row r="55" spans="1:33" s="18" customFormat="1">
      <c r="A55" s="98" t="s">
        <v>28</v>
      </c>
      <c r="B55" s="34" t="s">
        <v>118</v>
      </c>
      <c r="C55" s="34"/>
      <c r="D55" s="34" t="s">
        <v>30</v>
      </c>
      <c r="E55" s="54">
        <v>42522</v>
      </c>
      <c r="F55" s="35">
        <v>10356.36</v>
      </c>
      <c r="G55" s="35"/>
      <c r="H55" s="35"/>
      <c r="I55" s="49">
        <f t="shared" si="3"/>
        <v>10356.36</v>
      </c>
      <c r="J55" s="35"/>
      <c r="K55" s="67"/>
      <c r="L55" s="35">
        <v>33.049999999999997</v>
      </c>
      <c r="M55" s="35">
        <v>0</v>
      </c>
      <c r="N55" s="68"/>
      <c r="O55" s="68"/>
      <c r="P55" s="35"/>
      <c r="Q55" s="33"/>
      <c r="R55" s="33"/>
      <c r="S55" s="34"/>
      <c r="T55" s="34">
        <v>0</v>
      </c>
      <c r="U55" s="49">
        <f t="shared" ref="U55:U70" si="62">+I55-SUM(J55:T55)</f>
        <v>10323.310000000001</v>
      </c>
      <c r="V55" s="33">
        <f t="shared" ref="V55:V60" si="63">IF(I55&gt;2250,I55*0.1,0)</f>
        <v>1035.6360000000002</v>
      </c>
      <c r="W55" s="49">
        <f t="shared" ref="W55:W70" si="64">+U55-V55</f>
        <v>9287.6740000000009</v>
      </c>
      <c r="X55" s="33">
        <f t="shared" ref="X55:X68" si="65">IF(I55&lt;2250,I55*0.1,0)</f>
        <v>0</v>
      </c>
      <c r="Y55" s="33">
        <v>10.23</v>
      </c>
      <c r="Z55" s="33">
        <f t="shared" ref="Z55:Z68" si="66">+N55</f>
        <v>0</v>
      </c>
      <c r="AA55" s="49">
        <f t="shared" ref="AA55:AA68" si="67">+I55+X55+Y55+Z55</f>
        <v>10366.59</v>
      </c>
      <c r="AB55" s="56"/>
      <c r="AC55" s="56"/>
      <c r="AD55" s="50"/>
      <c r="AE55" s="36">
        <v>56708845237</v>
      </c>
      <c r="AF55" s="36"/>
      <c r="AG55" s="18" t="s">
        <v>193</v>
      </c>
    </row>
    <row r="56" spans="1:33" s="18" customFormat="1">
      <c r="A56" s="98" t="s">
        <v>28</v>
      </c>
      <c r="B56" s="34" t="s">
        <v>65</v>
      </c>
      <c r="C56" s="34" t="s">
        <v>79</v>
      </c>
      <c r="D56" s="34" t="s">
        <v>30</v>
      </c>
      <c r="E56" s="54">
        <v>42396</v>
      </c>
      <c r="F56" s="35">
        <v>1029.17</v>
      </c>
      <c r="G56" s="35"/>
      <c r="H56" s="35"/>
      <c r="I56" s="49">
        <f t="shared" si="3"/>
        <v>1029.17</v>
      </c>
      <c r="J56" s="35">
        <v>594</v>
      </c>
      <c r="K56" s="67"/>
      <c r="L56" s="35">
        <v>54.05</v>
      </c>
      <c r="M56" s="35">
        <v>0</v>
      </c>
      <c r="N56" s="68"/>
      <c r="O56" s="68"/>
      <c r="P56" s="35"/>
      <c r="Q56" s="33">
        <v>500</v>
      </c>
      <c r="R56" s="33"/>
      <c r="S56" s="34"/>
      <c r="T56" s="34">
        <v>300</v>
      </c>
      <c r="U56" s="49">
        <f t="shared" si="62"/>
        <v>-418.87999999999988</v>
      </c>
      <c r="V56" s="33">
        <f t="shared" si="63"/>
        <v>0</v>
      </c>
      <c r="W56" s="49">
        <f t="shared" si="64"/>
        <v>-418.87999999999988</v>
      </c>
      <c r="X56" s="33">
        <f t="shared" si="65"/>
        <v>102.91700000000002</v>
      </c>
      <c r="Y56" s="33">
        <v>10.23</v>
      </c>
      <c r="Z56" s="33">
        <f t="shared" si="66"/>
        <v>0</v>
      </c>
      <c r="AA56" s="49">
        <f t="shared" si="67"/>
        <v>1142.317</v>
      </c>
      <c r="AB56" s="56"/>
      <c r="AC56" s="56"/>
      <c r="AD56" s="50">
        <f t="shared" ref="AD56:AD60" si="68">+AB56+AC56-W56</f>
        <v>418.87999999999988</v>
      </c>
      <c r="AE56" s="36">
        <v>56708881579</v>
      </c>
      <c r="AF56" s="36"/>
      <c r="AG56" s="18" t="s">
        <v>193</v>
      </c>
    </row>
    <row r="57" spans="1:33" s="18" customFormat="1">
      <c r="A57" s="98" t="s">
        <v>39</v>
      </c>
      <c r="B57" s="34" t="s">
        <v>74</v>
      </c>
      <c r="C57" s="34"/>
      <c r="D57" s="86" t="s">
        <v>45</v>
      </c>
      <c r="E57" s="54">
        <v>42321</v>
      </c>
      <c r="F57" s="70">
        <v>400</v>
      </c>
      <c r="G57" s="35"/>
      <c r="H57" s="35"/>
      <c r="I57" s="49">
        <f t="shared" si="3"/>
        <v>400</v>
      </c>
      <c r="J57" s="35"/>
      <c r="K57" s="67"/>
      <c r="L57" s="35"/>
      <c r="M57" s="35">
        <v>0</v>
      </c>
      <c r="N57" s="68"/>
      <c r="O57" s="68"/>
      <c r="P57" s="35"/>
      <c r="Q57" s="33"/>
      <c r="R57" s="33"/>
      <c r="S57" s="34"/>
      <c r="T57" s="34">
        <v>0</v>
      </c>
      <c r="U57" s="49">
        <f t="shared" si="62"/>
        <v>400</v>
      </c>
      <c r="V57" s="33">
        <f t="shared" si="63"/>
        <v>0</v>
      </c>
      <c r="W57" s="49">
        <f t="shared" si="64"/>
        <v>400</v>
      </c>
      <c r="X57" s="33">
        <f t="shared" si="65"/>
        <v>40</v>
      </c>
      <c r="Y57" s="33">
        <v>10.23</v>
      </c>
      <c r="Z57" s="33">
        <f t="shared" si="66"/>
        <v>0</v>
      </c>
      <c r="AA57" s="49">
        <f t="shared" si="67"/>
        <v>450.23</v>
      </c>
      <c r="AB57" s="56"/>
      <c r="AC57" s="57"/>
      <c r="AD57" s="50">
        <f t="shared" si="68"/>
        <v>-400</v>
      </c>
      <c r="AE57" s="36">
        <v>56708845240</v>
      </c>
      <c r="AF57" s="34"/>
      <c r="AG57" s="18" t="s">
        <v>193</v>
      </c>
    </row>
    <row r="58" spans="1:33" s="18" customFormat="1">
      <c r="A58" s="98" t="s">
        <v>39</v>
      </c>
      <c r="B58" s="34" t="s">
        <v>141</v>
      </c>
      <c r="C58" s="34"/>
      <c r="D58" s="34" t="s">
        <v>29</v>
      </c>
      <c r="E58" s="54">
        <v>42646</v>
      </c>
      <c r="F58" s="35">
        <v>1264.99</v>
      </c>
      <c r="G58" s="35"/>
      <c r="H58" s="35"/>
      <c r="I58" s="49">
        <f t="shared" si="3"/>
        <v>1264.99</v>
      </c>
      <c r="J58" s="35"/>
      <c r="K58" s="67">
        <v>1</v>
      </c>
      <c r="L58" s="35"/>
      <c r="M58" s="35">
        <v>0</v>
      </c>
      <c r="N58" s="68"/>
      <c r="O58" s="68"/>
      <c r="P58" s="35"/>
      <c r="Q58" s="33"/>
      <c r="R58" s="33"/>
      <c r="S58" s="34"/>
      <c r="T58" s="34"/>
      <c r="U58" s="49">
        <f t="shared" ref="U58" si="69">+I58-SUM(J58:T58)</f>
        <v>1263.99</v>
      </c>
      <c r="V58" s="33">
        <f t="shared" ref="V58" si="70">IF(I58&gt;2250,I58*0.1,0)</f>
        <v>0</v>
      </c>
      <c r="W58" s="49">
        <f t="shared" ref="W58" si="71">+U58-V58</f>
        <v>1263.99</v>
      </c>
      <c r="X58" s="33"/>
      <c r="Y58" s="33"/>
      <c r="Z58" s="33"/>
      <c r="AA58" s="49"/>
      <c r="AB58" s="56"/>
      <c r="AC58" s="57"/>
      <c r="AD58" s="50"/>
      <c r="AE58" s="36">
        <v>56708881582</v>
      </c>
      <c r="AF58" s="36" t="s">
        <v>204</v>
      </c>
      <c r="AG58" s="18" t="s">
        <v>193</v>
      </c>
    </row>
    <row r="59" spans="1:33" s="18" customFormat="1">
      <c r="A59" s="98" t="s">
        <v>39</v>
      </c>
      <c r="B59" s="34" t="s">
        <v>73</v>
      </c>
      <c r="C59" s="34"/>
      <c r="D59" s="34" t="s">
        <v>29</v>
      </c>
      <c r="E59" s="54">
        <v>42065</v>
      </c>
      <c r="F59" s="35">
        <v>2525.4499999999998</v>
      </c>
      <c r="G59" s="35"/>
      <c r="H59" s="35"/>
      <c r="I59" s="49">
        <f t="shared" si="3"/>
        <v>2525.4499999999998</v>
      </c>
      <c r="J59" s="35"/>
      <c r="K59" s="67"/>
      <c r="L59" s="35"/>
      <c r="M59" s="35">
        <v>0</v>
      </c>
      <c r="N59" s="68"/>
      <c r="O59" s="68"/>
      <c r="P59" s="35"/>
      <c r="Q59" s="33"/>
      <c r="R59" s="33"/>
      <c r="S59" s="34"/>
      <c r="T59" s="34">
        <v>0</v>
      </c>
      <c r="U59" s="49">
        <f t="shared" si="62"/>
        <v>2525.4499999999998</v>
      </c>
      <c r="V59" s="33">
        <f t="shared" si="63"/>
        <v>252.54499999999999</v>
      </c>
      <c r="W59" s="49">
        <f t="shared" si="64"/>
        <v>2272.9049999999997</v>
      </c>
      <c r="X59" s="33">
        <f t="shared" si="65"/>
        <v>0</v>
      </c>
      <c r="Y59" s="33">
        <v>10.23</v>
      </c>
      <c r="Z59" s="33">
        <f t="shared" si="66"/>
        <v>0</v>
      </c>
      <c r="AA59" s="49">
        <f t="shared" si="67"/>
        <v>2535.6799999999998</v>
      </c>
      <c r="AB59" s="56"/>
      <c r="AC59" s="57"/>
      <c r="AD59" s="50">
        <f t="shared" si="68"/>
        <v>-2272.9049999999997</v>
      </c>
      <c r="AE59" s="36">
        <v>56708845254</v>
      </c>
      <c r="AF59" s="36"/>
      <c r="AG59" s="18" t="s">
        <v>193</v>
      </c>
    </row>
    <row r="60" spans="1:33" s="18" customFormat="1">
      <c r="A60" s="98" t="s">
        <v>28</v>
      </c>
      <c r="B60" s="34" t="s">
        <v>38</v>
      </c>
      <c r="C60" s="34" t="s">
        <v>77</v>
      </c>
      <c r="D60" s="34" t="s">
        <v>30</v>
      </c>
      <c r="E60" s="54">
        <v>41218</v>
      </c>
      <c r="F60" s="35"/>
      <c r="G60" s="35"/>
      <c r="H60" s="35"/>
      <c r="I60" s="49">
        <f t="shared" si="3"/>
        <v>0</v>
      </c>
      <c r="J60" s="35"/>
      <c r="K60" s="67"/>
      <c r="L60" s="35">
        <v>40.049999999999997</v>
      </c>
      <c r="M60" s="35">
        <v>0</v>
      </c>
      <c r="N60" s="68"/>
      <c r="O60" s="68"/>
      <c r="P60" s="35"/>
      <c r="Q60" s="33" t="s">
        <v>136</v>
      </c>
      <c r="R60" s="33"/>
      <c r="S60" s="34"/>
      <c r="T60" s="34">
        <v>0</v>
      </c>
      <c r="U60" s="49">
        <f t="shared" si="62"/>
        <v>-40.049999999999997</v>
      </c>
      <c r="V60" s="33">
        <f t="shared" si="63"/>
        <v>0</v>
      </c>
      <c r="W60" s="49">
        <f t="shared" si="64"/>
        <v>-40.049999999999997</v>
      </c>
      <c r="X60" s="33">
        <f t="shared" si="65"/>
        <v>0</v>
      </c>
      <c r="Y60" s="33">
        <v>10.23</v>
      </c>
      <c r="Z60" s="33">
        <f t="shared" si="66"/>
        <v>0</v>
      </c>
      <c r="AA60" s="49">
        <f t="shared" si="67"/>
        <v>10.23</v>
      </c>
      <c r="AB60" s="56"/>
      <c r="AC60" s="57"/>
      <c r="AD60" s="50">
        <f t="shared" si="68"/>
        <v>40.049999999999997</v>
      </c>
      <c r="AE60" s="36">
        <v>56708881596</v>
      </c>
      <c r="AF60" s="34"/>
      <c r="AG60" s="18" t="s">
        <v>193</v>
      </c>
    </row>
    <row r="61" spans="1:33" s="18" customFormat="1">
      <c r="A61" s="98" t="s">
        <v>26</v>
      </c>
      <c r="B61" s="34" t="s">
        <v>139</v>
      </c>
      <c r="C61" s="34"/>
      <c r="D61" s="34" t="s">
        <v>137</v>
      </c>
      <c r="E61" s="54">
        <v>42241</v>
      </c>
      <c r="F61" s="35">
        <v>3643.93</v>
      </c>
      <c r="G61" s="35"/>
      <c r="H61" s="35"/>
      <c r="I61" s="49">
        <f t="shared" si="3"/>
        <v>3643.93</v>
      </c>
      <c r="J61" s="35"/>
      <c r="K61" s="67"/>
      <c r="L61" s="35">
        <v>54.05</v>
      </c>
      <c r="M61" s="35"/>
      <c r="N61" s="68"/>
      <c r="O61" s="68"/>
      <c r="P61" s="35"/>
      <c r="Q61" s="33"/>
      <c r="R61" s="33"/>
      <c r="S61" s="34"/>
      <c r="T61" s="34"/>
      <c r="U61" s="49">
        <f t="shared" ref="U61" si="72">+I61-SUM(J61:T61)</f>
        <v>3589.8799999999997</v>
      </c>
      <c r="V61" s="33">
        <f t="shared" ref="V61" si="73">IF(I61&gt;2250,I61*0.1,0)</f>
        <v>364.39300000000003</v>
      </c>
      <c r="W61" s="49">
        <f t="shared" ref="W61" si="74">+U61-V61</f>
        <v>3225.4869999999996</v>
      </c>
      <c r="X61" s="33">
        <f t="shared" si="65"/>
        <v>0</v>
      </c>
      <c r="Y61" s="33"/>
      <c r="Z61" s="33"/>
      <c r="AA61" s="49"/>
      <c r="AB61" s="56"/>
      <c r="AC61" s="57"/>
      <c r="AD61" s="50"/>
      <c r="AE61" s="36">
        <v>56708845268</v>
      </c>
      <c r="AF61" s="36"/>
      <c r="AG61" s="18" t="s">
        <v>193</v>
      </c>
    </row>
    <row r="62" spans="1:33" s="18" customFormat="1">
      <c r="A62" s="98" t="s">
        <v>41</v>
      </c>
      <c r="B62" s="34" t="s">
        <v>99</v>
      </c>
      <c r="C62" s="34"/>
      <c r="D62" s="86" t="s">
        <v>45</v>
      </c>
      <c r="E62" s="54">
        <v>42333</v>
      </c>
      <c r="F62" s="70">
        <v>450</v>
      </c>
      <c r="G62" s="35"/>
      <c r="H62" s="35"/>
      <c r="I62" s="49">
        <f t="shared" si="3"/>
        <v>450</v>
      </c>
      <c r="J62" s="35"/>
      <c r="K62" s="67"/>
      <c r="L62" s="35"/>
      <c r="M62" s="35">
        <v>0</v>
      </c>
      <c r="N62" s="68"/>
      <c r="O62" s="68"/>
      <c r="P62" s="35"/>
      <c r="Q62" s="33"/>
      <c r="R62" s="33"/>
      <c r="S62" s="34"/>
      <c r="T62" s="34">
        <v>297.95</v>
      </c>
      <c r="U62" s="49">
        <f t="shared" si="62"/>
        <v>152.05000000000001</v>
      </c>
      <c r="V62" s="33">
        <f t="shared" ref="V62:V70" si="75">IF(I62&gt;2250,I62*0.1,0)</f>
        <v>0</v>
      </c>
      <c r="W62" s="49">
        <f t="shared" si="64"/>
        <v>152.05000000000001</v>
      </c>
      <c r="X62" s="33">
        <f t="shared" si="65"/>
        <v>45</v>
      </c>
      <c r="Y62" s="33">
        <v>10.23</v>
      </c>
      <c r="Z62" s="33">
        <f t="shared" si="66"/>
        <v>0</v>
      </c>
      <c r="AA62" s="49">
        <f t="shared" si="67"/>
        <v>505.23</v>
      </c>
      <c r="AB62" s="56"/>
      <c r="AC62" s="57"/>
      <c r="AD62" s="50">
        <f>+AB62+AC62-W62</f>
        <v>-152.05000000000001</v>
      </c>
      <c r="AE62" s="36">
        <v>60589939521</v>
      </c>
      <c r="AF62" s="34"/>
      <c r="AG62" s="18" t="s">
        <v>193</v>
      </c>
    </row>
    <row r="63" spans="1:33" s="18" customFormat="1">
      <c r="A63" s="98" t="s">
        <v>28</v>
      </c>
      <c r="B63" s="34" t="s">
        <v>124</v>
      </c>
      <c r="C63" s="34"/>
      <c r="D63" s="34" t="s">
        <v>30</v>
      </c>
      <c r="E63" s="54">
        <v>42459</v>
      </c>
      <c r="F63" s="35">
        <v>4754.7</v>
      </c>
      <c r="G63" s="35"/>
      <c r="H63" s="35"/>
      <c r="I63" s="49">
        <f t="shared" si="3"/>
        <v>4754.7</v>
      </c>
      <c r="J63" s="35"/>
      <c r="K63" s="67"/>
      <c r="L63" s="35">
        <v>33.049999999999997</v>
      </c>
      <c r="M63" s="35">
        <v>0</v>
      </c>
      <c r="N63" s="68"/>
      <c r="O63" s="68"/>
      <c r="P63" s="35"/>
      <c r="Q63" s="33"/>
      <c r="R63" s="33"/>
      <c r="S63" s="34"/>
      <c r="T63" s="34"/>
      <c r="U63" s="49">
        <f t="shared" si="62"/>
        <v>4721.6499999999996</v>
      </c>
      <c r="V63" s="33">
        <f t="shared" si="75"/>
        <v>475.47</v>
      </c>
      <c r="W63" s="49">
        <f t="shared" si="64"/>
        <v>4246.1799999999994</v>
      </c>
      <c r="X63" s="33">
        <f t="shared" si="65"/>
        <v>0</v>
      </c>
      <c r="Y63" s="33">
        <v>10.23</v>
      </c>
      <c r="Z63" s="33">
        <f t="shared" si="66"/>
        <v>0</v>
      </c>
      <c r="AA63" s="49">
        <f t="shared" si="67"/>
        <v>4764.9299999999994</v>
      </c>
      <c r="AB63" s="62"/>
      <c r="AC63" s="57"/>
      <c r="AD63" s="50">
        <f>+AB63+AC63-W63</f>
        <v>-4246.1799999999994</v>
      </c>
      <c r="AE63" s="36">
        <v>60589627948</v>
      </c>
      <c r="AF63" s="36"/>
      <c r="AG63" s="18" t="s">
        <v>193</v>
      </c>
    </row>
    <row r="64" spans="1:33" s="18" customFormat="1">
      <c r="A64" s="98" t="s">
        <v>26</v>
      </c>
      <c r="B64" s="72" t="s">
        <v>121</v>
      </c>
      <c r="C64" s="72"/>
      <c r="D64" s="72" t="s">
        <v>44</v>
      </c>
      <c r="E64" s="75">
        <v>42566</v>
      </c>
      <c r="F64" s="83"/>
      <c r="G64" s="83"/>
      <c r="H64" s="83"/>
      <c r="I64" s="49">
        <f t="shared" si="3"/>
        <v>0</v>
      </c>
      <c r="J64" s="35"/>
      <c r="K64" s="67"/>
      <c r="L64" s="35"/>
      <c r="M64" s="35"/>
      <c r="N64" s="68"/>
      <c r="O64" s="68"/>
      <c r="P64" s="35"/>
      <c r="Q64" s="33"/>
      <c r="R64" s="33"/>
      <c r="S64" s="34"/>
      <c r="T64" s="34"/>
      <c r="U64" s="49">
        <f t="shared" si="62"/>
        <v>0</v>
      </c>
      <c r="V64" s="33">
        <f t="shared" si="75"/>
        <v>0</v>
      </c>
      <c r="W64" s="49">
        <f t="shared" si="64"/>
        <v>0</v>
      </c>
      <c r="X64" s="33">
        <f t="shared" si="65"/>
        <v>0</v>
      </c>
      <c r="Y64" s="33">
        <v>21.23</v>
      </c>
      <c r="Z64" s="33">
        <f t="shared" si="66"/>
        <v>0</v>
      </c>
      <c r="AA64" s="49">
        <f t="shared" si="67"/>
        <v>21.23</v>
      </c>
      <c r="AB64" s="62"/>
      <c r="AC64" s="57"/>
      <c r="AD64" s="50"/>
      <c r="AE64" s="74"/>
      <c r="AF64" s="74" t="s">
        <v>176</v>
      </c>
    </row>
    <row r="65" spans="1:186" s="18" customFormat="1">
      <c r="A65" s="98" t="s">
        <v>28</v>
      </c>
      <c r="B65" s="34" t="s">
        <v>101</v>
      </c>
      <c r="C65" s="34" t="s">
        <v>79</v>
      </c>
      <c r="D65" s="34" t="s">
        <v>30</v>
      </c>
      <c r="E65" s="54">
        <v>42327</v>
      </c>
      <c r="F65" s="35"/>
      <c r="G65" s="35"/>
      <c r="H65" s="35"/>
      <c r="I65" s="49">
        <f t="shared" si="3"/>
        <v>0</v>
      </c>
      <c r="J65" s="35"/>
      <c r="K65" s="67"/>
      <c r="L65" s="35">
        <v>33.049999999999997</v>
      </c>
      <c r="M65" s="35">
        <v>0</v>
      </c>
      <c r="N65" s="68"/>
      <c r="O65" s="68"/>
      <c r="P65" s="35"/>
      <c r="Q65" s="33"/>
      <c r="R65" s="33"/>
      <c r="S65" s="34"/>
      <c r="T65" s="65">
        <v>435.75</v>
      </c>
      <c r="U65" s="49">
        <f t="shared" si="62"/>
        <v>-468.8</v>
      </c>
      <c r="V65" s="33">
        <f t="shared" si="75"/>
        <v>0</v>
      </c>
      <c r="W65" s="49">
        <f t="shared" si="64"/>
        <v>-468.8</v>
      </c>
      <c r="X65" s="33">
        <f t="shared" si="65"/>
        <v>0</v>
      </c>
      <c r="Y65" s="33">
        <v>10.23</v>
      </c>
      <c r="Z65" s="33">
        <f t="shared" si="66"/>
        <v>0</v>
      </c>
      <c r="AA65" s="49">
        <f t="shared" si="67"/>
        <v>10.23</v>
      </c>
      <c r="AB65" s="56"/>
      <c r="AC65" s="57"/>
      <c r="AD65" s="50">
        <f t="shared" ref="AD65:AD68" si="76">+AB65+AC65-W65</f>
        <v>468.8</v>
      </c>
      <c r="AE65" s="36">
        <v>56708881807</v>
      </c>
      <c r="AF65" s="36"/>
      <c r="AG65" s="18" t="s">
        <v>193</v>
      </c>
    </row>
    <row r="66" spans="1:186" s="18" customFormat="1">
      <c r="A66" s="98" t="s">
        <v>27</v>
      </c>
      <c r="B66" s="34" t="s">
        <v>90</v>
      </c>
      <c r="C66" s="34" t="s">
        <v>80</v>
      </c>
      <c r="D66" s="34" t="s">
        <v>98</v>
      </c>
      <c r="E66" s="54">
        <v>42173</v>
      </c>
      <c r="F66" s="35"/>
      <c r="G66" s="35"/>
      <c r="H66" s="35"/>
      <c r="I66" s="49">
        <f t="shared" si="3"/>
        <v>0</v>
      </c>
      <c r="J66" s="35">
        <v>497.54</v>
      </c>
      <c r="K66" s="67"/>
      <c r="L66" s="35"/>
      <c r="M66" s="35">
        <v>0</v>
      </c>
      <c r="N66" s="68"/>
      <c r="O66" s="68"/>
      <c r="P66" s="35"/>
      <c r="Q66" s="33"/>
      <c r="R66" s="33"/>
      <c r="S66" s="34"/>
      <c r="T66" s="34">
        <v>0</v>
      </c>
      <c r="U66" s="49">
        <f t="shared" si="62"/>
        <v>-497.54</v>
      </c>
      <c r="V66" s="33">
        <f t="shared" si="75"/>
        <v>0</v>
      </c>
      <c r="W66" s="49">
        <f t="shared" si="64"/>
        <v>-497.54</v>
      </c>
      <c r="X66" s="33">
        <f t="shared" si="65"/>
        <v>0</v>
      </c>
      <c r="Y66" s="33">
        <v>10.23</v>
      </c>
      <c r="Z66" s="33">
        <f t="shared" si="66"/>
        <v>0</v>
      </c>
      <c r="AA66" s="49">
        <f t="shared" si="67"/>
        <v>10.23</v>
      </c>
      <c r="AB66" s="62"/>
      <c r="AC66" s="63"/>
      <c r="AD66" s="50">
        <f t="shared" si="76"/>
        <v>497.54</v>
      </c>
      <c r="AE66" s="36">
        <v>56708881810</v>
      </c>
      <c r="AF66" s="36" t="s">
        <v>203</v>
      </c>
      <c r="AG66" s="18" t="s">
        <v>193</v>
      </c>
    </row>
    <row r="67" spans="1:186" s="18" customFormat="1">
      <c r="A67" s="99" t="s">
        <v>28</v>
      </c>
      <c r="B67" s="99" t="s">
        <v>213</v>
      </c>
      <c r="C67" s="99"/>
      <c r="D67" s="99" t="s">
        <v>30</v>
      </c>
      <c r="E67" s="100">
        <v>42842</v>
      </c>
      <c r="F67" s="101"/>
      <c r="G67" s="101"/>
      <c r="H67" s="101"/>
      <c r="I67" s="49">
        <f t="shared" si="3"/>
        <v>0</v>
      </c>
      <c r="J67" s="35"/>
      <c r="K67" s="67"/>
      <c r="L67" s="35"/>
      <c r="M67" s="35"/>
      <c r="N67" s="68"/>
      <c r="O67" s="68"/>
      <c r="P67" s="35"/>
      <c r="Q67" s="33"/>
      <c r="R67" s="33"/>
      <c r="S67" s="34"/>
      <c r="T67" s="34"/>
      <c r="U67" s="49"/>
      <c r="V67" s="33"/>
      <c r="W67" s="49"/>
      <c r="X67" s="33"/>
      <c r="Y67" s="33"/>
      <c r="Z67" s="33"/>
      <c r="AA67" s="49"/>
      <c r="AB67" s="62"/>
      <c r="AC67" s="63"/>
      <c r="AD67" s="50"/>
      <c r="AE67" s="102">
        <v>60590199370</v>
      </c>
      <c r="AF67" s="102"/>
      <c r="AG67" s="18" t="s">
        <v>193</v>
      </c>
    </row>
    <row r="68" spans="1:186" s="18" customFormat="1">
      <c r="A68" s="98" t="s">
        <v>28</v>
      </c>
      <c r="B68" s="34" t="s">
        <v>113</v>
      </c>
      <c r="C68" s="34" t="s">
        <v>77</v>
      </c>
      <c r="D68" s="34" t="s">
        <v>30</v>
      </c>
      <c r="E68" s="54">
        <v>42506</v>
      </c>
      <c r="F68" s="35">
        <v>5185.68</v>
      </c>
      <c r="G68" s="35"/>
      <c r="H68" s="35"/>
      <c r="I68" s="49">
        <f t="shared" si="3"/>
        <v>5185.68</v>
      </c>
      <c r="J68" s="35"/>
      <c r="K68" s="67"/>
      <c r="L68" s="35">
        <v>33.049999999999997</v>
      </c>
      <c r="M68" s="35">
        <v>0</v>
      </c>
      <c r="N68" s="68"/>
      <c r="O68" s="68"/>
      <c r="P68" s="35"/>
      <c r="Q68" s="33">
        <v>205</v>
      </c>
      <c r="R68" s="33"/>
      <c r="S68" s="34"/>
      <c r="T68" s="65">
        <v>196</v>
      </c>
      <c r="U68" s="49">
        <f t="shared" si="62"/>
        <v>4751.63</v>
      </c>
      <c r="V68" s="33">
        <f t="shared" si="75"/>
        <v>518.5680000000001</v>
      </c>
      <c r="W68" s="49">
        <f t="shared" si="64"/>
        <v>4233.0619999999999</v>
      </c>
      <c r="X68" s="33">
        <f t="shared" si="65"/>
        <v>0</v>
      </c>
      <c r="Y68" s="33">
        <v>10.23</v>
      </c>
      <c r="Z68" s="33">
        <f t="shared" si="66"/>
        <v>0</v>
      </c>
      <c r="AA68" s="49">
        <f t="shared" si="67"/>
        <v>5195.91</v>
      </c>
      <c r="AB68" s="62"/>
      <c r="AC68" s="62"/>
      <c r="AD68" s="50">
        <f t="shared" si="76"/>
        <v>-4233.0619999999999</v>
      </c>
      <c r="AE68" s="85">
        <v>1179675078</v>
      </c>
      <c r="AF68" s="36"/>
      <c r="AG68" s="18" t="s">
        <v>195</v>
      </c>
      <c r="AH68" s="18" t="s">
        <v>216</v>
      </c>
    </row>
    <row r="69" spans="1:186" s="18" customFormat="1">
      <c r="A69" s="98" t="s">
        <v>28</v>
      </c>
      <c r="B69" s="34" t="s">
        <v>175</v>
      </c>
      <c r="C69" s="34"/>
      <c r="D69" s="34" t="s">
        <v>137</v>
      </c>
      <c r="E69" s="54">
        <v>42762</v>
      </c>
      <c r="F69" s="35"/>
      <c r="G69" s="35"/>
      <c r="H69" s="35"/>
      <c r="I69" s="49">
        <f t="shared" si="3"/>
        <v>0</v>
      </c>
      <c r="J69" s="35"/>
      <c r="K69" s="67"/>
      <c r="L69" s="35"/>
      <c r="M69" s="35"/>
      <c r="N69" s="68"/>
      <c r="O69" s="68"/>
      <c r="P69" s="35"/>
      <c r="Q69" s="33"/>
      <c r="R69" s="33"/>
      <c r="S69" s="34"/>
      <c r="T69" s="65"/>
      <c r="U69" s="49">
        <f t="shared" si="62"/>
        <v>0</v>
      </c>
      <c r="V69" s="33"/>
      <c r="W69" s="49"/>
      <c r="X69" s="33"/>
      <c r="Y69" s="33"/>
      <c r="Z69" s="33"/>
      <c r="AA69" s="49"/>
      <c r="AB69" s="62"/>
      <c r="AC69" s="62"/>
      <c r="AD69" s="50"/>
      <c r="AE69" s="36">
        <v>60589688725</v>
      </c>
      <c r="AF69" s="36"/>
      <c r="AG69" s="18" t="s">
        <v>193</v>
      </c>
    </row>
    <row r="70" spans="1:186" s="18" customFormat="1">
      <c r="A70" s="98" t="s">
        <v>26</v>
      </c>
      <c r="B70" s="34" t="s">
        <v>172</v>
      </c>
      <c r="C70" s="34"/>
      <c r="D70" s="34" t="s">
        <v>44</v>
      </c>
      <c r="E70" s="54">
        <v>42597</v>
      </c>
      <c r="F70" s="35">
        <v>3450</v>
      </c>
      <c r="G70" s="35"/>
      <c r="H70" s="35"/>
      <c r="I70" s="49">
        <f t="shared" si="3"/>
        <v>3450</v>
      </c>
      <c r="J70" s="35"/>
      <c r="K70" s="67"/>
      <c r="L70" s="35"/>
      <c r="M70" s="35"/>
      <c r="N70" s="68"/>
      <c r="O70" s="68"/>
      <c r="P70" s="35"/>
      <c r="Q70" s="33"/>
      <c r="R70" s="33"/>
      <c r="S70" s="34"/>
      <c r="T70" s="65">
        <v>0</v>
      </c>
      <c r="U70" s="49">
        <f t="shared" si="62"/>
        <v>3450</v>
      </c>
      <c r="V70" s="33">
        <f t="shared" si="75"/>
        <v>345</v>
      </c>
      <c r="W70" s="49">
        <f t="shared" si="64"/>
        <v>3105</v>
      </c>
      <c r="X70" s="33"/>
      <c r="Y70" s="33"/>
      <c r="Z70" s="33"/>
      <c r="AA70" s="49"/>
      <c r="AB70" s="62"/>
      <c r="AC70" s="62"/>
      <c r="AD70" s="50"/>
      <c r="AE70" s="36">
        <v>56708881838</v>
      </c>
      <c r="AF70" s="36"/>
      <c r="AG70" s="18" t="s">
        <v>193</v>
      </c>
    </row>
    <row r="71" spans="1:186" s="18" customFormat="1">
      <c r="A71" s="98" t="s">
        <v>39</v>
      </c>
      <c r="B71" s="34" t="s">
        <v>152</v>
      </c>
      <c r="C71" s="34"/>
      <c r="D71" s="34" t="s">
        <v>29</v>
      </c>
      <c r="E71" s="54">
        <v>42696</v>
      </c>
      <c r="F71" s="35">
        <v>1787.54</v>
      </c>
      <c r="G71" s="35"/>
      <c r="H71" s="35"/>
      <c r="I71" s="49">
        <f t="shared" si="3"/>
        <v>1787.54</v>
      </c>
      <c r="J71" s="35"/>
      <c r="K71" s="67">
        <v>1</v>
      </c>
      <c r="L71" s="35"/>
      <c r="M71" s="35"/>
      <c r="N71" s="68"/>
      <c r="O71" s="68"/>
      <c r="P71" s="35"/>
      <c r="Q71" s="33"/>
      <c r="R71" s="33"/>
      <c r="S71" s="34"/>
      <c r="T71" s="65"/>
      <c r="U71" s="49">
        <f t="shared" ref="U71" si="77">+I71-SUM(J71:T71)</f>
        <v>1786.54</v>
      </c>
      <c r="V71" s="33">
        <f t="shared" ref="V71" si="78">IF(I71&gt;2250,I71*0.1,0)</f>
        <v>0</v>
      </c>
      <c r="W71" s="49">
        <f t="shared" ref="W71" si="79">+U71-V71</f>
        <v>1786.54</v>
      </c>
      <c r="X71" s="33"/>
      <c r="Y71" s="33"/>
      <c r="Z71" s="33"/>
      <c r="AA71" s="49"/>
      <c r="AB71" s="62"/>
      <c r="AC71" s="62"/>
      <c r="AD71" s="50"/>
      <c r="AE71" s="36">
        <v>56710784605</v>
      </c>
      <c r="AF71" s="36"/>
      <c r="AG71" s="18" t="s">
        <v>193</v>
      </c>
    </row>
    <row r="72" spans="1:186" s="18" customFormat="1">
      <c r="A72" s="98" t="s">
        <v>28</v>
      </c>
      <c r="B72" s="34" t="s">
        <v>154</v>
      </c>
      <c r="C72" s="34"/>
      <c r="D72" s="34" t="s">
        <v>30</v>
      </c>
      <c r="E72" s="54">
        <v>42632</v>
      </c>
      <c r="F72" s="35"/>
      <c r="G72" s="35"/>
      <c r="H72" s="35"/>
      <c r="I72" s="49">
        <f t="shared" si="3"/>
        <v>0</v>
      </c>
      <c r="J72" s="35"/>
      <c r="K72" s="67"/>
      <c r="L72" s="35"/>
      <c r="M72" s="35"/>
      <c r="N72" s="68"/>
      <c r="O72" s="68"/>
      <c r="P72" s="35"/>
      <c r="Q72" s="33"/>
      <c r="R72" s="33"/>
      <c r="S72" s="34"/>
      <c r="T72" s="65"/>
      <c r="U72" s="49">
        <f t="shared" ref="U72" si="80">+I72-SUM(J72:T72)</f>
        <v>0</v>
      </c>
      <c r="V72" s="33">
        <f t="shared" ref="V72" si="81">IF(I72&gt;2250,I72*0.1,0)</f>
        <v>0</v>
      </c>
      <c r="W72" s="49">
        <f t="shared" ref="W72" si="82">+U72-V72</f>
        <v>0</v>
      </c>
      <c r="X72" s="33"/>
      <c r="Y72" s="33"/>
      <c r="Z72" s="33"/>
      <c r="AA72" s="49"/>
      <c r="AB72" s="62"/>
      <c r="AC72" s="62"/>
      <c r="AD72" s="50"/>
      <c r="AE72" s="36">
        <v>60589620126</v>
      </c>
      <c r="AF72" s="36"/>
      <c r="AG72" s="18" t="s">
        <v>193</v>
      </c>
    </row>
    <row r="73" spans="1:186" s="18" customFormat="1">
      <c r="A73" s="25"/>
      <c r="B73" s="26"/>
      <c r="C73" s="26"/>
      <c r="D73" s="26"/>
      <c r="E73" s="26"/>
      <c r="F73" s="27"/>
      <c r="G73" s="27"/>
      <c r="H73" s="27"/>
      <c r="I73" s="28"/>
      <c r="J73" s="27"/>
      <c r="K73" s="27"/>
      <c r="L73" s="27"/>
      <c r="M73" s="27"/>
      <c r="N73" s="27"/>
      <c r="O73" s="27"/>
      <c r="P73" s="27"/>
      <c r="Q73" s="37"/>
      <c r="R73" s="37"/>
      <c r="S73" s="37"/>
      <c r="T73" s="37"/>
      <c r="U73" s="28"/>
      <c r="V73" s="37"/>
      <c r="W73" s="28"/>
      <c r="X73" s="37"/>
      <c r="Y73" s="37"/>
      <c r="Z73" s="37"/>
      <c r="AA73" s="28"/>
      <c r="AB73" s="46"/>
      <c r="AC73" s="46"/>
      <c r="AD73" s="23"/>
    </row>
    <row r="74" spans="1:186">
      <c r="B74" s="38" t="s">
        <v>1</v>
      </c>
      <c r="C74" s="38"/>
      <c r="D74" s="38"/>
      <c r="E74" s="38"/>
      <c r="F74" s="39">
        <f>SUM(F7:F73)</f>
        <v>134600.69999999998</v>
      </c>
      <c r="G74" s="39">
        <f t="shared" ref="G74:J74" si="83">SUM(G8:G73)</f>
        <v>0</v>
      </c>
      <c r="H74" s="39">
        <f t="shared" si="83"/>
        <v>0</v>
      </c>
      <c r="I74" s="39">
        <f t="shared" si="83"/>
        <v>127576.33999999998</v>
      </c>
      <c r="J74" s="39">
        <f t="shared" si="83"/>
        <v>2759.91</v>
      </c>
      <c r="K74" s="39"/>
      <c r="L74" s="39">
        <f>SUM(L8:L73)</f>
        <v>979.46999999999957</v>
      </c>
      <c r="M74" s="40">
        <f t="shared" ref="M74:AD74" si="84">SUM(M8:M73)</f>
        <v>1300</v>
      </c>
      <c r="N74" s="40">
        <f t="shared" si="84"/>
        <v>0</v>
      </c>
      <c r="O74" s="40">
        <f t="shared" si="84"/>
        <v>0</v>
      </c>
      <c r="P74" s="40">
        <f t="shared" si="84"/>
        <v>0</v>
      </c>
      <c r="Q74" s="39">
        <f t="shared" si="84"/>
        <v>3462.3</v>
      </c>
      <c r="R74" s="39">
        <f t="shared" si="84"/>
        <v>0.3</v>
      </c>
      <c r="S74" s="39">
        <f t="shared" si="84"/>
        <v>0</v>
      </c>
      <c r="T74" s="39">
        <f t="shared" si="84"/>
        <v>9097.5500000000011</v>
      </c>
      <c r="U74" s="39">
        <f t="shared" si="84"/>
        <v>111766.76999999997</v>
      </c>
      <c r="V74" s="39">
        <f t="shared" si="84"/>
        <v>10526.366</v>
      </c>
      <c r="W74" s="39">
        <f t="shared" si="84"/>
        <v>96192.843999999968</v>
      </c>
      <c r="X74" s="39">
        <f t="shared" si="84"/>
        <v>824.26300000000003</v>
      </c>
      <c r="Y74" s="39">
        <f t="shared" si="84"/>
        <v>444.74000000000029</v>
      </c>
      <c r="Z74" s="39">
        <f t="shared" si="84"/>
        <v>0</v>
      </c>
      <c r="AA74" s="39">
        <f t="shared" si="84"/>
        <v>82658.042999999976</v>
      </c>
      <c r="AB74" s="47">
        <f t="shared" si="84"/>
        <v>0</v>
      </c>
      <c r="AC74" s="47">
        <f t="shared" si="84"/>
        <v>0</v>
      </c>
      <c r="AD74" s="41">
        <f t="shared" si="84"/>
        <v>-42150.204999999994</v>
      </c>
      <c r="AE74" s="29"/>
      <c r="AF74" s="29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  <c r="CW74" s="18"/>
      <c r="CX74" s="18"/>
      <c r="CY74" s="18"/>
      <c r="CZ74" s="18"/>
      <c r="DA74" s="18"/>
      <c r="DB74" s="18"/>
      <c r="DC74" s="18"/>
      <c r="DD74" s="18"/>
      <c r="DE74" s="18"/>
      <c r="DF74" s="18"/>
      <c r="DG74" s="18"/>
      <c r="DH74" s="18"/>
      <c r="DI74" s="18"/>
      <c r="DJ74" s="18"/>
      <c r="DK74" s="18"/>
      <c r="DL74" s="18"/>
      <c r="DM74" s="18"/>
      <c r="DN74" s="18"/>
      <c r="DO74" s="18"/>
      <c r="DP74" s="18"/>
      <c r="DQ74" s="18"/>
      <c r="DR74" s="18"/>
      <c r="DS74" s="18"/>
      <c r="DT74" s="18"/>
      <c r="DU74" s="18"/>
      <c r="DV74" s="18"/>
      <c r="DW74" s="18"/>
      <c r="DX74" s="18"/>
      <c r="DY74" s="18"/>
      <c r="DZ74" s="18"/>
      <c r="EA74" s="18"/>
      <c r="EB74" s="18"/>
      <c r="EC74" s="18"/>
      <c r="ED74" s="18"/>
      <c r="EE74" s="18"/>
      <c r="EF74" s="18"/>
      <c r="EG74" s="18"/>
      <c r="EH74" s="18"/>
      <c r="EI74" s="18"/>
      <c r="EJ74" s="18"/>
      <c r="EK74" s="18"/>
      <c r="EL74" s="18"/>
      <c r="EM74" s="18"/>
      <c r="EN74" s="18"/>
      <c r="EO74" s="18"/>
      <c r="EP74" s="18"/>
      <c r="EQ74" s="18"/>
      <c r="ER74" s="18"/>
      <c r="ES74" s="18"/>
      <c r="ET74" s="18"/>
      <c r="EU74" s="18"/>
      <c r="EV74" s="18"/>
      <c r="EW74" s="18"/>
      <c r="EX74" s="18"/>
      <c r="EY74" s="18"/>
      <c r="EZ74" s="18"/>
      <c r="FA74" s="18"/>
      <c r="FB74" s="18"/>
      <c r="FC74" s="18"/>
      <c r="FD74" s="18"/>
      <c r="FE74" s="18"/>
      <c r="FF74" s="18"/>
      <c r="FG74" s="18"/>
      <c r="FH74" s="18"/>
      <c r="FI74" s="18"/>
      <c r="FJ74" s="18"/>
      <c r="FK74" s="18"/>
      <c r="FL74" s="18"/>
      <c r="FM74" s="18"/>
      <c r="FN74" s="18"/>
      <c r="FO74" s="18"/>
      <c r="FP74" s="18"/>
      <c r="FQ74" s="18"/>
      <c r="FR74" s="18"/>
      <c r="FS74" s="18"/>
      <c r="FT74" s="18"/>
      <c r="FU74" s="18"/>
      <c r="FV74" s="18"/>
      <c r="FW74" s="18"/>
      <c r="FX74" s="18"/>
      <c r="FY74" s="18"/>
      <c r="FZ74" s="18"/>
      <c r="GA74" s="18"/>
      <c r="GB74" s="18"/>
      <c r="GC74" s="18"/>
      <c r="GD74" s="18"/>
    </row>
    <row r="75" spans="1:186">
      <c r="AA75" s="14">
        <f>AA74*0.16</f>
        <v>13225.286879999996</v>
      </c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  <c r="CW75" s="18"/>
      <c r="CX75" s="18"/>
      <c r="CY75" s="18"/>
      <c r="CZ75" s="18"/>
      <c r="DA75" s="18"/>
      <c r="DB75" s="18"/>
      <c r="DC75" s="18"/>
      <c r="DD75" s="18"/>
      <c r="DE75" s="18"/>
      <c r="DF75" s="18"/>
      <c r="DG75" s="18"/>
      <c r="DH75" s="18"/>
      <c r="DI75" s="18"/>
      <c r="DJ75" s="18"/>
      <c r="DK75" s="18"/>
      <c r="DL75" s="18"/>
      <c r="DM75" s="18"/>
      <c r="DN75" s="18"/>
      <c r="DO75" s="18"/>
      <c r="DP75" s="18"/>
      <c r="DQ75" s="18"/>
      <c r="DR75" s="18"/>
      <c r="DS75" s="18"/>
      <c r="DT75" s="18"/>
      <c r="DU75" s="18"/>
      <c r="DV75" s="18"/>
      <c r="DW75" s="18"/>
      <c r="DX75" s="18"/>
      <c r="DY75" s="18"/>
      <c r="DZ75" s="18"/>
      <c r="EA75" s="18"/>
      <c r="EB75" s="18"/>
      <c r="EC75" s="18"/>
      <c r="ED75" s="18"/>
      <c r="EE75" s="18"/>
      <c r="EF75" s="18"/>
      <c r="EG75" s="18"/>
      <c r="EH75" s="18"/>
      <c r="EI75" s="18"/>
      <c r="EJ75" s="18"/>
      <c r="EK75" s="18"/>
      <c r="EL75" s="18"/>
      <c r="EM75" s="18"/>
      <c r="EN75" s="18"/>
      <c r="EO75" s="18"/>
      <c r="EP75" s="18"/>
      <c r="EQ75" s="18"/>
      <c r="ER75" s="18"/>
      <c r="ES75" s="18"/>
      <c r="ET75" s="18"/>
      <c r="EU75" s="18"/>
      <c r="EV75" s="18"/>
      <c r="EW75" s="18"/>
      <c r="EX75" s="18"/>
      <c r="EY75" s="18"/>
      <c r="EZ75" s="18"/>
      <c r="FA75" s="18"/>
      <c r="FB75" s="18"/>
      <c r="FC75" s="18"/>
      <c r="FD75" s="18"/>
      <c r="FE75" s="18"/>
      <c r="FF75" s="18"/>
      <c r="FG75" s="18"/>
      <c r="FH75" s="18"/>
      <c r="FI75" s="18"/>
      <c r="FJ75" s="18"/>
      <c r="FK75" s="18"/>
      <c r="FL75" s="18"/>
      <c r="FM75" s="18"/>
      <c r="FN75" s="18"/>
      <c r="FO75" s="18"/>
      <c r="FP75" s="18"/>
      <c r="FQ75" s="18"/>
      <c r="FR75" s="18"/>
      <c r="FS75" s="18"/>
      <c r="FT75" s="18"/>
      <c r="FU75" s="18"/>
      <c r="FV75" s="18"/>
      <c r="FW75" s="18"/>
      <c r="FX75" s="18"/>
      <c r="FY75" s="18"/>
      <c r="FZ75" s="18"/>
      <c r="GA75" s="18"/>
      <c r="GB75" s="18"/>
      <c r="GC75" s="18"/>
      <c r="GD75" s="18"/>
    </row>
    <row r="76" spans="1:186">
      <c r="A76" s="104" t="s">
        <v>93</v>
      </c>
      <c r="B76" s="104"/>
      <c r="C76" s="42"/>
      <c r="D76" s="29"/>
      <c r="E76" s="29"/>
      <c r="F76" s="31"/>
      <c r="G76" s="31"/>
      <c r="H76" s="31"/>
      <c r="I76" s="39"/>
      <c r="J76" s="31"/>
      <c r="K76" s="31"/>
      <c r="L76" s="31"/>
      <c r="M76" s="35"/>
      <c r="N76" s="35"/>
      <c r="O76" s="35"/>
      <c r="P76" s="35"/>
      <c r="Q76" s="31"/>
      <c r="R76" s="31"/>
      <c r="S76" s="31"/>
      <c r="T76" s="31"/>
      <c r="U76" s="39"/>
      <c r="V76" s="31"/>
      <c r="W76" s="39"/>
      <c r="X76" s="31"/>
      <c r="Y76" s="31"/>
      <c r="Z76" s="31"/>
      <c r="AA76" s="39">
        <f>+AA74+AA75</f>
        <v>95883.329879999976</v>
      </c>
      <c r="AB76" s="47"/>
      <c r="AC76" s="47"/>
      <c r="AD76" s="41"/>
      <c r="AE76" s="29"/>
      <c r="AF76" s="29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8"/>
      <c r="CV76" s="18"/>
      <c r="CW76" s="18"/>
      <c r="CX76" s="18"/>
      <c r="CY76" s="18"/>
      <c r="CZ76" s="18"/>
      <c r="DA76" s="18"/>
      <c r="DB76" s="18"/>
      <c r="DC76" s="18"/>
      <c r="DD76" s="18"/>
      <c r="DE76" s="18"/>
      <c r="DF76" s="18"/>
      <c r="DG76" s="18"/>
      <c r="DH76" s="18"/>
      <c r="DI76" s="18"/>
      <c r="DJ76" s="18"/>
      <c r="DK76" s="18"/>
      <c r="DL76" s="18"/>
      <c r="DM76" s="18"/>
      <c r="DN76" s="18"/>
      <c r="DO76" s="18"/>
      <c r="DP76" s="18"/>
      <c r="DQ76" s="18"/>
      <c r="DR76" s="18"/>
      <c r="DS76" s="18"/>
      <c r="DT76" s="18"/>
      <c r="DU76" s="18"/>
      <c r="DV76" s="18"/>
      <c r="DW76" s="18"/>
      <c r="DX76" s="18"/>
      <c r="DY76" s="18"/>
      <c r="DZ76" s="18"/>
      <c r="EA76" s="18"/>
      <c r="EB76" s="18"/>
      <c r="EC76" s="18"/>
      <c r="ED76" s="18"/>
      <c r="EE76" s="18"/>
      <c r="EF76" s="18"/>
      <c r="EG76" s="18"/>
      <c r="EH76" s="18"/>
      <c r="EI76" s="18"/>
      <c r="EJ76" s="18"/>
      <c r="EK76" s="18"/>
      <c r="EL76" s="18"/>
      <c r="EM76" s="18"/>
      <c r="EN76" s="18"/>
      <c r="EO76" s="18"/>
      <c r="EP76" s="18"/>
      <c r="EQ76" s="18"/>
      <c r="ER76" s="18"/>
      <c r="ES76" s="18"/>
      <c r="ET76" s="18"/>
      <c r="EU76" s="18"/>
      <c r="EV76" s="18"/>
      <c r="EW76" s="18"/>
      <c r="EX76" s="18"/>
      <c r="EY76" s="18"/>
      <c r="EZ76" s="18"/>
      <c r="FA76" s="18"/>
      <c r="FB76" s="18"/>
      <c r="FC76" s="18"/>
      <c r="FD76" s="18"/>
      <c r="FE76" s="18"/>
      <c r="FF76" s="18"/>
      <c r="FG76" s="18"/>
      <c r="FH76" s="18"/>
      <c r="FI76" s="18"/>
      <c r="FJ76" s="18"/>
      <c r="FK76" s="18"/>
      <c r="FL76" s="18"/>
      <c r="FM76" s="18"/>
      <c r="FN76" s="18"/>
      <c r="FO76" s="18"/>
      <c r="FP76" s="18"/>
      <c r="FQ76" s="18"/>
      <c r="FR76" s="18"/>
      <c r="FS76" s="18"/>
      <c r="FT76" s="18"/>
      <c r="FU76" s="18"/>
      <c r="FV76" s="18"/>
      <c r="FW76" s="18"/>
      <c r="FX76" s="18"/>
      <c r="FY76" s="18"/>
      <c r="FZ76" s="18"/>
      <c r="GA76" s="18"/>
      <c r="GB76" s="18"/>
      <c r="GC76" s="18"/>
      <c r="GD76" s="18"/>
    </row>
    <row r="77" spans="1:186">
      <c r="A77" s="34" t="s">
        <v>42</v>
      </c>
      <c r="B77" s="34" t="s">
        <v>94</v>
      </c>
      <c r="C77" s="30"/>
      <c r="D77" s="30" t="s">
        <v>130</v>
      </c>
      <c r="E77" s="55">
        <v>41142</v>
      </c>
      <c r="F77" s="35">
        <f>2532.093+5.571+315.22+734.15</f>
        <v>3587.0340000000001</v>
      </c>
      <c r="G77" s="32"/>
      <c r="H77" s="32"/>
      <c r="I77" s="49">
        <f>SUM(F77:H77)</f>
        <v>3587.0340000000001</v>
      </c>
      <c r="J77" s="35">
        <v>134.66999999999999</v>
      </c>
      <c r="K77" s="67"/>
      <c r="L77" s="35"/>
      <c r="M77" s="35"/>
      <c r="N77" s="68" t="s">
        <v>136</v>
      </c>
      <c r="O77" s="68" t="s">
        <v>136</v>
      </c>
      <c r="P77" s="35"/>
      <c r="Q77" s="33"/>
      <c r="R77" s="33"/>
      <c r="S77" s="34"/>
      <c r="T77" s="34"/>
      <c r="U77" s="49">
        <f>+I77-SUM(J77:T77)</f>
        <v>3452.364</v>
      </c>
      <c r="V77" s="33">
        <f>+U77*0.05</f>
        <v>172.6182</v>
      </c>
      <c r="W77" s="49">
        <f>+U77-Q77-T77</f>
        <v>3452.364</v>
      </c>
      <c r="X77" s="61">
        <f>IF(U77&lt;3000,U77*0.1,0)</f>
        <v>0</v>
      </c>
      <c r="Y77" s="61">
        <v>0</v>
      </c>
      <c r="Z77" s="61"/>
      <c r="AA77" s="60">
        <f>+U77+X77+Y77</f>
        <v>3452.364</v>
      </c>
      <c r="AB77" s="48"/>
      <c r="AC77" s="48"/>
      <c r="AD77" s="43"/>
      <c r="AE77" s="36">
        <v>56708845760</v>
      </c>
      <c r="AF77" s="36" t="s">
        <v>166</v>
      </c>
      <c r="AG77" s="18" t="s">
        <v>193</v>
      </c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  <c r="CB77" s="18"/>
      <c r="CC77" s="18"/>
      <c r="CD77" s="18"/>
      <c r="CE77" s="18"/>
      <c r="CF77" s="18"/>
      <c r="CG77" s="18"/>
      <c r="CH77" s="18"/>
      <c r="CI77" s="18"/>
      <c r="CJ77" s="18"/>
      <c r="CK77" s="18"/>
      <c r="CL77" s="18"/>
      <c r="CM77" s="18"/>
      <c r="CN77" s="18"/>
      <c r="CO77" s="18"/>
      <c r="CP77" s="18"/>
      <c r="CQ77" s="18"/>
      <c r="CR77" s="18"/>
      <c r="CS77" s="18"/>
      <c r="CT77" s="18"/>
      <c r="CU77" s="18"/>
      <c r="CV77" s="18"/>
      <c r="CW77" s="18"/>
      <c r="CX77" s="18"/>
      <c r="CY77" s="18"/>
      <c r="CZ77" s="18"/>
      <c r="DA77" s="18"/>
      <c r="DB77" s="18"/>
      <c r="DC77" s="18"/>
      <c r="DD77" s="18"/>
      <c r="DE77" s="18"/>
      <c r="DF77" s="18"/>
      <c r="DG77" s="18"/>
      <c r="DH77" s="18"/>
      <c r="DI77" s="18"/>
      <c r="DJ77" s="18"/>
      <c r="DK77" s="18"/>
      <c r="DL77" s="18"/>
      <c r="DM77" s="18"/>
      <c r="DN77" s="18"/>
      <c r="DO77" s="18"/>
      <c r="DP77" s="18"/>
      <c r="DQ77" s="18"/>
      <c r="DR77" s="18"/>
      <c r="DS77" s="18"/>
      <c r="DT77" s="18"/>
      <c r="DU77" s="18"/>
      <c r="DV77" s="18"/>
      <c r="DW77" s="18"/>
      <c r="DX77" s="18"/>
      <c r="DY77" s="18"/>
      <c r="DZ77" s="18"/>
      <c r="EA77" s="18"/>
      <c r="EB77" s="18"/>
      <c r="EC77" s="18"/>
      <c r="ED77" s="18"/>
      <c r="EE77" s="18"/>
      <c r="EF77" s="18"/>
      <c r="EG77" s="18"/>
      <c r="EH77" s="18"/>
      <c r="EI77" s="18"/>
      <c r="EJ77" s="18"/>
      <c r="EK77" s="18"/>
      <c r="EL77" s="18"/>
      <c r="EM77" s="18"/>
      <c r="EN77" s="18"/>
      <c r="EO77" s="18"/>
      <c r="EP77" s="18"/>
      <c r="EQ77" s="18"/>
      <c r="ER77" s="18"/>
      <c r="ES77" s="18"/>
      <c r="ET77" s="18"/>
      <c r="EU77" s="18"/>
      <c r="EV77" s="18"/>
      <c r="EW77" s="18"/>
      <c r="EX77" s="18"/>
      <c r="EY77" s="18"/>
      <c r="EZ77" s="18"/>
      <c r="FA77" s="18"/>
      <c r="FB77" s="18"/>
      <c r="FC77" s="18"/>
      <c r="FD77" s="18"/>
      <c r="FE77" s="18"/>
      <c r="FF77" s="18"/>
      <c r="FG77" s="18"/>
      <c r="FH77" s="18"/>
      <c r="FI77" s="18"/>
      <c r="FJ77" s="18"/>
      <c r="FK77" s="18"/>
      <c r="FL77" s="18"/>
      <c r="FM77" s="18"/>
      <c r="FN77" s="18"/>
      <c r="FO77" s="18"/>
      <c r="FP77" s="18"/>
      <c r="FQ77" s="18"/>
      <c r="FR77" s="18"/>
      <c r="FS77" s="18"/>
      <c r="FT77" s="18"/>
      <c r="FU77" s="18"/>
      <c r="FV77" s="18"/>
      <c r="FW77" s="18"/>
      <c r="FX77" s="18"/>
      <c r="FY77" s="18"/>
      <c r="FZ77" s="18"/>
      <c r="GA77" s="18"/>
      <c r="GB77" s="18"/>
      <c r="GC77" s="18"/>
      <c r="GD77" s="18"/>
    </row>
    <row r="78" spans="1:186" s="18" customFormat="1">
      <c r="A78" s="34" t="s">
        <v>42</v>
      </c>
      <c r="B78" s="34" t="s">
        <v>54</v>
      </c>
      <c r="C78" s="34"/>
      <c r="D78" s="34" t="s">
        <v>130</v>
      </c>
      <c r="E78" s="54">
        <v>41381</v>
      </c>
      <c r="F78" s="35">
        <f>5444.319+2.599+51.54+1550.69</f>
        <v>7049.148000000001</v>
      </c>
      <c r="G78" s="35"/>
      <c r="H78" s="35"/>
      <c r="I78" s="49">
        <f t="shared" ref="I78:I124" si="85">SUM(F78:H78)</f>
        <v>7049.148000000001</v>
      </c>
      <c r="J78" s="35">
        <v>372.75</v>
      </c>
      <c r="K78" s="67"/>
      <c r="L78" s="35"/>
      <c r="M78" s="35">
        <v>0</v>
      </c>
      <c r="N78" s="68" t="s">
        <v>136</v>
      </c>
      <c r="O78" s="68" t="s">
        <v>136</v>
      </c>
      <c r="P78" s="35"/>
      <c r="Q78" s="33"/>
      <c r="R78" s="33"/>
      <c r="S78" s="34"/>
      <c r="T78" s="34">
        <v>0</v>
      </c>
      <c r="U78" s="49">
        <f t="shared" ref="U78:U99" si="86">+I78-SUM(J78:T78)</f>
        <v>6676.398000000001</v>
      </c>
      <c r="V78" s="33">
        <f t="shared" ref="V78:V89" si="87">IF(I78&gt;2250,I78*0.1,0)</f>
        <v>704.91480000000013</v>
      </c>
      <c r="W78" s="49">
        <f t="shared" ref="W78:W89" si="88">+U78-V78</f>
        <v>5971.4832000000006</v>
      </c>
      <c r="X78" s="33">
        <f t="shared" ref="X78:X89" si="89">IF(I78&lt;2250,I78*0.1,0)</f>
        <v>0</v>
      </c>
      <c r="Y78" s="33">
        <v>10.23</v>
      </c>
      <c r="Z78" s="33" t="str">
        <f t="shared" ref="Z78:Z89" si="90">+N78</f>
        <v>X</v>
      </c>
      <c r="AA78" s="49" t="e">
        <f t="shared" ref="AA78:AA89" si="91">+I78+X78+Y78+Z78</f>
        <v>#VALUE!</v>
      </c>
      <c r="AB78" s="56"/>
      <c r="AC78" s="57"/>
      <c r="AD78" s="50">
        <f t="shared" ref="AD78:AD84" si="92">+AB78+AC78-W78</f>
        <v>-5971.4832000000006</v>
      </c>
      <c r="AE78" s="36">
        <v>56708845774</v>
      </c>
      <c r="AF78" s="36" t="s">
        <v>166</v>
      </c>
      <c r="AG78" s="18" t="s">
        <v>193</v>
      </c>
    </row>
    <row r="79" spans="1:186" s="18" customFormat="1">
      <c r="A79" s="34" t="s">
        <v>40</v>
      </c>
      <c r="B79" s="34" t="s">
        <v>177</v>
      </c>
      <c r="C79" s="34"/>
      <c r="D79" s="34" t="s">
        <v>43</v>
      </c>
      <c r="E79" s="54">
        <v>42793</v>
      </c>
      <c r="F79" s="35">
        <f>2368.29+7.428</f>
        <v>2375.7179999999998</v>
      </c>
      <c r="G79" s="35"/>
      <c r="H79" s="35"/>
      <c r="I79" s="49">
        <f t="shared" si="85"/>
        <v>2375.7179999999998</v>
      </c>
      <c r="J79" s="35"/>
      <c r="K79" s="67"/>
      <c r="L79" s="35"/>
      <c r="M79" s="35"/>
      <c r="N79" s="68"/>
      <c r="O79" s="68"/>
      <c r="P79" s="35"/>
      <c r="Q79" s="33"/>
      <c r="R79" s="33"/>
      <c r="S79" s="34"/>
      <c r="T79" s="34"/>
      <c r="U79" s="49">
        <f t="shared" si="86"/>
        <v>2375.7179999999998</v>
      </c>
      <c r="V79" s="33"/>
      <c r="W79" s="49"/>
      <c r="X79" s="33"/>
      <c r="Y79" s="33"/>
      <c r="Z79" s="33"/>
      <c r="AA79" s="49"/>
      <c r="AB79" s="56"/>
      <c r="AC79" s="57"/>
      <c r="AD79" s="50"/>
      <c r="AE79" s="36">
        <v>56711602712</v>
      </c>
      <c r="AF79" s="36"/>
      <c r="AG79" s="18" t="s">
        <v>193</v>
      </c>
    </row>
    <row r="80" spans="1:186" s="18" customFormat="1">
      <c r="A80" s="34" t="s">
        <v>42</v>
      </c>
      <c r="B80" s="34" t="s">
        <v>107</v>
      </c>
      <c r="C80" s="34"/>
      <c r="D80" s="34" t="s">
        <v>130</v>
      </c>
      <c r="E80" s="54">
        <v>41740</v>
      </c>
      <c r="F80" s="35">
        <f>2582.798+5.571+695.6</f>
        <v>3283.9689999999996</v>
      </c>
      <c r="G80" s="35"/>
      <c r="H80" s="35"/>
      <c r="I80" s="49">
        <f t="shared" si="85"/>
        <v>3283.9689999999996</v>
      </c>
      <c r="J80" s="35">
        <v>275.38</v>
      </c>
      <c r="K80" s="67">
        <v>1</v>
      </c>
      <c r="L80" s="35"/>
      <c r="M80" s="35">
        <v>300</v>
      </c>
      <c r="N80" s="68" t="s">
        <v>136</v>
      </c>
      <c r="O80" s="68" t="s">
        <v>136</v>
      </c>
      <c r="P80" s="35"/>
      <c r="Q80" s="33"/>
      <c r="R80" s="33"/>
      <c r="S80" s="34"/>
      <c r="T80" s="34">
        <v>0</v>
      </c>
      <c r="U80" s="49">
        <f t="shared" si="86"/>
        <v>2707.5889999999995</v>
      </c>
      <c r="V80" s="33">
        <f t="shared" si="87"/>
        <v>328.39689999999996</v>
      </c>
      <c r="W80" s="49">
        <f t="shared" si="88"/>
        <v>2379.1920999999993</v>
      </c>
      <c r="X80" s="33">
        <f t="shared" si="89"/>
        <v>0</v>
      </c>
      <c r="Y80" s="33">
        <v>10.23</v>
      </c>
      <c r="Z80" s="33" t="str">
        <f t="shared" si="90"/>
        <v>X</v>
      </c>
      <c r="AA80" s="49" t="e">
        <f t="shared" si="91"/>
        <v>#VALUE!</v>
      </c>
      <c r="AB80" s="56"/>
      <c r="AC80" s="57"/>
      <c r="AD80" s="50">
        <f t="shared" si="92"/>
        <v>-2379.1920999999993</v>
      </c>
      <c r="AE80" s="36">
        <v>56708845788</v>
      </c>
      <c r="AF80" s="36" t="s">
        <v>166</v>
      </c>
      <c r="AG80" s="18" t="s">
        <v>193</v>
      </c>
    </row>
    <row r="81" spans="1:33" s="18" customFormat="1">
      <c r="A81" s="34" t="s">
        <v>42</v>
      </c>
      <c r="B81" s="34" t="s">
        <v>173</v>
      </c>
      <c r="C81" s="34"/>
      <c r="D81" s="34" t="s">
        <v>126</v>
      </c>
      <c r="E81" s="54">
        <v>42779</v>
      </c>
      <c r="F81" s="35">
        <v>1117.2</v>
      </c>
      <c r="G81" s="35"/>
      <c r="H81" s="35"/>
      <c r="I81" s="49">
        <f t="shared" si="85"/>
        <v>1117.2</v>
      </c>
      <c r="J81" s="35"/>
      <c r="K81" s="67"/>
      <c r="L81" s="35"/>
      <c r="M81" s="35"/>
      <c r="N81" s="68"/>
      <c r="O81" s="68"/>
      <c r="P81" s="35"/>
      <c r="Q81" s="33"/>
      <c r="R81" s="33"/>
      <c r="S81" s="34"/>
      <c r="T81" s="34"/>
      <c r="U81" s="49">
        <f t="shared" si="86"/>
        <v>1117.2</v>
      </c>
      <c r="V81" s="33"/>
      <c r="W81" s="49"/>
      <c r="X81" s="33"/>
      <c r="Y81" s="33"/>
      <c r="Z81" s="33"/>
      <c r="AA81" s="49"/>
      <c r="AB81" s="56"/>
      <c r="AC81" s="57"/>
      <c r="AD81" s="50"/>
      <c r="AE81" s="36">
        <v>60589582591</v>
      </c>
      <c r="AF81" s="36"/>
      <c r="AG81" s="18" t="s">
        <v>193</v>
      </c>
    </row>
    <row r="82" spans="1:33" s="18" customFormat="1">
      <c r="A82" s="34" t="s">
        <v>42</v>
      </c>
      <c r="B82" s="34" t="s">
        <v>184</v>
      </c>
      <c r="C82" s="34"/>
      <c r="D82" s="34" t="s">
        <v>126</v>
      </c>
      <c r="E82" s="54">
        <v>42804</v>
      </c>
      <c r="F82" s="35">
        <v>555.33100000000002</v>
      </c>
      <c r="G82" s="35"/>
      <c r="H82" s="35"/>
      <c r="I82" s="49">
        <f t="shared" si="85"/>
        <v>555.33100000000002</v>
      </c>
      <c r="J82" s="35"/>
      <c r="K82" s="67"/>
      <c r="L82" s="35"/>
      <c r="M82" s="35"/>
      <c r="N82" s="68"/>
      <c r="O82" s="68"/>
      <c r="P82" s="35"/>
      <c r="Q82" s="33"/>
      <c r="R82" s="33"/>
      <c r="S82" s="34"/>
      <c r="T82" s="34"/>
      <c r="U82" s="49">
        <f t="shared" si="86"/>
        <v>555.33100000000002</v>
      </c>
      <c r="V82" s="33"/>
      <c r="W82" s="49"/>
      <c r="X82" s="33"/>
      <c r="Y82" s="33"/>
      <c r="Z82" s="33"/>
      <c r="AA82" s="49"/>
      <c r="AB82" s="56"/>
      <c r="AC82" s="57"/>
      <c r="AD82" s="50"/>
      <c r="AE82" s="36">
        <v>60589637961</v>
      </c>
      <c r="AF82" s="36"/>
      <c r="AG82" s="18" t="s">
        <v>193</v>
      </c>
    </row>
    <row r="83" spans="1:33" s="18" customFormat="1">
      <c r="A83" s="34" t="s">
        <v>42</v>
      </c>
      <c r="B83" s="34" t="s">
        <v>55</v>
      </c>
      <c r="C83" s="34"/>
      <c r="D83" s="34" t="s">
        <v>47</v>
      </c>
      <c r="E83" s="54">
        <v>41227</v>
      </c>
      <c r="F83" s="35">
        <f>3454.07+13.099</f>
        <v>3467.1690000000003</v>
      </c>
      <c r="G83" s="35"/>
      <c r="H83" s="35"/>
      <c r="I83" s="49">
        <f t="shared" si="85"/>
        <v>3467.1690000000003</v>
      </c>
      <c r="J83" s="35"/>
      <c r="K83" s="67"/>
      <c r="L83" s="35"/>
      <c r="M83" s="35">
        <v>700</v>
      </c>
      <c r="N83" s="68" t="s">
        <v>136</v>
      </c>
      <c r="O83" s="68" t="s">
        <v>136</v>
      </c>
      <c r="P83" s="35"/>
      <c r="Q83" s="33"/>
      <c r="R83" s="33"/>
      <c r="S83" s="34"/>
      <c r="T83" s="34">
        <v>0</v>
      </c>
      <c r="U83" s="49">
        <f t="shared" si="86"/>
        <v>2767.1690000000003</v>
      </c>
      <c r="V83" s="33">
        <f t="shared" si="87"/>
        <v>346.71690000000007</v>
      </c>
      <c r="W83" s="49">
        <f t="shared" si="88"/>
        <v>2420.4521000000004</v>
      </c>
      <c r="X83" s="33">
        <f t="shared" si="89"/>
        <v>0</v>
      </c>
      <c r="Y83" s="33">
        <v>10.23</v>
      </c>
      <c r="Z83" s="33" t="str">
        <f t="shared" si="90"/>
        <v>X</v>
      </c>
      <c r="AA83" s="49" t="e">
        <f t="shared" si="91"/>
        <v>#VALUE!</v>
      </c>
      <c r="AB83" s="56"/>
      <c r="AC83" s="57"/>
      <c r="AD83" s="50">
        <f t="shared" si="92"/>
        <v>-2420.4521000000004</v>
      </c>
      <c r="AE83" s="36">
        <v>56708845791</v>
      </c>
      <c r="AF83" s="36"/>
      <c r="AG83" s="18" t="s">
        <v>193</v>
      </c>
    </row>
    <row r="84" spans="1:33" s="18" customFormat="1">
      <c r="A84" s="34" t="s">
        <v>42</v>
      </c>
      <c r="B84" s="34" t="s">
        <v>88</v>
      </c>
      <c r="C84" s="34"/>
      <c r="D84" s="34" t="s">
        <v>156</v>
      </c>
      <c r="E84" s="54">
        <v>42242</v>
      </c>
      <c r="F84" s="35">
        <f>1681.946+5.571+242.74</f>
        <v>1930.2569999999998</v>
      </c>
      <c r="G84" s="35"/>
      <c r="H84" s="35"/>
      <c r="I84" s="49">
        <f t="shared" si="85"/>
        <v>1930.2569999999998</v>
      </c>
      <c r="J84" s="35"/>
      <c r="K84" s="67">
        <v>1</v>
      </c>
      <c r="L84" s="35"/>
      <c r="M84" s="35">
        <v>0</v>
      </c>
      <c r="N84" s="68" t="s">
        <v>136</v>
      </c>
      <c r="O84" s="68" t="s">
        <v>136</v>
      </c>
      <c r="P84" s="35"/>
      <c r="Q84" s="33"/>
      <c r="R84" s="33"/>
      <c r="S84" s="34"/>
      <c r="T84" s="34">
        <v>0</v>
      </c>
      <c r="U84" s="49">
        <f t="shared" si="86"/>
        <v>1929.2569999999998</v>
      </c>
      <c r="V84" s="33">
        <f t="shared" si="87"/>
        <v>0</v>
      </c>
      <c r="W84" s="49">
        <f t="shared" si="88"/>
        <v>1929.2569999999998</v>
      </c>
      <c r="X84" s="33">
        <f t="shared" si="89"/>
        <v>193.0257</v>
      </c>
      <c r="Y84" s="33">
        <v>10.23</v>
      </c>
      <c r="Z84" s="33" t="str">
        <f t="shared" si="90"/>
        <v>X</v>
      </c>
      <c r="AA84" s="49" t="e">
        <f t="shared" si="91"/>
        <v>#VALUE!</v>
      </c>
      <c r="AB84" s="56"/>
      <c r="AC84" s="57"/>
      <c r="AD84" s="50">
        <f t="shared" si="92"/>
        <v>-1929.2569999999998</v>
      </c>
      <c r="AE84" s="36">
        <v>56708845803</v>
      </c>
      <c r="AF84" s="36"/>
      <c r="AG84" s="18" t="s">
        <v>193</v>
      </c>
    </row>
    <row r="85" spans="1:33" s="18" customFormat="1">
      <c r="A85" s="34" t="s">
        <v>40</v>
      </c>
      <c r="B85" s="34" t="s">
        <v>102</v>
      </c>
      <c r="C85" s="34"/>
      <c r="D85" s="34" t="s">
        <v>126</v>
      </c>
      <c r="E85" s="54">
        <v>42338</v>
      </c>
      <c r="F85" s="35">
        <f>1308.3+5.571+136.48</f>
        <v>1450.3509999999999</v>
      </c>
      <c r="G85" s="35"/>
      <c r="H85" s="35"/>
      <c r="I85" s="49">
        <f t="shared" si="85"/>
        <v>1450.3509999999999</v>
      </c>
      <c r="J85" s="35"/>
      <c r="K85" s="67"/>
      <c r="L85" s="35"/>
      <c r="M85" s="35">
        <v>0</v>
      </c>
      <c r="N85" s="68"/>
      <c r="O85" s="68"/>
      <c r="P85" s="35"/>
      <c r="Q85" s="33"/>
      <c r="R85" s="33"/>
      <c r="S85" s="34"/>
      <c r="T85" s="34">
        <v>0</v>
      </c>
      <c r="U85" s="49">
        <f t="shared" si="86"/>
        <v>1450.3509999999999</v>
      </c>
      <c r="V85" s="33">
        <f t="shared" si="87"/>
        <v>0</v>
      </c>
      <c r="W85" s="49">
        <f t="shared" si="88"/>
        <v>1450.3509999999999</v>
      </c>
      <c r="X85" s="33">
        <f t="shared" si="89"/>
        <v>145.0351</v>
      </c>
      <c r="Y85" s="33">
        <v>10.23</v>
      </c>
      <c r="Z85" s="33">
        <f t="shared" si="90"/>
        <v>0</v>
      </c>
      <c r="AA85" s="49">
        <f t="shared" si="91"/>
        <v>1605.6161</v>
      </c>
      <c r="AB85" s="56"/>
      <c r="AC85" s="57"/>
      <c r="AD85" s="50">
        <f>+AB85+AC85-W85</f>
        <v>-1450.3509999999999</v>
      </c>
      <c r="AE85" s="36">
        <v>56708881872</v>
      </c>
      <c r="AF85" s="36"/>
      <c r="AG85" s="18" t="s">
        <v>193</v>
      </c>
    </row>
    <row r="86" spans="1:33" s="18" customFormat="1">
      <c r="A86" s="34" t="s">
        <v>42</v>
      </c>
      <c r="B86" s="34" t="s">
        <v>183</v>
      </c>
      <c r="C86" s="34"/>
      <c r="D86" s="34" t="s">
        <v>126</v>
      </c>
      <c r="E86" s="54">
        <v>42807</v>
      </c>
      <c r="F86" s="35">
        <v>313.108</v>
      </c>
      <c r="G86" s="35"/>
      <c r="H86" s="35"/>
      <c r="I86" s="49">
        <f t="shared" si="85"/>
        <v>313.108</v>
      </c>
      <c r="J86" s="35"/>
      <c r="K86" s="67"/>
      <c r="L86" s="35"/>
      <c r="M86" s="35"/>
      <c r="N86" s="68"/>
      <c r="O86" s="68"/>
      <c r="P86" s="35"/>
      <c r="Q86" s="33"/>
      <c r="R86" s="33"/>
      <c r="S86" s="34"/>
      <c r="T86" s="34"/>
      <c r="U86" s="49">
        <f t="shared" si="86"/>
        <v>313.108</v>
      </c>
      <c r="V86" s="33"/>
      <c r="W86" s="49"/>
      <c r="X86" s="33"/>
      <c r="Y86" s="33"/>
      <c r="Z86" s="33"/>
      <c r="AA86" s="49"/>
      <c r="AB86" s="56"/>
      <c r="AC86" s="57"/>
      <c r="AD86" s="50"/>
      <c r="AE86" s="36">
        <v>60589642468</v>
      </c>
      <c r="AF86" s="36"/>
      <c r="AG86" s="18" t="s">
        <v>193</v>
      </c>
    </row>
    <row r="87" spans="1:33" s="18" customFormat="1">
      <c r="A87" s="34" t="s">
        <v>40</v>
      </c>
      <c r="B87" s="34" t="s">
        <v>149</v>
      </c>
      <c r="C87" s="34"/>
      <c r="D87" s="34" t="s">
        <v>43</v>
      </c>
      <c r="E87" s="54">
        <v>42681</v>
      </c>
      <c r="F87" s="35">
        <f>1506.04+7.428</f>
        <v>1513.4680000000001</v>
      </c>
      <c r="G87" s="35"/>
      <c r="H87" s="35"/>
      <c r="I87" s="49">
        <f t="shared" si="85"/>
        <v>1513.4680000000001</v>
      </c>
      <c r="J87" s="35"/>
      <c r="K87" s="67">
        <v>2</v>
      </c>
      <c r="L87" s="35"/>
      <c r="M87" s="35"/>
      <c r="N87" s="68"/>
      <c r="O87" s="68"/>
      <c r="P87" s="35"/>
      <c r="Q87" s="33"/>
      <c r="R87" s="33"/>
      <c r="S87" s="34"/>
      <c r="T87" s="34"/>
      <c r="U87" s="49">
        <f t="shared" si="86"/>
        <v>1511.4680000000001</v>
      </c>
      <c r="V87" s="33">
        <f t="shared" ref="V87" si="93">IF(I87&gt;2250,I87*0.1,0)</f>
        <v>0</v>
      </c>
      <c r="W87" s="49">
        <f t="shared" ref="W87" si="94">+U87-V87</f>
        <v>1511.4680000000001</v>
      </c>
      <c r="X87" s="33"/>
      <c r="Y87" s="33"/>
      <c r="Z87" s="33"/>
      <c r="AA87" s="49"/>
      <c r="AB87" s="56"/>
      <c r="AC87" s="57"/>
      <c r="AD87" s="50"/>
      <c r="AE87" s="36">
        <v>56710773131</v>
      </c>
      <c r="AF87" s="36"/>
      <c r="AG87" s="18" t="s">
        <v>193</v>
      </c>
    </row>
    <row r="88" spans="1:33" s="18" customFormat="1">
      <c r="A88" s="34" t="s">
        <v>42</v>
      </c>
      <c r="B88" s="34" t="s">
        <v>112</v>
      </c>
      <c r="C88" s="34"/>
      <c r="D88" s="34" t="s">
        <v>130</v>
      </c>
      <c r="E88" s="54">
        <v>41227</v>
      </c>
      <c r="F88" s="35">
        <f>2037.605+2.599+629.54</f>
        <v>2669.7439999999997</v>
      </c>
      <c r="G88" s="35"/>
      <c r="H88" s="35"/>
      <c r="I88" s="49">
        <f t="shared" si="85"/>
        <v>2669.7439999999997</v>
      </c>
      <c r="J88" s="35">
        <v>199.21</v>
      </c>
      <c r="K88" s="67"/>
      <c r="L88" s="35"/>
      <c r="M88" s="35">
        <v>500</v>
      </c>
      <c r="N88" s="68" t="s">
        <v>136</v>
      </c>
      <c r="O88" s="68" t="s">
        <v>136</v>
      </c>
      <c r="P88" s="35"/>
      <c r="Q88" s="33"/>
      <c r="R88" s="33"/>
      <c r="S88" s="34"/>
      <c r="T88" s="34">
        <v>0</v>
      </c>
      <c r="U88" s="49">
        <f t="shared" si="86"/>
        <v>1970.5339999999997</v>
      </c>
      <c r="V88" s="33">
        <f t="shared" si="87"/>
        <v>266.9744</v>
      </c>
      <c r="W88" s="49">
        <f t="shared" si="88"/>
        <v>1703.5595999999996</v>
      </c>
      <c r="X88" s="33">
        <f t="shared" si="89"/>
        <v>0</v>
      </c>
      <c r="Y88" s="33">
        <v>10.23</v>
      </c>
      <c r="Z88" s="33" t="str">
        <f t="shared" si="90"/>
        <v>X</v>
      </c>
      <c r="AA88" s="49" t="e">
        <f t="shared" si="91"/>
        <v>#VALUE!</v>
      </c>
      <c r="AB88" s="56"/>
      <c r="AC88" s="57"/>
      <c r="AD88" s="50">
        <f>+AB88+AC88-W88</f>
        <v>-1703.5595999999996</v>
      </c>
      <c r="AE88" s="36">
        <v>56708845820</v>
      </c>
      <c r="AF88" s="36" t="s">
        <v>166</v>
      </c>
      <c r="AG88" s="18" t="s">
        <v>193</v>
      </c>
    </row>
    <row r="89" spans="1:33" s="18" customFormat="1">
      <c r="A89" s="34" t="s">
        <v>42</v>
      </c>
      <c r="B89" s="34" t="s">
        <v>69</v>
      </c>
      <c r="C89" s="34"/>
      <c r="D89" s="34" t="s">
        <v>130</v>
      </c>
      <c r="E89" s="54">
        <v>41227</v>
      </c>
      <c r="F89" s="35">
        <f>5874.534+5.571+1855</f>
        <v>7735.1049999999996</v>
      </c>
      <c r="G89" s="35"/>
      <c r="H89" s="35"/>
      <c r="I89" s="49">
        <f t="shared" si="85"/>
        <v>7735.1049999999996</v>
      </c>
      <c r="J89" s="35"/>
      <c r="K89" s="67"/>
      <c r="L89" s="35"/>
      <c r="M89" s="35">
        <v>700</v>
      </c>
      <c r="N89" s="68" t="s">
        <v>136</v>
      </c>
      <c r="O89" s="68" t="s">
        <v>136</v>
      </c>
      <c r="P89" s="35"/>
      <c r="Q89" s="33"/>
      <c r="R89" s="33"/>
      <c r="S89" s="34"/>
      <c r="T89" s="34">
        <v>0</v>
      </c>
      <c r="U89" s="49">
        <f t="shared" si="86"/>
        <v>7035.1049999999996</v>
      </c>
      <c r="V89" s="33">
        <f t="shared" si="87"/>
        <v>773.51049999999998</v>
      </c>
      <c r="W89" s="49">
        <f t="shared" si="88"/>
        <v>6261.5944999999992</v>
      </c>
      <c r="X89" s="33">
        <f t="shared" si="89"/>
        <v>0</v>
      </c>
      <c r="Y89" s="33">
        <v>10.23</v>
      </c>
      <c r="Z89" s="33" t="str">
        <f t="shared" si="90"/>
        <v>X</v>
      </c>
      <c r="AA89" s="49" t="e">
        <f t="shared" si="91"/>
        <v>#VALUE!</v>
      </c>
      <c r="AB89" s="56"/>
      <c r="AC89" s="57"/>
      <c r="AD89" s="50">
        <f>+AB89+AC89-W89</f>
        <v>-6261.5944999999992</v>
      </c>
      <c r="AE89" s="36">
        <v>56708845834</v>
      </c>
      <c r="AF89" s="36"/>
      <c r="AG89" s="18" t="s">
        <v>193</v>
      </c>
    </row>
    <row r="90" spans="1:33" s="18" customFormat="1">
      <c r="A90" s="99" t="s">
        <v>42</v>
      </c>
      <c r="B90" s="99" t="s">
        <v>214</v>
      </c>
      <c r="C90" s="99"/>
      <c r="D90" s="99" t="s">
        <v>156</v>
      </c>
      <c r="E90" s="100">
        <v>42842</v>
      </c>
      <c r="F90" s="101">
        <v>411.35</v>
      </c>
      <c r="G90" s="101"/>
      <c r="H90" s="101"/>
      <c r="I90" s="49">
        <f t="shared" si="85"/>
        <v>411.35</v>
      </c>
      <c r="J90" s="35"/>
      <c r="K90" s="67"/>
      <c r="L90" s="35"/>
      <c r="M90" s="35"/>
      <c r="N90" s="68"/>
      <c r="O90" s="68"/>
      <c r="P90" s="35"/>
      <c r="Q90" s="33"/>
      <c r="R90" s="33"/>
      <c r="S90" s="34"/>
      <c r="T90" s="34"/>
      <c r="U90" s="49">
        <f t="shared" si="86"/>
        <v>411.35</v>
      </c>
      <c r="V90" s="33"/>
      <c r="W90" s="49"/>
      <c r="X90" s="33"/>
      <c r="Y90" s="33"/>
      <c r="Z90" s="33"/>
      <c r="AA90" s="49"/>
      <c r="AB90" s="62"/>
      <c r="AC90" s="63"/>
      <c r="AD90" s="50"/>
      <c r="AE90" s="102">
        <v>60590100738</v>
      </c>
      <c r="AF90" s="102"/>
      <c r="AG90" s="18" t="s">
        <v>193</v>
      </c>
    </row>
    <row r="91" spans="1:33" s="18" customFormat="1">
      <c r="A91" s="34" t="s">
        <v>40</v>
      </c>
      <c r="B91" s="34" t="s">
        <v>134</v>
      </c>
      <c r="C91" s="34"/>
      <c r="D91" s="34" t="s">
        <v>156</v>
      </c>
      <c r="E91" s="54">
        <v>42604</v>
      </c>
      <c r="F91" s="35">
        <f>514.938+293</f>
        <v>807.93799999999999</v>
      </c>
      <c r="G91" s="35"/>
      <c r="H91" s="35"/>
      <c r="I91" s="49">
        <f t="shared" si="85"/>
        <v>807.93799999999999</v>
      </c>
      <c r="J91" s="35"/>
      <c r="K91" s="67"/>
      <c r="L91" s="35"/>
      <c r="M91" s="35"/>
      <c r="N91" s="68"/>
      <c r="O91" s="68"/>
      <c r="P91" s="35"/>
      <c r="Q91" s="33"/>
      <c r="R91" s="33"/>
      <c r="S91" s="34"/>
      <c r="T91" s="34"/>
      <c r="U91" s="49">
        <f t="shared" si="86"/>
        <v>807.93799999999999</v>
      </c>
      <c r="V91" s="33">
        <f t="shared" ref="V91" si="95">IF(I91&gt;2250,I91*0.1,0)</f>
        <v>0</v>
      </c>
      <c r="W91" s="49">
        <f t="shared" ref="W91" si="96">+U91-V91</f>
        <v>807.93799999999999</v>
      </c>
      <c r="X91" s="33"/>
      <c r="Y91" s="33"/>
      <c r="Z91" s="33"/>
      <c r="AA91" s="49"/>
      <c r="AB91" s="56"/>
      <c r="AC91" s="57"/>
      <c r="AD91" s="50"/>
      <c r="AE91" s="36">
        <v>56708845848</v>
      </c>
      <c r="AF91" s="36"/>
      <c r="AG91" s="18" t="s">
        <v>193</v>
      </c>
    </row>
    <row r="92" spans="1:33" s="18" customFormat="1">
      <c r="A92" s="34" t="s">
        <v>40</v>
      </c>
      <c r="B92" s="34" t="s">
        <v>70</v>
      </c>
      <c r="C92" s="34"/>
      <c r="D92" s="34" t="s">
        <v>43</v>
      </c>
      <c r="E92" s="54">
        <v>42319</v>
      </c>
      <c r="F92" s="35">
        <f>4904.452+13.099</f>
        <v>4917.5510000000004</v>
      </c>
      <c r="G92" s="35"/>
      <c r="H92" s="35"/>
      <c r="I92" s="49">
        <f t="shared" si="85"/>
        <v>4917.5510000000004</v>
      </c>
      <c r="J92" s="35"/>
      <c r="K92" s="67"/>
      <c r="L92" s="35"/>
      <c r="M92" s="35">
        <v>0</v>
      </c>
      <c r="N92" s="68"/>
      <c r="O92" s="68"/>
      <c r="P92" s="35"/>
      <c r="Q92" s="33"/>
      <c r="R92" s="33"/>
      <c r="S92" s="34"/>
      <c r="T92" s="34">
        <v>0</v>
      </c>
      <c r="U92" s="49">
        <f t="shared" si="86"/>
        <v>4917.5510000000004</v>
      </c>
      <c r="V92" s="33">
        <f t="shared" ref="V92:V119" si="97">IF(I92&gt;2250,I92*0.1,0)</f>
        <v>491.75510000000008</v>
      </c>
      <c r="W92" s="49">
        <f t="shared" ref="W92:W119" si="98">+U92-V92</f>
        <v>4425.7959000000001</v>
      </c>
      <c r="X92" s="33">
        <f t="shared" ref="X92:X119" si="99">IF(I92&lt;2250,I92*0.1,0)</f>
        <v>0</v>
      </c>
      <c r="Y92" s="33">
        <v>19.23</v>
      </c>
      <c r="Z92" s="33">
        <f t="shared" ref="Z92:Z119" si="100">+N92</f>
        <v>0</v>
      </c>
      <c r="AA92" s="49">
        <f t="shared" ref="AA92:AA119" si="101">+I92+X92+Y92+Z92</f>
        <v>4936.7809999999999</v>
      </c>
      <c r="AB92" s="56"/>
      <c r="AC92" s="57"/>
      <c r="AD92" s="50">
        <f>+AB92+AC92-W92</f>
        <v>-4425.7959000000001</v>
      </c>
      <c r="AE92" s="36">
        <v>56708881901</v>
      </c>
      <c r="AF92" s="36"/>
      <c r="AG92" s="18" t="s">
        <v>193</v>
      </c>
    </row>
    <row r="93" spans="1:33" s="18" customFormat="1">
      <c r="A93" s="34" t="s">
        <v>40</v>
      </c>
      <c r="B93" s="34" t="s">
        <v>201</v>
      </c>
      <c r="C93" s="34"/>
      <c r="D93" s="34" t="s">
        <v>43</v>
      </c>
      <c r="E93" s="54">
        <v>42823</v>
      </c>
      <c r="F93" s="35">
        <f>3984.458+13.099</f>
        <v>3997.5570000000002</v>
      </c>
      <c r="G93" s="35"/>
      <c r="H93" s="35"/>
      <c r="I93" s="49"/>
      <c r="J93" s="35"/>
      <c r="K93" s="67"/>
      <c r="L93" s="35"/>
      <c r="M93" s="35"/>
      <c r="N93" s="68"/>
      <c r="O93" s="68"/>
      <c r="P93" s="35"/>
      <c r="Q93" s="33"/>
      <c r="R93" s="33"/>
      <c r="S93" s="34"/>
      <c r="T93" s="34"/>
      <c r="U93" s="49"/>
      <c r="V93" s="33"/>
      <c r="W93" s="49"/>
      <c r="X93" s="33"/>
      <c r="Y93" s="33"/>
      <c r="Z93" s="33"/>
      <c r="AA93" s="49"/>
      <c r="AB93" s="56"/>
      <c r="AC93" s="57"/>
      <c r="AD93" s="50"/>
      <c r="AE93" s="36">
        <v>60589993649</v>
      </c>
      <c r="AF93" s="36"/>
      <c r="AG93" s="18" t="s">
        <v>193</v>
      </c>
    </row>
    <row r="94" spans="1:33" s="18" customFormat="1">
      <c r="A94" s="34" t="s">
        <v>40</v>
      </c>
      <c r="B94" s="34" t="s">
        <v>180</v>
      </c>
      <c r="C94" s="34"/>
      <c r="D94" s="34" t="s">
        <v>43</v>
      </c>
      <c r="E94" s="54">
        <v>42803</v>
      </c>
      <c r="F94" s="35">
        <v>0</v>
      </c>
      <c r="G94" s="35"/>
      <c r="H94" s="35"/>
      <c r="I94" s="49">
        <f t="shared" si="85"/>
        <v>0</v>
      </c>
      <c r="J94" s="35"/>
      <c r="K94" s="67"/>
      <c r="L94" s="35"/>
      <c r="M94" s="35"/>
      <c r="N94" s="68"/>
      <c r="O94" s="68"/>
      <c r="P94" s="35"/>
      <c r="Q94" s="33"/>
      <c r="R94" s="33"/>
      <c r="S94" s="34"/>
      <c r="T94" s="34"/>
      <c r="U94" s="49">
        <f t="shared" si="86"/>
        <v>0</v>
      </c>
      <c r="V94" s="33"/>
      <c r="W94" s="49"/>
      <c r="X94" s="33"/>
      <c r="Y94" s="33"/>
      <c r="Z94" s="33"/>
      <c r="AA94" s="49"/>
      <c r="AB94" s="56"/>
      <c r="AC94" s="57"/>
      <c r="AD94" s="50"/>
      <c r="AE94" s="36">
        <v>60589597854</v>
      </c>
      <c r="AF94" s="36"/>
      <c r="AG94" s="18" t="s">
        <v>193</v>
      </c>
    </row>
    <row r="95" spans="1:33" s="18" customFormat="1">
      <c r="A95" s="34" t="s">
        <v>42</v>
      </c>
      <c r="B95" s="34" t="s">
        <v>51</v>
      </c>
      <c r="C95" s="34"/>
      <c r="D95" s="34" t="s">
        <v>156</v>
      </c>
      <c r="E95" s="54">
        <v>41981</v>
      </c>
      <c r="F95" s="35">
        <f>953.657+2.599+18.6+512</f>
        <v>1486.8560000000002</v>
      </c>
      <c r="G95" s="35"/>
      <c r="H95" s="35"/>
      <c r="I95" s="49">
        <f t="shared" si="85"/>
        <v>1486.8560000000002</v>
      </c>
      <c r="J95" s="35"/>
      <c r="K95" s="67"/>
      <c r="L95" s="35"/>
      <c r="M95" s="35">
        <v>300</v>
      </c>
      <c r="N95" s="68" t="s">
        <v>136</v>
      </c>
      <c r="O95" s="68" t="s">
        <v>136</v>
      </c>
      <c r="P95" s="35"/>
      <c r="Q95" s="33"/>
      <c r="R95" s="33"/>
      <c r="S95" s="34"/>
      <c r="T95" s="34">
        <v>0</v>
      </c>
      <c r="U95" s="49">
        <f t="shared" si="86"/>
        <v>1186.8560000000002</v>
      </c>
      <c r="V95" s="33">
        <f t="shared" si="97"/>
        <v>0</v>
      </c>
      <c r="W95" s="49">
        <f t="shared" si="98"/>
        <v>1186.8560000000002</v>
      </c>
      <c r="X95" s="33">
        <f t="shared" si="99"/>
        <v>148.68560000000002</v>
      </c>
      <c r="Y95" s="33">
        <v>10.23</v>
      </c>
      <c r="Z95" s="33" t="str">
        <f t="shared" si="100"/>
        <v>X</v>
      </c>
      <c r="AA95" s="49" t="e">
        <f t="shared" si="101"/>
        <v>#VALUE!</v>
      </c>
      <c r="AB95" s="56"/>
      <c r="AC95" s="57"/>
      <c r="AD95" s="50">
        <f t="shared" ref="AD95:AD119" si="102">+AB95+AC95-W95</f>
        <v>-1186.8560000000002</v>
      </c>
      <c r="AE95" s="36">
        <v>56708845851</v>
      </c>
      <c r="AF95" s="36"/>
      <c r="AG95" s="18" t="s">
        <v>193</v>
      </c>
    </row>
    <row r="96" spans="1:33" s="18" customFormat="1">
      <c r="A96" s="34" t="s">
        <v>42</v>
      </c>
      <c r="B96" s="34" t="s">
        <v>86</v>
      </c>
      <c r="C96" s="34"/>
      <c r="D96" s="34" t="s">
        <v>130</v>
      </c>
      <c r="E96" s="53">
        <v>41284</v>
      </c>
      <c r="F96" s="35">
        <f>2597.187+2.599+1093</f>
        <v>3692.7860000000001</v>
      </c>
      <c r="G96" s="35"/>
      <c r="H96" s="35"/>
      <c r="I96" s="49">
        <f t="shared" si="85"/>
        <v>3692.7860000000001</v>
      </c>
      <c r="J96" s="35">
        <v>246.63</v>
      </c>
      <c r="K96" s="67"/>
      <c r="L96" s="35"/>
      <c r="M96" s="35">
        <v>0</v>
      </c>
      <c r="N96" s="68" t="s">
        <v>136</v>
      </c>
      <c r="O96" s="68" t="s">
        <v>136</v>
      </c>
      <c r="P96" s="35"/>
      <c r="Q96" s="33"/>
      <c r="R96" s="33"/>
      <c r="S96" s="34"/>
      <c r="T96" s="34">
        <v>0</v>
      </c>
      <c r="U96" s="49">
        <f t="shared" si="86"/>
        <v>3446.1559999999999</v>
      </c>
      <c r="V96" s="33">
        <f t="shared" si="97"/>
        <v>369.27860000000004</v>
      </c>
      <c r="W96" s="49">
        <f t="shared" si="98"/>
        <v>3076.8773999999999</v>
      </c>
      <c r="X96" s="33">
        <f t="shared" si="99"/>
        <v>0</v>
      </c>
      <c r="Y96" s="33">
        <v>10.23</v>
      </c>
      <c r="Z96" s="33" t="str">
        <f t="shared" si="100"/>
        <v>X</v>
      </c>
      <c r="AA96" s="49" t="e">
        <f t="shared" si="101"/>
        <v>#VALUE!</v>
      </c>
      <c r="AB96" s="56"/>
      <c r="AC96" s="57"/>
      <c r="AD96" s="50">
        <f t="shared" si="102"/>
        <v>-3076.8773999999999</v>
      </c>
      <c r="AE96" s="36">
        <v>56708881915</v>
      </c>
      <c r="AF96" s="36" t="s">
        <v>166</v>
      </c>
      <c r="AG96" s="18" t="s">
        <v>193</v>
      </c>
    </row>
    <row r="97" spans="1:33" s="18" customFormat="1">
      <c r="A97" s="34" t="s">
        <v>40</v>
      </c>
      <c r="B97" s="34" t="s">
        <v>200</v>
      </c>
      <c r="C97" s="34"/>
      <c r="D97" s="34" t="s">
        <v>43</v>
      </c>
      <c r="E97" s="54">
        <v>42823</v>
      </c>
      <c r="F97" s="35">
        <f>4177.624+13.099</f>
        <v>4190.723</v>
      </c>
      <c r="G97" s="35"/>
      <c r="H97" s="35"/>
      <c r="I97" s="49"/>
      <c r="J97" s="35"/>
      <c r="K97" s="67">
        <v>1</v>
      </c>
      <c r="L97" s="35"/>
      <c r="M97" s="35"/>
      <c r="N97" s="68"/>
      <c r="O97" s="68"/>
      <c r="P97" s="35"/>
      <c r="Q97" s="33"/>
      <c r="R97" s="33"/>
      <c r="S97" s="34"/>
      <c r="T97" s="34"/>
      <c r="U97" s="49"/>
      <c r="V97" s="33"/>
      <c r="W97" s="49"/>
      <c r="X97" s="33"/>
      <c r="Y97" s="33"/>
      <c r="Z97" s="33"/>
      <c r="AA97" s="49"/>
      <c r="AB97" s="56"/>
      <c r="AC97" s="57"/>
      <c r="AD97" s="50"/>
      <c r="AE97" s="36">
        <v>60589704184</v>
      </c>
      <c r="AF97" s="36"/>
      <c r="AG97" s="18" t="s">
        <v>193</v>
      </c>
    </row>
    <row r="98" spans="1:33" s="18" customFormat="1">
      <c r="A98" s="34" t="s">
        <v>42</v>
      </c>
      <c r="B98" s="34" t="s">
        <v>53</v>
      </c>
      <c r="C98" s="34"/>
      <c r="D98" s="34" t="s">
        <v>130</v>
      </c>
      <c r="E98" s="53">
        <v>41227</v>
      </c>
      <c r="F98" s="35">
        <v>794.09</v>
      </c>
      <c r="G98" s="35"/>
      <c r="H98" s="35"/>
      <c r="I98" s="49">
        <f t="shared" si="85"/>
        <v>794.09</v>
      </c>
      <c r="J98" s="35">
        <v>307.93</v>
      </c>
      <c r="K98" s="67"/>
      <c r="L98" s="35"/>
      <c r="M98" s="35">
        <v>0</v>
      </c>
      <c r="N98" s="68" t="s">
        <v>136</v>
      </c>
      <c r="O98" s="68" t="s">
        <v>136</v>
      </c>
      <c r="P98" s="35"/>
      <c r="Q98" s="33"/>
      <c r="R98" s="33"/>
      <c r="S98" s="34"/>
      <c r="T98" s="34">
        <v>0</v>
      </c>
      <c r="U98" s="49">
        <f t="shared" si="86"/>
        <v>486.16</v>
      </c>
      <c r="V98" s="33">
        <f t="shared" si="97"/>
        <v>0</v>
      </c>
      <c r="W98" s="49">
        <f t="shared" si="98"/>
        <v>486.16</v>
      </c>
      <c r="X98" s="33">
        <f t="shared" si="99"/>
        <v>79.409000000000006</v>
      </c>
      <c r="Y98" s="33">
        <v>10.23</v>
      </c>
      <c r="Z98" s="33" t="str">
        <f t="shared" si="100"/>
        <v>X</v>
      </c>
      <c r="AA98" s="49" t="e">
        <f t="shared" si="101"/>
        <v>#VALUE!</v>
      </c>
      <c r="AB98" s="56"/>
      <c r="AC98" s="56"/>
      <c r="AD98" s="50">
        <f t="shared" si="102"/>
        <v>-486.16</v>
      </c>
      <c r="AE98" s="36">
        <v>56708845865</v>
      </c>
      <c r="AF98" s="36" t="s">
        <v>166</v>
      </c>
      <c r="AG98" s="18" t="s">
        <v>193</v>
      </c>
    </row>
    <row r="99" spans="1:33" s="18" customFormat="1">
      <c r="A99" s="34" t="s">
        <v>40</v>
      </c>
      <c r="B99" s="34" t="s">
        <v>71</v>
      </c>
      <c r="C99" s="34"/>
      <c r="D99" s="34" t="s">
        <v>43</v>
      </c>
      <c r="E99" s="53">
        <v>41493</v>
      </c>
      <c r="F99" s="35">
        <f>3499.906+13.099</f>
        <v>3513.0050000000001</v>
      </c>
      <c r="G99" s="35"/>
      <c r="H99" s="35"/>
      <c r="I99" s="49">
        <f t="shared" si="85"/>
        <v>3513.0050000000001</v>
      </c>
      <c r="J99" s="35"/>
      <c r="K99" s="67"/>
      <c r="L99" s="35"/>
      <c r="M99" s="35">
        <v>0</v>
      </c>
      <c r="N99" s="68"/>
      <c r="O99" s="68"/>
      <c r="P99" s="35"/>
      <c r="Q99" s="33"/>
      <c r="R99" s="33"/>
      <c r="S99" s="34"/>
      <c r="T99" s="34">
        <v>0</v>
      </c>
      <c r="U99" s="49">
        <f t="shared" si="86"/>
        <v>3513.0050000000001</v>
      </c>
      <c r="V99" s="33">
        <f t="shared" si="97"/>
        <v>351.30050000000006</v>
      </c>
      <c r="W99" s="49">
        <f t="shared" si="98"/>
        <v>3161.7044999999998</v>
      </c>
      <c r="X99" s="33">
        <f t="shared" si="99"/>
        <v>0</v>
      </c>
      <c r="Y99" s="33">
        <v>10.23</v>
      </c>
      <c r="Z99" s="33">
        <f t="shared" si="100"/>
        <v>0</v>
      </c>
      <c r="AA99" s="49">
        <f t="shared" si="101"/>
        <v>3523.2350000000001</v>
      </c>
      <c r="AB99" s="56"/>
      <c r="AC99" s="57"/>
      <c r="AD99" s="50">
        <f t="shared" si="102"/>
        <v>-3161.7044999999998</v>
      </c>
      <c r="AE99" s="36">
        <v>56708845879</v>
      </c>
      <c r="AF99" s="36"/>
      <c r="AG99" s="18" t="s">
        <v>193</v>
      </c>
    </row>
    <row r="100" spans="1:33" s="18" customFormat="1">
      <c r="A100" s="34" t="s">
        <v>42</v>
      </c>
      <c r="B100" s="34" t="s">
        <v>122</v>
      </c>
      <c r="C100" s="34"/>
      <c r="D100" s="34" t="s">
        <v>156</v>
      </c>
      <c r="E100" s="54">
        <v>42493</v>
      </c>
      <c r="F100" s="35">
        <f>2137.639+2.599+627</f>
        <v>2767.2380000000003</v>
      </c>
      <c r="G100" s="35"/>
      <c r="H100" s="35"/>
      <c r="I100" s="49">
        <f t="shared" si="85"/>
        <v>2767.2380000000003</v>
      </c>
      <c r="J100" s="35"/>
      <c r="K100" s="67"/>
      <c r="L100" s="35"/>
      <c r="M100" s="35">
        <v>0</v>
      </c>
      <c r="N100" s="68" t="s">
        <v>136</v>
      </c>
      <c r="O100" s="68" t="s">
        <v>136</v>
      </c>
      <c r="P100" s="35"/>
      <c r="Q100" s="33"/>
      <c r="R100" s="33"/>
      <c r="S100" s="34"/>
      <c r="T100" s="34">
        <v>0</v>
      </c>
      <c r="U100" s="49">
        <f t="shared" ref="U100:U119" si="103">+I100-SUM(J100:T100)</f>
        <v>2767.2380000000003</v>
      </c>
      <c r="V100" s="33">
        <f t="shared" si="97"/>
        <v>276.72380000000004</v>
      </c>
      <c r="W100" s="49">
        <f t="shared" si="98"/>
        <v>2490.5142000000001</v>
      </c>
      <c r="X100" s="33">
        <f t="shared" si="99"/>
        <v>0</v>
      </c>
      <c r="Y100" s="33">
        <v>10.23</v>
      </c>
      <c r="Z100" s="33" t="str">
        <f t="shared" si="100"/>
        <v>X</v>
      </c>
      <c r="AA100" s="49" t="e">
        <f t="shared" si="101"/>
        <v>#VALUE!</v>
      </c>
      <c r="AB100" s="56"/>
      <c r="AC100" s="56"/>
      <c r="AD100" s="50">
        <f t="shared" si="102"/>
        <v>-2490.5142000000001</v>
      </c>
      <c r="AE100" s="36">
        <v>56708845882</v>
      </c>
      <c r="AF100" s="36"/>
      <c r="AG100" s="18" t="s">
        <v>193</v>
      </c>
    </row>
    <row r="101" spans="1:33" s="18" customFormat="1">
      <c r="A101" s="34" t="s">
        <v>40</v>
      </c>
      <c r="B101" s="34" t="s">
        <v>155</v>
      </c>
      <c r="C101" s="34"/>
      <c r="D101" s="34" t="s">
        <v>126</v>
      </c>
      <c r="E101" s="54">
        <v>42716</v>
      </c>
      <c r="F101" s="35">
        <v>0</v>
      </c>
      <c r="G101" s="35"/>
      <c r="H101" s="35"/>
      <c r="I101" s="49">
        <f t="shared" si="85"/>
        <v>0</v>
      </c>
      <c r="J101" s="35"/>
      <c r="K101" s="67"/>
      <c r="L101" s="35"/>
      <c r="M101" s="35"/>
      <c r="N101" s="68"/>
      <c r="O101" s="68"/>
      <c r="P101" s="35"/>
      <c r="Q101" s="33"/>
      <c r="R101" s="33"/>
      <c r="S101" s="34"/>
      <c r="T101" s="65">
        <v>310</v>
      </c>
      <c r="U101" s="49">
        <f t="shared" ref="U101" si="104">+I101-SUM(J101:T101)</f>
        <v>-310</v>
      </c>
      <c r="V101" s="33">
        <f t="shared" ref="V101" si="105">IF(I101&gt;2250,I101*0.1,0)</f>
        <v>0</v>
      </c>
      <c r="W101" s="49">
        <f t="shared" ref="W101" si="106">+U101-V101</f>
        <v>-310</v>
      </c>
      <c r="X101" s="33"/>
      <c r="Y101" s="33"/>
      <c r="Z101" s="33"/>
      <c r="AA101" s="49"/>
      <c r="AB101" s="56"/>
      <c r="AC101" s="56"/>
      <c r="AD101" s="50"/>
      <c r="AE101" s="36">
        <v>60589845501</v>
      </c>
      <c r="AF101" s="36"/>
      <c r="AG101" s="18" t="s">
        <v>193</v>
      </c>
    </row>
    <row r="102" spans="1:33" s="18" customFormat="1">
      <c r="A102" s="34" t="s">
        <v>40</v>
      </c>
      <c r="B102" s="34" t="s">
        <v>202</v>
      </c>
      <c r="C102" s="34"/>
      <c r="D102" s="34" t="s">
        <v>43</v>
      </c>
      <c r="E102" s="54">
        <v>42825</v>
      </c>
      <c r="F102" s="35">
        <f>1423.11+7.428</f>
        <v>1430.538</v>
      </c>
      <c r="G102" s="35"/>
      <c r="H102" s="35"/>
      <c r="I102" s="49"/>
      <c r="J102" s="35"/>
      <c r="K102" s="67"/>
      <c r="L102" s="35"/>
      <c r="M102" s="35"/>
      <c r="N102" s="68"/>
      <c r="O102" s="68"/>
      <c r="P102" s="35"/>
      <c r="Q102" s="33"/>
      <c r="R102" s="33"/>
      <c r="S102" s="34"/>
      <c r="T102" s="34"/>
      <c r="U102" s="49"/>
      <c r="V102" s="33"/>
      <c r="W102" s="49"/>
      <c r="X102" s="33"/>
      <c r="Y102" s="33"/>
      <c r="Z102" s="33"/>
      <c r="AA102" s="49"/>
      <c r="AB102" s="56"/>
      <c r="AC102" s="57"/>
      <c r="AD102" s="50"/>
      <c r="AE102" s="36">
        <v>60589796563</v>
      </c>
      <c r="AF102" s="36"/>
      <c r="AG102" s="18" t="s">
        <v>193</v>
      </c>
    </row>
    <row r="103" spans="1:33" s="18" customFormat="1">
      <c r="A103" s="34" t="s">
        <v>40</v>
      </c>
      <c r="B103" s="34" t="s">
        <v>103</v>
      </c>
      <c r="C103" s="34"/>
      <c r="D103" s="34" t="s">
        <v>43</v>
      </c>
      <c r="E103" s="54">
        <v>42170</v>
      </c>
      <c r="F103" s="35">
        <f>3015.354+13.099+603.2</f>
        <v>3631.6530000000002</v>
      </c>
      <c r="G103" s="35"/>
      <c r="H103" s="35"/>
      <c r="I103" s="49">
        <f t="shared" si="85"/>
        <v>3631.6530000000002</v>
      </c>
      <c r="J103" s="67"/>
      <c r="K103" s="67"/>
      <c r="L103" s="35"/>
      <c r="M103" s="35">
        <v>0</v>
      </c>
      <c r="N103" s="68"/>
      <c r="O103" s="68"/>
      <c r="P103" s="35"/>
      <c r="Q103" s="33"/>
      <c r="R103" s="33"/>
      <c r="S103" s="34"/>
      <c r="T103" s="34">
        <v>0</v>
      </c>
      <c r="U103" s="49">
        <f t="shared" si="103"/>
        <v>3631.6530000000002</v>
      </c>
      <c r="V103" s="33">
        <f t="shared" si="97"/>
        <v>363.16530000000006</v>
      </c>
      <c r="W103" s="49">
        <f t="shared" si="98"/>
        <v>3268.4877000000001</v>
      </c>
      <c r="X103" s="33">
        <f t="shared" si="99"/>
        <v>0</v>
      </c>
      <c r="Y103" s="33">
        <v>10.23</v>
      </c>
      <c r="Z103" s="33">
        <f t="shared" si="100"/>
        <v>0</v>
      </c>
      <c r="AA103" s="49">
        <f t="shared" si="101"/>
        <v>3641.8830000000003</v>
      </c>
      <c r="AB103" s="56"/>
      <c r="AC103" s="57"/>
      <c r="AD103" s="50">
        <f t="shared" si="102"/>
        <v>-3268.4877000000001</v>
      </c>
      <c r="AE103" s="36">
        <v>56708881929</v>
      </c>
      <c r="AF103" s="36"/>
      <c r="AG103" s="18" t="s">
        <v>193</v>
      </c>
    </row>
    <row r="104" spans="1:33" s="18" customFormat="1">
      <c r="A104" s="34" t="s">
        <v>42</v>
      </c>
      <c r="B104" s="34" t="s">
        <v>59</v>
      </c>
      <c r="C104" s="34"/>
      <c r="D104" s="34" t="s">
        <v>129</v>
      </c>
      <c r="E104" s="54">
        <v>36868</v>
      </c>
      <c r="F104" s="35">
        <f>1074.325+3.714+716</f>
        <v>1794.039</v>
      </c>
      <c r="G104" s="35"/>
      <c r="H104" s="35"/>
      <c r="I104" s="49">
        <f t="shared" si="85"/>
        <v>1794.039</v>
      </c>
      <c r="J104" s="35">
        <v>236.31</v>
      </c>
      <c r="K104" s="67"/>
      <c r="L104" s="35"/>
      <c r="M104" s="35">
        <v>0</v>
      </c>
      <c r="N104" s="68" t="s">
        <v>136</v>
      </c>
      <c r="O104" s="68" t="s">
        <v>136</v>
      </c>
      <c r="P104" s="35"/>
      <c r="Q104" s="33"/>
      <c r="R104" s="33"/>
      <c r="S104" s="34"/>
      <c r="T104" s="34">
        <v>0</v>
      </c>
      <c r="U104" s="49">
        <f t="shared" si="103"/>
        <v>1557.729</v>
      </c>
      <c r="V104" s="33">
        <f t="shared" si="97"/>
        <v>0</v>
      </c>
      <c r="W104" s="49">
        <f t="shared" si="98"/>
        <v>1557.729</v>
      </c>
      <c r="X104" s="33">
        <f t="shared" si="99"/>
        <v>179.40390000000002</v>
      </c>
      <c r="Y104" s="33">
        <v>10.23</v>
      </c>
      <c r="Z104" s="33" t="str">
        <f t="shared" si="100"/>
        <v>X</v>
      </c>
      <c r="AA104" s="49" t="e">
        <f t="shared" si="101"/>
        <v>#VALUE!</v>
      </c>
      <c r="AB104" s="56"/>
      <c r="AC104" s="56"/>
      <c r="AD104" s="50">
        <f t="shared" si="102"/>
        <v>-1557.729</v>
      </c>
      <c r="AE104" s="36">
        <v>56708845911</v>
      </c>
      <c r="AF104" s="36" t="s">
        <v>166</v>
      </c>
      <c r="AG104" s="18" t="s">
        <v>193</v>
      </c>
    </row>
    <row r="105" spans="1:33" s="18" customFormat="1">
      <c r="A105" s="34" t="s">
        <v>42</v>
      </c>
      <c r="B105" s="34" t="s">
        <v>56</v>
      </c>
      <c r="C105" s="34"/>
      <c r="D105" s="34" t="s">
        <v>127</v>
      </c>
      <c r="E105" s="54">
        <v>41949</v>
      </c>
      <c r="F105" s="35">
        <f>4485.6+7.428+500</f>
        <v>4993.0280000000002</v>
      </c>
      <c r="G105" s="35"/>
      <c r="H105" s="35"/>
      <c r="I105" s="49">
        <f t="shared" si="85"/>
        <v>4993.0280000000002</v>
      </c>
      <c r="J105" s="35"/>
      <c r="K105" s="67"/>
      <c r="L105" s="35"/>
      <c r="M105" s="35">
        <v>250</v>
      </c>
      <c r="N105" s="68" t="s">
        <v>136</v>
      </c>
      <c r="O105" s="68" t="s">
        <v>136</v>
      </c>
      <c r="P105" s="35"/>
      <c r="Q105" s="33"/>
      <c r="R105" s="33"/>
      <c r="S105" s="34"/>
      <c r="T105" s="34">
        <v>0</v>
      </c>
      <c r="U105" s="49">
        <f t="shared" si="103"/>
        <v>4743.0280000000002</v>
      </c>
      <c r="V105" s="33">
        <f t="shared" si="97"/>
        <v>499.30280000000005</v>
      </c>
      <c r="W105" s="49">
        <f t="shared" si="98"/>
        <v>4243.7251999999999</v>
      </c>
      <c r="X105" s="33">
        <f t="shared" si="99"/>
        <v>0</v>
      </c>
      <c r="Y105" s="33">
        <v>10.23</v>
      </c>
      <c r="Z105" s="33" t="str">
        <f t="shared" si="100"/>
        <v>X</v>
      </c>
      <c r="AA105" s="49" t="e">
        <f t="shared" si="101"/>
        <v>#VALUE!</v>
      </c>
      <c r="AB105" s="56"/>
      <c r="AC105" s="57"/>
      <c r="AD105" s="50">
        <f t="shared" si="102"/>
        <v>-4243.7251999999999</v>
      </c>
      <c r="AE105" s="36">
        <v>56708845925</v>
      </c>
      <c r="AF105" s="34"/>
      <c r="AG105" s="18" t="s">
        <v>193</v>
      </c>
    </row>
    <row r="106" spans="1:33" s="18" customFormat="1">
      <c r="A106" s="34" t="s">
        <v>40</v>
      </c>
      <c r="B106" s="34" t="s">
        <v>168</v>
      </c>
      <c r="C106" s="34"/>
      <c r="D106" s="34" t="s">
        <v>126</v>
      </c>
      <c r="E106" s="54">
        <v>42756</v>
      </c>
      <c r="F106" s="35">
        <v>0</v>
      </c>
      <c r="G106" s="35"/>
      <c r="H106" s="35"/>
      <c r="I106" s="49">
        <f t="shared" si="85"/>
        <v>0</v>
      </c>
      <c r="J106" s="35"/>
      <c r="K106" s="67"/>
      <c r="L106" s="35"/>
      <c r="M106" s="35"/>
      <c r="N106" s="68"/>
      <c r="O106" s="68"/>
      <c r="P106" s="35"/>
      <c r="Q106" s="33"/>
      <c r="R106" s="33"/>
      <c r="S106" s="34"/>
      <c r="T106" s="34"/>
      <c r="U106" s="49">
        <f t="shared" ref="U106:U107" si="107">+I106-SUM(J106:T106)</f>
        <v>0</v>
      </c>
      <c r="V106" s="33">
        <f t="shared" ref="V106:V107" si="108">IF(I106&gt;2250,I106*0.1,0)</f>
        <v>0</v>
      </c>
      <c r="W106" s="49">
        <f t="shared" ref="W106:W107" si="109">+U106-V106</f>
        <v>0</v>
      </c>
      <c r="X106" s="33"/>
      <c r="Y106" s="33"/>
      <c r="Z106" s="33"/>
      <c r="AA106" s="49"/>
      <c r="AB106" s="56"/>
      <c r="AC106" s="57"/>
      <c r="AD106" s="50"/>
      <c r="AE106" s="36">
        <v>60589806088</v>
      </c>
      <c r="AF106" s="34"/>
      <c r="AG106" s="18" t="s">
        <v>193</v>
      </c>
    </row>
    <row r="107" spans="1:33" s="18" customFormat="1">
      <c r="A107" s="34" t="s">
        <v>40</v>
      </c>
      <c r="B107" s="34" t="s">
        <v>34</v>
      </c>
      <c r="C107" s="34"/>
      <c r="D107" s="34" t="s">
        <v>43</v>
      </c>
      <c r="E107" s="54">
        <v>42129</v>
      </c>
      <c r="F107" s="35">
        <f>3810.936+13.099</f>
        <v>3824.0350000000003</v>
      </c>
      <c r="G107" s="35"/>
      <c r="H107" s="35"/>
      <c r="I107" s="49">
        <f t="shared" si="85"/>
        <v>3824.0350000000003</v>
      </c>
      <c r="J107" s="35"/>
      <c r="K107" s="67"/>
      <c r="L107" s="35"/>
      <c r="M107" s="35">
        <v>0</v>
      </c>
      <c r="N107" s="68"/>
      <c r="O107" s="68"/>
      <c r="P107" s="35"/>
      <c r="Q107" s="33"/>
      <c r="R107" s="33"/>
      <c r="S107" s="34"/>
      <c r="T107" s="34">
        <v>0</v>
      </c>
      <c r="U107" s="49">
        <f t="shared" si="107"/>
        <v>3824.0350000000003</v>
      </c>
      <c r="V107" s="33">
        <f t="shared" si="108"/>
        <v>382.40350000000007</v>
      </c>
      <c r="W107" s="49">
        <f t="shared" si="109"/>
        <v>3441.6315000000004</v>
      </c>
      <c r="X107" s="33">
        <f t="shared" si="99"/>
        <v>0</v>
      </c>
      <c r="Y107" s="33">
        <v>10.23</v>
      </c>
      <c r="Z107" s="33">
        <f t="shared" si="100"/>
        <v>0</v>
      </c>
      <c r="AA107" s="49">
        <f t="shared" si="101"/>
        <v>3834.2650000000003</v>
      </c>
      <c r="AB107" s="56"/>
      <c r="AC107" s="57"/>
      <c r="AD107" s="50">
        <f t="shared" si="102"/>
        <v>-3441.6315000000004</v>
      </c>
      <c r="AE107" s="36">
        <v>56708845939</v>
      </c>
      <c r="AF107" s="36"/>
      <c r="AG107" s="18" t="s">
        <v>193</v>
      </c>
    </row>
    <row r="108" spans="1:33" s="18" customFormat="1">
      <c r="A108" s="34" t="s">
        <v>40</v>
      </c>
      <c r="B108" s="34" t="s">
        <v>192</v>
      </c>
      <c r="C108" s="34"/>
      <c r="D108" s="34" t="s">
        <v>43</v>
      </c>
      <c r="E108" s="54">
        <v>42815</v>
      </c>
      <c r="F108" s="35">
        <f>1925.07+7.428</f>
        <v>1932.498</v>
      </c>
      <c r="G108" s="35"/>
      <c r="H108" s="35"/>
      <c r="I108" s="49">
        <f t="shared" si="85"/>
        <v>1932.498</v>
      </c>
      <c r="J108" s="35"/>
      <c r="K108" s="67"/>
      <c r="L108" s="35"/>
      <c r="M108" s="35"/>
      <c r="N108" s="68"/>
      <c r="O108" s="68"/>
      <c r="P108" s="35"/>
      <c r="Q108" s="33"/>
      <c r="R108" s="33"/>
      <c r="S108" s="34"/>
      <c r="T108" s="34"/>
      <c r="U108" s="49"/>
      <c r="V108" s="33"/>
      <c r="W108" s="49"/>
      <c r="X108" s="33"/>
      <c r="Y108" s="33"/>
      <c r="Z108" s="33"/>
      <c r="AA108" s="49"/>
      <c r="AB108" s="56"/>
      <c r="AC108" s="57"/>
      <c r="AD108" s="50"/>
      <c r="AE108" s="36">
        <v>60589426888</v>
      </c>
      <c r="AF108" s="36"/>
      <c r="AG108" s="18" t="s">
        <v>193</v>
      </c>
    </row>
    <row r="109" spans="1:33" s="18" customFormat="1">
      <c r="A109" s="34" t="s">
        <v>40</v>
      </c>
      <c r="B109" s="34" t="s">
        <v>89</v>
      </c>
      <c r="C109" s="34"/>
      <c r="D109" s="34" t="s">
        <v>126</v>
      </c>
      <c r="E109" s="54">
        <v>42422</v>
      </c>
      <c r="F109" s="35">
        <f>3748.73+13.099</f>
        <v>3761.8290000000002</v>
      </c>
      <c r="G109" s="35"/>
      <c r="H109" s="35"/>
      <c r="I109" s="49">
        <f t="shared" si="85"/>
        <v>3761.8290000000002</v>
      </c>
      <c r="J109" s="35"/>
      <c r="K109" s="67"/>
      <c r="L109" s="35"/>
      <c r="M109" s="35">
        <v>0</v>
      </c>
      <c r="N109" s="68"/>
      <c r="O109" s="68"/>
      <c r="P109" s="35"/>
      <c r="Q109" s="33"/>
      <c r="R109" s="33"/>
      <c r="S109" s="34"/>
      <c r="T109" s="34">
        <v>0</v>
      </c>
      <c r="U109" s="49">
        <f t="shared" ref="U109" si="110">+I109-SUM(J109:T109)</f>
        <v>3761.8290000000002</v>
      </c>
      <c r="V109" s="33">
        <f t="shared" ref="V109" si="111">IF(I109&gt;2250,I109*0.1,0)</f>
        <v>376.18290000000002</v>
      </c>
      <c r="W109" s="49">
        <f t="shared" ref="W109" si="112">+U109-V109</f>
        <v>3385.6460999999999</v>
      </c>
      <c r="X109" s="33">
        <f t="shared" si="99"/>
        <v>0</v>
      </c>
      <c r="Y109" s="33">
        <v>10.23</v>
      </c>
      <c r="Z109" s="33">
        <f t="shared" si="100"/>
        <v>0</v>
      </c>
      <c r="AA109" s="49">
        <f t="shared" si="101"/>
        <v>3772.0590000000002</v>
      </c>
      <c r="AB109" s="56"/>
      <c r="AC109" s="57"/>
      <c r="AD109" s="50">
        <f t="shared" si="102"/>
        <v>-3385.6460999999999</v>
      </c>
      <c r="AE109" s="36">
        <v>56708845942</v>
      </c>
      <c r="AF109" s="36"/>
      <c r="AG109" s="18" t="s">
        <v>193</v>
      </c>
    </row>
    <row r="110" spans="1:33" s="18" customFormat="1">
      <c r="A110" s="34" t="s">
        <v>42</v>
      </c>
      <c r="B110" s="34" t="s">
        <v>104</v>
      </c>
      <c r="C110" s="34"/>
      <c r="D110" s="34" t="s">
        <v>130</v>
      </c>
      <c r="E110" s="54">
        <v>41227</v>
      </c>
      <c r="F110" s="35">
        <f>4551.97+2.599+42.03+1192</f>
        <v>5788.5990000000002</v>
      </c>
      <c r="G110" s="35"/>
      <c r="H110" s="35"/>
      <c r="I110" s="49">
        <f t="shared" si="85"/>
        <v>5788.5990000000002</v>
      </c>
      <c r="J110" s="35">
        <f>209.76</f>
        <v>209.76</v>
      </c>
      <c r="K110" s="67"/>
      <c r="L110" s="35"/>
      <c r="M110" s="35">
        <v>400</v>
      </c>
      <c r="N110" s="68" t="s">
        <v>136</v>
      </c>
      <c r="O110" s="68" t="s">
        <v>136</v>
      </c>
      <c r="P110" s="35">
        <v>343.11</v>
      </c>
      <c r="Q110" s="33"/>
      <c r="R110" s="33"/>
      <c r="S110" s="34"/>
      <c r="T110" s="34">
        <v>0</v>
      </c>
      <c r="U110" s="49">
        <f t="shared" si="103"/>
        <v>4835.7290000000003</v>
      </c>
      <c r="V110" s="33">
        <f t="shared" si="97"/>
        <v>578.85990000000004</v>
      </c>
      <c r="W110" s="49">
        <f t="shared" si="98"/>
        <v>4256.8690999999999</v>
      </c>
      <c r="X110" s="33">
        <f t="shared" si="99"/>
        <v>0</v>
      </c>
      <c r="Y110" s="33">
        <v>10.23</v>
      </c>
      <c r="Z110" s="33" t="str">
        <f t="shared" si="100"/>
        <v>X</v>
      </c>
      <c r="AA110" s="49" t="e">
        <f t="shared" si="101"/>
        <v>#VALUE!</v>
      </c>
      <c r="AB110" s="56"/>
      <c r="AC110" s="56"/>
      <c r="AD110" s="50">
        <f t="shared" si="102"/>
        <v>-4256.8690999999999</v>
      </c>
      <c r="AE110" s="36">
        <v>56708881946</v>
      </c>
      <c r="AF110" s="36" t="s">
        <v>166</v>
      </c>
      <c r="AG110" s="18" t="s">
        <v>193</v>
      </c>
    </row>
    <row r="111" spans="1:33" s="18" customFormat="1">
      <c r="A111" s="34" t="s">
        <v>42</v>
      </c>
      <c r="B111" s="34" t="s">
        <v>163</v>
      </c>
      <c r="C111" s="34"/>
      <c r="D111" s="34" t="s">
        <v>126</v>
      </c>
      <c r="E111" s="54">
        <v>42746</v>
      </c>
      <c r="F111" s="35">
        <v>464.83800000000002</v>
      </c>
      <c r="G111" s="35"/>
      <c r="H111" s="35"/>
      <c r="I111" s="49">
        <f t="shared" si="85"/>
        <v>464.83800000000002</v>
      </c>
      <c r="J111" s="35"/>
      <c r="K111" s="67"/>
      <c r="L111" s="35"/>
      <c r="M111" s="35"/>
      <c r="N111" s="68"/>
      <c r="O111" s="68"/>
      <c r="P111" s="35"/>
      <c r="Q111" s="33"/>
      <c r="R111" s="33"/>
      <c r="S111" s="34"/>
      <c r="T111" s="34"/>
      <c r="U111" s="49">
        <f t="shared" ref="U111" si="113">+I111-SUM(J111:T111)</f>
        <v>464.83800000000002</v>
      </c>
      <c r="V111" s="33">
        <f t="shared" ref="V111" si="114">IF(I111&gt;2250,I111*0.1,0)</f>
        <v>0</v>
      </c>
      <c r="W111" s="49">
        <f t="shared" ref="W111" si="115">+U111-V111</f>
        <v>464.83800000000002</v>
      </c>
      <c r="X111" s="33"/>
      <c r="Y111" s="33"/>
      <c r="Z111" s="33"/>
      <c r="AA111" s="49"/>
      <c r="AB111" s="56"/>
      <c r="AC111" s="57"/>
      <c r="AD111" s="50"/>
      <c r="AE111" s="36">
        <v>60589825131</v>
      </c>
      <c r="AF111" s="34"/>
      <c r="AG111" s="18" t="s">
        <v>193</v>
      </c>
    </row>
    <row r="112" spans="1:33" s="18" customFormat="1">
      <c r="A112" s="34" t="s">
        <v>42</v>
      </c>
      <c r="B112" s="34" t="s">
        <v>140</v>
      </c>
      <c r="C112" s="34"/>
      <c r="D112" s="34" t="s">
        <v>126</v>
      </c>
      <c r="E112" s="54">
        <v>42635</v>
      </c>
      <c r="F112" s="35">
        <v>833.5</v>
      </c>
      <c r="G112" s="35"/>
      <c r="H112" s="35"/>
      <c r="I112" s="49">
        <f t="shared" si="85"/>
        <v>833.5</v>
      </c>
      <c r="J112" s="35"/>
      <c r="K112" s="67"/>
      <c r="L112" s="35"/>
      <c r="M112" s="35"/>
      <c r="N112" s="68"/>
      <c r="O112" s="68"/>
      <c r="P112" s="35"/>
      <c r="Q112" s="33"/>
      <c r="R112" s="33"/>
      <c r="S112" s="34"/>
      <c r="T112" s="34"/>
      <c r="U112" s="49">
        <f t="shared" ref="U112" si="116">+I112-SUM(J112:T112)</f>
        <v>833.5</v>
      </c>
      <c r="V112" s="33">
        <f t="shared" ref="V112" si="117">IF(I112&gt;2250,I112*0.1,0)</f>
        <v>0</v>
      </c>
      <c r="W112" s="49">
        <f t="shared" ref="W112" si="118">+U112-V112</f>
        <v>833.5</v>
      </c>
      <c r="X112" s="33"/>
      <c r="Y112" s="33"/>
      <c r="Z112" s="33"/>
      <c r="AA112" s="49"/>
      <c r="AB112" s="56"/>
      <c r="AC112" s="56"/>
      <c r="AD112" s="50"/>
      <c r="AE112" s="36">
        <v>56708881608</v>
      </c>
      <c r="AF112" s="34"/>
      <c r="AG112" s="18" t="s">
        <v>193</v>
      </c>
    </row>
    <row r="113" spans="1:186" s="18" customFormat="1">
      <c r="A113" s="34" t="s">
        <v>42</v>
      </c>
      <c r="B113" s="34" t="s">
        <v>106</v>
      </c>
      <c r="C113" s="34"/>
      <c r="D113" s="34" t="s">
        <v>130</v>
      </c>
      <c r="E113" s="54">
        <v>41703</v>
      </c>
      <c r="F113" s="35">
        <f>1018.292+458</f>
        <v>1476.2919999999999</v>
      </c>
      <c r="G113" s="35"/>
      <c r="H113" s="35"/>
      <c r="I113" s="49">
        <f t="shared" si="85"/>
        <v>1476.2919999999999</v>
      </c>
      <c r="J113" s="35"/>
      <c r="K113" s="67"/>
      <c r="L113" s="35"/>
      <c r="M113" s="35">
        <v>0</v>
      </c>
      <c r="N113" s="68" t="s">
        <v>136</v>
      </c>
      <c r="O113" s="68" t="s">
        <v>136</v>
      </c>
      <c r="P113" s="35"/>
      <c r="Q113" s="33"/>
      <c r="R113" s="33"/>
      <c r="S113" s="34"/>
      <c r="T113" s="34">
        <v>0</v>
      </c>
      <c r="U113" s="49">
        <f t="shared" si="103"/>
        <v>1476.2919999999999</v>
      </c>
      <c r="V113" s="33">
        <f t="shared" si="97"/>
        <v>0</v>
      </c>
      <c r="W113" s="49">
        <f t="shared" si="98"/>
        <v>1476.2919999999999</v>
      </c>
      <c r="X113" s="33">
        <f t="shared" si="99"/>
        <v>147.6292</v>
      </c>
      <c r="Y113" s="33">
        <v>10.23</v>
      </c>
      <c r="Z113" s="33" t="str">
        <f t="shared" si="100"/>
        <v>X</v>
      </c>
      <c r="AA113" s="49" t="e">
        <f t="shared" si="101"/>
        <v>#VALUE!</v>
      </c>
      <c r="AB113" s="56"/>
      <c r="AC113" s="56"/>
      <c r="AD113" s="50">
        <f t="shared" si="102"/>
        <v>-1476.2919999999999</v>
      </c>
      <c r="AE113" s="36">
        <v>56708845973</v>
      </c>
      <c r="AF113" s="34"/>
      <c r="AG113" s="18" t="s">
        <v>193</v>
      </c>
    </row>
    <row r="114" spans="1:186" s="18" customFormat="1">
      <c r="A114" s="34" t="s">
        <v>42</v>
      </c>
      <c r="B114" s="34" t="s">
        <v>181</v>
      </c>
      <c r="C114" s="34"/>
      <c r="D114" s="34" t="s">
        <v>156</v>
      </c>
      <c r="E114" s="54">
        <v>42804</v>
      </c>
      <c r="F114" s="35">
        <f>2125.32+7.428</f>
        <v>2132.748</v>
      </c>
      <c r="G114" s="35"/>
      <c r="H114" s="35"/>
      <c r="I114" s="49">
        <f t="shared" si="85"/>
        <v>2132.748</v>
      </c>
      <c r="J114" s="35"/>
      <c r="K114" s="67"/>
      <c r="L114" s="35"/>
      <c r="M114" s="35"/>
      <c r="N114" s="68"/>
      <c r="O114" s="68"/>
      <c r="P114" s="35"/>
      <c r="Q114" s="33"/>
      <c r="R114" s="33"/>
      <c r="S114" s="34"/>
      <c r="T114" s="34"/>
      <c r="U114" s="49">
        <f t="shared" si="103"/>
        <v>2132.748</v>
      </c>
      <c r="V114" s="33"/>
      <c r="W114" s="49"/>
      <c r="X114" s="33"/>
      <c r="Y114" s="33"/>
      <c r="Z114" s="33"/>
      <c r="AA114" s="49"/>
      <c r="AB114" s="56"/>
      <c r="AC114" s="56"/>
      <c r="AD114" s="50"/>
      <c r="AE114" s="36">
        <v>56684566360</v>
      </c>
      <c r="AF114" s="34"/>
      <c r="AG114" s="18" t="s">
        <v>193</v>
      </c>
    </row>
    <row r="115" spans="1:186" s="18" customFormat="1">
      <c r="A115" s="34" t="s">
        <v>42</v>
      </c>
      <c r="B115" s="34" t="s">
        <v>52</v>
      </c>
      <c r="C115" s="34"/>
      <c r="D115" s="34" t="s">
        <v>130</v>
      </c>
      <c r="E115" s="54">
        <v>41291</v>
      </c>
      <c r="F115" s="35">
        <f>3502.066+3.736+1024</f>
        <v>4529.8019999999997</v>
      </c>
      <c r="G115" s="35"/>
      <c r="H115" s="35"/>
      <c r="I115" s="49">
        <f t="shared" si="85"/>
        <v>4529.8019999999997</v>
      </c>
      <c r="J115" s="35">
        <v>216.71</v>
      </c>
      <c r="K115" s="67"/>
      <c r="L115" s="35"/>
      <c r="M115" s="35">
        <v>200</v>
      </c>
      <c r="N115" s="68" t="s">
        <v>136</v>
      </c>
      <c r="O115" s="68" t="s">
        <v>136</v>
      </c>
      <c r="P115" s="35">
        <v>343.11</v>
      </c>
      <c r="Q115" s="33"/>
      <c r="R115" s="33"/>
      <c r="S115" s="34"/>
      <c r="T115" s="34">
        <v>0</v>
      </c>
      <c r="U115" s="49">
        <f t="shared" si="103"/>
        <v>3769.9819999999995</v>
      </c>
      <c r="V115" s="33">
        <f t="shared" si="97"/>
        <v>452.98019999999997</v>
      </c>
      <c r="W115" s="49">
        <f t="shared" si="98"/>
        <v>3317.0017999999995</v>
      </c>
      <c r="X115" s="33">
        <f t="shared" si="99"/>
        <v>0</v>
      </c>
      <c r="Y115" s="33">
        <v>10.23</v>
      </c>
      <c r="Z115" s="33" t="str">
        <f t="shared" si="100"/>
        <v>X</v>
      </c>
      <c r="AA115" s="49" t="e">
        <f t="shared" si="101"/>
        <v>#VALUE!</v>
      </c>
      <c r="AB115" s="56"/>
      <c r="AC115" s="56"/>
      <c r="AD115" s="50">
        <f t="shared" si="102"/>
        <v>-3317.0017999999995</v>
      </c>
      <c r="AE115" s="36">
        <v>56708881963</v>
      </c>
      <c r="AF115" s="36" t="s">
        <v>166</v>
      </c>
      <c r="AG115" s="18" t="s">
        <v>193</v>
      </c>
    </row>
    <row r="116" spans="1:186" s="18" customFormat="1">
      <c r="A116" s="34" t="s">
        <v>40</v>
      </c>
      <c r="B116" s="34" t="s">
        <v>61</v>
      </c>
      <c r="C116" s="34"/>
      <c r="D116" s="34" t="s">
        <v>43</v>
      </c>
      <c r="E116" s="54">
        <v>41666</v>
      </c>
      <c r="F116" s="35">
        <f>2860.104+7.428</f>
        <v>2867.5319999999997</v>
      </c>
      <c r="G116" s="35"/>
      <c r="H116" s="35"/>
      <c r="I116" s="49">
        <f t="shared" si="85"/>
        <v>2867.5319999999997</v>
      </c>
      <c r="J116" s="35"/>
      <c r="K116" s="67"/>
      <c r="L116" s="35"/>
      <c r="M116" s="35">
        <v>200</v>
      </c>
      <c r="N116" s="68"/>
      <c r="O116" s="68"/>
      <c r="P116" s="35"/>
      <c r="Q116" s="33"/>
      <c r="R116" s="33"/>
      <c r="S116" s="34"/>
      <c r="T116" s="34">
        <v>0</v>
      </c>
      <c r="U116" s="49">
        <f t="shared" si="103"/>
        <v>2667.5319999999997</v>
      </c>
      <c r="V116" s="33">
        <f t="shared" si="97"/>
        <v>286.75319999999999</v>
      </c>
      <c r="W116" s="49">
        <f t="shared" si="98"/>
        <v>2380.7787999999996</v>
      </c>
      <c r="X116" s="33">
        <f t="shared" si="99"/>
        <v>0</v>
      </c>
      <c r="Y116" s="33">
        <v>10.23</v>
      </c>
      <c r="Z116" s="33">
        <f t="shared" si="100"/>
        <v>0</v>
      </c>
      <c r="AA116" s="49">
        <f t="shared" si="101"/>
        <v>2877.7619999999997</v>
      </c>
      <c r="AB116" s="56"/>
      <c r="AC116" s="57"/>
      <c r="AD116" s="50">
        <f t="shared" si="102"/>
        <v>-2380.7787999999996</v>
      </c>
      <c r="AE116" s="36">
        <v>56708845990</v>
      </c>
      <c r="AF116" s="34"/>
      <c r="AG116" s="18" t="s">
        <v>193</v>
      </c>
    </row>
    <row r="117" spans="1:186" s="18" customFormat="1">
      <c r="A117" s="34" t="s">
        <v>40</v>
      </c>
      <c r="B117" s="34" t="s">
        <v>185</v>
      </c>
      <c r="C117" s="34"/>
      <c r="D117" s="34" t="s">
        <v>43</v>
      </c>
      <c r="E117" s="54">
        <v>42809</v>
      </c>
      <c r="F117" s="35">
        <f>3365.672+13.099</f>
        <v>3378.7710000000002</v>
      </c>
      <c r="G117" s="35"/>
      <c r="H117" s="35"/>
      <c r="I117" s="49">
        <f t="shared" si="85"/>
        <v>3378.7710000000002</v>
      </c>
      <c r="J117" s="35"/>
      <c r="K117" s="67"/>
      <c r="L117" s="35"/>
      <c r="M117" s="35"/>
      <c r="N117" s="68"/>
      <c r="O117" s="68"/>
      <c r="P117" s="35"/>
      <c r="Q117" s="33"/>
      <c r="R117" s="33"/>
      <c r="S117" s="34"/>
      <c r="T117" s="34"/>
      <c r="U117" s="49">
        <f t="shared" si="103"/>
        <v>3378.7710000000002</v>
      </c>
      <c r="V117" s="33"/>
      <c r="W117" s="49"/>
      <c r="X117" s="33"/>
      <c r="Y117" s="33"/>
      <c r="Z117" s="33"/>
      <c r="AA117" s="49"/>
      <c r="AB117" s="56"/>
      <c r="AC117" s="57"/>
      <c r="AD117" s="50"/>
      <c r="AE117" s="36">
        <v>60589597089</v>
      </c>
      <c r="AF117" s="36"/>
      <c r="AG117" s="18" t="s">
        <v>193</v>
      </c>
    </row>
    <row r="118" spans="1:186" s="18" customFormat="1">
      <c r="A118" s="34" t="s">
        <v>42</v>
      </c>
      <c r="B118" s="34" t="s">
        <v>165</v>
      </c>
      <c r="C118" s="34"/>
      <c r="D118" s="34" t="s">
        <v>126</v>
      </c>
      <c r="E118" s="54">
        <v>42752</v>
      </c>
      <c r="F118" s="35">
        <v>607.30799999999999</v>
      </c>
      <c r="G118" s="35"/>
      <c r="H118" s="35"/>
      <c r="I118" s="49">
        <f t="shared" si="85"/>
        <v>607.30799999999999</v>
      </c>
      <c r="J118" s="35"/>
      <c r="K118" s="67"/>
      <c r="L118" s="35"/>
      <c r="M118" s="35"/>
      <c r="N118" s="68"/>
      <c r="O118" s="68"/>
      <c r="P118" s="35"/>
      <c r="Q118" s="33"/>
      <c r="R118" s="33"/>
      <c r="S118" s="34"/>
      <c r="T118" s="34"/>
      <c r="U118" s="49">
        <f t="shared" ref="U118" si="119">+I118-SUM(J118:T118)</f>
        <v>607.30799999999999</v>
      </c>
      <c r="V118" s="33">
        <f t="shared" ref="V118" si="120">IF(I118&gt;2250,I118*0.1,0)</f>
        <v>0</v>
      </c>
      <c r="W118" s="49">
        <f t="shared" ref="W118" si="121">+U118-V118</f>
        <v>607.30799999999999</v>
      </c>
      <c r="X118" s="33"/>
      <c r="Y118" s="33"/>
      <c r="Z118" s="33"/>
      <c r="AA118" s="49"/>
      <c r="AB118" s="56"/>
      <c r="AC118" s="57"/>
      <c r="AD118" s="50"/>
      <c r="AE118" s="36">
        <v>60589634536</v>
      </c>
      <c r="AF118" s="36"/>
      <c r="AG118" s="18" t="s">
        <v>193</v>
      </c>
    </row>
    <row r="119" spans="1:186" s="18" customFormat="1">
      <c r="A119" s="34" t="s">
        <v>42</v>
      </c>
      <c r="B119" s="34" t="s">
        <v>125</v>
      </c>
      <c r="C119" s="34"/>
      <c r="D119" s="34" t="s">
        <v>129</v>
      </c>
      <c r="E119" s="54">
        <v>29733</v>
      </c>
      <c r="F119" s="35">
        <f>4562.697+3.714+33.24+280</f>
        <v>4879.6509999999998</v>
      </c>
      <c r="G119" s="35"/>
      <c r="H119" s="35"/>
      <c r="I119" s="49">
        <f t="shared" si="85"/>
        <v>4879.6509999999998</v>
      </c>
      <c r="J119" s="35">
        <v>470.2</v>
      </c>
      <c r="K119" s="67"/>
      <c r="L119" s="35"/>
      <c r="M119" s="35">
        <v>50</v>
      </c>
      <c r="N119" s="68" t="s">
        <v>136</v>
      </c>
      <c r="O119" s="68" t="s">
        <v>136</v>
      </c>
      <c r="P119" s="35"/>
      <c r="Q119" s="33"/>
      <c r="R119" s="33"/>
      <c r="S119" s="34"/>
      <c r="T119" s="34">
        <v>0</v>
      </c>
      <c r="U119" s="49">
        <f t="shared" si="103"/>
        <v>4359.451</v>
      </c>
      <c r="V119" s="33">
        <f t="shared" si="97"/>
        <v>487.96510000000001</v>
      </c>
      <c r="W119" s="49">
        <f t="shared" si="98"/>
        <v>3871.4859000000001</v>
      </c>
      <c r="X119" s="33">
        <f t="shared" si="99"/>
        <v>0</v>
      </c>
      <c r="Y119" s="33">
        <v>10.23</v>
      </c>
      <c r="Z119" s="33" t="str">
        <f t="shared" si="100"/>
        <v>X</v>
      </c>
      <c r="AA119" s="49" t="e">
        <f t="shared" si="101"/>
        <v>#VALUE!</v>
      </c>
      <c r="AB119" s="56"/>
      <c r="AC119" s="57"/>
      <c r="AD119" s="50">
        <f t="shared" si="102"/>
        <v>-3871.4859000000001</v>
      </c>
      <c r="AE119" s="84">
        <v>2695890284</v>
      </c>
      <c r="AF119" s="36" t="s">
        <v>166</v>
      </c>
      <c r="AG119" s="18" t="s">
        <v>195</v>
      </c>
    </row>
    <row r="120" spans="1:186" s="18" customFormat="1">
      <c r="A120" s="34" t="s">
        <v>40</v>
      </c>
      <c r="B120" s="34" t="s">
        <v>135</v>
      </c>
      <c r="C120" s="34"/>
      <c r="D120" s="34" t="s">
        <v>156</v>
      </c>
      <c r="E120" s="54">
        <v>42604</v>
      </c>
      <c r="F120" s="35">
        <f>153.654+254</f>
        <v>407.654</v>
      </c>
      <c r="G120" s="35"/>
      <c r="H120" s="35"/>
      <c r="I120" s="49">
        <f t="shared" si="85"/>
        <v>407.654</v>
      </c>
      <c r="J120" s="35"/>
      <c r="K120" s="67"/>
      <c r="L120" s="35"/>
      <c r="M120" s="35"/>
      <c r="N120" s="68"/>
      <c r="O120" s="68"/>
      <c r="P120" s="35"/>
      <c r="Q120" s="33"/>
      <c r="R120" s="33"/>
      <c r="S120" s="34"/>
      <c r="T120" s="34"/>
      <c r="U120" s="49">
        <f t="shared" ref="U120" si="122">+I120-SUM(J120:T120)</f>
        <v>407.654</v>
      </c>
      <c r="V120" s="33">
        <f t="shared" ref="V120" si="123">IF(I120&gt;2250,I120*0.1,0)</f>
        <v>0</v>
      </c>
      <c r="W120" s="49">
        <f t="shared" ref="W120" si="124">+U120-V120</f>
        <v>407.654</v>
      </c>
      <c r="X120" s="33"/>
      <c r="Y120" s="33"/>
      <c r="Z120" s="33"/>
      <c r="AA120" s="49"/>
      <c r="AB120" s="56"/>
      <c r="AC120" s="63"/>
      <c r="AD120" s="50"/>
      <c r="AE120" s="36">
        <v>60590218306</v>
      </c>
      <c r="AF120" s="34"/>
      <c r="AG120" s="18" t="s">
        <v>193</v>
      </c>
    </row>
    <row r="121" spans="1:186" s="18" customFormat="1">
      <c r="A121" s="34" t="s">
        <v>40</v>
      </c>
      <c r="B121" s="34" t="s">
        <v>35</v>
      </c>
      <c r="C121" s="34"/>
      <c r="D121" s="34" t="s">
        <v>43</v>
      </c>
      <c r="E121" s="54">
        <v>42361</v>
      </c>
      <c r="F121" s="35">
        <f>2100.222+7.428</f>
        <v>2107.65</v>
      </c>
      <c r="G121" s="35"/>
      <c r="H121" s="35"/>
      <c r="I121" s="49">
        <f t="shared" si="85"/>
        <v>2107.65</v>
      </c>
      <c r="J121" s="35"/>
      <c r="K121" s="67"/>
      <c r="L121" s="35"/>
      <c r="M121" s="35">
        <v>0</v>
      </c>
      <c r="N121" s="68"/>
      <c r="O121" s="68"/>
      <c r="P121" s="35"/>
      <c r="Q121" s="33"/>
      <c r="R121" s="33"/>
      <c r="S121" s="34"/>
      <c r="T121" s="34">
        <v>0</v>
      </c>
      <c r="U121" s="49">
        <f>+I121-SUM(J121:T121)</f>
        <v>2107.65</v>
      </c>
      <c r="V121" s="33">
        <f>IF(I121&gt;2250,I121*0.1,0)</f>
        <v>0</v>
      </c>
      <c r="W121" s="49">
        <f>+U121-V121</f>
        <v>2107.65</v>
      </c>
      <c r="X121" s="33">
        <f>IF(I121&lt;2250,I121*0.1,0)</f>
        <v>210.76500000000001</v>
      </c>
      <c r="Y121" s="33">
        <v>10.23</v>
      </c>
      <c r="Z121" s="33">
        <f>+N121</f>
        <v>0</v>
      </c>
      <c r="AA121" s="49">
        <f>+I121+X121+Y121+Z121</f>
        <v>2328.645</v>
      </c>
      <c r="AB121" s="56"/>
      <c r="AC121" s="62"/>
      <c r="AD121" s="50">
        <f>+AB121+AC121-W121</f>
        <v>-2107.65</v>
      </c>
      <c r="AE121" s="36">
        <v>56708846047</v>
      </c>
      <c r="AF121" s="36"/>
      <c r="AG121" s="18" t="s">
        <v>193</v>
      </c>
    </row>
    <row r="122" spans="1:186" s="18" customFormat="1">
      <c r="A122" s="34" t="s">
        <v>40</v>
      </c>
      <c r="B122" s="34" t="s">
        <v>60</v>
      </c>
      <c r="C122" s="34"/>
      <c r="D122" s="34" t="s">
        <v>43</v>
      </c>
      <c r="E122" s="54">
        <v>41549</v>
      </c>
      <c r="F122" s="35">
        <f>6664.554+13.099</f>
        <v>6677.6530000000002</v>
      </c>
      <c r="G122" s="35"/>
      <c r="H122" s="35"/>
      <c r="I122" s="49">
        <f t="shared" si="85"/>
        <v>6677.6530000000002</v>
      </c>
      <c r="J122" s="35"/>
      <c r="K122" s="67"/>
      <c r="L122" s="35"/>
      <c r="M122" s="35">
        <v>500</v>
      </c>
      <c r="N122" s="68"/>
      <c r="O122" s="68"/>
      <c r="P122" s="35"/>
      <c r="Q122" s="33"/>
      <c r="R122" s="33"/>
      <c r="S122" s="34"/>
      <c r="T122" s="34">
        <v>0</v>
      </c>
      <c r="U122" s="49">
        <f>+I122-SUM(J122:T122)</f>
        <v>6177.6530000000002</v>
      </c>
      <c r="V122" s="33">
        <f>IF(I122&gt;2250,I122*0.1,0)</f>
        <v>667.76530000000002</v>
      </c>
      <c r="W122" s="49">
        <f>+U122-V122</f>
        <v>5509.8877000000002</v>
      </c>
      <c r="X122" s="33">
        <f>IF(I122&lt;2250,I122*0.1,0)</f>
        <v>0</v>
      </c>
      <c r="Y122" s="33">
        <v>10.23</v>
      </c>
      <c r="Z122" s="33">
        <f>+N122</f>
        <v>0</v>
      </c>
      <c r="AA122" s="49">
        <f>+I122+X122+Y122+Z122</f>
        <v>6687.8829999999998</v>
      </c>
      <c r="AB122" s="56"/>
      <c r="AC122" s="57"/>
      <c r="AD122" s="50">
        <f>+AB122+AC122-W122</f>
        <v>-5509.8877000000002</v>
      </c>
      <c r="AE122" s="36">
        <v>56708846050</v>
      </c>
      <c r="AF122" s="36"/>
      <c r="AG122" s="18" t="s">
        <v>193</v>
      </c>
    </row>
    <row r="123" spans="1:186">
      <c r="A123" s="29"/>
      <c r="B123" s="34"/>
      <c r="C123" s="29"/>
      <c r="D123" s="29"/>
      <c r="E123" s="66"/>
      <c r="F123" s="31"/>
      <c r="G123" s="31"/>
      <c r="H123" s="31"/>
      <c r="I123" s="49">
        <f t="shared" si="85"/>
        <v>0</v>
      </c>
      <c r="J123" s="35"/>
      <c r="K123" s="35"/>
      <c r="L123" s="35"/>
      <c r="M123" s="35"/>
      <c r="N123" s="35"/>
      <c r="O123" s="35"/>
      <c r="P123" s="35"/>
      <c r="Q123" s="33"/>
      <c r="R123" s="33"/>
      <c r="S123" s="33"/>
      <c r="T123" s="33"/>
      <c r="U123" s="49"/>
      <c r="V123" s="33"/>
      <c r="W123" s="49"/>
      <c r="X123" s="61"/>
      <c r="Y123" s="61"/>
      <c r="Z123" s="61"/>
      <c r="AA123" s="60"/>
      <c r="AB123" s="47"/>
      <c r="AC123" s="47"/>
      <c r="AD123" s="41"/>
      <c r="AE123" s="29"/>
      <c r="AF123" s="29"/>
      <c r="AU123" s="18"/>
      <c r="AV123" s="18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  <c r="DI123" s="18"/>
      <c r="DJ123" s="18"/>
      <c r="DK123" s="18"/>
      <c r="DL123" s="18"/>
      <c r="DM123" s="18"/>
      <c r="DN123" s="18"/>
      <c r="DO123" s="18"/>
      <c r="DP123" s="18"/>
      <c r="DQ123" s="18"/>
      <c r="DR123" s="18"/>
      <c r="DS123" s="18"/>
      <c r="DT123" s="18"/>
      <c r="DU123" s="18"/>
      <c r="DV123" s="18"/>
      <c r="DW123" s="18"/>
      <c r="DX123" s="18"/>
      <c r="DY123" s="18"/>
      <c r="DZ123" s="18"/>
      <c r="EA123" s="18"/>
      <c r="EB123" s="18"/>
      <c r="EC123" s="18"/>
      <c r="ED123" s="18"/>
      <c r="EE123" s="18"/>
      <c r="EF123" s="18"/>
      <c r="EG123" s="18"/>
      <c r="EH123" s="18"/>
      <c r="EI123" s="18"/>
      <c r="EJ123" s="18"/>
      <c r="EK123" s="18"/>
      <c r="EL123" s="18"/>
      <c r="EM123" s="18"/>
      <c r="EN123" s="18"/>
      <c r="EO123" s="18"/>
      <c r="EP123" s="18"/>
      <c r="EQ123" s="18"/>
      <c r="ER123" s="18"/>
      <c r="ES123" s="18"/>
      <c r="ET123" s="18"/>
      <c r="EU123" s="18"/>
      <c r="EV123" s="18"/>
      <c r="EW123" s="18"/>
      <c r="EX123" s="18"/>
      <c r="EY123" s="18"/>
      <c r="EZ123" s="18"/>
      <c r="FA123" s="18"/>
      <c r="FB123" s="18"/>
      <c r="FC123" s="18"/>
      <c r="FD123" s="18"/>
      <c r="FE123" s="18"/>
      <c r="FF123" s="18"/>
      <c r="FG123" s="18"/>
      <c r="FH123" s="18"/>
      <c r="FI123" s="18"/>
      <c r="FJ123" s="18"/>
      <c r="FK123" s="18"/>
      <c r="FL123" s="18"/>
      <c r="FM123" s="18"/>
      <c r="FN123" s="18"/>
      <c r="FO123" s="18"/>
      <c r="FP123" s="18"/>
      <c r="FQ123" s="18"/>
      <c r="FR123" s="18"/>
      <c r="FS123" s="18"/>
      <c r="FT123" s="18"/>
      <c r="FU123" s="18"/>
      <c r="FV123" s="18"/>
      <c r="FW123" s="18"/>
      <c r="FX123" s="18"/>
      <c r="FY123" s="18"/>
      <c r="FZ123" s="18"/>
      <c r="GA123" s="18"/>
      <c r="GB123" s="18"/>
      <c r="GC123" s="18"/>
      <c r="GD123" s="18"/>
    </row>
    <row r="124" spans="1:186">
      <c r="A124" s="29"/>
      <c r="B124" s="36" t="s">
        <v>171</v>
      </c>
      <c r="C124" s="29"/>
      <c r="D124" s="29"/>
      <c r="E124" s="66"/>
      <c r="F124" s="39">
        <f>SUM(F77:F122)</f>
        <v>121146.31400000001</v>
      </c>
      <c r="G124" s="39">
        <f t="shared" ref="G124:W124" si="125">SUM(G77:G122)</f>
        <v>0</v>
      </c>
      <c r="H124" s="39">
        <f t="shared" si="125"/>
        <v>0</v>
      </c>
      <c r="I124" s="49">
        <f t="shared" si="85"/>
        <v>121146.31400000001</v>
      </c>
      <c r="J124" s="39">
        <f t="shared" si="125"/>
        <v>2669.5499999999997</v>
      </c>
      <c r="K124" s="39">
        <f t="shared" si="125"/>
        <v>5</v>
      </c>
      <c r="L124" s="39">
        <f t="shared" si="125"/>
        <v>0</v>
      </c>
      <c r="M124" s="39">
        <f t="shared" si="125"/>
        <v>4100</v>
      </c>
      <c r="N124" s="39">
        <f t="shared" si="125"/>
        <v>0</v>
      </c>
      <c r="O124" s="39">
        <f t="shared" si="125"/>
        <v>0</v>
      </c>
      <c r="P124" s="39">
        <f t="shared" si="125"/>
        <v>686.22</v>
      </c>
      <c r="Q124" s="39">
        <f t="shared" si="125"/>
        <v>0</v>
      </c>
      <c r="R124" s="39">
        <f t="shared" si="125"/>
        <v>0</v>
      </c>
      <c r="S124" s="39">
        <f t="shared" si="125"/>
        <v>0</v>
      </c>
      <c r="T124" s="39">
        <f t="shared" si="125"/>
        <v>310</v>
      </c>
      <c r="U124" s="39">
        <f t="shared" si="125"/>
        <v>101825.22800000003</v>
      </c>
      <c r="V124" s="39">
        <f t="shared" si="125"/>
        <v>8177.5679000000018</v>
      </c>
      <c r="W124" s="39">
        <f t="shared" si="125"/>
        <v>83536.052299999996</v>
      </c>
      <c r="X124" s="61"/>
      <c r="Y124" s="61"/>
      <c r="Z124" s="61"/>
      <c r="AA124" s="60"/>
      <c r="AB124" s="47"/>
      <c r="AC124" s="47"/>
      <c r="AD124" s="41"/>
      <c r="AE124" s="29"/>
      <c r="AF124" s="29"/>
      <c r="AU124" s="18"/>
      <c r="AV124" s="18"/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18"/>
      <c r="CN124" s="18"/>
      <c r="CO124" s="18"/>
      <c r="CP124" s="18"/>
      <c r="CQ124" s="18"/>
      <c r="CR124" s="18"/>
      <c r="CS124" s="18"/>
      <c r="CT124" s="18"/>
      <c r="CU124" s="18"/>
      <c r="CV124" s="18"/>
      <c r="CW124" s="18"/>
      <c r="CX124" s="18"/>
      <c r="CY124" s="18"/>
      <c r="CZ124" s="18"/>
      <c r="DA124" s="18"/>
      <c r="DB124" s="18"/>
      <c r="DC124" s="18"/>
      <c r="DD124" s="18"/>
      <c r="DE124" s="18"/>
      <c r="DF124" s="18"/>
      <c r="DG124" s="18"/>
      <c r="DH124" s="18"/>
      <c r="DI124" s="18"/>
      <c r="DJ124" s="18"/>
      <c r="DK124" s="18"/>
      <c r="DL124" s="18"/>
      <c r="DM124" s="18"/>
      <c r="DN124" s="18"/>
      <c r="DO124" s="18"/>
      <c r="DP124" s="18"/>
      <c r="DQ124" s="18"/>
      <c r="DR124" s="18"/>
      <c r="DS124" s="18"/>
      <c r="DT124" s="18"/>
      <c r="DU124" s="18"/>
      <c r="DV124" s="18"/>
      <c r="DW124" s="18"/>
      <c r="DX124" s="18"/>
      <c r="DY124" s="18"/>
      <c r="DZ124" s="18"/>
      <c r="EA124" s="18"/>
      <c r="EB124" s="18"/>
      <c r="EC124" s="18"/>
      <c r="ED124" s="18"/>
      <c r="EE124" s="18"/>
      <c r="EF124" s="18"/>
      <c r="EG124" s="18"/>
      <c r="EH124" s="18"/>
      <c r="EI124" s="18"/>
      <c r="EJ124" s="18"/>
      <c r="EK124" s="18"/>
      <c r="EL124" s="18"/>
      <c r="EM124" s="18"/>
      <c r="EN124" s="18"/>
      <c r="EO124" s="18"/>
      <c r="EP124" s="18"/>
      <c r="EQ124" s="18"/>
      <c r="ER124" s="18"/>
      <c r="ES124" s="18"/>
      <c r="ET124" s="18"/>
      <c r="EU124" s="18"/>
      <c r="EV124" s="18"/>
      <c r="EW124" s="18"/>
      <c r="EX124" s="18"/>
      <c r="EY124" s="18"/>
      <c r="EZ124" s="18"/>
      <c r="FA124" s="18"/>
      <c r="FB124" s="18"/>
      <c r="FC124" s="18"/>
      <c r="FD124" s="18"/>
      <c r="FE124" s="18"/>
      <c r="FF124" s="18"/>
      <c r="FG124" s="18"/>
      <c r="FH124" s="18"/>
      <c r="FI124" s="18"/>
      <c r="FJ124" s="18"/>
      <c r="FK124" s="18"/>
      <c r="FL124" s="18"/>
      <c r="FM124" s="18"/>
      <c r="FN124" s="18"/>
      <c r="FO124" s="18"/>
      <c r="FP124" s="18"/>
      <c r="FQ124" s="18"/>
      <c r="FR124" s="18"/>
      <c r="FS124" s="18"/>
      <c r="FT124" s="18"/>
      <c r="FU124" s="18"/>
      <c r="FV124" s="18"/>
      <c r="FW124" s="18"/>
      <c r="FX124" s="18"/>
      <c r="FY124" s="18"/>
      <c r="FZ124" s="18"/>
      <c r="GA124" s="18"/>
      <c r="GB124" s="18"/>
      <c r="GC124" s="18"/>
      <c r="GD124" s="18"/>
    </row>
    <row r="125" spans="1:186">
      <c r="B125" s="20"/>
      <c r="C125" s="20"/>
      <c r="AA125" s="14" t="e">
        <f>+#REF!*0.16</f>
        <v>#REF!</v>
      </c>
      <c r="AU125" s="18"/>
      <c r="AV125" s="18"/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  <c r="CF125" s="18"/>
      <c r="CG125" s="18"/>
      <c r="CH125" s="18"/>
      <c r="CI125" s="18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8"/>
      <c r="CV125" s="18"/>
      <c r="CW125" s="18"/>
      <c r="CX125" s="18"/>
      <c r="CY125" s="18"/>
      <c r="CZ125" s="18"/>
      <c r="DA125" s="18"/>
      <c r="DB125" s="18"/>
      <c r="DC125" s="18"/>
      <c r="DD125" s="18"/>
      <c r="DE125" s="18"/>
      <c r="DF125" s="18"/>
      <c r="DG125" s="18"/>
      <c r="DH125" s="18"/>
      <c r="DI125" s="18"/>
      <c r="DJ125" s="18"/>
      <c r="DK125" s="18"/>
      <c r="DL125" s="18"/>
      <c r="DM125" s="18"/>
      <c r="DN125" s="18"/>
      <c r="DO125" s="18"/>
      <c r="DP125" s="18"/>
      <c r="DQ125" s="18"/>
      <c r="DR125" s="18"/>
      <c r="DS125" s="18"/>
      <c r="DT125" s="18"/>
      <c r="DU125" s="18"/>
      <c r="DV125" s="18"/>
      <c r="DW125" s="18"/>
      <c r="DX125" s="18"/>
      <c r="DY125" s="18"/>
      <c r="DZ125" s="18"/>
      <c r="EA125" s="18"/>
      <c r="EB125" s="18"/>
      <c r="EC125" s="18"/>
      <c r="ED125" s="18"/>
      <c r="EE125" s="18"/>
      <c r="EF125" s="18"/>
      <c r="EG125" s="18"/>
      <c r="EH125" s="18"/>
      <c r="EI125" s="18"/>
      <c r="EJ125" s="18"/>
      <c r="EK125" s="18"/>
      <c r="EL125" s="18"/>
      <c r="EM125" s="18"/>
      <c r="EN125" s="18"/>
      <c r="EO125" s="18"/>
      <c r="EP125" s="18"/>
      <c r="EQ125" s="18"/>
      <c r="ER125" s="18"/>
      <c r="ES125" s="18"/>
      <c r="ET125" s="18"/>
      <c r="EU125" s="18"/>
      <c r="EV125" s="18"/>
      <c r="EW125" s="18"/>
      <c r="EX125" s="18"/>
      <c r="EY125" s="18"/>
      <c r="EZ125" s="18"/>
      <c r="FA125" s="18"/>
      <c r="FB125" s="18"/>
      <c r="FC125" s="18"/>
      <c r="FD125" s="18"/>
      <c r="FE125" s="18"/>
      <c r="FF125" s="18"/>
      <c r="FG125" s="18"/>
      <c r="FH125" s="18"/>
      <c r="FI125" s="18"/>
      <c r="FJ125" s="18"/>
      <c r="FK125" s="18"/>
      <c r="FL125" s="18"/>
      <c r="FM125" s="18"/>
      <c r="FN125" s="18"/>
      <c r="FO125" s="18"/>
      <c r="FP125" s="18"/>
      <c r="FQ125" s="18"/>
      <c r="FR125" s="18"/>
      <c r="FS125" s="18"/>
      <c r="FT125" s="18"/>
      <c r="FU125" s="18"/>
      <c r="FV125" s="18"/>
      <c r="FW125" s="18"/>
      <c r="FX125" s="18"/>
      <c r="FY125" s="18"/>
      <c r="FZ125" s="18"/>
      <c r="GA125" s="18"/>
      <c r="GB125" s="18"/>
      <c r="GC125" s="18"/>
      <c r="GD125" s="18"/>
    </row>
    <row r="126" spans="1:186">
      <c r="AU126" s="18"/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18"/>
      <c r="DI126" s="18"/>
      <c r="DJ126" s="18"/>
      <c r="DK126" s="18"/>
      <c r="DL126" s="18"/>
      <c r="DM126" s="18"/>
      <c r="DN126" s="18"/>
      <c r="DO126" s="18"/>
      <c r="DP126" s="18"/>
      <c r="DQ126" s="18"/>
      <c r="DR126" s="18"/>
      <c r="DS126" s="18"/>
      <c r="DT126" s="18"/>
      <c r="DU126" s="18"/>
      <c r="DV126" s="18"/>
      <c r="DW126" s="18"/>
      <c r="DX126" s="18"/>
      <c r="DY126" s="18"/>
      <c r="DZ126" s="18"/>
      <c r="EA126" s="18"/>
      <c r="EB126" s="18"/>
      <c r="EC126" s="18"/>
      <c r="ED126" s="18"/>
      <c r="EE126" s="18"/>
      <c r="EF126" s="18"/>
      <c r="EG126" s="18"/>
      <c r="EH126" s="18"/>
      <c r="EI126" s="18"/>
      <c r="EJ126" s="18"/>
      <c r="EK126" s="18"/>
      <c r="EL126" s="18"/>
      <c r="EM126" s="18"/>
      <c r="EN126" s="18"/>
      <c r="EO126" s="18"/>
      <c r="EP126" s="18"/>
      <c r="EQ126" s="18"/>
      <c r="ER126" s="18"/>
      <c r="ES126" s="18"/>
      <c r="ET126" s="18"/>
      <c r="EU126" s="18"/>
      <c r="EV126" s="18"/>
      <c r="EW126" s="18"/>
      <c r="EX126" s="18"/>
      <c r="EY126" s="18"/>
      <c r="EZ126" s="18"/>
      <c r="FA126" s="18"/>
      <c r="FB126" s="18"/>
      <c r="FC126" s="18"/>
      <c r="FD126" s="18"/>
      <c r="FE126" s="18"/>
      <c r="FF126" s="18"/>
      <c r="FG126" s="18"/>
      <c r="FH126" s="18"/>
      <c r="FI126" s="18"/>
      <c r="FJ126" s="18"/>
      <c r="FK126" s="18"/>
      <c r="FL126" s="18"/>
      <c r="FM126" s="18"/>
      <c r="FN126" s="18"/>
      <c r="FO126" s="18"/>
      <c r="FP126" s="18"/>
      <c r="FQ126" s="18"/>
      <c r="FR126" s="18"/>
      <c r="FS126" s="18"/>
      <c r="FT126" s="18"/>
      <c r="FU126" s="18"/>
      <c r="FV126" s="18"/>
      <c r="FW126" s="18"/>
      <c r="FX126" s="18"/>
      <c r="FY126" s="18"/>
      <c r="FZ126" s="18"/>
      <c r="GA126" s="18"/>
      <c r="GB126" s="18"/>
      <c r="GC126" s="18"/>
      <c r="GD126" s="18"/>
    </row>
    <row r="127" spans="1:186">
      <c r="AU127" s="18"/>
      <c r="AV127" s="18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18"/>
      <c r="BK127" s="18"/>
      <c r="BL127" s="18"/>
      <c r="BM127" s="18"/>
      <c r="BN127" s="18"/>
      <c r="BO127" s="18"/>
      <c r="BP127" s="18"/>
      <c r="BQ127" s="18"/>
      <c r="BR127" s="18"/>
      <c r="BS127" s="18"/>
      <c r="BT127" s="18"/>
      <c r="BU127" s="18"/>
      <c r="BV127" s="18"/>
      <c r="BW127" s="18"/>
      <c r="BX127" s="18"/>
      <c r="BY127" s="18"/>
      <c r="BZ127" s="18"/>
      <c r="CA127" s="18"/>
      <c r="CB127" s="18"/>
      <c r="CC127" s="18"/>
      <c r="CD127" s="18"/>
      <c r="CE127" s="18"/>
      <c r="CF127" s="18"/>
      <c r="CG127" s="18"/>
      <c r="CH127" s="18"/>
      <c r="CI127" s="18"/>
      <c r="CJ127" s="18"/>
      <c r="CK127" s="18"/>
      <c r="CL127" s="18"/>
      <c r="CM127" s="18"/>
      <c r="CN127" s="18"/>
      <c r="CO127" s="18"/>
      <c r="CP127" s="18"/>
      <c r="CQ127" s="18"/>
      <c r="CR127" s="18"/>
      <c r="CS127" s="18"/>
      <c r="CT127" s="18"/>
      <c r="CU127" s="18"/>
      <c r="CV127" s="18"/>
      <c r="CW127" s="18"/>
      <c r="CX127" s="18"/>
      <c r="CY127" s="18"/>
      <c r="CZ127" s="18"/>
      <c r="DA127" s="18"/>
      <c r="DB127" s="18"/>
      <c r="DC127" s="18"/>
      <c r="DD127" s="18"/>
      <c r="DE127" s="18"/>
      <c r="DF127" s="18"/>
      <c r="DG127" s="18"/>
      <c r="DH127" s="18"/>
      <c r="DI127" s="18"/>
      <c r="DJ127" s="18"/>
      <c r="DK127" s="18"/>
      <c r="DL127" s="18"/>
      <c r="DM127" s="18"/>
      <c r="DN127" s="18"/>
      <c r="DO127" s="18"/>
      <c r="DP127" s="18"/>
      <c r="DQ127" s="18"/>
      <c r="DR127" s="18"/>
      <c r="DS127" s="18"/>
      <c r="DT127" s="18"/>
      <c r="DU127" s="18"/>
      <c r="DV127" s="18"/>
      <c r="DW127" s="18"/>
      <c r="DX127" s="18"/>
      <c r="DY127" s="18"/>
      <c r="DZ127" s="18"/>
      <c r="EA127" s="18"/>
      <c r="EB127" s="18"/>
      <c r="EC127" s="18"/>
      <c r="ED127" s="18"/>
      <c r="EE127" s="18"/>
      <c r="EF127" s="18"/>
      <c r="EG127" s="18"/>
      <c r="EH127" s="18"/>
      <c r="EI127" s="18"/>
      <c r="EJ127" s="18"/>
      <c r="EK127" s="18"/>
      <c r="EL127" s="18"/>
      <c r="EM127" s="18"/>
      <c r="EN127" s="18"/>
      <c r="EO127" s="18"/>
      <c r="EP127" s="18"/>
      <c r="EQ127" s="18"/>
      <c r="ER127" s="18"/>
      <c r="ES127" s="18"/>
      <c r="ET127" s="18"/>
      <c r="EU127" s="18"/>
      <c r="EV127" s="18"/>
      <c r="EW127" s="18"/>
      <c r="EX127" s="18"/>
      <c r="EY127" s="18"/>
      <c r="EZ127" s="18"/>
      <c r="FA127" s="18"/>
      <c r="FB127" s="18"/>
      <c r="FC127" s="18"/>
      <c r="FD127" s="18"/>
      <c r="FE127" s="18"/>
      <c r="FF127" s="18"/>
      <c r="FG127" s="18"/>
      <c r="FH127" s="18"/>
      <c r="FI127" s="18"/>
      <c r="FJ127" s="18"/>
      <c r="FK127" s="18"/>
      <c r="FL127" s="18"/>
      <c r="FM127" s="18"/>
      <c r="FN127" s="18"/>
      <c r="FO127" s="18"/>
      <c r="FP127" s="18"/>
      <c r="FQ127" s="18"/>
      <c r="FR127" s="18"/>
      <c r="FS127" s="18"/>
      <c r="FT127" s="18"/>
      <c r="FU127" s="18"/>
      <c r="FV127" s="18"/>
      <c r="FW127" s="18"/>
      <c r="FX127" s="18"/>
      <c r="FY127" s="18"/>
      <c r="FZ127" s="18"/>
      <c r="GA127" s="18"/>
      <c r="GB127" s="18"/>
      <c r="GC127" s="18"/>
      <c r="GD127" s="18"/>
    </row>
    <row r="128" spans="1:186">
      <c r="AU128" s="18"/>
      <c r="AV128" s="18"/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18"/>
      <c r="BK128" s="18"/>
      <c r="BL128" s="18"/>
      <c r="BM128" s="18"/>
      <c r="BN128" s="18"/>
      <c r="BO128" s="18"/>
      <c r="BP128" s="18"/>
      <c r="BQ128" s="18"/>
      <c r="BR128" s="18"/>
      <c r="BS128" s="18"/>
      <c r="BT128" s="18"/>
      <c r="BU128" s="18"/>
      <c r="BV128" s="18"/>
      <c r="BW128" s="18"/>
      <c r="BX128" s="18"/>
      <c r="BY128" s="18"/>
      <c r="BZ128" s="18"/>
      <c r="CA128" s="18"/>
      <c r="CB128" s="18"/>
      <c r="CC128" s="18"/>
      <c r="CD128" s="18"/>
      <c r="CE128" s="18"/>
      <c r="CF128" s="18"/>
      <c r="CG128" s="18"/>
      <c r="CH128" s="18"/>
      <c r="CI128" s="18"/>
      <c r="CJ128" s="18"/>
      <c r="CK128" s="18"/>
      <c r="CL128" s="18"/>
      <c r="CM128" s="18"/>
      <c r="CN128" s="18"/>
      <c r="CO128" s="18"/>
      <c r="CP128" s="18"/>
      <c r="CQ128" s="18"/>
      <c r="CR128" s="18"/>
      <c r="CS128" s="18"/>
      <c r="CT128" s="18"/>
      <c r="CU128" s="18"/>
      <c r="CV128" s="18"/>
      <c r="CW128" s="18"/>
      <c r="CX128" s="18"/>
      <c r="CY128" s="18"/>
      <c r="CZ128" s="18"/>
      <c r="DA128" s="18"/>
      <c r="DB128" s="18"/>
      <c r="DC128" s="18"/>
      <c r="DD128" s="18"/>
      <c r="DE128" s="18"/>
      <c r="DF128" s="18"/>
      <c r="DG128" s="18"/>
      <c r="DH128" s="18"/>
      <c r="DI128" s="18"/>
      <c r="DJ128" s="18"/>
      <c r="DK128" s="18"/>
      <c r="DL128" s="18"/>
      <c r="DM128" s="18"/>
      <c r="DN128" s="18"/>
      <c r="DO128" s="18"/>
      <c r="DP128" s="18"/>
      <c r="DQ128" s="18"/>
      <c r="DR128" s="18"/>
      <c r="DS128" s="18"/>
      <c r="DT128" s="18"/>
      <c r="DU128" s="18"/>
      <c r="DV128" s="18"/>
      <c r="DW128" s="18"/>
      <c r="DX128" s="18"/>
      <c r="DY128" s="18"/>
      <c r="DZ128" s="18"/>
      <c r="EA128" s="18"/>
      <c r="EB128" s="18"/>
      <c r="EC128" s="18"/>
      <c r="ED128" s="18"/>
      <c r="EE128" s="18"/>
      <c r="EF128" s="18"/>
      <c r="EG128" s="18"/>
      <c r="EH128" s="18"/>
      <c r="EI128" s="18"/>
      <c r="EJ128" s="18"/>
      <c r="EK128" s="18"/>
      <c r="EL128" s="18"/>
      <c r="EM128" s="18"/>
      <c r="EN128" s="18"/>
      <c r="EO128" s="18"/>
      <c r="EP128" s="18"/>
      <c r="EQ128" s="18"/>
      <c r="ER128" s="18"/>
      <c r="ES128" s="18"/>
      <c r="ET128" s="18"/>
      <c r="EU128" s="18"/>
      <c r="EV128" s="18"/>
      <c r="EW128" s="18"/>
      <c r="EX128" s="18"/>
      <c r="EY128" s="18"/>
      <c r="EZ128" s="18"/>
      <c r="FA128" s="18"/>
      <c r="FB128" s="18"/>
      <c r="FC128" s="18"/>
      <c r="FD128" s="18"/>
      <c r="FE128" s="18"/>
      <c r="FF128" s="18"/>
      <c r="FG128" s="18"/>
      <c r="FH128" s="18"/>
      <c r="FI128" s="18"/>
      <c r="FJ128" s="18"/>
      <c r="FK128" s="18"/>
      <c r="FL128" s="18"/>
      <c r="FM128" s="18"/>
      <c r="FN128" s="18"/>
      <c r="FO128" s="18"/>
      <c r="FP128" s="18"/>
      <c r="FQ128" s="18"/>
      <c r="FR128" s="18"/>
      <c r="FS128" s="18"/>
      <c r="FT128" s="18"/>
      <c r="FU128" s="18"/>
      <c r="FV128" s="18"/>
      <c r="FW128" s="18"/>
      <c r="FX128" s="18"/>
      <c r="FY128" s="18"/>
      <c r="FZ128" s="18"/>
      <c r="GA128" s="18"/>
      <c r="GB128" s="18"/>
      <c r="GC128" s="18"/>
      <c r="GD128" s="18"/>
    </row>
    <row r="129" spans="1:186" ht="23.25">
      <c r="A129" s="115" t="s">
        <v>25</v>
      </c>
      <c r="B129" s="115"/>
      <c r="AU129" s="18"/>
      <c r="AV129" s="18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18"/>
      <c r="BK129" s="18"/>
      <c r="BL129" s="18"/>
      <c r="BM129" s="18"/>
      <c r="BN129" s="18"/>
      <c r="BO129" s="18"/>
      <c r="BP129" s="18"/>
      <c r="BQ129" s="18"/>
      <c r="BR129" s="18"/>
      <c r="BS129" s="18"/>
      <c r="BT129" s="18"/>
      <c r="BU129" s="18"/>
      <c r="BV129" s="18"/>
      <c r="BW129" s="18"/>
      <c r="BX129" s="18"/>
      <c r="BY129" s="18"/>
      <c r="BZ129" s="18"/>
      <c r="CA129" s="18"/>
      <c r="CB129" s="18"/>
      <c r="CC129" s="18"/>
      <c r="CD129" s="18"/>
      <c r="CE129" s="18"/>
      <c r="CF129" s="18"/>
      <c r="CG129" s="18"/>
      <c r="CH129" s="18"/>
      <c r="CI129" s="18"/>
      <c r="CJ129" s="18"/>
      <c r="CK129" s="18"/>
      <c r="CL129" s="18"/>
      <c r="CM129" s="18"/>
      <c r="CN129" s="18"/>
      <c r="CO129" s="18"/>
      <c r="CP129" s="18"/>
      <c r="CQ129" s="18"/>
      <c r="CR129" s="18"/>
      <c r="CS129" s="18"/>
      <c r="CT129" s="18"/>
      <c r="CU129" s="18"/>
      <c r="CV129" s="18"/>
      <c r="CW129" s="18"/>
      <c r="CX129" s="18"/>
      <c r="CY129" s="18"/>
      <c r="CZ129" s="18"/>
      <c r="DA129" s="18"/>
      <c r="DB129" s="18"/>
      <c r="DC129" s="18"/>
      <c r="DD129" s="18"/>
      <c r="DE129" s="18"/>
      <c r="DF129" s="18"/>
      <c r="DG129" s="18"/>
      <c r="DH129" s="18"/>
      <c r="DI129" s="18"/>
      <c r="DJ129" s="18"/>
      <c r="DK129" s="18"/>
      <c r="DL129" s="18"/>
      <c r="DM129" s="18"/>
      <c r="DN129" s="18"/>
      <c r="DO129" s="18"/>
      <c r="DP129" s="18"/>
      <c r="DQ129" s="18"/>
      <c r="DR129" s="18"/>
      <c r="DS129" s="18"/>
      <c r="DT129" s="18"/>
      <c r="DU129" s="18"/>
      <c r="DV129" s="18"/>
      <c r="DW129" s="18"/>
      <c r="DX129" s="18"/>
      <c r="DY129" s="18"/>
      <c r="DZ129" s="18"/>
      <c r="EA129" s="18"/>
      <c r="EB129" s="18"/>
      <c r="EC129" s="18"/>
      <c r="ED129" s="18"/>
      <c r="EE129" s="18"/>
      <c r="EF129" s="18"/>
      <c r="EG129" s="18"/>
      <c r="EH129" s="18"/>
      <c r="EI129" s="18"/>
      <c r="EJ129" s="18"/>
      <c r="EK129" s="18"/>
      <c r="EL129" s="18"/>
      <c r="EM129" s="18"/>
      <c r="EN129" s="18"/>
      <c r="EO129" s="18"/>
      <c r="EP129" s="18"/>
      <c r="EQ129" s="18"/>
      <c r="ER129" s="18"/>
      <c r="ES129" s="18"/>
      <c r="ET129" s="18"/>
      <c r="EU129" s="18"/>
      <c r="EV129" s="18"/>
      <c r="EW129" s="18"/>
      <c r="EX129" s="18"/>
      <c r="EY129" s="18"/>
      <c r="EZ129" s="18"/>
      <c r="FA129" s="18"/>
      <c r="FB129" s="18"/>
      <c r="FC129" s="18"/>
      <c r="FD129" s="18"/>
      <c r="FE129" s="18"/>
      <c r="FF129" s="18"/>
      <c r="FG129" s="18"/>
      <c r="FH129" s="18"/>
      <c r="FI129" s="18"/>
      <c r="FJ129" s="18"/>
      <c r="FK129" s="18"/>
      <c r="FL129" s="18"/>
      <c r="FM129" s="18"/>
      <c r="FN129" s="18"/>
      <c r="FO129" s="18"/>
      <c r="FP129" s="18"/>
      <c r="FQ129" s="18"/>
      <c r="FR129" s="18"/>
      <c r="FS129" s="18"/>
      <c r="FT129" s="18"/>
      <c r="FU129" s="18"/>
      <c r="FV129" s="18"/>
      <c r="FW129" s="18"/>
      <c r="FX129" s="18"/>
      <c r="FY129" s="18"/>
      <c r="FZ129" s="18"/>
      <c r="GA129" s="18"/>
      <c r="GB129" s="18"/>
      <c r="GC129" s="18"/>
      <c r="GD129" s="18"/>
    </row>
    <row r="130" spans="1:186" s="18" customFormat="1" ht="15" customHeight="1">
      <c r="A130" s="98" t="s">
        <v>28</v>
      </c>
      <c r="B130" s="72" t="s">
        <v>147</v>
      </c>
      <c r="C130" s="72"/>
      <c r="D130" s="72" t="s">
        <v>30</v>
      </c>
      <c r="E130" s="75">
        <v>42668</v>
      </c>
      <c r="F130" s="35">
        <v>143.88999999999999</v>
      </c>
      <c r="G130" s="35"/>
      <c r="H130" s="35"/>
      <c r="I130" s="49">
        <f>SUM(F130:H130)</f>
        <v>143.88999999999999</v>
      </c>
      <c r="J130" s="35"/>
      <c r="K130" s="67"/>
      <c r="L130" s="35"/>
      <c r="M130" s="35"/>
      <c r="N130" s="68"/>
      <c r="O130" s="68"/>
      <c r="P130" s="35"/>
      <c r="Q130" s="33"/>
      <c r="R130" s="69"/>
      <c r="S130" s="34"/>
      <c r="T130" s="64"/>
      <c r="U130" s="49">
        <v>2737.24</v>
      </c>
      <c r="V130" s="33">
        <v>273.72399999999999</v>
      </c>
      <c r="W130" s="49">
        <v>2463.5159999999996</v>
      </c>
      <c r="X130" s="33"/>
      <c r="Y130" s="33"/>
      <c r="Z130" s="33"/>
      <c r="AA130" s="49"/>
      <c r="AB130" s="58"/>
      <c r="AC130" s="56"/>
      <c r="AD130" s="50"/>
      <c r="AE130" s="34">
        <v>1196048064</v>
      </c>
      <c r="AF130" s="74" t="s">
        <v>187</v>
      </c>
    </row>
    <row r="131" spans="1:186" s="18" customFormat="1" ht="15" customHeight="1">
      <c r="A131" s="72" t="s">
        <v>41</v>
      </c>
      <c r="B131" s="72" t="s">
        <v>131</v>
      </c>
      <c r="C131" s="72"/>
      <c r="D131" s="72" t="s">
        <v>45</v>
      </c>
      <c r="E131" s="75">
        <v>32540</v>
      </c>
      <c r="F131" s="35"/>
      <c r="G131" s="35"/>
      <c r="H131" s="35"/>
      <c r="I131" s="49">
        <f t="shared" ref="I131:I136" si="126">SUM(F131:H131)</f>
        <v>0</v>
      </c>
      <c r="J131" s="35"/>
      <c r="K131" s="67"/>
      <c r="L131" s="35"/>
      <c r="M131" s="35"/>
      <c r="N131" s="68"/>
      <c r="O131" s="68"/>
      <c r="P131" s="35"/>
      <c r="Q131" s="33"/>
      <c r="R131" s="69"/>
      <c r="S131" s="34"/>
      <c r="T131" s="64"/>
      <c r="U131" s="49">
        <v>0</v>
      </c>
      <c r="V131" s="33">
        <v>0</v>
      </c>
      <c r="W131" s="49">
        <v>0</v>
      </c>
      <c r="X131" s="33">
        <v>0</v>
      </c>
      <c r="Y131" s="33">
        <v>11.23</v>
      </c>
      <c r="Z131" s="33">
        <v>0</v>
      </c>
      <c r="AA131" s="49">
        <v>11.23</v>
      </c>
      <c r="AB131" s="58"/>
      <c r="AC131" s="56"/>
      <c r="AD131" s="50"/>
      <c r="AE131" s="34">
        <v>1461266403</v>
      </c>
      <c r="AF131" s="74" t="s">
        <v>188</v>
      </c>
    </row>
    <row r="132" spans="1:186" s="18" customFormat="1" ht="15.75">
      <c r="A132" s="72" t="s">
        <v>41</v>
      </c>
      <c r="B132" s="72" t="s">
        <v>148</v>
      </c>
      <c r="C132" s="72"/>
      <c r="D132" s="72" t="s">
        <v>45</v>
      </c>
      <c r="E132" s="75"/>
      <c r="F132" s="35">
        <v>300</v>
      </c>
      <c r="G132" s="35"/>
      <c r="H132" s="35"/>
      <c r="I132" s="49">
        <f t="shared" si="126"/>
        <v>300</v>
      </c>
      <c r="J132" s="35"/>
      <c r="K132" s="67"/>
      <c r="L132" s="35"/>
      <c r="M132" s="35">
        <v>150</v>
      </c>
      <c r="N132" s="68"/>
      <c r="O132" s="68"/>
      <c r="P132" s="35"/>
      <c r="Q132" s="33"/>
      <c r="R132" s="69"/>
      <c r="S132" s="34"/>
      <c r="T132" s="64"/>
      <c r="U132" s="49">
        <v>-150</v>
      </c>
      <c r="V132" s="33">
        <v>0</v>
      </c>
      <c r="W132" s="49">
        <v>-150</v>
      </c>
      <c r="X132" s="33"/>
      <c r="Y132" s="33"/>
      <c r="Z132" s="33"/>
      <c r="AA132" s="49"/>
      <c r="AB132" s="58"/>
      <c r="AC132" s="56"/>
      <c r="AD132" s="50"/>
      <c r="AE132" s="34"/>
      <c r="AF132" s="77" t="s">
        <v>189</v>
      </c>
    </row>
    <row r="133" spans="1:186">
      <c r="A133" s="72" t="s">
        <v>39</v>
      </c>
      <c r="B133" s="72" t="s">
        <v>133</v>
      </c>
      <c r="C133" s="72"/>
      <c r="D133" s="72" t="s">
        <v>45</v>
      </c>
      <c r="E133" s="73">
        <v>34275</v>
      </c>
      <c r="F133" s="35">
        <v>250</v>
      </c>
      <c r="G133" s="35"/>
      <c r="H133" s="35"/>
      <c r="I133" s="49">
        <f t="shared" si="126"/>
        <v>250</v>
      </c>
      <c r="J133" s="35"/>
      <c r="K133" s="67"/>
      <c r="L133" s="35"/>
      <c r="M133" s="35"/>
      <c r="N133" s="68"/>
      <c r="O133" s="68"/>
      <c r="P133" s="35"/>
      <c r="Q133" s="33"/>
      <c r="R133" s="33"/>
      <c r="S133" s="34"/>
      <c r="T133" s="34"/>
      <c r="U133" s="49">
        <v>0</v>
      </c>
      <c r="V133" s="33">
        <v>0</v>
      </c>
      <c r="W133" s="49">
        <v>0</v>
      </c>
      <c r="X133" s="61"/>
      <c r="Y133" s="61"/>
      <c r="Z133" s="61"/>
      <c r="AA133" s="60"/>
      <c r="AB133" s="47"/>
      <c r="AC133" s="47"/>
      <c r="AD133" s="41"/>
      <c r="AE133" s="29"/>
      <c r="AF133" s="77" t="s">
        <v>190</v>
      </c>
      <c r="AU133" s="18"/>
      <c r="AV133" s="18"/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18"/>
      <c r="BH133" s="18"/>
      <c r="BI133" s="18"/>
      <c r="BJ133" s="18"/>
      <c r="BK133" s="18"/>
      <c r="BL133" s="18"/>
      <c r="BM133" s="18"/>
      <c r="BN133" s="18"/>
      <c r="BO133" s="18"/>
      <c r="BP133" s="18"/>
      <c r="BQ133" s="18"/>
      <c r="BR133" s="18"/>
      <c r="BS133" s="18"/>
      <c r="BT133" s="18"/>
      <c r="BU133" s="18"/>
      <c r="BV133" s="18"/>
      <c r="BW133" s="18"/>
      <c r="BX133" s="18"/>
      <c r="BY133" s="18"/>
      <c r="BZ133" s="18"/>
      <c r="CA133" s="18"/>
      <c r="CB133" s="18"/>
      <c r="CC133" s="18"/>
      <c r="CD133" s="18"/>
      <c r="CE133" s="18"/>
      <c r="CF133" s="18"/>
      <c r="CG133" s="18"/>
      <c r="CH133" s="18"/>
      <c r="CI133" s="18"/>
      <c r="CJ133" s="18"/>
      <c r="CK133" s="18"/>
      <c r="CL133" s="18"/>
      <c r="CM133" s="18"/>
      <c r="CN133" s="18"/>
      <c r="CO133" s="18"/>
      <c r="CP133" s="18"/>
      <c r="CQ133" s="18"/>
      <c r="CR133" s="18"/>
      <c r="CS133" s="18"/>
      <c r="CT133" s="18"/>
      <c r="CU133" s="18"/>
      <c r="CV133" s="18"/>
      <c r="CW133" s="18"/>
      <c r="CX133" s="18"/>
      <c r="CY133" s="18"/>
      <c r="CZ133" s="18"/>
      <c r="DA133" s="18"/>
      <c r="DB133" s="18"/>
      <c r="DC133" s="18"/>
      <c r="DD133" s="18"/>
      <c r="DE133" s="18"/>
      <c r="DF133" s="18"/>
      <c r="DG133" s="18"/>
      <c r="DH133" s="18"/>
      <c r="DI133" s="18"/>
      <c r="DJ133" s="18"/>
      <c r="DK133" s="18"/>
      <c r="DL133" s="18"/>
      <c r="DM133" s="18"/>
      <c r="DN133" s="18"/>
      <c r="DO133" s="18"/>
      <c r="DP133" s="18"/>
      <c r="DQ133" s="18"/>
      <c r="DR133" s="18"/>
      <c r="DS133" s="18"/>
      <c r="DT133" s="18"/>
      <c r="DU133" s="18"/>
      <c r="DV133" s="18"/>
      <c r="DW133" s="18"/>
      <c r="DX133" s="18"/>
      <c r="DY133" s="18"/>
      <c r="DZ133" s="18"/>
      <c r="EA133" s="18"/>
      <c r="EB133" s="18"/>
      <c r="EC133" s="18"/>
      <c r="ED133" s="18"/>
      <c r="EE133" s="18"/>
      <c r="EF133" s="18"/>
      <c r="EG133" s="18"/>
      <c r="EH133" s="18"/>
      <c r="EI133" s="18"/>
      <c r="EJ133" s="18"/>
      <c r="EK133" s="18"/>
      <c r="EL133" s="18"/>
      <c r="EM133" s="18"/>
      <c r="EN133" s="18"/>
      <c r="EO133" s="18"/>
      <c r="EP133" s="18"/>
      <c r="EQ133" s="18"/>
      <c r="ER133" s="18"/>
      <c r="ES133" s="18"/>
      <c r="ET133" s="18"/>
      <c r="EU133" s="18"/>
      <c r="EV133" s="18"/>
      <c r="EW133" s="18"/>
      <c r="EX133" s="18"/>
      <c r="EY133" s="18"/>
      <c r="EZ133" s="18"/>
      <c r="FA133" s="18"/>
      <c r="FB133" s="18"/>
      <c r="FC133" s="18"/>
      <c r="FD133" s="18"/>
      <c r="FE133" s="18"/>
      <c r="FF133" s="18"/>
      <c r="FG133" s="18"/>
      <c r="FH133" s="18"/>
      <c r="FI133" s="18"/>
      <c r="FJ133" s="18"/>
      <c r="FK133" s="18"/>
      <c r="FL133" s="18"/>
      <c r="FM133" s="18"/>
      <c r="FN133" s="18"/>
      <c r="FO133" s="18"/>
      <c r="FP133" s="18"/>
      <c r="FQ133" s="18"/>
      <c r="FR133" s="18"/>
      <c r="FS133" s="18"/>
      <c r="FT133" s="18"/>
      <c r="FU133" s="18"/>
      <c r="FV133" s="18"/>
      <c r="FW133" s="18"/>
      <c r="FX133" s="18"/>
      <c r="FY133" s="18"/>
      <c r="FZ133" s="18"/>
      <c r="GA133" s="18"/>
      <c r="GB133" s="18"/>
      <c r="GC133" s="18"/>
      <c r="GD133" s="18"/>
    </row>
    <row r="134" spans="1:186">
      <c r="A134" s="72" t="s">
        <v>41</v>
      </c>
      <c r="B134" s="72" t="s">
        <v>169</v>
      </c>
      <c r="C134" s="72"/>
      <c r="D134" s="72" t="s">
        <v>170</v>
      </c>
      <c r="E134" s="73">
        <v>38825</v>
      </c>
      <c r="F134" s="35"/>
      <c r="G134" s="35"/>
      <c r="H134" s="35"/>
      <c r="I134" s="49">
        <f t="shared" si="126"/>
        <v>0</v>
      </c>
      <c r="J134" s="35"/>
      <c r="K134" s="67"/>
      <c r="L134" s="35"/>
      <c r="M134" s="35"/>
      <c r="N134" s="68"/>
      <c r="O134" s="68"/>
      <c r="P134" s="35"/>
      <c r="Q134" s="33"/>
      <c r="R134" s="33"/>
      <c r="S134" s="34"/>
      <c r="T134" s="34"/>
      <c r="U134" s="49"/>
      <c r="V134" s="33"/>
      <c r="W134" s="49"/>
      <c r="X134" s="61"/>
      <c r="Y134" s="61"/>
      <c r="Z134" s="61"/>
      <c r="AA134" s="60"/>
      <c r="AB134" s="47"/>
      <c r="AC134" s="47"/>
      <c r="AD134" s="41"/>
      <c r="AE134" s="29">
        <v>56708845376</v>
      </c>
      <c r="AF134" s="77" t="s">
        <v>191</v>
      </c>
      <c r="AG134" s="18" t="s">
        <v>193</v>
      </c>
      <c r="AU134" s="18"/>
      <c r="AV134" s="18"/>
      <c r="AW134" s="18"/>
      <c r="AX134" s="18"/>
      <c r="AY134" s="18"/>
      <c r="AZ134" s="18"/>
      <c r="BA134" s="18"/>
      <c r="BB134" s="18"/>
      <c r="BC134" s="18"/>
      <c r="BD134" s="18"/>
      <c r="BE134" s="18"/>
      <c r="BF134" s="18"/>
      <c r="BG134" s="18"/>
      <c r="BH134" s="18"/>
      <c r="BI134" s="18"/>
      <c r="BJ134" s="18"/>
      <c r="BK134" s="18"/>
      <c r="BL134" s="18"/>
      <c r="BM134" s="18"/>
      <c r="BN134" s="18"/>
      <c r="BO134" s="18"/>
      <c r="BP134" s="18"/>
      <c r="BQ134" s="18"/>
      <c r="BR134" s="18"/>
      <c r="BS134" s="18"/>
      <c r="BT134" s="18"/>
      <c r="BU134" s="18"/>
      <c r="BV134" s="18"/>
      <c r="BW134" s="18"/>
      <c r="BX134" s="18"/>
      <c r="BY134" s="18"/>
      <c r="BZ134" s="18"/>
      <c r="CA134" s="18"/>
      <c r="CB134" s="18"/>
      <c r="CC134" s="18"/>
      <c r="CD134" s="18"/>
      <c r="CE134" s="18"/>
      <c r="CF134" s="18"/>
      <c r="CG134" s="18"/>
      <c r="CH134" s="18"/>
      <c r="CI134" s="18"/>
      <c r="CJ134" s="18"/>
      <c r="CK134" s="18"/>
      <c r="CL134" s="18"/>
      <c r="CM134" s="18"/>
      <c r="CN134" s="18"/>
      <c r="CO134" s="18"/>
      <c r="CP134" s="18"/>
      <c r="CQ134" s="18"/>
      <c r="CR134" s="18"/>
      <c r="CS134" s="18"/>
      <c r="CT134" s="18"/>
      <c r="CU134" s="18"/>
      <c r="CV134" s="18"/>
      <c r="CW134" s="18"/>
      <c r="CX134" s="18"/>
      <c r="CY134" s="18"/>
      <c r="CZ134" s="18"/>
      <c r="DA134" s="18"/>
      <c r="DB134" s="18"/>
      <c r="DC134" s="18"/>
      <c r="DD134" s="18"/>
      <c r="DE134" s="18"/>
      <c r="DF134" s="18"/>
      <c r="DG134" s="18"/>
      <c r="DH134" s="18"/>
      <c r="DI134" s="18"/>
      <c r="DJ134" s="18"/>
      <c r="DK134" s="18"/>
      <c r="DL134" s="18"/>
      <c r="DM134" s="18"/>
      <c r="DN134" s="18"/>
      <c r="DO134" s="18"/>
      <c r="DP134" s="18"/>
      <c r="DQ134" s="18"/>
      <c r="DR134" s="18"/>
      <c r="DS134" s="18"/>
      <c r="DT134" s="18"/>
      <c r="DU134" s="18"/>
      <c r="DV134" s="18"/>
      <c r="DW134" s="18"/>
      <c r="DX134" s="18"/>
      <c r="DY134" s="18"/>
      <c r="DZ134" s="18"/>
      <c r="EA134" s="18"/>
      <c r="EB134" s="18"/>
      <c r="EC134" s="18"/>
      <c r="ED134" s="18"/>
      <c r="EE134" s="18"/>
      <c r="EF134" s="18"/>
      <c r="EG134" s="18"/>
      <c r="EH134" s="18"/>
      <c r="EI134" s="18"/>
      <c r="EJ134" s="18"/>
      <c r="EK134" s="18"/>
      <c r="EL134" s="18"/>
      <c r="EM134" s="18"/>
      <c r="EN134" s="18"/>
      <c r="EO134" s="18"/>
      <c r="EP134" s="18"/>
      <c r="EQ134" s="18"/>
      <c r="ER134" s="18"/>
      <c r="ES134" s="18"/>
      <c r="ET134" s="18"/>
      <c r="EU134" s="18"/>
      <c r="EV134" s="18"/>
      <c r="EW134" s="18"/>
      <c r="EX134" s="18"/>
      <c r="EY134" s="18"/>
      <c r="EZ134" s="18"/>
      <c r="FA134" s="18"/>
      <c r="FB134" s="18"/>
      <c r="FC134" s="18"/>
      <c r="FD134" s="18"/>
      <c r="FE134" s="18"/>
      <c r="FF134" s="18"/>
      <c r="FG134" s="18"/>
      <c r="FH134" s="18"/>
      <c r="FI134" s="18"/>
      <c r="FJ134" s="18"/>
      <c r="FK134" s="18"/>
      <c r="FL134" s="18"/>
      <c r="FM134" s="18"/>
      <c r="FN134" s="18"/>
      <c r="FO134" s="18"/>
      <c r="FP134" s="18"/>
      <c r="FQ134" s="18"/>
      <c r="FR134" s="18"/>
      <c r="FS134" s="18"/>
      <c r="FT134" s="18"/>
      <c r="FU134" s="18"/>
      <c r="FV134" s="18"/>
      <c r="FW134" s="18"/>
      <c r="FX134" s="18"/>
      <c r="FY134" s="18"/>
      <c r="FZ134" s="18"/>
      <c r="GA134" s="18"/>
      <c r="GB134" s="18"/>
      <c r="GC134" s="18"/>
      <c r="GD134" s="18"/>
    </row>
    <row r="135" spans="1:186">
      <c r="A135" s="72" t="s">
        <v>42</v>
      </c>
      <c r="B135" s="72" t="s">
        <v>182</v>
      </c>
      <c r="C135" s="72"/>
      <c r="D135" s="72" t="s">
        <v>126</v>
      </c>
      <c r="E135" s="73">
        <v>42807</v>
      </c>
      <c r="F135" s="35">
        <v>577.68499999999995</v>
      </c>
      <c r="G135" s="35"/>
      <c r="H135" s="35"/>
      <c r="I135" s="49">
        <f t="shared" si="126"/>
        <v>577.68499999999995</v>
      </c>
      <c r="J135" s="35"/>
      <c r="K135" s="67"/>
      <c r="L135" s="35"/>
      <c r="M135" s="35"/>
      <c r="N135" s="68"/>
      <c r="O135" s="68"/>
      <c r="P135" s="35"/>
      <c r="Q135" s="33"/>
      <c r="R135" s="33"/>
      <c r="S135" s="34"/>
      <c r="T135" s="34"/>
      <c r="U135" s="49">
        <f t="shared" ref="U135" si="127">+I135-SUM(J135:T135)</f>
        <v>577.68499999999995</v>
      </c>
      <c r="V135" s="33"/>
      <c r="W135" s="49"/>
      <c r="X135" s="61"/>
      <c r="Y135" s="61"/>
      <c r="Z135" s="61"/>
      <c r="AA135" s="60"/>
      <c r="AB135" s="47"/>
      <c r="AC135" s="47"/>
      <c r="AD135" s="41"/>
      <c r="AE135" s="29" t="s">
        <v>158</v>
      </c>
      <c r="AF135" s="77" t="s">
        <v>206</v>
      </c>
      <c r="AU135" s="18"/>
      <c r="AV135" s="18"/>
      <c r="AW135" s="18"/>
      <c r="AX135" s="18"/>
      <c r="AY135" s="18"/>
      <c r="AZ135" s="18"/>
      <c r="BA135" s="18"/>
      <c r="BB135" s="18"/>
      <c r="BC135" s="18"/>
      <c r="BD135" s="18"/>
      <c r="BE135" s="18"/>
      <c r="BF135" s="18"/>
      <c r="BG135" s="18"/>
      <c r="BH135" s="18"/>
      <c r="BI135" s="18"/>
      <c r="BJ135" s="18"/>
      <c r="BK135" s="18"/>
      <c r="BL135" s="18"/>
      <c r="BM135" s="18"/>
      <c r="BN135" s="18"/>
      <c r="BO135" s="18"/>
      <c r="BP135" s="18"/>
      <c r="BQ135" s="18"/>
      <c r="BR135" s="18"/>
      <c r="BS135" s="18"/>
      <c r="BT135" s="18"/>
      <c r="BU135" s="18"/>
      <c r="BV135" s="18"/>
      <c r="BW135" s="18"/>
      <c r="BX135" s="18"/>
      <c r="BY135" s="18"/>
      <c r="BZ135" s="18"/>
      <c r="CA135" s="18"/>
      <c r="CB135" s="18"/>
      <c r="CC135" s="18"/>
      <c r="CD135" s="18"/>
      <c r="CE135" s="18"/>
      <c r="CF135" s="18"/>
      <c r="CG135" s="18"/>
      <c r="CH135" s="18"/>
      <c r="CI135" s="18"/>
      <c r="CJ135" s="18"/>
      <c r="CK135" s="18"/>
      <c r="CL135" s="18"/>
      <c r="CM135" s="18"/>
      <c r="CN135" s="18"/>
      <c r="CO135" s="18"/>
      <c r="CP135" s="18"/>
      <c r="CQ135" s="18"/>
      <c r="CR135" s="18"/>
      <c r="CS135" s="18"/>
      <c r="CT135" s="18"/>
      <c r="CU135" s="18"/>
      <c r="CV135" s="18"/>
      <c r="CW135" s="18"/>
      <c r="CX135" s="18"/>
      <c r="CY135" s="18"/>
      <c r="CZ135" s="18"/>
      <c r="DA135" s="18"/>
      <c r="DB135" s="18"/>
      <c r="DC135" s="18"/>
      <c r="DD135" s="18"/>
      <c r="DE135" s="18"/>
      <c r="DF135" s="18"/>
      <c r="DG135" s="18"/>
      <c r="DH135" s="18"/>
      <c r="DI135" s="18"/>
      <c r="DJ135" s="18"/>
      <c r="DK135" s="18"/>
      <c r="DL135" s="18"/>
      <c r="DM135" s="18"/>
      <c r="DN135" s="18"/>
      <c r="DO135" s="18"/>
      <c r="DP135" s="18"/>
      <c r="DQ135" s="18"/>
      <c r="DR135" s="18"/>
      <c r="DS135" s="18"/>
      <c r="DT135" s="18"/>
      <c r="DU135" s="18"/>
      <c r="DV135" s="18"/>
      <c r="DW135" s="18"/>
      <c r="DX135" s="18"/>
      <c r="DY135" s="18"/>
      <c r="DZ135" s="18"/>
      <c r="EA135" s="18"/>
      <c r="EB135" s="18"/>
      <c r="EC135" s="18"/>
      <c r="ED135" s="18"/>
      <c r="EE135" s="18"/>
      <c r="EF135" s="18"/>
      <c r="EG135" s="18"/>
      <c r="EH135" s="18"/>
      <c r="EI135" s="18"/>
      <c r="EJ135" s="18"/>
      <c r="EK135" s="18"/>
      <c r="EL135" s="18"/>
      <c r="EM135" s="18"/>
      <c r="EN135" s="18"/>
      <c r="EO135" s="18"/>
      <c r="EP135" s="18"/>
      <c r="EQ135" s="18"/>
      <c r="ER135" s="18"/>
      <c r="ES135" s="18"/>
      <c r="ET135" s="18"/>
      <c r="EU135" s="18"/>
      <c r="EV135" s="18"/>
      <c r="EW135" s="18"/>
      <c r="EX135" s="18"/>
      <c r="EY135" s="18"/>
      <c r="EZ135" s="18"/>
      <c r="FA135" s="18"/>
      <c r="FB135" s="18"/>
      <c r="FC135" s="18"/>
      <c r="FD135" s="18"/>
      <c r="FE135" s="18"/>
      <c r="FF135" s="18"/>
      <c r="FG135" s="18"/>
      <c r="FH135" s="18"/>
      <c r="FI135" s="18"/>
      <c r="FJ135" s="18"/>
      <c r="FK135" s="18"/>
      <c r="FL135" s="18"/>
      <c r="FM135" s="18"/>
      <c r="FN135" s="18"/>
      <c r="FO135" s="18"/>
      <c r="FP135" s="18"/>
      <c r="FQ135" s="18"/>
      <c r="FR135" s="18"/>
      <c r="FS135" s="18"/>
      <c r="FT135" s="18"/>
      <c r="FU135" s="18"/>
      <c r="FV135" s="18"/>
      <c r="FW135" s="18"/>
      <c r="FX135" s="18"/>
      <c r="FY135" s="18"/>
      <c r="FZ135" s="18"/>
      <c r="GA135" s="18"/>
      <c r="GB135" s="18"/>
      <c r="GC135" s="18"/>
      <c r="GD135" s="18"/>
    </row>
    <row r="136" spans="1:186">
      <c r="A136" s="98" t="s">
        <v>39</v>
      </c>
      <c r="B136" s="72" t="s">
        <v>138</v>
      </c>
      <c r="C136" s="72"/>
      <c r="D136" s="72" t="s">
        <v>137</v>
      </c>
      <c r="E136" s="73">
        <v>42809</v>
      </c>
      <c r="F136" s="35"/>
      <c r="G136" s="35"/>
      <c r="H136" s="35"/>
      <c r="I136" s="49">
        <f t="shared" si="126"/>
        <v>0</v>
      </c>
      <c r="J136" s="35"/>
      <c r="K136" s="67"/>
      <c r="L136" s="35"/>
      <c r="M136" s="35"/>
      <c r="N136" s="68"/>
      <c r="O136" s="68"/>
      <c r="P136" s="35"/>
      <c r="Q136" s="33"/>
      <c r="R136" s="33"/>
      <c r="S136" s="34"/>
      <c r="T136" s="34"/>
      <c r="U136" s="49"/>
      <c r="V136" s="33"/>
      <c r="W136" s="49"/>
      <c r="X136" s="61"/>
      <c r="Y136" s="61"/>
      <c r="Z136" s="61"/>
      <c r="AA136" s="60"/>
      <c r="AB136" s="47"/>
      <c r="AC136" s="47"/>
      <c r="AD136" s="41"/>
      <c r="AE136" s="29" t="s">
        <v>158</v>
      </c>
      <c r="AF136" s="77" t="s">
        <v>197</v>
      </c>
      <c r="AU136" s="18"/>
      <c r="AV136" s="18"/>
      <c r="AW136" s="18"/>
      <c r="AX136" s="18"/>
      <c r="AY136" s="18"/>
      <c r="AZ136" s="18"/>
      <c r="BA136" s="18"/>
      <c r="BB136" s="18"/>
      <c r="BC136" s="18"/>
      <c r="BD136" s="18"/>
      <c r="BE136" s="18"/>
      <c r="BF136" s="18"/>
      <c r="BG136" s="18"/>
      <c r="BH136" s="18"/>
      <c r="BI136" s="18"/>
      <c r="BJ136" s="18"/>
      <c r="BK136" s="18"/>
      <c r="BL136" s="18"/>
      <c r="BM136" s="18"/>
      <c r="BN136" s="18"/>
      <c r="BO136" s="18"/>
      <c r="BP136" s="18"/>
      <c r="BQ136" s="18"/>
      <c r="BR136" s="18"/>
      <c r="BS136" s="18"/>
      <c r="BT136" s="18"/>
      <c r="BU136" s="18"/>
      <c r="BV136" s="18"/>
      <c r="BW136" s="18"/>
      <c r="BX136" s="18"/>
      <c r="BY136" s="18"/>
      <c r="BZ136" s="18"/>
      <c r="CA136" s="18"/>
      <c r="CB136" s="18"/>
      <c r="CC136" s="18"/>
      <c r="CD136" s="18"/>
      <c r="CE136" s="18"/>
      <c r="CF136" s="18"/>
      <c r="CG136" s="18"/>
      <c r="CH136" s="18"/>
      <c r="CI136" s="18"/>
      <c r="CJ136" s="18"/>
      <c r="CK136" s="18"/>
      <c r="CL136" s="18"/>
      <c r="CM136" s="18"/>
      <c r="CN136" s="18"/>
      <c r="CO136" s="18"/>
      <c r="CP136" s="18"/>
      <c r="CQ136" s="18"/>
      <c r="CR136" s="18"/>
      <c r="CS136" s="18"/>
      <c r="CT136" s="18"/>
      <c r="CU136" s="18"/>
      <c r="CV136" s="18"/>
      <c r="CW136" s="18"/>
      <c r="CX136" s="18"/>
      <c r="CY136" s="18"/>
      <c r="CZ136" s="18"/>
      <c r="DA136" s="18"/>
      <c r="DB136" s="18"/>
      <c r="DC136" s="18"/>
      <c r="DD136" s="18"/>
      <c r="DE136" s="18"/>
      <c r="DF136" s="18"/>
      <c r="DG136" s="18"/>
      <c r="DH136" s="18"/>
      <c r="DI136" s="18"/>
      <c r="DJ136" s="18"/>
      <c r="DK136" s="18"/>
      <c r="DL136" s="18"/>
      <c r="DM136" s="18"/>
      <c r="DN136" s="18"/>
      <c r="DO136" s="18"/>
      <c r="DP136" s="18"/>
      <c r="DQ136" s="18"/>
      <c r="DR136" s="18"/>
      <c r="DS136" s="18"/>
      <c r="DT136" s="18"/>
      <c r="DU136" s="18"/>
      <c r="DV136" s="18"/>
      <c r="DW136" s="18"/>
      <c r="DX136" s="18"/>
      <c r="DY136" s="18"/>
      <c r="DZ136" s="18"/>
      <c r="EA136" s="18"/>
      <c r="EB136" s="18"/>
      <c r="EC136" s="18"/>
      <c r="ED136" s="18"/>
      <c r="EE136" s="18"/>
      <c r="EF136" s="18"/>
      <c r="EG136" s="18"/>
      <c r="EH136" s="18"/>
      <c r="EI136" s="18"/>
      <c r="EJ136" s="18"/>
      <c r="EK136" s="18"/>
      <c r="EL136" s="18"/>
      <c r="EM136" s="18"/>
      <c r="EN136" s="18"/>
      <c r="EO136" s="18"/>
      <c r="EP136" s="18"/>
      <c r="EQ136" s="18"/>
      <c r="ER136" s="18"/>
      <c r="ES136" s="18"/>
      <c r="ET136" s="18"/>
      <c r="EU136" s="18"/>
      <c r="EV136" s="18"/>
      <c r="EW136" s="18"/>
      <c r="EX136" s="18"/>
      <c r="EY136" s="18"/>
      <c r="EZ136" s="18"/>
      <c r="FA136" s="18"/>
      <c r="FB136" s="18"/>
      <c r="FC136" s="18"/>
      <c r="FD136" s="18"/>
      <c r="FE136" s="18"/>
      <c r="FF136" s="18"/>
      <c r="FG136" s="18"/>
      <c r="FH136" s="18"/>
      <c r="FI136" s="18"/>
      <c r="FJ136" s="18"/>
      <c r="FK136" s="18"/>
      <c r="FL136" s="18"/>
      <c r="FM136" s="18"/>
      <c r="FN136" s="18"/>
      <c r="FO136" s="18"/>
      <c r="FP136" s="18"/>
      <c r="FQ136" s="18"/>
      <c r="FR136" s="18"/>
      <c r="FS136" s="18"/>
      <c r="FT136" s="18"/>
      <c r="FU136" s="18"/>
      <c r="FV136" s="18"/>
      <c r="FW136" s="18"/>
      <c r="FX136" s="18"/>
      <c r="FY136" s="18"/>
      <c r="FZ136" s="18"/>
      <c r="GA136" s="18"/>
      <c r="GB136" s="18"/>
      <c r="GC136" s="18"/>
      <c r="GD136" s="18"/>
    </row>
    <row r="137" spans="1:186">
      <c r="AU137" s="18"/>
      <c r="AV137" s="18"/>
      <c r="AW137" s="18"/>
      <c r="AX137" s="18"/>
      <c r="AY137" s="18"/>
      <c r="AZ137" s="18"/>
      <c r="BA137" s="18"/>
      <c r="BB137" s="18"/>
      <c r="BC137" s="18"/>
      <c r="BD137" s="18"/>
      <c r="BE137" s="18"/>
      <c r="BF137" s="18"/>
      <c r="BG137" s="18"/>
      <c r="BH137" s="18"/>
      <c r="BI137" s="18"/>
      <c r="BJ137" s="18"/>
      <c r="BK137" s="18"/>
      <c r="BL137" s="18"/>
      <c r="BM137" s="18"/>
      <c r="BN137" s="18"/>
      <c r="BO137" s="18"/>
      <c r="BP137" s="18"/>
      <c r="BQ137" s="18"/>
      <c r="BR137" s="18"/>
      <c r="BS137" s="18"/>
      <c r="BT137" s="18"/>
      <c r="BU137" s="18"/>
      <c r="BV137" s="18"/>
      <c r="BW137" s="18"/>
      <c r="BX137" s="18"/>
      <c r="BY137" s="18"/>
      <c r="BZ137" s="18"/>
      <c r="CA137" s="18"/>
      <c r="CB137" s="18"/>
      <c r="CC137" s="18"/>
      <c r="CD137" s="18"/>
      <c r="CE137" s="18"/>
      <c r="CF137" s="18"/>
      <c r="CG137" s="18"/>
      <c r="CH137" s="18"/>
      <c r="CI137" s="18"/>
      <c r="CJ137" s="18"/>
      <c r="CK137" s="18"/>
      <c r="CL137" s="18"/>
      <c r="CM137" s="18"/>
      <c r="CN137" s="18"/>
      <c r="CO137" s="18"/>
      <c r="CP137" s="18"/>
      <c r="CQ137" s="18"/>
      <c r="CR137" s="18"/>
      <c r="CS137" s="18"/>
      <c r="CT137" s="18"/>
      <c r="CU137" s="18"/>
      <c r="CV137" s="18"/>
      <c r="CW137" s="18"/>
      <c r="CX137" s="18"/>
      <c r="CY137" s="18"/>
      <c r="CZ137" s="18"/>
      <c r="DA137" s="18"/>
      <c r="DB137" s="18"/>
      <c r="DC137" s="18"/>
      <c r="DD137" s="18"/>
      <c r="DE137" s="18"/>
      <c r="DF137" s="18"/>
      <c r="DG137" s="18"/>
      <c r="DH137" s="18"/>
      <c r="DI137" s="18"/>
      <c r="DJ137" s="18"/>
      <c r="DK137" s="18"/>
      <c r="DL137" s="18"/>
      <c r="DM137" s="18"/>
      <c r="DN137" s="18"/>
      <c r="DO137" s="18"/>
      <c r="DP137" s="18"/>
      <c r="DQ137" s="18"/>
      <c r="DR137" s="18"/>
      <c r="DS137" s="18"/>
      <c r="DT137" s="18"/>
      <c r="DU137" s="18"/>
      <c r="DV137" s="18"/>
      <c r="DW137" s="18"/>
      <c r="DX137" s="18"/>
      <c r="DY137" s="18"/>
      <c r="DZ137" s="18"/>
      <c r="EA137" s="18"/>
      <c r="EB137" s="18"/>
      <c r="EC137" s="18"/>
      <c r="ED137" s="18"/>
      <c r="EE137" s="18"/>
      <c r="EF137" s="18"/>
      <c r="EG137" s="18"/>
      <c r="EH137" s="18"/>
      <c r="EI137" s="18"/>
      <c r="EJ137" s="18"/>
      <c r="EK137" s="18"/>
      <c r="EL137" s="18"/>
      <c r="EM137" s="18"/>
      <c r="EN137" s="18"/>
      <c r="EO137" s="18"/>
      <c r="EP137" s="18"/>
      <c r="EQ137" s="18"/>
      <c r="ER137" s="18"/>
      <c r="ES137" s="18"/>
      <c r="ET137" s="18"/>
      <c r="EU137" s="18"/>
      <c r="EV137" s="18"/>
      <c r="EW137" s="18"/>
      <c r="EX137" s="18"/>
      <c r="EY137" s="18"/>
      <c r="EZ137" s="18"/>
      <c r="FA137" s="18"/>
      <c r="FB137" s="18"/>
      <c r="FC137" s="18"/>
      <c r="FD137" s="18"/>
      <c r="FE137" s="18"/>
      <c r="FF137" s="18"/>
      <c r="FG137" s="18"/>
      <c r="FH137" s="18"/>
      <c r="FI137" s="18"/>
      <c r="FJ137" s="18"/>
      <c r="FK137" s="18"/>
      <c r="FL137" s="18"/>
      <c r="FM137" s="18"/>
      <c r="FN137" s="18"/>
      <c r="FO137" s="18"/>
      <c r="FP137" s="18"/>
      <c r="FQ137" s="18"/>
      <c r="FR137" s="18"/>
      <c r="FS137" s="18"/>
      <c r="FT137" s="18"/>
      <c r="FU137" s="18"/>
      <c r="FV137" s="18"/>
      <c r="FW137" s="18"/>
      <c r="FX137" s="18"/>
      <c r="FY137" s="18"/>
      <c r="FZ137" s="18"/>
      <c r="GA137" s="18"/>
      <c r="GB137" s="18"/>
      <c r="GC137" s="18"/>
      <c r="GD137" s="18"/>
    </row>
    <row r="138" spans="1:186">
      <c r="AU138" s="18"/>
      <c r="AV138" s="18"/>
      <c r="AW138" s="18"/>
      <c r="AX138" s="18"/>
      <c r="AY138" s="18"/>
      <c r="AZ138" s="18"/>
      <c r="BA138" s="18"/>
      <c r="BB138" s="18"/>
      <c r="BC138" s="18"/>
      <c r="BD138" s="18"/>
      <c r="BE138" s="18"/>
      <c r="BF138" s="18"/>
      <c r="BG138" s="18"/>
      <c r="BH138" s="18"/>
      <c r="BI138" s="18"/>
      <c r="BJ138" s="18"/>
      <c r="BK138" s="18"/>
      <c r="BL138" s="18"/>
      <c r="BM138" s="18"/>
      <c r="BN138" s="18"/>
      <c r="BO138" s="18"/>
      <c r="BP138" s="18"/>
      <c r="BQ138" s="18"/>
      <c r="BR138" s="18"/>
      <c r="BS138" s="18"/>
      <c r="BT138" s="18"/>
      <c r="BU138" s="18"/>
      <c r="BV138" s="18"/>
      <c r="BW138" s="18"/>
      <c r="BX138" s="18"/>
      <c r="BY138" s="18"/>
      <c r="BZ138" s="18"/>
      <c r="CA138" s="18"/>
      <c r="CB138" s="18"/>
      <c r="CC138" s="18"/>
      <c r="CD138" s="18"/>
      <c r="CE138" s="18"/>
      <c r="CF138" s="18"/>
      <c r="CG138" s="18"/>
      <c r="CH138" s="18"/>
      <c r="CI138" s="18"/>
      <c r="CJ138" s="18"/>
      <c r="CK138" s="18"/>
      <c r="CL138" s="18"/>
      <c r="CM138" s="18"/>
      <c r="CN138" s="18"/>
      <c r="CO138" s="18"/>
      <c r="CP138" s="18"/>
      <c r="CQ138" s="18"/>
      <c r="CR138" s="18"/>
      <c r="CS138" s="18"/>
      <c r="CT138" s="18"/>
      <c r="CU138" s="18"/>
      <c r="CV138" s="18"/>
      <c r="CW138" s="18"/>
      <c r="CX138" s="18"/>
      <c r="CY138" s="18"/>
      <c r="CZ138" s="18"/>
      <c r="DA138" s="18"/>
      <c r="DB138" s="18"/>
      <c r="DC138" s="18"/>
      <c r="DD138" s="18"/>
      <c r="DE138" s="18"/>
      <c r="DF138" s="18"/>
      <c r="DG138" s="18"/>
      <c r="DH138" s="18"/>
      <c r="DI138" s="18"/>
      <c r="DJ138" s="18"/>
      <c r="DK138" s="18"/>
      <c r="DL138" s="18"/>
      <c r="DM138" s="18"/>
      <c r="DN138" s="18"/>
      <c r="DO138" s="18"/>
      <c r="DP138" s="18"/>
      <c r="DQ138" s="18"/>
      <c r="DR138" s="18"/>
      <c r="DS138" s="18"/>
      <c r="DT138" s="18"/>
      <c r="DU138" s="18"/>
      <c r="DV138" s="18"/>
      <c r="DW138" s="18"/>
      <c r="DX138" s="18"/>
      <c r="DY138" s="18"/>
      <c r="DZ138" s="18"/>
      <c r="EA138" s="18"/>
      <c r="EB138" s="18"/>
      <c r="EC138" s="18"/>
      <c r="ED138" s="18"/>
      <c r="EE138" s="18"/>
      <c r="EF138" s="18"/>
      <c r="EG138" s="18"/>
      <c r="EH138" s="18"/>
      <c r="EI138" s="18"/>
      <c r="EJ138" s="18"/>
      <c r="EK138" s="18"/>
      <c r="EL138" s="18"/>
      <c r="EM138" s="18"/>
      <c r="EN138" s="18"/>
      <c r="EO138" s="18"/>
      <c r="EP138" s="18"/>
      <c r="EQ138" s="18"/>
      <c r="ER138" s="18"/>
      <c r="ES138" s="18"/>
      <c r="ET138" s="18"/>
      <c r="EU138" s="18"/>
      <c r="EV138" s="18"/>
      <c r="EW138" s="18"/>
      <c r="EX138" s="18"/>
      <c r="EY138" s="18"/>
      <c r="EZ138" s="18"/>
      <c r="FA138" s="18"/>
      <c r="FB138" s="18"/>
      <c r="FC138" s="18"/>
      <c r="FD138" s="18"/>
      <c r="FE138" s="18"/>
      <c r="FF138" s="18"/>
      <c r="FG138" s="18"/>
      <c r="FH138" s="18"/>
      <c r="FI138" s="18"/>
      <c r="FJ138" s="18"/>
      <c r="FK138" s="18"/>
      <c r="FL138" s="18"/>
      <c r="FM138" s="18"/>
      <c r="FN138" s="18"/>
      <c r="FO138" s="18"/>
      <c r="FP138" s="18"/>
      <c r="FQ138" s="18"/>
      <c r="FR138" s="18"/>
      <c r="FS138" s="18"/>
      <c r="FT138" s="18"/>
      <c r="FU138" s="18"/>
      <c r="FV138" s="18"/>
      <c r="FW138" s="18"/>
      <c r="FX138" s="18"/>
      <c r="FY138" s="18"/>
      <c r="FZ138" s="18"/>
      <c r="GA138" s="18"/>
      <c r="GB138" s="18"/>
      <c r="GC138" s="18"/>
      <c r="GD138" s="18"/>
    </row>
    <row r="139" spans="1:186">
      <c r="AU139" s="18"/>
      <c r="AV139" s="18"/>
      <c r="AW139" s="18"/>
      <c r="AX139" s="18"/>
      <c r="AY139" s="18"/>
      <c r="AZ139" s="18"/>
      <c r="BA139" s="18"/>
      <c r="BB139" s="18"/>
      <c r="BC139" s="18"/>
      <c r="BD139" s="18"/>
      <c r="BE139" s="18"/>
      <c r="BF139" s="18"/>
      <c r="BG139" s="18"/>
      <c r="BH139" s="18"/>
      <c r="BI139" s="18"/>
      <c r="BJ139" s="18"/>
      <c r="BK139" s="18"/>
      <c r="BL139" s="18"/>
      <c r="BM139" s="18"/>
      <c r="BN139" s="18"/>
      <c r="BO139" s="18"/>
      <c r="BP139" s="18"/>
      <c r="BQ139" s="18"/>
      <c r="BR139" s="18"/>
      <c r="BS139" s="18"/>
      <c r="BT139" s="18"/>
      <c r="BU139" s="18"/>
      <c r="BV139" s="18"/>
      <c r="BW139" s="18"/>
      <c r="BX139" s="18"/>
      <c r="BY139" s="18"/>
      <c r="BZ139" s="18"/>
      <c r="CA139" s="18"/>
      <c r="CB139" s="18"/>
      <c r="CC139" s="18"/>
      <c r="CD139" s="18"/>
      <c r="CE139" s="18"/>
      <c r="CF139" s="18"/>
      <c r="CG139" s="18"/>
      <c r="CH139" s="18"/>
      <c r="CI139" s="18"/>
      <c r="CJ139" s="18"/>
      <c r="CK139" s="18"/>
      <c r="CL139" s="18"/>
      <c r="CM139" s="18"/>
      <c r="CN139" s="18"/>
      <c r="CO139" s="18"/>
      <c r="CP139" s="18"/>
      <c r="CQ139" s="18"/>
      <c r="CR139" s="18"/>
      <c r="CS139" s="18"/>
      <c r="CT139" s="18"/>
      <c r="CU139" s="18"/>
      <c r="CV139" s="18"/>
      <c r="CW139" s="18"/>
      <c r="CX139" s="18"/>
      <c r="CY139" s="18"/>
      <c r="CZ139" s="18"/>
      <c r="DA139" s="18"/>
      <c r="DB139" s="18"/>
      <c r="DC139" s="18"/>
      <c r="DD139" s="18"/>
      <c r="DE139" s="18"/>
      <c r="DF139" s="18"/>
      <c r="DG139" s="18"/>
      <c r="DH139" s="18"/>
      <c r="DI139" s="18"/>
      <c r="DJ139" s="18"/>
      <c r="DK139" s="18"/>
      <c r="DL139" s="18"/>
      <c r="DM139" s="18"/>
      <c r="DN139" s="18"/>
      <c r="DO139" s="18"/>
      <c r="DP139" s="18"/>
      <c r="DQ139" s="18"/>
      <c r="DR139" s="18"/>
      <c r="DS139" s="18"/>
      <c r="DT139" s="18"/>
      <c r="DU139" s="18"/>
      <c r="DV139" s="18"/>
      <c r="DW139" s="18"/>
      <c r="DX139" s="18"/>
      <c r="DY139" s="18"/>
      <c r="DZ139" s="18"/>
      <c r="EA139" s="18"/>
      <c r="EB139" s="18"/>
      <c r="EC139" s="18"/>
      <c r="ED139" s="18"/>
      <c r="EE139" s="18"/>
      <c r="EF139" s="18"/>
      <c r="EG139" s="18"/>
      <c r="EH139" s="18"/>
      <c r="EI139" s="18"/>
      <c r="EJ139" s="18"/>
      <c r="EK139" s="18"/>
      <c r="EL139" s="18"/>
      <c r="EM139" s="18"/>
      <c r="EN139" s="18"/>
      <c r="EO139" s="18"/>
      <c r="EP139" s="18"/>
      <c r="EQ139" s="18"/>
      <c r="ER139" s="18"/>
      <c r="ES139" s="18"/>
      <c r="ET139" s="18"/>
      <c r="EU139" s="18"/>
      <c r="EV139" s="18"/>
      <c r="EW139" s="18"/>
      <c r="EX139" s="18"/>
      <c r="EY139" s="18"/>
      <c r="EZ139" s="18"/>
      <c r="FA139" s="18"/>
      <c r="FB139" s="18"/>
      <c r="FC139" s="18"/>
      <c r="FD139" s="18"/>
      <c r="FE139" s="18"/>
      <c r="FF139" s="18"/>
      <c r="FG139" s="18"/>
      <c r="FH139" s="18"/>
      <c r="FI139" s="18"/>
      <c r="FJ139" s="18"/>
      <c r="FK139" s="18"/>
      <c r="FL139" s="18"/>
      <c r="FM139" s="18"/>
      <c r="FN139" s="18"/>
      <c r="FO139" s="18"/>
      <c r="FP139" s="18"/>
      <c r="FQ139" s="18"/>
      <c r="FR139" s="18"/>
      <c r="FS139" s="18"/>
      <c r="FT139" s="18"/>
      <c r="FU139" s="18"/>
      <c r="FV139" s="18"/>
      <c r="FW139" s="18"/>
      <c r="FX139" s="18"/>
      <c r="FY139" s="18"/>
      <c r="FZ139" s="18"/>
      <c r="GA139" s="18"/>
      <c r="GB139" s="18"/>
      <c r="GC139" s="18"/>
      <c r="GD139" s="18"/>
    </row>
    <row r="140" spans="1:186">
      <c r="AU140" s="18"/>
      <c r="AV140" s="18"/>
      <c r="AW140" s="18"/>
      <c r="AX140" s="18"/>
      <c r="AY140" s="18"/>
      <c r="AZ140" s="18"/>
      <c r="BA140" s="18"/>
      <c r="BB140" s="18"/>
      <c r="BC140" s="18"/>
      <c r="BD140" s="18"/>
      <c r="BE140" s="18"/>
      <c r="BF140" s="18"/>
      <c r="BG140" s="18"/>
      <c r="BH140" s="18"/>
      <c r="BI140" s="18"/>
      <c r="BJ140" s="18"/>
      <c r="BK140" s="18"/>
      <c r="BL140" s="18"/>
      <c r="BM140" s="18"/>
      <c r="BN140" s="18"/>
      <c r="BO140" s="18"/>
      <c r="BP140" s="18"/>
      <c r="BQ140" s="18"/>
      <c r="BR140" s="18"/>
      <c r="BS140" s="18"/>
      <c r="BT140" s="18"/>
      <c r="BU140" s="18"/>
      <c r="BV140" s="18"/>
      <c r="BW140" s="18"/>
      <c r="BX140" s="18"/>
      <c r="BY140" s="18"/>
      <c r="BZ140" s="18"/>
      <c r="CA140" s="18"/>
      <c r="CB140" s="18"/>
      <c r="CC140" s="18"/>
      <c r="CD140" s="18"/>
      <c r="CE140" s="18"/>
      <c r="CF140" s="18"/>
      <c r="CG140" s="18"/>
      <c r="CH140" s="18"/>
      <c r="CI140" s="18"/>
      <c r="CJ140" s="18"/>
      <c r="CK140" s="18"/>
      <c r="CL140" s="18"/>
      <c r="CM140" s="18"/>
      <c r="CN140" s="18"/>
      <c r="CO140" s="18"/>
      <c r="CP140" s="18"/>
      <c r="CQ140" s="18"/>
      <c r="CR140" s="18"/>
      <c r="CS140" s="18"/>
      <c r="CT140" s="18"/>
      <c r="CU140" s="18"/>
      <c r="CV140" s="18"/>
      <c r="CW140" s="18"/>
      <c r="CX140" s="18"/>
      <c r="CY140" s="18"/>
      <c r="CZ140" s="18"/>
      <c r="DA140" s="18"/>
      <c r="DB140" s="18"/>
      <c r="DC140" s="18"/>
      <c r="DD140" s="18"/>
      <c r="DE140" s="18"/>
      <c r="DF140" s="18"/>
      <c r="DG140" s="18"/>
      <c r="DH140" s="18"/>
      <c r="DI140" s="18"/>
      <c r="DJ140" s="18"/>
      <c r="DK140" s="18"/>
      <c r="DL140" s="18"/>
      <c r="DM140" s="18"/>
      <c r="DN140" s="18"/>
      <c r="DO140" s="18"/>
      <c r="DP140" s="18"/>
      <c r="DQ140" s="18"/>
      <c r="DR140" s="18"/>
      <c r="DS140" s="18"/>
      <c r="DT140" s="18"/>
      <c r="DU140" s="18"/>
      <c r="DV140" s="18"/>
      <c r="DW140" s="18"/>
      <c r="DX140" s="18"/>
      <c r="DY140" s="18"/>
      <c r="DZ140" s="18"/>
      <c r="EA140" s="18"/>
      <c r="EB140" s="18"/>
      <c r="EC140" s="18"/>
      <c r="ED140" s="18"/>
      <c r="EE140" s="18"/>
      <c r="EF140" s="18"/>
      <c r="EG140" s="18"/>
      <c r="EH140" s="18"/>
      <c r="EI140" s="18"/>
      <c r="EJ140" s="18"/>
      <c r="EK140" s="18"/>
      <c r="EL140" s="18"/>
      <c r="EM140" s="18"/>
      <c r="EN140" s="18"/>
      <c r="EO140" s="18"/>
      <c r="EP140" s="18"/>
      <c r="EQ140" s="18"/>
      <c r="ER140" s="18"/>
      <c r="ES140" s="18"/>
      <c r="ET140" s="18"/>
      <c r="EU140" s="18"/>
      <c r="EV140" s="18"/>
      <c r="EW140" s="18"/>
      <c r="EX140" s="18"/>
      <c r="EY140" s="18"/>
      <c r="EZ140" s="18"/>
      <c r="FA140" s="18"/>
      <c r="FB140" s="18"/>
      <c r="FC140" s="18"/>
      <c r="FD140" s="18"/>
      <c r="FE140" s="18"/>
      <c r="FF140" s="18"/>
      <c r="FG140" s="18"/>
      <c r="FH140" s="18"/>
      <c r="FI140" s="18"/>
      <c r="FJ140" s="18"/>
      <c r="FK140" s="18"/>
      <c r="FL140" s="18"/>
      <c r="FM140" s="18"/>
      <c r="FN140" s="18"/>
      <c r="FO140" s="18"/>
      <c r="FP140" s="18"/>
      <c r="FQ140" s="18"/>
      <c r="FR140" s="18"/>
      <c r="FS140" s="18"/>
      <c r="FT140" s="18"/>
      <c r="FU140" s="18"/>
      <c r="FV140" s="18"/>
      <c r="FW140" s="18"/>
      <c r="FX140" s="18"/>
      <c r="FY140" s="18"/>
      <c r="FZ140" s="18"/>
      <c r="GA140" s="18"/>
      <c r="GB140" s="18"/>
      <c r="GC140" s="18"/>
      <c r="GD140" s="18"/>
    </row>
    <row r="141" spans="1:186">
      <c r="A141" s="19" t="s">
        <v>17</v>
      </c>
      <c r="B141" s="13"/>
      <c r="C141" s="13"/>
      <c r="AU141" s="18"/>
      <c r="AV141" s="18"/>
      <c r="AW141" s="18"/>
      <c r="AX141" s="18"/>
      <c r="AY141" s="18"/>
      <c r="AZ141" s="18"/>
      <c r="BA141" s="18"/>
      <c r="BB141" s="18"/>
      <c r="BC141" s="18"/>
      <c r="BD141" s="18"/>
      <c r="BE141" s="18"/>
      <c r="BF141" s="18"/>
      <c r="BG141" s="18"/>
      <c r="BH141" s="18"/>
      <c r="BI141" s="18"/>
      <c r="BJ141" s="18"/>
      <c r="BK141" s="18"/>
      <c r="BL141" s="18"/>
      <c r="BM141" s="18"/>
      <c r="BN141" s="18"/>
      <c r="BO141" s="18"/>
      <c r="BP141" s="18"/>
      <c r="BQ141" s="18"/>
      <c r="BR141" s="18"/>
      <c r="BS141" s="18"/>
      <c r="BT141" s="18"/>
      <c r="BU141" s="18"/>
      <c r="BV141" s="18"/>
      <c r="BW141" s="18"/>
      <c r="BX141" s="18"/>
      <c r="BY141" s="18"/>
      <c r="BZ141" s="18"/>
      <c r="CA141" s="18"/>
      <c r="CB141" s="18"/>
      <c r="CC141" s="18"/>
      <c r="CD141" s="18"/>
      <c r="CE141" s="18"/>
      <c r="CF141" s="18"/>
      <c r="CG141" s="18"/>
      <c r="CH141" s="18"/>
      <c r="CI141" s="18"/>
      <c r="CJ141" s="18"/>
      <c r="CK141" s="18"/>
      <c r="CL141" s="18"/>
      <c r="CM141" s="18"/>
      <c r="CN141" s="18"/>
      <c r="CO141" s="18"/>
      <c r="CP141" s="18"/>
      <c r="CQ141" s="18"/>
      <c r="CR141" s="18"/>
      <c r="CS141" s="18"/>
      <c r="CT141" s="18"/>
      <c r="CU141" s="18"/>
      <c r="CV141" s="18"/>
      <c r="CW141" s="18"/>
      <c r="CX141" s="18"/>
      <c r="CY141" s="18"/>
      <c r="CZ141" s="18"/>
      <c r="DA141" s="18"/>
      <c r="DB141" s="18"/>
      <c r="DC141" s="18"/>
      <c r="DD141" s="18"/>
      <c r="DE141" s="18"/>
      <c r="DF141" s="18"/>
      <c r="DG141" s="18"/>
      <c r="DH141" s="18"/>
      <c r="DI141" s="18"/>
      <c r="DJ141" s="18"/>
      <c r="DK141" s="18"/>
      <c r="DL141" s="18"/>
      <c r="DM141" s="18"/>
      <c r="DN141" s="18"/>
      <c r="DO141" s="18"/>
      <c r="DP141" s="18"/>
      <c r="DQ141" s="18"/>
      <c r="DR141" s="18"/>
      <c r="DS141" s="18"/>
      <c r="DT141" s="18"/>
      <c r="DU141" s="18"/>
      <c r="DV141" s="18"/>
      <c r="DW141" s="18"/>
      <c r="DX141" s="18"/>
      <c r="DY141" s="18"/>
      <c r="DZ141" s="18"/>
      <c r="EA141" s="18"/>
      <c r="EB141" s="18"/>
      <c r="EC141" s="18"/>
      <c r="ED141" s="18"/>
      <c r="EE141" s="18"/>
      <c r="EF141" s="18"/>
      <c r="EG141" s="18"/>
      <c r="EH141" s="18"/>
      <c r="EI141" s="18"/>
      <c r="EJ141" s="18"/>
      <c r="EK141" s="18"/>
      <c r="EL141" s="18"/>
      <c r="EM141" s="18"/>
      <c r="EN141" s="18"/>
      <c r="EO141" s="18"/>
      <c r="EP141" s="18"/>
      <c r="EQ141" s="18"/>
      <c r="ER141" s="18"/>
      <c r="ES141" s="18"/>
      <c r="ET141" s="18"/>
      <c r="EU141" s="18"/>
      <c r="EV141" s="18"/>
      <c r="EW141" s="18"/>
      <c r="EX141" s="18"/>
      <c r="EY141" s="18"/>
      <c r="EZ141" s="18"/>
      <c r="FA141" s="18"/>
      <c r="FB141" s="18"/>
      <c r="FC141" s="18"/>
      <c r="FD141" s="18"/>
      <c r="FE141" s="18"/>
      <c r="FF141" s="18"/>
      <c r="FG141" s="18"/>
      <c r="FH141" s="18"/>
      <c r="FI141" s="18"/>
      <c r="FJ141" s="18"/>
      <c r="FK141" s="18"/>
      <c r="FL141" s="18"/>
      <c r="FM141" s="18"/>
      <c r="FN141" s="18"/>
      <c r="FO141" s="18"/>
      <c r="FP141" s="18"/>
      <c r="FQ141" s="18"/>
      <c r="FR141" s="18"/>
      <c r="FS141" s="18"/>
      <c r="FT141" s="18"/>
      <c r="FU141" s="18"/>
      <c r="FV141" s="18"/>
      <c r="FW141" s="18"/>
      <c r="FX141" s="18"/>
      <c r="FY141" s="18"/>
      <c r="FZ141" s="18"/>
      <c r="GA141" s="18"/>
      <c r="GB141" s="18"/>
      <c r="GC141" s="18"/>
      <c r="GD141" s="18"/>
    </row>
    <row r="142" spans="1:186">
      <c r="A142" s="19" t="s">
        <v>18</v>
      </c>
      <c r="B142" s="13"/>
      <c r="C142" s="13"/>
      <c r="AU142" s="18"/>
      <c r="AV142" s="18"/>
      <c r="AW142" s="18"/>
      <c r="AX142" s="18"/>
      <c r="AY142" s="18"/>
      <c r="AZ142" s="18"/>
      <c r="BA142" s="18"/>
      <c r="BB142" s="18"/>
      <c r="BC142" s="18"/>
      <c r="BD142" s="18"/>
      <c r="BE142" s="18"/>
      <c r="BF142" s="18"/>
      <c r="BG142" s="18"/>
      <c r="BH142" s="18"/>
      <c r="BI142" s="18"/>
      <c r="BJ142" s="18"/>
      <c r="BK142" s="18"/>
      <c r="BL142" s="18"/>
      <c r="BM142" s="18"/>
      <c r="BN142" s="18"/>
      <c r="BO142" s="18"/>
      <c r="BP142" s="18"/>
      <c r="BQ142" s="18"/>
      <c r="BR142" s="18"/>
      <c r="BS142" s="18"/>
      <c r="BT142" s="18"/>
      <c r="BU142" s="18"/>
      <c r="BV142" s="18"/>
      <c r="BW142" s="18"/>
      <c r="BX142" s="18"/>
      <c r="BY142" s="18"/>
      <c r="BZ142" s="18"/>
      <c r="CA142" s="18"/>
      <c r="CB142" s="18"/>
      <c r="CC142" s="18"/>
      <c r="CD142" s="18"/>
      <c r="CE142" s="18"/>
      <c r="CF142" s="18"/>
      <c r="CG142" s="18"/>
      <c r="CH142" s="18"/>
      <c r="CI142" s="18"/>
      <c r="CJ142" s="18"/>
      <c r="CK142" s="18"/>
      <c r="CL142" s="18"/>
      <c r="CM142" s="18"/>
      <c r="CN142" s="18"/>
      <c r="CO142" s="18"/>
      <c r="CP142" s="18"/>
      <c r="CQ142" s="18"/>
      <c r="CR142" s="18"/>
      <c r="CS142" s="18"/>
      <c r="CT142" s="18"/>
      <c r="CU142" s="18"/>
      <c r="CV142" s="18"/>
      <c r="CW142" s="18"/>
      <c r="CX142" s="18"/>
      <c r="CY142" s="18"/>
      <c r="CZ142" s="18"/>
      <c r="DA142" s="18"/>
      <c r="DB142" s="18"/>
      <c r="DC142" s="18"/>
      <c r="DD142" s="18"/>
      <c r="DE142" s="18"/>
      <c r="DF142" s="18"/>
      <c r="DG142" s="18"/>
      <c r="DH142" s="18"/>
      <c r="DI142" s="18"/>
      <c r="DJ142" s="18"/>
      <c r="DK142" s="18"/>
      <c r="DL142" s="18"/>
      <c r="DM142" s="18"/>
      <c r="DN142" s="18"/>
      <c r="DO142" s="18"/>
      <c r="DP142" s="18"/>
      <c r="DQ142" s="18"/>
      <c r="DR142" s="18"/>
      <c r="DS142" s="18"/>
      <c r="DT142" s="18"/>
      <c r="DU142" s="18"/>
      <c r="DV142" s="18"/>
      <c r="DW142" s="18"/>
      <c r="DX142" s="18"/>
      <c r="DY142" s="18"/>
      <c r="DZ142" s="18"/>
      <c r="EA142" s="18"/>
      <c r="EB142" s="18"/>
      <c r="EC142" s="18"/>
      <c r="ED142" s="18"/>
      <c r="EE142" s="18"/>
      <c r="EF142" s="18"/>
      <c r="EG142" s="18"/>
      <c r="EH142" s="18"/>
      <c r="EI142" s="18"/>
      <c r="EJ142" s="18"/>
      <c r="EK142" s="18"/>
      <c r="EL142" s="18"/>
      <c r="EM142" s="18"/>
      <c r="EN142" s="18"/>
      <c r="EO142" s="18"/>
      <c r="EP142" s="18"/>
      <c r="EQ142" s="18"/>
      <c r="ER142" s="18"/>
      <c r="ES142" s="18"/>
      <c r="ET142" s="18"/>
      <c r="EU142" s="18"/>
      <c r="EV142" s="18"/>
      <c r="EW142" s="18"/>
      <c r="EX142" s="18"/>
      <c r="EY142" s="18"/>
      <c r="EZ142" s="18"/>
      <c r="FA142" s="18"/>
      <c r="FB142" s="18"/>
      <c r="FC142" s="18"/>
      <c r="FD142" s="18"/>
      <c r="FE142" s="18"/>
      <c r="FF142" s="18"/>
      <c r="FG142" s="18"/>
      <c r="FH142" s="18"/>
      <c r="FI142" s="18"/>
      <c r="FJ142" s="18"/>
      <c r="FK142" s="18"/>
      <c r="FL142" s="18"/>
      <c r="FM142" s="18"/>
      <c r="FN142" s="18"/>
      <c r="FO142" s="18"/>
      <c r="FP142" s="18"/>
      <c r="FQ142" s="18"/>
      <c r="FR142" s="18"/>
      <c r="FS142" s="18"/>
      <c r="FT142" s="18"/>
      <c r="FU142" s="18"/>
      <c r="FV142" s="18"/>
      <c r="FW142" s="18"/>
      <c r="FX142" s="18"/>
      <c r="FY142" s="18"/>
      <c r="FZ142" s="18"/>
      <c r="GA142" s="18"/>
      <c r="GB142" s="18"/>
      <c r="GC142" s="18"/>
      <c r="GD142" s="18"/>
    </row>
    <row r="143" spans="1:186">
      <c r="A143" s="19" t="s">
        <v>19</v>
      </c>
      <c r="B143" s="13"/>
      <c r="C143" s="13"/>
      <c r="AU143" s="18"/>
      <c r="AV143" s="18"/>
      <c r="AW143" s="18"/>
      <c r="AX143" s="18"/>
      <c r="AY143" s="18"/>
      <c r="AZ143" s="18"/>
      <c r="BA143" s="18"/>
      <c r="BB143" s="18"/>
      <c r="BC143" s="18"/>
      <c r="BD143" s="18"/>
      <c r="BE143" s="18"/>
      <c r="BF143" s="18"/>
      <c r="BG143" s="18"/>
      <c r="BH143" s="18"/>
      <c r="BI143" s="18"/>
      <c r="BJ143" s="18"/>
      <c r="BK143" s="18"/>
      <c r="BL143" s="18"/>
      <c r="BM143" s="18"/>
      <c r="BN143" s="18"/>
      <c r="BO143" s="18"/>
      <c r="BP143" s="18"/>
      <c r="BQ143" s="18"/>
      <c r="BR143" s="18"/>
      <c r="BS143" s="18"/>
      <c r="BT143" s="18"/>
      <c r="BU143" s="18"/>
      <c r="BV143" s="18"/>
      <c r="BW143" s="18"/>
      <c r="BX143" s="18"/>
      <c r="BY143" s="18"/>
      <c r="BZ143" s="18"/>
      <c r="CA143" s="18"/>
      <c r="CB143" s="18"/>
      <c r="CC143" s="18"/>
      <c r="CD143" s="18"/>
      <c r="CE143" s="18"/>
      <c r="CF143" s="18"/>
      <c r="CG143" s="18"/>
      <c r="CH143" s="18"/>
      <c r="CI143" s="18"/>
      <c r="CJ143" s="18"/>
      <c r="CK143" s="18"/>
      <c r="CL143" s="18"/>
      <c r="CM143" s="18"/>
      <c r="CN143" s="18"/>
      <c r="CO143" s="18"/>
      <c r="CP143" s="18"/>
      <c r="CQ143" s="18"/>
      <c r="CR143" s="18"/>
      <c r="CS143" s="18"/>
      <c r="CT143" s="18"/>
      <c r="CU143" s="18"/>
      <c r="CV143" s="18"/>
      <c r="CW143" s="18"/>
      <c r="CX143" s="18"/>
      <c r="CY143" s="18"/>
      <c r="CZ143" s="18"/>
      <c r="DA143" s="18"/>
      <c r="DB143" s="18"/>
      <c r="DC143" s="18"/>
      <c r="DD143" s="18"/>
      <c r="DE143" s="18"/>
      <c r="DF143" s="18"/>
      <c r="DG143" s="18"/>
      <c r="DH143" s="18"/>
      <c r="DI143" s="18"/>
      <c r="DJ143" s="18"/>
      <c r="DK143" s="18"/>
      <c r="DL143" s="18"/>
      <c r="DM143" s="18"/>
      <c r="DN143" s="18"/>
      <c r="DO143" s="18"/>
      <c r="DP143" s="18"/>
      <c r="DQ143" s="18"/>
      <c r="DR143" s="18"/>
      <c r="DS143" s="18"/>
      <c r="DT143" s="18"/>
      <c r="DU143" s="18"/>
      <c r="DV143" s="18"/>
      <c r="DW143" s="18"/>
      <c r="DX143" s="18"/>
      <c r="DY143" s="18"/>
      <c r="DZ143" s="18"/>
      <c r="EA143" s="18"/>
      <c r="EB143" s="18"/>
      <c r="EC143" s="18"/>
      <c r="ED143" s="18"/>
      <c r="EE143" s="18"/>
      <c r="EF143" s="18"/>
      <c r="EG143" s="18"/>
      <c r="EH143" s="18"/>
      <c r="EI143" s="18"/>
      <c r="EJ143" s="18"/>
      <c r="EK143" s="18"/>
      <c r="EL143" s="18"/>
      <c r="EM143" s="18"/>
      <c r="EN143" s="18"/>
      <c r="EO143" s="18"/>
      <c r="EP143" s="18"/>
      <c r="EQ143" s="18"/>
      <c r="ER143" s="18"/>
      <c r="ES143" s="18"/>
      <c r="ET143" s="18"/>
      <c r="EU143" s="18"/>
      <c r="EV143" s="18"/>
      <c r="EW143" s="18"/>
      <c r="EX143" s="18"/>
      <c r="EY143" s="18"/>
      <c r="EZ143" s="18"/>
      <c r="FA143" s="18"/>
      <c r="FB143" s="18"/>
      <c r="FC143" s="18"/>
      <c r="FD143" s="18"/>
      <c r="FE143" s="18"/>
      <c r="FF143" s="18"/>
      <c r="FG143" s="18"/>
      <c r="FH143" s="18"/>
      <c r="FI143" s="18"/>
      <c r="FJ143" s="18"/>
      <c r="FK143" s="18"/>
      <c r="FL143" s="18"/>
      <c r="FM143" s="18"/>
      <c r="FN143" s="18"/>
      <c r="FO143" s="18"/>
      <c r="FP143" s="18"/>
      <c r="FQ143" s="18"/>
      <c r="FR143" s="18"/>
      <c r="FS143" s="18"/>
      <c r="FT143" s="18"/>
      <c r="FU143" s="18"/>
      <c r="FV143" s="18"/>
      <c r="FW143" s="18"/>
      <c r="FX143" s="18"/>
      <c r="FY143" s="18"/>
      <c r="FZ143" s="18"/>
      <c r="GA143" s="18"/>
      <c r="GB143" s="18"/>
      <c r="GC143" s="18"/>
      <c r="GD143" s="18"/>
    </row>
    <row r="144" spans="1:186">
      <c r="A144" s="19" t="s">
        <v>20</v>
      </c>
      <c r="B144" s="13"/>
      <c r="C144" s="13"/>
      <c r="AU144" s="18"/>
      <c r="AV144" s="18"/>
      <c r="AW144" s="18"/>
      <c r="AX144" s="18"/>
      <c r="AY144" s="18"/>
      <c r="AZ144" s="18"/>
      <c r="BA144" s="18"/>
      <c r="BB144" s="18"/>
      <c r="BC144" s="18"/>
      <c r="BD144" s="18"/>
      <c r="BE144" s="18"/>
      <c r="BF144" s="18"/>
      <c r="BG144" s="18"/>
      <c r="BH144" s="18"/>
      <c r="BI144" s="18"/>
      <c r="BJ144" s="18"/>
      <c r="BK144" s="18"/>
      <c r="BL144" s="18"/>
      <c r="BM144" s="18"/>
      <c r="BN144" s="18"/>
      <c r="BO144" s="18"/>
      <c r="BP144" s="18"/>
      <c r="BQ144" s="18"/>
      <c r="BR144" s="18"/>
      <c r="BS144" s="18"/>
      <c r="BT144" s="18"/>
      <c r="BU144" s="18"/>
      <c r="BV144" s="18"/>
      <c r="BW144" s="18"/>
      <c r="BX144" s="18"/>
      <c r="BY144" s="18"/>
      <c r="BZ144" s="18"/>
      <c r="CA144" s="18"/>
      <c r="CB144" s="18"/>
      <c r="CC144" s="18"/>
      <c r="CD144" s="18"/>
      <c r="CE144" s="18"/>
      <c r="CF144" s="18"/>
      <c r="CG144" s="18"/>
      <c r="CH144" s="18"/>
      <c r="CI144" s="18"/>
      <c r="CJ144" s="18"/>
      <c r="CK144" s="18"/>
      <c r="CL144" s="18"/>
      <c r="CM144" s="18"/>
      <c r="CN144" s="18"/>
      <c r="CO144" s="18"/>
      <c r="CP144" s="18"/>
      <c r="CQ144" s="18"/>
      <c r="CR144" s="18"/>
      <c r="CS144" s="18"/>
      <c r="CT144" s="18"/>
      <c r="CU144" s="18"/>
      <c r="CV144" s="18"/>
      <c r="CW144" s="18"/>
      <c r="CX144" s="18"/>
      <c r="CY144" s="18"/>
      <c r="CZ144" s="18"/>
      <c r="DA144" s="18"/>
      <c r="DB144" s="18"/>
      <c r="DC144" s="18"/>
      <c r="DD144" s="18"/>
      <c r="DE144" s="18"/>
      <c r="DF144" s="18"/>
      <c r="DG144" s="18"/>
      <c r="DH144" s="18"/>
      <c r="DI144" s="18"/>
      <c r="DJ144" s="18"/>
      <c r="DK144" s="18"/>
      <c r="DL144" s="18"/>
      <c r="DM144" s="18"/>
      <c r="DN144" s="18"/>
      <c r="DO144" s="18"/>
      <c r="DP144" s="18"/>
      <c r="DQ144" s="18"/>
      <c r="DR144" s="18"/>
      <c r="DS144" s="18"/>
      <c r="DT144" s="18"/>
      <c r="DU144" s="18"/>
      <c r="DV144" s="18"/>
      <c r="DW144" s="18"/>
      <c r="DX144" s="18"/>
      <c r="DY144" s="18"/>
      <c r="DZ144" s="18"/>
      <c r="EA144" s="18"/>
      <c r="EB144" s="18"/>
      <c r="EC144" s="18"/>
      <c r="ED144" s="18"/>
      <c r="EE144" s="18"/>
      <c r="EF144" s="18"/>
      <c r="EG144" s="18"/>
      <c r="EH144" s="18"/>
      <c r="EI144" s="18"/>
      <c r="EJ144" s="18"/>
      <c r="EK144" s="18"/>
      <c r="EL144" s="18"/>
      <c r="EM144" s="18"/>
      <c r="EN144" s="18"/>
      <c r="EO144" s="18"/>
      <c r="EP144" s="18"/>
      <c r="EQ144" s="18"/>
      <c r="ER144" s="18"/>
      <c r="ES144" s="18"/>
      <c r="ET144" s="18"/>
      <c r="EU144" s="18"/>
      <c r="EV144" s="18"/>
      <c r="EW144" s="18"/>
      <c r="EX144" s="18"/>
      <c r="EY144" s="18"/>
      <c r="EZ144" s="18"/>
      <c r="FA144" s="18"/>
      <c r="FB144" s="18"/>
      <c r="FC144" s="18"/>
      <c r="FD144" s="18"/>
      <c r="FE144" s="18"/>
      <c r="FF144" s="18"/>
      <c r="FG144" s="18"/>
      <c r="FH144" s="18"/>
      <c r="FI144" s="18"/>
      <c r="FJ144" s="18"/>
      <c r="FK144" s="18"/>
      <c r="FL144" s="18"/>
      <c r="FM144" s="18"/>
      <c r="FN144" s="18"/>
      <c r="FO144" s="18"/>
      <c r="FP144" s="18"/>
      <c r="FQ144" s="18"/>
      <c r="FR144" s="18"/>
      <c r="FS144" s="18"/>
      <c r="FT144" s="18"/>
      <c r="FU144" s="18"/>
      <c r="FV144" s="18"/>
      <c r="FW144" s="18"/>
      <c r="FX144" s="18"/>
      <c r="FY144" s="18"/>
      <c r="FZ144" s="18"/>
      <c r="GA144" s="18"/>
      <c r="GB144" s="18"/>
      <c r="GC144" s="18"/>
      <c r="GD144" s="18"/>
    </row>
    <row r="145" spans="1:186">
      <c r="A145" s="19" t="s">
        <v>21</v>
      </c>
      <c r="B145" s="13"/>
      <c r="C145" s="13"/>
      <c r="AU145" s="18"/>
      <c r="AV145" s="18"/>
      <c r="AW145" s="18"/>
      <c r="AX145" s="18"/>
      <c r="AY145" s="18"/>
      <c r="AZ145" s="18"/>
      <c r="BA145" s="18"/>
      <c r="BB145" s="18"/>
      <c r="BC145" s="18"/>
      <c r="BD145" s="18"/>
      <c r="BE145" s="18"/>
      <c r="BF145" s="18"/>
      <c r="BG145" s="18"/>
      <c r="BH145" s="18"/>
      <c r="BI145" s="18"/>
      <c r="BJ145" s="18"/>
      <c r="BK145" s="18"/>
      <c r="BL145" s="18"/>
      <c r="BM145" s="18"/>
      <c r="BN145" s="18"/>
      <c r="BO145" s="18"/>
      <c r="BP145" s="18"/>
      <c r="BQ145" s="18"/>
      <c r="BR145" s="18"/>
      <c r="BS145" s="18"/>
      <c r="BT145" s="18"/>
      <c r="BU145" s="18"/>
      <c r="BV145" s="18"/>
      <c r="BW145" s="18"/>
      <c r="BX145" s="18"/>
      <c r="BY145" s="18"/>
      <c r="BZ145" s="18"/>
      <c r="CA145" s="18"/>
      <c r="CB145" s="18"/>
      <c r="CC145" s="18"/>
      <c r="CD145" s="18"/>
      <c r="CE145" s="18"/>
      <c r="CF145" s="18"/>
      <c r="CG145" s="18"/>
      <c r="CH145" s="18"/>
      <c r="CI145" s="18"/>
      <c r="CJ145" s="18"/>
      <c r="CK145" s="18"/>
      <c r="CL145" s="18"/>
      <c r="CM145" s="18"/>
      <c r="CN145" s="18"/>
      <c r="CO145" s="18"/>
      <c r="CP145" s="18"/>
      <c r="CQ145" s="18"/>
      <c r="CR145" s="18"/>
      <c r="CS145" s="18"/>
      <c r="CT145" s="18"/>
      <c r="CU145" s="18"/>
      <c r="CV145" s="18"/>
      <c r="CW145" s="18"/>
      <c r="CX145" s="18"/>
      <c r="CY145" s="18"/>
      <c r="CZ145" s="18"/>
      <c r="DA145" s="18"/>
      <c r="DB145" s="18"/>
      <c r="DC145" s="18"/>
      <c r="DD145" s="18"/>
      <c r="DE145" s="18"/>
      <c r="DF145" s="18"/>
      <c r="DG145" s="18"/>
      <c r="DH145" s="18"/>
      <c r="DI145" s="18"/>
      <c r="DJ145" s="18"/>
      <c r="DK145" s="18"/>
      <c r="DL145" s="18"/>
      <c r="DM145" s="18"/>
      <c r="DN145" s="18"/>
      <c r="DO145" s="18"/>
      <c r="DP145" s="18"/>
      <c r="DQ145" s="18"/>
      <c r="DR145" s="18"/>
      <c r="DS145" s="18"/>
      <c r="DT145" s="18"/>
      <c r="DU145" s="18"/>
      <c r="DV145" s="18"/>
      <c r="DW145" s="18"/>
      <c r="DX145" s="18"/>
      <c r="DY145" s="18"/>
      <c r="DZ145" s="18"/>
      <c r="EA145" s="18"/>
      <c r="EB145" s="18"/>
      <c r="EC145" s="18"/>
      <c r="ED145" s="18"/>
      <c r="EE145" s="18"/>
      <c r="EF145" s="18"/>
      <c r="EG145" s="18"/>
      <c r="EH145" s="18"/>
      <c r="EI145" s="18"/>
      <c r="EJ145" s="18"/>
      <c r="EK145" s="18"/>
      <c r="EL145" s="18"/>
      <c r="EM145" s="18"/>
      <c r="EN145" s="18"/>
      <c r="EO145" s="18"/>
      <c r="EP145" s="18"/>
      <c r="EQ145" s="18"/>
      <c r="ER145" s="18"/>
      <c r="ES145" s="18"/>
      <c r="ET145" s="18"/>
      <c r="EU145" s="18"/>
      <c r="EV145" s="18"/>
      <c r="EW145" s="18"/>
      <c r="EX145" s="18"/>
      <c r="EY145" s="18"/>
      <c r="EZ145" s="18"/>
      <c r="FA145" s="18"/>
      <c r="FB145" s="18"/>
      <c r="FC145" s="18"/>
      <c r="FD145" s="18"/>
      <c r="FE145" s="18"/>
      <c r="FF145" s="18"/>
      <c r="FG145" s="18"/>
      <c r="FH145" s="18"/>
      <c r="FI145" s="18"/>
      <c r="FJ145" s="18"/>
      <c r="FK145" s="18"/>
      <c r="FL145" s="18"/>
      <c r="FM145" s="18"/>
      <c r="FN145" s="18"/>
      <c r="FO145" s="18"/>
      <c r="FP145" s="18"/>
      <c r="FQ145" s="18"/>
      <c r="FR145" s="18"/>
      <c r="FS145" s="18"/>
      <c r="FT145" s="18"/>
      <c r="FU145" s="18"/>
      <c r="FV145" s="18"/>
      <c r="FW145" s="18"/>
      <c r="FX145" s="18"/>
      <c r="FY145" s="18"/>
      <c r="FZ145" s="18"/>
      <c r="GA145" s="18"/>
      <c r="GB145" s="18"/>
      <c r="GC145" s="18"/>
      <c r="GD145" s="18"/>
    </row>
    <row r="146" spans="1:186">
      <c r="A146" s="19" t="s">
        <v>22</v>
      </c>
      <c r="B146" s="13"/>
      <c r="C146" s="13"/>
      <c r="AU146" s="18"/>
      <c r="AV146" s="18"/>
      <c r="AW146" s="18"/>
      <c r="AX146" s="18"/>
      <c r="AY146" s="18"/>
      <c r="AZ146" s="18"/>
      <c r="BA146" s="18"/>
      <c r="BB146" s="18"/>
      <c r="BC146" s="18"/>
      <c r="BD146" s="18"/>
      <c r="BE146" s="18"/>
      <c r="BF146" s="18"/>
      <c r="BG146" s="18"/>
      <c r="BH146" s="18"/>
      <c r="BI146" s="18"/>
      <c r="BJ146" s="18"/>
      <c r="BK146" s="18"/>
      <c r="BL146" s="18"/>
      <c r="BM146" s="18"/>
      <c r="BN146" s="18"/>
      <c r="BO146" s="18"/>
      <c r="BP146" s="18"/>
      <c r="BQ146" s="18"/>
      <c r="BR146" s="18"/>
      <c r="BS146" s="18"/>
      <c r="BT146" s="18"/>
      <c r="BU146" s="18"/>
      <c r="BV146" s="18"/>
      <c r="BW146" s="18"/>
      <c r="BX146" s="18"/>
      <c r="BY146" s="18"/>
      <c r="BZ146" s="18"/>
      <c r="CA146" s="18"/>
      <c r="CB146" s="18"/>
      <c r="CC146" s="18"/>
      <c r="CD146" s="18"/>
      <c r="CE146" s="18"/>
      <c r="CF146" s="18"/>
      <c r="CG146" s="18"/>
      <c r="CH146" s="18"/>
      <c r="CI146" s="18"/>
      <c r="CJ146" s="18"/>
      <c r="CK146" s="18"/>
      <c r="CL146" s="18"/>
      <c r="CM146" s="18"/>
      <c r="CN146" s="18"/>
      <c r="CO146" s="18"/>
      <c r="CP146" s="18"/>
      <c r="CQ146" s="18"/>
      <c r="CR146" s="18"/>
      <c r="CS146" s="18"/>
      <c r="CT146" s="18"/>
      <c r="CU146" s="18"/>
      <c r="CV146" s="18"/>
      <c r="CW146" s="18"/>
      <c r="CX146" s="18"/>
      <c r="CY146" s="18"/>
      <c r="CZ146" s="18"/>
      <c r="DA146" s="18"/>
      <c r="DB146" s="18"/>
      <c r="DC146" s="18"/>
      <c r="DD146" s="18"/>
      <c r="DE146" s="18"/>
      <c r="DF146" s="18"/>
      <c r="DG146" s="18"/>
      <c r="DH146" s="18"/>
      <c r="DI146" s="18"/>
      <c r="DJ146" s="18"/>
      <c r="DK146" s="18"/>
      <c r="DL146" s="18"/>
      <c r="DM146" s="18"/>
      <c r="DN146" s="18"/>
      <c r="DO146" s="18"/>
      <c r="DP146" s="18"/>
      <c r="DQ146" s="18"/>
      <c r="DR146" s="18"/>
      <c r="DS146" s="18"/>
      <c r="DT146" s="18"/>
      <c r="DU146" s="18"/>
      <c r="DV146" s="18"/>
      <c r="DW146" s="18"/>
      <c r="DX146" s="18"/>
      <c r="DY146" s="18"/>
      <c r="DZ146" s="18"/>
      <c r="EA146" s="18"/>
      <c r="EB146" s="18"/>
      <c r="EC146" s="18"/>
      <c r="ED146" s="18"/>
      <c r="EE146" s="18"/>
      <c r="EF146" s="18"/>
      <c r="EG146" s="18"/>
      <c r="EH146" s="18"/>
      <c r="EI146" s="18"/>
      <c r="EJ146" s="18"/>
      <c r="EK146" s="18"/>
      <c r="EL146" s="18"/>
      <c r="EM146" s="18"/>
      <c r="EN146" s="18"/>
      <c r="EO146" s="18"/>
      <c r="EP146" s="18"/>
      <c r="EQ146" s="18"/>
      <c r="ER146" s="18"/>
      <c r="ES146" s="18"/>
      <c r="ET146" s="18"/>
      <c r="EU146" s="18"/>
      <c r="EV146" s="18"/>
      <c r="EW146" s="18"/>
      <c r="EX146" s="18"/>
      <c r="EY146" s="18"/>
      <c r="EZ146" s="18"/>
      <c r="FA146" s="18"/>
      <c r="FB146" s="18"/>
      <c r="FC146" s="18"/>
      <c r="FD146" s="18"/>
      <c r="FE146" s="18"/>
      <c r="FF146" s="18"/>
      <c r="FG146" s="18"/>
      <c r="FH146" s="18"/>
      <c r="FI146" s="18"/>
      <c r="FJ146" s="18"/>
      <c r="FK146" s="18"/>
      <c r="FL146" s="18"/>
      <c r="FM146" s="18"/>
      <c r="FN146" s="18"/>
      <c r="FO146" s="18"/>
      <c r="FP146" s="18"/>
      <c r="FQ146" s="18"/>
      <c r="FR146" s="18"/>
      <c r="FS146" s="18"/>
      <c r="FT146" s="18"/>
      <c r="FU146" s="18"/>
      <c r="FV146" s="18"/>
      <c r="FW146" s="18"/>
      <c r="FX146" s="18"/>
      <c r="FY146" s="18"/>
      <c r="FZ146" s="18"/>
      <c r="GA146" s="18"/>
      <c r="GB146" s="18"/>
      <c r="GC146" s="18"/>
      <c r="GD146" s="18"/>
    </row>
    <row r="147" spans="1:186">
      <c r="AU147" s="18"/>
      <c r="AV147" s="18"/>
      <c r="AW147" s="18"/>
      <c r="AX147" s="18"/>
      <c r="AY147" s="18"/>
      <c r="AZ147" s="18"/>
      <c r="BA147" s="18"/>
      <c r="BB147" s="18"/>
      <c r="BC147" s="18"/>
      <c r="BD147" s="18"/>
      <c r="BE147" s="18"/>
      <c r="BF147" s="18"/>
      <c r="BG147" s="18"/>
      <c r="BH147" s="18"/>
      <c r="BI147" s="18"/>
      <c r="BJ147" s="18"/>
      <c r="BK147" s="18"/>
      <c r="BL147" s="18"/>
      <c r="BM147" s="18"/>
      <c r="BN147" s="18"/>
      <c r="BO147" s="18"/>
      <c r="BP147" s="18"/>
      <c r="BQ147" s="18"/>
      <c r="BR147" s="18"/>
      <c r="BS147" s="18"/>
      <c r="BT147" s="18"/>
      <c r="BU147" s="18"/>
      <c r="BV147" s="18"/>
      <c r="BW147" s="18"/>
      <c r="BX147" s="18"/>
      <c r="BY147" s="18"/>
      <c r="BZ147" s="18"/>
      <c r="CA147" s="18"/>
      <c r="CB147" s="18"/>
      <c r="CC147" s="18"/>
      <c r="CD147" s="18"/>
      <c r="CE147" s="18"/>
      <c r="CF147" s="18"/>
      <c r="CG147" s="18"/>
      <c r="CH147" s="18"/>
      <c r="CI147" s="18"/>
      <c r="CJ147" s="18"/>
      <c r="CK147" s="18"/>
      <c r="CL147" s="18"/>
      <c r="CM147" s="18"/>
      <c r="CN147" s="18"/>
      <c r="CO147" s="18"/>
      <c r="CP147" s="18"/>
      <c r="CQ147" s="18"/>
      <c r="CR147" s="18"/>
      <c r="CS147" s="18"/>
      <c r="CT147" s="18"/>
      <c r="CU147" s="18"/>
      <c r="CV147" s="18"/>
      <c r="CW147" s="18"/>
      <c r="CX147" s="18"/>
      <c r="CY147" s="18"/>
      <c r="CZ147" s="18"/>
      <c r="DA147" s="18"/>
      <c r="DB147" s="18"/>
      <c r="DC147" s="18"/>
      <c r="DD147" s="18"/>
      <c r="DE147" s="18"/>
      <c r="DF147" s="18"/>
      <c r="DG147" s="18"/>
      <c r="DH147" s="18"/>
      <c r="DI147" s="18"/>
      <c r="DJ147" s="18"/>
      <c r="DK147" s="18"/>
      <c r="DL147" s="18"/>
      <c r="DM147" s="18"/>
      <c r="DN147" s="18"/>
      <c r="DO147" s="18"/>
      <c r="DP147" s="18"/>
      <c r="DQ147" s="18"/>
      <c r="DR147" s="18"/>
      <c r="DS147" s="18"/>
      <c r="DT147" s="18"/>
      <c r="DU147" s="18"/>
      <c r="DV147" s="18"/>
      <c r="DW147" s="18"/>
      <c r="DX147" s="18"/>
      <c r="DY147" s="18"/>
      <c r="DZ147" s="18"/>
      <c r="EA147" s="18"/>
      <c r="EB147" s="18"/>
      <c r="EC147" s="18"/>
      <c r="ED147" s="18"/>
      <c r="EE147" s="18"/>
      <c r="EF147" s="18"/>
      <c r="EG147" s="18"/>
      <c r="EH147" s="18"/>
      <c r="EI147" s="18"/>
      <c r="EJ147" s="18"/>
      <c r="EK147" s="18"/>
      <c r="EL147" s="18"/>
      <c r="EM147" s="18"/>
      <c r="EN147" s="18"/>
      <c r="EO147" s="18"/>
      <c r="EP147" s="18"/>
      <c r="EQ147" s="18"/>
      <c r="ER147" s="18"/>
      <c r="ES147" s="18"/>
      <c r="ET147" s="18"/>
      <c r="EU147" s="18"/>
      <c r="EV147" s="18"/>
      <c r="EW147" s="18"/>
      <c r="EX147" s="18"/>
      <c r="EY147" s="18"/>
      <c r="EZ147" s="18"/>
      <c r="FA147" s="18"/>
      <c r="FB147" s="18"/>
      <c r="FC147" s="18"/>
      <c r="FD147" s="18"/>
      <c r="FE147" s="18"/>
      <c r="FF147" s="18"/>
      <c r="FG147" s="18"/>
      <c r="FH147" s="18"/>
      <c r="FI147" s="18"/>
      <c r="FJ147" s="18"/>
      <c r="FK147" s="18"/>
      <c r="FL147" s="18"/>
      <c r="FM147" s="18"/>
      <c r="FN147" s="18"/>
      <c r="FO147" s="18"/>
      <c r="FP147" s="18"/>
      <c r="FQ147" s="18"/>
      <c r="FR147" s="18"/>
      <c r="FS147" s="18"/>
      <c r="FT147" s="18"/>
      <c r="FU147" s="18"/>
      <c r="FV147" s="18"/>
      <c r="FW147" s="18"/>
      <c r="FX147" s="18"/>
      <c r="FY147" s="18"/>
      <c r="FZ147" s="18"/>
      <c r="GA147" s="18"/>
      <c r="GB147" s="18"/>
      <c r="GC147" s="18"/>
      <c r="GD147" s="18"/>
    </row>
    <row r="148" spans="1:186">
      <c r="AU148" s="18"/>
      <c r="AV148" s="18"/>
      <c r="AW148" s="18"/>
      <c r="AX148" s="18"/>
      <c r="AY148" s="18"/>
      <c r="AZ148" s="18"/>
      <c r="BA148" s="18"/>
      <c r="BB148" s="18"/>
      <c r="BC148" s="18"/>
      <c r="BD148" s="18"/>
      <c r="BE148" s="18"/>
      <c r="BF148" s="18"/>
      <c r="BG148" s="18"/>
      <c r="BH148" s="18"/>
      <c r="BI148" s="18"/>
      <c r="BJ148" s="18"/>
      <c r="BK148" s="18"/>
      <c r="BL148" s="18"/>
      <c r="BM148" s="18"/>
      <c r="BN148" s="18"/>
      <c r="BO148" s="18"/>
      <c r="BP148" s="18"/>
      <c r="BQ148" s="18"/>
      <c r="BR148" s="18"/>
      <c r="BS148" s="18"/>
      <c r="BT148" s="18"/>
      <c r="BU148" s="18"/>
      <c r="BV148" s="18"/>
      <c r="BW148" s="18"/>
      <c r="BX148" s="18"/>
      <c r="BY148" s="18"/>
      <c r="BZ148" s="18"/>
      <c r="CA148" s="18"/>
      <c r="CB148" s="18"/>
      <c r="CC148" s="18"/>
      <c r="CD148" s="18"/>
      <c r="CE148" s="18"/>
      <c r="CF148" s="18"/>
      <c r="CG148" s="18"/>
      <c r="CH148" s="18"/>
      <c r="CI148" s="18"/>
      <c r="CJ148" s="18"/>
      <c r="CK148" s="18"/>
      <c r="CL148" s="18"/>
      <c r="CM148" s="18"/>
      <c r="CN148" s="18"/>
      <c r="CO148" s="18"/>
      <c r="CP148" s="18"/>
      <c r="CQ148" s="18"/>
      <c r="CR148" s="18"/>
      <c r="CS148" s="18"/>
      <c r="CT148" s="18"/>
      <c r="CU148" s="18"/>
      <c r="CV148" s="18"/>
      <c r="CW148" s="18"/>
      <c r="CX148" s="18"/>
      <c r="CY148" s="18"/>
      <c r="CZ148" s="18"/>
      <c r="DA148" s="18"/>
      <c r="DB148" s="18"/>
      <c r="DC148" s="18"/>
      <c r="DD148" s="18"/>
      <c r="DE148" s="18"/>
      <c r="DF148" s="18"/>
      <c r="DG148" s="18"/>
      <c r="DH148" s="18"/>
      <c r="DI148" s="18"/>
      <c r="DJ148" s="18"/>
      <c r="DK148" s="18"/>
      <c r="DL148" s="18"/>
      <c r="DM148" s="18"/>
      <c r="DN148" s="18"/>
      <c r="DO148" s="18"/>
      <c r="DP148" s="18"/>
      <c r="DQ148" s="18"/>
      <c r="DR148" s="18"/>
      <c r="DS148" s="18"/>
      <c r="DT148" s="18"/>
      <c r="DU148" s="18"/>
      <c r="DV148" s="18"/>
      <c r="DW148" s="18"/>
      <c r="DX148" s="18"/>
      <c r="DY148" s="18"/>
      <c r="DZ148" s="18"/>
      <c r="EA148" s="18"/>
      <c r="EB148" s="18"/>
      <c r="EC148" s="18"/>
      <c r="ED148" s="18"/>
      <c r="EE148" s="18"/>
      <c r="EF148" s="18"/>
      <c r="EG148" s="18"/>
      <c r="EH148" s="18"/>
      <c r="EI148" s="18"/>
      <c r="EJ148" s="18"/>
      <c r="EK148" s="18"/>
      <c r="EL148" s="18"/>
      <c r="EM148" s="18"/>
      <c r="EN148" s="18"/>
      <c r="EO148" s="18"/>
      <c r="EP148" s="18"/>
      <c r="EQ148" s="18"/>
      <c r="ER148" s="18"/>
      <c r="ES148" s="18"/>
      <c r="ET148" s="18"/>
      <c r="EU148" s="18"/>
      <c r="EV148" s="18"/>
      <c r="EW148" s="18"/>
      <c r="EX148" s="18"/>
      <c r="EY148" s="18"/>
      <c r="EZ148" s="18"/>
      <c r="FA148" s="18"/>
      <c r="FB148" s="18"/>
      <c r="FC148" s="18"/>
      <c r="FD148" s="18"/>
      <c r="FE148" s="18"/>
      <c r="FF148" s="18"/>
      <c r="FG148" s="18"/>
      <c r="FH148" s="18"/>
      <c r="FI148" s="18"/>
      <c r="FJ148" s="18"/>
      <c r="FK148" s="18"/>
      <c r="FL148" s="18"/>
      <c r="FM148" s="18"/>
      <c r="FN148" s="18"/>
      <c r="FO148" s="18"/>
      <c r="FP148" s="18"/>
      <c r="FQ148" s="18"/>
      <c r="FR148" s="18"/>
      <c r="FS148" s="18"/>
      <c r="FT148" s="18"/>
      <c r="FU148" s="18"/>
      <c r="FV148" s="18"/>
      <c r="FW148" s="18"/>
      <c r="FX148" s="18"/>
      <c r="FY148" s="18"/>
      <c r="FZ148" s="18"/>
      <c r="GA148" s="18"/>
      <c r="GB148" s="18"/>
      <c r="GC148" s="18"/>
      <c r="GD148" s="18"/>
    </row>
    <row r="150" spans="1:186">
      <c r="B150" s="17"/>
      <c r="C150" s="21"/>
    </row>
    <row r="151" spans="1:186">
      <c r="B151" s="17"/>
      <c r="C151" s="21"/>
    </row>
    <row r="152" spans="1:186">
      <c r="B152" s="17"/>
      <c r="C152" s="21"/>
    </row>
  </sheetData>
  <sheetProtection selectLockedCells="1" selectUnlockedCells="1"/>
  <autoFilter ref="A5:AF72">
    <filterColumn colId="27" showButton="0"/>
    <sortState ref="A8:AH99">
      <sortCondition ref="B5:B99"/>
    </sortState>
  </autoFilter>
  <mergeCells count="32">
    <mergeCell ref="A129:B129"/>
    <mergeCell ref="F5:F6"/>
    <mergeCell ref="A5:A6"/>
    <mergeCell ref="B5:B6"/>
    <mergeCell ref="C5:C6"/>
    <mergeCell ref="D5:D6"/>
    <mergeCell ref="E5:E6"/>
    <mergeCell ref="R5:R6"/>
    <mergeCell ref="S5:S6"/>
    <mergeCell ref="G5:G6"/>
    <mergeCell ref="H5:H6"/>
    <mergeCell ref="I5:I6"/>
    <mergeCell ref="J5:J6"/>
    <mergeCell ref="M5:M6"/>
    <mergeCell ref="K5:K6"/>
    <mergeCell ref="L5:L6"/>
    <mergeCell ref="AF5:AF6"/>
    <mergeCell ref="A76:B76"/>
    <mergeCell ref="AA5:AA6"/>
    <mergeCell ref="AB5:AC5"/>
    <mergeCell ref="AD5:AD6"/>
    <mergeCell ref="AE5:AE6"/>
    <mergeCell ref="T5:T6"/>
    <mergeCell ref="U5:U6"/>
    <mergeCell ref="V5:V6"/>
    <mergeCell ref="W5:W6"/>
    <mergeCell ref="X5:X6"/>
    <mergeCell ref="Y5:Y6"/>
    <mergeCell ref="N5:N6"/>
    <mergeCell ref="O5:O6"/>
    <mergeCell ref="P5:P6"/>
    <mergeCell ref="Q5:Q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NOMINA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Humanos</dc:creator>
  <cp:lastModifiedBy>usuario</cp:lastModifiedBy>
  <cp:lastPrinted>2016-02-12T20:59:22Z</cp:lastPrinted>
  <dcterms:created xsi:type="dcterms:W3CDTF">2015-07-23T15:19:36Z</dcterms:created>
  <dcterms:modified xsi:type="dcterms:W3CDTF">2017-04-21T13:47:27Z</dcterms:modified>
</cp:coreProperties>
</file>