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NOMINA'!$A$5:$AF$70</definedName>
  </definedNames>
  <calcPr calcId="124519"/>
</workbook>
</file>

<file path=xl/calcChain.xml><?xml version="1.0" encoding="utf-8"?>
<calcChain xmlns="http://schemas.openxmlformats.org/spreadsheetml/2006/main">
  <c r="F120" i="4"/>
  <c r="F119"/>
  <c r="F118"/>
  <c r="F114"/>
  <c r="F113"/>
  <c r="F112"/>
  <c r="F111"/>
  <c r="F110"/>
  <c r="F109"/>
  <c r="F104"/>
  <c r="F103"/>
  <c r="F98"/>
  <c r="F96"/>
  <c r="F94"/>
  <c r="F93"/>
  <c r="F89"/>
  <c r="F87"/>
  <c r="F86"/>
  <c r="F84"/>
  <c r="F82"/>
  <c r="F81"/>
  <c r="F80"/>
  <c r="F79"/>
  <c r="F78"/>
  <c r="F76"/>
  <c r="F75"/>
  <c r="F102"/>
  <c r="F106"/>
  <c r="F108"/>
  <c r="F83"/>
  <c r="F97"/>
  <c r="F95"/>
  <c r="F122"/>
  <c r="F91"/>
  <c r="F101"/>
  <c r="F115"/>
  <c r="F116"/>
  <c r="F77"/>
  <c r="F90"/>
  <c r="F85"/>
  <c r="F121"/>
  <c r="F107"/>
  <c r="I136" l="1"/>
  <c r="I131"/>
  <c r="I132"/>
  <c r="I133"/>
  <c r="I134"/>
  <c r="I135"/>
  <c r="I130"/>
  <c r="I76"/>
  <c r="I77"/>
  <c r="I78"/>
  <c r="I79"/>
  <c r="I80"/>
  <c r="I81"/>
  <c r="I82"/>
  <c r="I83"/>
  <c r="I84"/>
  <c r="I85"/>
  <c r="I86"/>
  <c r="I87"/>
  <c r="I88"/>
  <c r="I89"/>
  <c r="I90"/>
  <c r="I92"/>
  <c r="I93"/>
  <c r="I94"/>
  <c r="I96"/>
  <c r="I97"/>
  <c r="I98"/>
  <c r="I99"/>
  <c r="I100"/>
  <c r="I102"/>
  <c r="I103"/>
  <c r="I104"/>
  <c r="I105"/>
  <c r="I106"/>
  <c r="I107"/>
  <c r="I108"/>
  <c r="I109"/>
  <c r="I110"/>
  <c r="I111"/>
  <c r="I112"/>
  <c r="I113"/>
  <c r="I114"/>
  <c r="I115"/>
  <c r="I116"/>
  <c r="I118"/>
  <c r="I119"/>
  <c r="I120"/>
  <c r="I121"/>
  <c r="I122"/>
  <c r="I12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"/>
  <c r="F72" l="1"/>
  <c r="U116" l="1"/>
  <c r="J109" l="1"/>
  <c r="U135" l="1"/>
  <c r="U80" l="1"/>
  <c r="U81"/>
  <c r="U82"/>
  <c r="U83"/>
  <c r="U84"/>
  <c r="U85"/>
  <c r="U86"/>
  <c r="U87"/>
  <c r="U88"/>
  <c r="U89"/>
  <c r="U90"/>
  <c r="U92"/>
  <c r="U93"/>
  <c r="U113"/>
  <c r="U77" l="1"/>
  <c r="U11"/>
  <c r="U26"/>
  <c r="U30"/>
  <c r="V30" l="1"/>
  <c r="W30" s="1"/>
  <c r="U67"/>
  <c r="U17" l="1"/>
  <c r="U79"/>
  <c r="J124" l="1"/>
  <c r="K124"/>
  <c r="L124"/>
  <c r="M124"/>
  <c r="N124"/>
  <c r="O124"/>
  <c r="P124"/>
  <c r="Q124"/>
  <c r="R124"/>
  <c r="S124"/>
  <c r="T124"/>
  <c r="G124"/>
  <c r="H124"/>
  <c r="F124"/>
  <c r="I124" l="1"/>
  <c r="U105"/>
  <c r="V22"/>
  <c r="V105" l="1"/>
  <c r="W105" s="1"/>
  <c r="U22"/>
  <c r="W22" s="1"/>
  <c r="U99"/>
  <c r="U106" l="1"/>
  <c r="V106"/>
  <c r="W99"/>
  <c r="X99"/>
  <c r="AA99" s="1"/>
  <c r="V99"/>
  <c r="W106" l="1"/>
  <c r="V118"/>
  <c r="V48"/>
  <c r="U110"/>
  <c r="V110" l="1"/>
  <c r="W110" s="1"/>
  <c r="U118"/>
  <c r="W118" s="1"/>
  <c r="U48"/>
  <c r="W48" s="1"/>
  <c r="V52" l="1"/>
  <c r="U52" l="1"/>
  <c r="W52" s="1"/>
  <c r="V53" l="1"/>
  <c r="L72"/>
  <c r="U53" l="1"/>
  <c r="W53" s="1"/>
  <c r="V10"/>
  <c r="U10" l="1"/>
  <c r="W10" s="1"/>
  <c r="V100" l="1"/>
  <c r="U100" l="1"/>
  <c r="W100" s="1"/>
  <c r="U12"/>
  <c r="V12" l="1"/>
  <c r="W12" s="1"/>
  <c r="V69" l="1"/>
  <c r="T72"/>
  <c r="U69" l="1"/>
  <c r="W69" s="1"/>
  <c r="V47"/>
  <c r="U47" l="1"/>
  <c r="W47" s="1"/>
  <c r="U7"/>
  <c r="V7" l="1"/>
  <c r="W7" s="1"/>
  <c r="V34" l="1"/>
  <c r="U34" l="1"/>
  <c r="W34" s="1"/>
  <c r="V85" l="1"/>
  <c r="W85" s="1"/>
  <c r="U46" l="1"/>
  <c r="V46" l="1"/>
  <c r="W46" s="1"/>
  <c r="V25"/>
  <c r="V45"/>
  <c r="U45" l="1"/>
  <c r="W45" s="1"/>
  <c r="U25"/>
  <c r="W25" s="1"/>
  <c r="V57"/>
  <c r="U57" l="1"/>
  <c r="W57" s="1"/>
  <c r="V111"/>
  <c r="U111" l="1"/>
  <c r="W111" s="1"/>
  <c r="V70" l="1"/>
  <c r="U70" l="1"/>
  <c r="W70" s="1"/>
  <c r="U60" l="1"/>
  <c r="V60" l="1"/>
  <c r="W60" s="1"/>
  <c r="X60"/>
  <c r="U120" l="1"/>
  <c r="V89" l="1"/>
  <c r="W89" s="1"/>
  <c r="V120"/>
  <c r="W120" s="1"/>
  <c r="V68" l="1"/>
  <c r="U68" l="1"/>
  <c r="W68" s="1"/>
  <c r="Z49" l="1"/>
  <c r="V49" l="1"/>
  <c r="U49"/>
  <c r="X49"/>
  <c r="AA49" s="1"/>
  <c r="W49" l="1"/>
  <c r="X40"/>
  <c r="Z40"/>
  <c r="U63"/>
  <c r="Z63"/>
  <c r="AA40" l="1"/>
  <c r="U40"/>
  <c r="V40"/>
  <c r="X63"/>
  <c r="AA63" s="1"/>
  <c r="V63"/>
  <c r="W63" s="1"/>
  <c r="Z28"/>
  <c r="W40" l="1"/>
  <c r="X28"/>
  <c r="AA28" s="1"/>
  <c r="U28"/>
  <c r="V28"/>
  <c r="W28" l="1"/>
  <c r="AD28" s="1"/>
  <c r="Z54" l="1"/>
  <c r="U54"/>
  <c r="X54" l="1"/>
  <c r="AA54" s="1"/>
  <c r="V54"/>
  <c r="W54" s="1"/>
  <c r="Z24" l="1"/>
  <c r="Z27"/>
  <c r="Z31"/>
  <c r="Z32"/>
  <c r="Z90"/>
  <c r="Z35"/>
  <c r="Z36"/>
  <c r="U24"/>
  <c r="X24" l="1"/>
  <c r="AA24" s="1"/>
  <c r="V24"/>
  <c r="W24" s="1"/>
  <c r="X36" l="1"/>
  <c r="AA36" s="1"/>
  <c r="U36"/>
  <c r="V36"/>
  <c r="W36" l="1"/>
  <c r="V90" l="1"/>
  <c r="X90"/>
  <c r="AA90" s="1"/>
  <c r="W90" l="1"/>
  <c r="Z66" l="1"/>
  <c r="Z51"/>
  <c r="X31" l="1"/>
  <c r="AA31" s="1"/>
  <c r="U31"/>
  <c r="V31"/>
  <c r="U66"/>
  <c r="X66"/>
  <c r="AA66" s="1"/>
  <c r="V51"/>
  <c r="X51"/>
  <c r="AA51" s="1"/>
  <c r="V66"/>
  <c r="U51"/>
  <c r="Z56"/>
  <c r="X56"/>
  <c r="W31" l="1"/>
  <c r="AD31" s="1"/>
  <c r="W66"/>
  <c r="W51"/>
  <c r="AA56"/>
  <c r="U56"/>
  <c r="V56"/>
  <c r="W56" l="1"/>
  <c r="AD66" l="1"/>
  <c r="AD51" l="1"/>
  <c r="Z61"/>
  <c r="V98" l="1"/>
  <c r="X98"/>
  <c r="Z98"/>
  <c r="AA98" l="1"/>
  <c r="U98"/>
  <c r="W98" s="1"/>
  <c r="AD98" s="1"/>
  <c r="Z21" l="1"/>
  <c r="V21" l="1"/>
  <c r="U21"/>
  <c r="U23"/>
  <c r="X21"/>
  <c r="AA21" s="1"/>
  <c r="V23"/>
  <c r="W21" l="1"/>
  <c r="W23"/>
  <c r="AD21" l="1"/>
  <c r="Z55" l="1"/>
  <c r="V32" l="1"/>
  <c r="X32"/>
  <c r="AA32" s="1"/>
  <c r="U32"/>
  <c r="Z62"/>
  <c r="X62" l="1"/>
  <c r="W32"/>
  <c r="V62" l="1"/>
  <c r="U62"/>
  <c r="AA62"/>
  <c r="W62" l="1"/>
  <c r="AD62" s="1"/>
  <c r="Z19" l="1"/>
  <c r="V109" l="1"/>
  <c r="X109"/>
  <c r="Z122"/>
  <c r="Z121"/>
  <c r="Z65"/>
  <c r="Z64"/>
  <c r="Z115"/>
  <c r="Z59"/>
  <c r="Z58"/>
  <c r="Z108"/>
  <c r="Z106"/>
  <c r="Z50"/>
  <c r="Z102"/>
  <c r="Z44"/>
  <c r="Z43"/>
  <c r="Z41"/>
  <c r="Z97"/>
  <c r="Z39"/>
  <c r="Z38"/>
  <c r="Z37"/>
  <c r="Z20"/>
  <c r="Z83"/>
  <c r="Z18"/>
  <c r="Z16"/>
  <c r="Z14"/>
  <c r="Z15"/>
  <c r="Z13"/>
  <c r="Z9"/>
  <c r="Z8"/>
  <c r="V19" l="1"/>
  <c r="X19"/>
  <c r="AA19" s="1"/>
  <c r="U19"/>
  <c r="Z109"/>
  <c r="W19" l="1"/>
  <c r="AD19" s="1"/>
  <c r="AA109"/>
  <c r="U109"/>
  <c r="W109" s="1"/>
  <c r="AD109" s="1"/>
  <c r="V108" l="1"/>
  <c r="U108"/>
  <c r="X108"/>
  <c r="AA108" s="1"/>
  <c r="Y72"/>
  <c r="I75"/>
  <c r="AC72"/>
  <c r="AB72"/>
  <c r="Q72"/>
  <c r="P72"/>
  <c r="J72"/>
  <c r="H72"/>
  <c r="G72"/>
  <c r="X61"/>
  <c r="U97"/>
  <c r="U96"/>
  <c r="U94"/>
  <c r="W108" l="1"/>
  <c r="AD108" s="1"/>
  <c r="U35"/>
  <c r="V35"/>
  <c r="X35"/>
  <c r="AA35" s="1"/>
  <c r="V50"/>
  <c r="X50"/>
  <c r="AA50" s="1"/>
  <c r="V38"/>
  <c r="X38"/>
  <c r="AA38" s="1"/>
  <c r="V39"/>
  <c r="X39"/>
  <c r="V44"/>
  <c r="X44"/>
  <c r="AA44" s="1"/>
  <c r="V18"/>
  <c r="X18"/>
  <c r="V37"/>
  <c r="X37"/>
  <c r="V41"/>
  <c r="X41"/>
  <c r="AA41" s="1"/>
  <c r="V43"/>
  <c r="X43"/>
  <c r="V15"/>
  <c r="X15"/>
  <c r="AA15" s="1"/>
  <c r="V9"/>
  <c r="X9"/>
  <c r="AA9" s="1"/>
  <c r="V13"/>
  <c r="X13"/>
  <c r="AA13" s="1"/>
  <c r="V16"/>
  <c r="X16"/>
  <c r="AA16" s="1"/>
  <c r="V78"/>
  <c r="X78"/>
  <c r="X106"/>
  <c r="AA106" s="1"/>
  <c r="V83"/>
  <c r="X83"/>
  <c r="AA83" s="1"/>
  <c r="V81"/>
  <c r="X81"/>
  <c r="V103"/>
  <c r="X103"/>
  <c r="V82"/>
  <c r="X82"/>
  <c r="V76"/>
  <c r="X76"/>
  <c r="V93"/>
  <c r="X93"/>
  <c r="V86"/>
  <c r="X86"/>
  <c r="V102"/>
  <c r="X102"/>
  <c r="AA102" s="1"/>
  <c r="V97"/>
  <c r="X97"/>
  <c r="AA97" s="1"/>
  <c r="V59"/>
  <c r="X59"/>
  <c r="V119"/>
  <c r="X119"/>
  <c r="V115"/>
  <c r="X115"/>
  <c r="AA115" s="1"/>
  <c r="V65"/>
  <c r="X65"/>
  <c r="AA65" s="1"/>
  <c r="V122"/>
  <c r="X122"/>
  <c r="AA122" s="1"/>
  <c r="V58"/>
  <c r="X58"/>
  <c r="AA58" s="1"/>
  <c r="V114"/>
  <c r="X114"/>
  <c r="V112"/>
  <c r="X112"/>
  <c r="V121"/>
  <c r="X121"/>
  <c r="AA121" s="1"/>
  <c r="U55"/>
  <c r="X55"/>
  <c r="AA55" s="1"/>
  <c r="V104"/>
  <c r="X104"/>
  <c r="V96"/>
  <c r="X96"/>
  <c r="V94"/>
  <c r="X94"/>
  <c r="V87"/>
  <c r="X87"/>
  <c r="V61"/>
  <c r="V55"/>
  <c r="R72"/>
  <c r="Z94"/>
  <c r="AA61"/>
  <c r="Z86"/>
  <c r="S72"/>
  <c r="Z81"/>
  <c r="U44"/>
  <c r="U102"/>
  <c r="AD32"/>
  <c r="U13"/>
  <c r="U115"/>
  <c r="U65"/>
  <c r="U16"/>
  <c r="Z96"/>
  <c r="U121"/>
  <c r="Z93"/>
  <c r="U9"/>
  <c r="Z78"/>
  <c r="Z87"/>
  <c r="Z76"/>
  <c r="U15"/>
  <c r="Z82"/>
  <c r="AD56"/>
  <c r="U41"/>
  <c r="Z103"/>
  <c r="Z104"/>
  <c r="Z119"/>
  <c r="U38"/>
  <c r="U58"/>
  <c r="Z112"/>
  <c r="Z114"/>
  <c r="U50"/>
  <c r="U61"/>
  <c r="U122"/>
  <c r="U27" l="1"/>
  <c r="X27"/>
  <c r="AA27" s="1"/>
  <c r="V27"/>
  <c r="W35"/>
  <c r="W15"/>
  <c r="AD15" s="1"/>
  <c r="W65"/>
  <c r="AD65" s="1"/>
  <c r="W122"/>
  <c r="AD122" s="1"/>
  <c r="W50"/>
  <c r="AD50" s="1"/>
  <c r="W38"/>
  <c r="AD38" s="1"/>
  <c r="W97"/>
  <c r="AD97" s="1"/>
  <c r="V20"/>
  <c r="X20"/>
  <c r="AA20" s="1"/>
  <c r="X14"/>
  <c r="AA14" s="1"/>
  <c r="V8"/>
  <c r="X8"/>
  <c r="AA8" s="1"/>
  <c r="W121"/>
  <c r="AD121" s="1"/>
  <c r="V64"/>
  <c r="X64"/>
  <c r="AA64" s="1"/>
  <c r="U75"/>
  <c r="W55"/>
  <c r="AD55" s="1"/>
  <c r="U14"/>
  <c r="V14"/>
  <c r="U64"/>
  <c r="U20"/>
  <c r="AD90"/>
  <c r="W102"/>
  <c r="AD102" s="1"/>
  <c r="W41"/>
  <c r="AD41" s="1"/>
  <c r="W16"/>
  <c r="AD16" s="1"/>
  <c r="W9"/>
  <c r="AD9" s="1"/>
  <c r="AD106"/>
  <c r="W44"/>
  <c r="AD44" s="1"/>
  <c r="W83"/>
  <c r="AD83" s="1"/>
  <c r="W115"/>
  <c r="AD115" s="1"/>
  <c r="W58"/>
  <c r="AD58" s="1"/>
  <c r="W13"/>
  <c r="AD13" s="1"/>
  <c r="W61"/>
  <c r="AD61" s="1"/>
  <c r="AA87"/>
  <c r="AA119"/>
  <c r="AA114"/>
  <c r="AA94"/>
  <c r="AA93"/>
  <c r="AA96"/>
  <c r="AA81"/>
  <c r="AA76"/>
  <c r="AA103"/>
  <c r="AA82"/>
  <c r="AA86"/>
  <c r="AA78"/>
  <c r="AA104"/>
  <c r="AA112"/>
  <c r="Z72"/>
  <c r="W94"/>
  <c r="AD94" s="1"/>
  <c r="W96"/>
  <c r="AD96" s="1"/>
  <c r="U114"/>
  <c r="W114" s="1"/>
  <c r="AD114" s="1"/>
  <c r="W86"/>
  <c r="AD86" s="1"/>
  <c r="U37"/>
  <c r="AA37"/>
  <c r="AA18"/>
  <c r="AA59"/>
  <c r="U39"/>
  <c r="AA39"/>
  <c r="U43"/>
  <c r="AA43"/>
  <c r="W81"/>
  <c r="AD81" s="1"/>
  <c r="U18"/>
  <c r="U103"/>
  <c r="W103" s="1"/>
  <c r="AD103" s="1"/>
  <c r="U104"/>
  <c r="W104" s="1"/>
  <c r="AD104" s="1"/>
  <c r="W93"/>
  <c r="AD93" s="1"/>
  <c r="W87"/>
  <c r="AD87" s="1"/>
  <c r="U78"/>
  <c r="W78" s="1"/>
  <c r="AD78" s="1"/>
  <c r="M72"/>
  <c r="U119"/>
  <c r="W119" s="1"/>
  <c r="AD119" s="1"/>
  <c r="N72"/>
  <c r="O72"/>
  <c r="U8"/>
  <c r="U59"/>
  <c r="W82"/>
  <c r="AD82" s="1"/>
  <c r="U76"/>
  <c r="W76" s="1"/>
  <c r="AD76" s="1"/>
  <c r="U112"/>
  <c r="W112" s="1"/>
  <c r="AD112" s="1"/>
  <c r="V75" l="1"/>
  <c r="V124" s="1"/>
  <c r="U124"/>
  <c r="W27"/>
  <c r="AD27" s="1"/>
  <c r="W20"/>
  <c r="AD20" s="1"/>
  <c r="W64"/>
  <c r="AD64" s="1"/>
  <c r="W75"/>
  <c r="W124" s="1"/>
  <c r="X75"/>
  <c r="AA75" s="1"/>
  <c r="AA125" s="1"/>
  <c r="W14"/>
  <c r="AD14" s="1"/>
  <c r="AD35"/>
  <c r="W18"/>
  <c r="AD18" s="1"/>
  <c r="W39"/>
  <c r="W37"/>
  <c r="AD37" s="1"/>
  <c r="W59"/>
  <c r="AD59" s="1"/>
  <c r="W43"/>
  <c r="AD43" s="1"/>
  <c r="W8"/>
  <c r="AD8" s="1"/>
  <c r="I72" l="1"/>
  <c r="X72"/>
  <c r="V72"/>
  <c r="U72" l="1"/>
  <c r="AA72"/>
  <c r="W72" l="1"/>
  <c r="AD72"/>
  <c r="AA73"/>
  <c r="AA74" s="1"/>
</calcChain>
</file>

<file path=xl/sharedStrings.xml><?xml version="1.0" encoding="utf-8"?>
<sst xmlns="http://schemas.openxmlformats.org/spreadsheetml/2006/main" count="605" uniqueCount="215">
  <si>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</si>
  <si>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</si>
  <si>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</si>
  <si>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</si>
  <si>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</si>
  <si>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</si>
  <si>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</si>
  <si>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</si>
  <si>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</si>
  <si>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</si>
  <si>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</si>
  <si>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</si>
  <si>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</si>
  <si>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</si>
  <si>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</si>
  <si>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</si>
  <si>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</si>
  <si>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</si>
  <si>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</si>
  <si>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</si>
  <si>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</si>
  <si>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</si>
  <si>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</si>
  <si>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</si>
  <si>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</si>
  <si>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</si>
  <si>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</si>
  <si>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</si>
  <si>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</si>
  <si>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</si>
  <si>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</si>
  <si>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</si>
  <si>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</si>
  <si>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</si>
  <si>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</si>
  <si>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</si>
  <si>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</si>
  <si>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</si>
  <si>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</si>
  <si>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</si>
  <si>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</si>
  <si>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</si>
  <si>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</si>
  <si>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</si>
  <si>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</si>
  <si>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</si>
  <si>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</si>
  <si>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</si>
  <si>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</si>
  <si>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</si>
  <si>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</si>
  <si>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</si>
  <si>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</si>
  <si>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</si>
  <si>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</si>
  <si>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</si>
  <si>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</si>
  <si>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</si>
  <si>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</si>
  <si>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</si>
  <si>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</si>
  <si>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</si>
  <si>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</si>
  <si>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</si>
  <si>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</si>
  <si>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</si>
  <si>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</si>
  <si>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</si>
  <si>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</si>
  <si>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</si>
  <si>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</si>
  <si>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</si>
  <si>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</si>
  <si>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</si>
  <si>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</si>
  <si>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</si>
  <si>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</si>
  <si>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</si>
  <si>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</si>
  <si>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</si>
  <si>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</si>
  <si>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</si>
  <si>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</si>
  <si>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</si>
  <si>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</si>
  <si>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</si>
  <si>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</si>
  <si>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</si>
  <si>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</si>
  <si>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</si>
  <si>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</si>
  <si>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</si>
  <si>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</si>
  <si>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</si>
  <si>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</si>
  <si>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</si>
  <si>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</si>
  <si>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</si>
  <si>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</si>
  <si>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</si>
  <si>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</si>
  <si>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</si>
  <si>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</si>
  <si>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</si>
  <si>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</si>
  <si>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</si>
  <si>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</si>
  <si>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</si>
  <si>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</si>
  <si>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</si>
  <si>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</si>
  <si>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</si>
  <si>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</si>
  <si>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</si>
  <si>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</si>
  <si>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</si>
  <si>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HURTADO PAJARO JOSE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</si>
  <si>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</si>
  <si>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</si>
  <si>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</si>
  <si>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</si>
  <si>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</si>
  <si>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</si>
  <si>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</si>
  <si>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</si>
  <si>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</si>
  <si>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</si>
  <si>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</si>
  <si>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</si>
  <si>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</si>
  <si>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</si>
  <si>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</si>
  <si>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</si>
  <si>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</si>
  <si>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</si>
  <si>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</si>
  <si>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</si>
  <si>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</si>
  <si>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</si>
  <si>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</si>
  <si>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</si>
  <si>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</si>
  <si>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</si>
  <si>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</si>
  <si>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</si>
  <si>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</si>
  <si>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</si>
  <si>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</si>
  <si>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</si>
  <si>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</si>
  <si>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</si>
  <si>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</si>
  <si>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</si>
  <si>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AGUAS OROZCO FRANCISCO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</si>
  <si>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</si>
  <si>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</si>
  <si>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</si>
  <si>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</si>
  <si>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</si>
  <si>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</si>
  <si>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</si>
  <si>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</si>
  <si>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</si>
  <si>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</si>
  <si>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</si>
  <si>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</si>
  <si>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</si>
  <si>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</si>
  <si>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</si>
  <si>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DESCUENTO CTA 254 POR CONCEPTO DE HERRAMIENTAS</t>
  </si>
  <si>
    <t>ESTRADA UNZUETA ALEJANDRA</t>
  </si>
  <si>
    <t>ORTEGA BUSTAMANTE JESUS GERARDO</t>
  </si>
  <si>
    <t>FERRER GONZALEZ MARIA ELENA</t>
  </si>
  <si>
    <t>AUX. ADMON.</t>
  </si>
  <si>
    <t>BANORTE</t>
  </si>
  <si>
    <t>TOTAL DE LA NOMINA</t>
  </si>
  <si>
    <t>VALDEZ HERNANDEZ ELDA NELLY</t>
  </si>
  <si>
    <t>BAUTISTA RAMIREZ MARIO ALEXIS</t>
  </si>
  <si>
    <t>CASILLAS GARCIA DEL VALLE RODRIGO BARUCH</t>
  </si>
  <si>
    <t>URBINA SIERRA ANGELICA</t>
  </si>
  <si>
    <t>INCAPACIDAD POR MATERNIDAD</t>
  </si>
  <si>
    <t>ARIAS CORTES ROBERTO CARLOS</t>
  </si>
  <si>
    <t>GONZALEZ RODRIGUEZ ERICK</t>
  </si>
  <si>
    <t>ALARCON ORTIZ JOSE AURELIO</t>
  </si>
  <si>
    <t xml:space="preserve">LOPEZ LABRADA DANIEL </t>
  </si>
  <si>
    <t>SANCHEZ DE JESUS FROYLAN</t>
  </si>
  <si>
    <t>JUAREZ URIBE MICHEL</t>
  </si>
  <si>
    <t>DE JESUS PADILLA ALFREDO</t>
  </si>
  <si>
    <t>CAMPA LOPEZ JOSE ABRAHAM</t>
  </si>
  <si>
    <t xml:space="preserve">GALVAN RODRIGUEZ JOSE MARCELINO </t>
  </si>
  <si>
    <t>SAUCEDO MAGAÑA VICTOR HUGO</t>
  </si>
  <si>
    <t>DESCUENTO CTA 254 POR CONCEPTO DE OPTICA</t>
  </si>
  <si>
    <t>SUELDO SEMANAL $1,026.69</t>
  </si>
  <si>
    <t>SUELDO SEMANAL $1,677</t>
  </si>
  <si>
    <t>FAVOR DE PASAR SU SUELDO $1,516</t>
  </si>
  <si>
    <t xml:space="preserve">SUELDO SEMANAL $1,516 </t>
  </si>
  <si>
    <t>SUELDO SEMANAL DE $2,100</t>
  </si>
  <si>
    <t>SUELDO SEMANAL $80.04</t>
  </si>
  <si>
    <t>PUEBLA ARENAS JOSE ANDRES</t>
  </si>
  <si>
    <t>SANTANDER</t>
  </si>
  <si>
    <t>PENDIENTE</t>
  </si>
  <si>
    <t>BANCOMER</t>
  </si>
  <si>
    <t>EFECTIVO</t>
  </si>
  <si>
    <t>DESCUENTO CTA 254 POR CONCEPTO DE TRAJES 2/24</t>
  </si>
  <si>
    <t>DESCONTAR $300 POR PAGO INDEVIDO. DESCUENTO 3/10</t>
  </si>
  <si>
    <t>Periodo Semana 14</t>
  </si>
  <si>
    <t>29/03/17 AL 04/04/17</t>
  </si>
  <si>
    <t>BAJA</t>
  </si>
  <si>
    <t>SUELDO SEMANAL $937.50</t>
  </si>
  <si>
    <t>MEDINA ESPARZA JOSUE</t>
  </si>
  <si>
    <t>HERNANDEZ MATA AURELIANO</t>
  </si>
  <si>
    <t xml:space="preserve">MARTINEZ GARCIA JOSE JUAN </t>
  </si>
  <si>
    <t>IBARRA ROMERO IVAN ANDRES</t>
  </si>
  <si>
    <t>NIETO CRESPO JOSE ALBERTO</t>
  </si>
  <si>
    <t>TORRES SANTOS REYNALDO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</si>
</sst>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5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0" fontId="4" fillId="0" borderId="7" xfId="0" applyFont="1" applyFill="1" applyBorder="1"/>
    <xf numFmtId="0" fontId="17" fillId="0" borderId="7" xfId="0" applyFont="1" applyFill="1" applyBorder="1"/>
    <xf numFmtId="0" fontId="4" fillId="0" borderId="7" xfId="0" applyFont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6" borderId="7" xfId="0" applyFont="1" applyFill="1" applyBorder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5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156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205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206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21" t="s">
        <v>13</v>
      </c>
      <c r="B5" s="121" t="s">
        <v>14</v>
      </c>
      <c r="C5" s="121" t="s">
        <v>80</v>
      </c>
      <c r="D5" s="121" t="s">
        <v>0</v>
      </c>
      <c r="E5" s="123" t="s">
        <v>76</v>
      </c>
      <c r="F5" s="115" t="s">
        <v>32</v>
      </c>
      <c r="G5" s="114" t="s">
        <v>9</v>
      </c>
      <c r="H5" s="114" t="s">
        <v>10</v>
      </c>
      <c r="I5" s="114" t="s">
        <v>11</v>
      </c>
      <c r="J5" s="114" t="s">
        <v>12</v>
      </c>
      <c r="K5" s="115" t="s">
        <v>120</v>
      </c>
      <c r="L5" s="115" t="s">
        <v>91</v>
      </c>
      <c r="M5" s="116" t="s">
        <v>48</v>
      </c>
      <c r="N5" s="116" t="s">
        <v>63</v>
      </c>
      <c r="O5" s="116" t="s">
        <v>62</v>
      </c>
      <c r="P5" s="116" t="s">
        <v>49</v>
      </c>
      <c r="Q5" s="114" t="s">
        <v>6</v>
      </c>
      <c r="R5" s="114" t="s">
        <v>16</v>
      </c>
      <c r="S5" s="114" t="s">
        <v>15</v>
      </c>
      <c r="T5" s="114" t="s">
        <v>8</v>
      </c>
      <c r="U5" s="114" t="s">
        <v>23</v>
      </c>
      <c r="V5" s="109" t="s">
        <v>3</v>
      </c>
      <c r="W5" s="109" t="s">
        <v>7</v>
      </c>
      <c r="X5" s="109" t="s">
        <v>2</v>
      </c>
      <c r="Y5" s="109" t="s">
        <v>4</v>
      </c>
      <c r="Z5" s="24"/>
      <c r="AA5" s="109" t="s">
        <v>5</v>
      </c>
      <c r="AB5" s="111" t="s">
        <v>100</v>
      </c>
      <c r="AC5" s="112"/>
      <c r="AD5" s="113" t="s">
        <v>50</v>
      </c>
      <c r="AE5" s="107" t="s">
        <v>84</v>
      </c>
      <c r="AF5" s="107" t="s">
        <v>85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86" customFormat="1" ht="39" customHeight="1">
      <c r="A6" s="122"/>
      <c r="B6" s="122"/>
      <c r="C6" s="122"/>
      <c r="D6" s="122"/>
      <c r="E6" s="124"/>
      <c r="F6" s="120"/>
      <c r="G6" s="115"/>
      <c r="H6" s="115"/>
      <c r="I6" s="115"/>
      <c r="J6" s="115"/>
      <c r="K6" s="118"/>
      <c r="L6" s="118"/>
      <c r="M6" s="117"/>
      <c r="N6" s="117"/>
      <c r="O6" s="117"/>
      <c r="P6" s="117"/>
      <c r="Q6" s="115"/>
      <c r="R6" s="115"/>
      <c r="S6" s="115"/>
      <c r="T6" s="115"/>
      <c r="U6" s="115"/>
      <c r="V6" s="110"/>
      <c r="W6" s="110"/>
      <c r="X6" s="110"/>
      <c r="Y6" s="110"/>
      <c r="Z6" s="83"/>
      <c r="AA6" s="110"/>
      <c r="AB6" s="84" t="s">
        <v>24</v>
      </c>
      <c r="AC6" s="84" t="s">
        <v>25</v>
      </c>
      <c r="AD6" s="113"/>
      <c r="AE6" s="107"/>
      <c r="AF6" s="107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46" s="18" customFormat="1">
      <c r="A7" s="34" t="s">
        <v>28</v>
      </c>
      <c r="B7" s="34" t="s">
        <v>153</v>
      </c>
      <c r="C7" s="34"/>
      <c r="D7" s="34" t="s">
        <v>30</v>
      </c>
      <c r="E7" s="80">
        <v>42689</v>
      </c>
      <c r="F7" s="35"/>
      <c r="G7" s="35"/>
      <c r="H7" s="35"/>
      <c r="I7" s="49">
        <f>SUM(F7:H7)</f>
        <v>0</v>
      </c>
      <c r="J7" s="35"/>
      <c r="K7" s="67"/>
      <c r="L7" s="35"/>
      <c r="M7" s="35"/>
      <c r="N7" s="68"/>
      <c r="O7" s="68"/>
      <c r="P7" s="35"/>
      <c r="Q7" s="33"/>
      <c r="R7" s="33"/>
      <c r="S7" s="34"/>
      <c r="T7" s="34"/>
      <c r="U7" s="49">
        <f t="shared" ref="U7:U28" si="0">+I7-SUM(J7:T7)</f>
        <v>0</v>
      </c>
      <c r="V7" s="33">
        <f t="shared" ref="V7:V28" si="1">IF(I7&gt;2250,I7*0.1,0)</f>
        <v>0</v>
      </c>
      <c r="W7" s="49">
        <f t="shared" ref="W7:W28" si="2">+U7-V7</f>
        <v>0</v>
      </c>
      <c r="X7" s="33"/>
      <c r="Y7" s="33"/>
      <c r="Z7" s="33"/>
      <c r="AA7" s="49"/>
      <c r="AB7" s="56"/>
      <c r="AC7" s="57"/>
      <c r="AD7" s="50"/>
      <c r="AE7" s="88">
        <v>1500716952</v>
      </c>
      <c r="AF7" s="34"/>
      <c r="AG7" s="18" t="s">
        <v>201</v>
      </c>
    </row>
    <row r="8" spans="1:46" s="18" customFormat="1">
      <c r="A8" s="34" t="s">
        <v>39</v>
      </c>
      <c r="B8" s="34" t="s">
        <v>72</v>
      </c>
      <c r="C8" s="34"/>
      <c r="D8" s="34" t="s">
        <v>29</v>
      </c>
      <c r="E8" s="54">
        <v>42062</v>
      </c>
      <c r="F8" s="35">
        <v>1349.13</v>
      </c>
      <c r="G8" s="35"/>
      <c r="H8" s="35"/>
      <c r="I8" s="49">
        <f t="shared" ref="I8:I70" si="3">SUM(F8:H8)</f>
        <v>1349.13</v>
      </c>
      <c r="J8" s="35"/>
      <c r="K8" s="67"/>
      <c r="L8" s="35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 t="shared" si="0"/>
        <v>1349.13</v>
      </c>
      <c r="V8" s="33">
        <f t="shared" si="1"/>
        <v>0</v>
      </c>
      <c r="W8" s="49">
        <f t="shared" si="2"/>
        <v>1349.13</v>
      </c>
      <c r="X8" s="33">
        <f t="shared" ref="X8:X28" si="4">IF(I8&lt;2250,I8*0.1,0)</f>
        <v>134.91300000000001</v>
      </c>
      <c r="Y8" s="33">
        <v>10.23</v>
      </c>
      <c r="Z8" s="33">
        <f t="shared" ref="Z8:Z28" si="5">+N8</f>
        <v>0</v>
      </c>
      <c r="AA8" s="49">
        <f t="shared" ref="AA8:AA28" si="6">+I8+X8+Y8+Z8</f>
        <v>1494.2730000000001</v>
      </c>
      <c r="AB8" s="56"/>
      <c r="AC8" s="57"/>
      <c r="AD8" s="50">
        <f t="shared" ref="AD8:AD15" si="7">+AB8+AC8-W8</f>
        <v>-1349.13</v>
      </c>
      <c r="AE8" s="36">
        <v>56708844887</v>
      </c>
      <c r="AF8" s="34"/>
      <c r="AG8" s="18" t="s">
        <v>199</v>
      </c>
    </row>
    <row r="9" spans="1:46" s="18" customFormat="1">
      <c r="A9" s="34" t="s">
        <v>28</v>
      </c>
      <c r="B9" s="34" t="s">
        <v>66</v>
      </c>
      <c r="C9" s="34" t="s">
        <v>80</v>
      </c>
      <c r="D9" s="34" t="s">
        <v>31</v>
      </c>
      <c r="E9" s="54">
        <v>41797</v>
      </c>
      <c r="F9" s="35"/>
      <c r="G9" s="35"/>
      <c r="H9" s="35"/>
      <c r="I9" s="49">
        <f t="shared" si="3"/>
        <v>0</v>
      </c>
      <c r="J9" s="35">
        <v>327</v>
      </c>
      <c r="K9" s="67"/>
      <c r="L9" s="67"/>
      <c r="M9" s="35">
        <v>0</v>
      </c>
      <c r="N9" s="68"/>
      <c r="O9" s="68"/>
      <c r="P9" s="35"/>
      <c r="Q9" s="33"/>
      <c r="R9" s="33"/>
      <c r="S9" s="34"/>
      <c r="T9" s="34">
        <v>0</v>
      </c>
      <c r="U9" s="49">
        <f>+I9-SUM(J9:T9)</f>
        <v>-327</v>
      </c>
      <c r="V9" s="33">
        <f>IF(I9&gt;2250,I9*0.1,0)</f>
        <v>0</v>
      </c>
      <c r="W9" s="49">
        <f>+U9-V9</f>
        <v>-327</v>
      </c>
      <c r="X9" s="33">
        <f>IF(I9&lt;2250,I9*0.1,0)</f>
        <v>0</v>
      </c>
      <c r="Y9" s="33">
        <v>10.23</v>
      </c>
      <c r="Z9" s="33">
        <f>+N9</f>
        <v>0</v>
      </c>
      <c r="AA9" s="49">
        <f>+I9+X9+Y9+Z9</f>
        <v>10.23</v>
      </c>
      <c r="AB9" s="56"/>
      <c r="AC9" s="57"/>
      <c r="AD9" s="50">
        <f>+AB9+AC9-W9</f>
        <v>327</v>
      </c>
      <c r="AE9" s="36">
        <v>56708844890</v>
      </c>
      <c r="AF9" s="36" t="s">
        <v>203</v>
      </c>
      <c r="AG9" s="18" t="s">
        <v>199</v>
      </c>
    </row>
    <row r="10" spans="1:46" s="18" customFormat="1">
      <c r="A10" s="34" t="s">
        <v>39</v>
      </c>
      <c r="B10" s="34" t="s">
        <v>162</v>
      </c>
      <c r="C10" s="34"/>
      <c r="D10" s="34" t="s">
        <v>29</v>
      </c>
      <c r="E10" s="54">
        <v>42725</v>
      </c>
      <c r="F10" s="35">
        <v>809.98</v>
      </c>
      <c r="G10" s="35"/>
      <c r="H10" s="35"/>
      <c r="I10" s="49">
        <f t="shared" si="3"/>
        <v>809.98</v>
      </c>
      <c r="J10" s="35"/>
      <c r="K10" s="67"/>
      <c r="L10" s="35"/>
      <c r="M10" s="35"/>
      <c r="N10" s="68"/>
      <c r="O10" s="68"/>
      <c r="P10" s="35"/>
      <c r="Q10" s="33"/>
      <c r="R10" s="33"/>
      <c r="S10" s="34"/>
      <c r="T10" s="34"/>
      <c r="U10" s="49">
        <f t="shared" ref="U10:U11" si="8">+I10-SUM(J10:T10)</f>
        <v>809.98</v>
      </c>
      <c r="V10" s="33">
        <f t="shared" ref="V10" si="9">IF(I10&gt;2250,I10*0.1,0)</f>
        <v>0</v>
      </c>
      <c r="W10" s="49">
        <f t="shared" ref="W10" si="10">+U10-V10</f>
        <v>809.98</v>
      </c>
      <c r="X10" s="33"/>
      <c r="Y10" s="33"/>
      <c r="Z10" s="33"/>
      <c r="AA10" s="49"/>
      <c r="AB10" s="56"/>
      <c r="AC10" s="57"/>
      <c r="AD10" s="50"/>
      <c r="AE10" s="88">
        <v>1133645940</v>
      </c>
      <c r="AF10" s="36"/>
      <c r="AG10" s="18" t="s">
        <v>201</v>
      </c>
    </row>
    <row r="11" spans="1:46" s="18" customFormat="1">
      <c r="A11" s="34" t="s">
        <v>28</v>
      </c>
      <c r="B11" s="34" t="s">
        <v>183</v>
      </c>
      <c r="C11" s="34"/>
      <c r="D11" s="34" t="s">
        <v>30</v>
      </c>
      <c r="E11" s="54">
        <v>42796</v>
      </c>
      <c r="F11" s="35"/>
      <c r="G11" s="35"/>
      <c r="H11" s="35"/>
      <c r="I11" s="49">
        <f t="shared" si="3"/>
        <v>0</v>
      </c>
      <c r="J11" s="35"/>
      <c r="K11" s="67"/>
      <c r="L11" s="35"/>
      <c r="M11" s="35"/>
      <c r="N11" s="68"/>
      <c r="O11" s="68"/>
      <c r="P11" s="35"/>
      <c r="Q11" s="33"/>
      <c r="R11" s="33"/>
      <c r="S11" s="34"/>
      <c r="T11" s="34">
        <v>192</v>
      </c>
      <c r="U11" s="49">
        <f t="shared" si="8"/>
        <v>-192</v>
      </c>
      <c r="V11" s="33"/>
      <c r="W11" s="49"/>
      <c r="X11" s="33"/>
      <c r="Y11" s="33"/>
      <c r="Z11" s="33"/>
      <c r="AA11" s="49"/>
      <c r="AB11" s="56"/>
      <c r="AC11" s="57"/>
      <c r="AD11" s="50"/>
      <c r="AE11" s="36">
        <v>56676948556</v>
      </c>
      <c r="AF11" s="36"/>
      <c r="AG11" s="18" t="s">
        <v>199</v>
      </c>
    </row>
    <row r="12" spans="1:46" s="18" customFormat="1">
      <c r="A12" s="34" t="s">
        <v>39</v>
      </c>
      <c r="B12" s="34" t="s">
        <v>160</v>
      </c>
      <c r="C12" s="34"/>
      <c r="D12" s="34" t="s">
        <v>117</v>
      </c>
      <c r="E12" s="54">
        <v>42718</v>
      </c>
      <c r="F12" s="35">
        <v>4350</v>
      </c>
      <c r="G12" s="35"/>
      <c r="H12" s="35"/>
      <c r="I12" s="49">
        <f t="shared" si="3"/>
        <v>4350</v>
      </c>
      <c r="J12" s="35"/>
      <c r="K12" s="67"/>
      <c r="L12" s="67"/>
      <c r="M12" s="35"/>
      <c r="N12" s="68"/>
      <c r="O12" s="68"/>
      <c r="P12" s="35"/>
      <c r="Q12" s="33"/>
      <c r="R12" s="33"/>
      <c r="S12" s="34"/>
      <c r="T12" s="34">
        <v>1817</v>
      </c>
      <c r="U12" s="49">
        <f t="shared" ref="U12" si="11">+I12-SUM(J12:T12)</f>
        <v>2533</v>
      </c>
      <c r="V12" s="33">
        <f t="shared" ref="V12" si="12">IF(I12&gt;2250,I12*0.1,0)</f>
        <v>435</v>
      </c>
      <c r="W12" s="49">
        <f t="shared" ref="W12" si="13">+U12-V12</f>
        <v>2098</v>
      </c>
      <c r="X12" s="33"/>
      <c r="Y12" s="33"/>
      <c r="Z12" s="33"/>
      <c r="AA12" s="49"/>
      <c r="AB12" s="56"/>
      <c r="AC12" s="57"/>
      <c r="AD12" s="50"/>
      <c r="AE12" s="88" t="s">
        <v>202</v>
      </c>
      <c r="AF12" s="34"/>
      <c r="AG12" s="18" t="s">
        <v>200</v>
      </c>
    </row>
    <row r="13" spans="1:46" s="18" customFormat="1">
      <c r="A13" s="34" t="s">
        <v>28</v>
      </c>
      <c r="B13" s="34" t="s">
        <v>37</v>
      </c>
      <c r="C13" s="34" t="s">
        <v>80</v>
      </c>
      <c r="D13" s="34" t="s">
        <v>31</v>
      </c>
      <c r="E13" s="54">
        <v>39508</v>
      </c>
      <c r="F13" s="35"/>
      <c r="G13" s="35"/>
      <c r="H13" s="35"/>
      <c r="I13" s="49">
        <f t="shared" si="3"/>
        <v>0</v>
      </c>
      <c r="J13" s="35">
        <v>413.79</v>
      </c>
      <c r="K13" s="67"/>
      <c r="L13" s="35"/>
      <c r="M13" s="35">
        <v>0</v>
      </c>
      <c r="N13" s="68"/>
      <c r="O13" s="68"/>
      <c r="P13" s="35"/>
      <c r="Q13" s="33"/>
      <c r="R13" s="33"/>
      <c r="S13" s="34"/>
      <c r="T13" s="34">
        <v>0</v>
      </c>
      <c r="U13" s="49">
        <f t="shared" si="0"/>
        <v>-413.79</v>
      </c>
      <c r="V13" s="33">
        <f t="shared" si="1"/>
        <v>0</v>
      </c>
      <c r="W13" s="49">
        <f t="shared" si="2"/>
        <v>-413.79</v>
      </c>
      <c r="X13" s="33">
        <f t="shared" si="4"/>
        <v>0</v>
      </c>
      <c r="Y13" s="33">
        <v>10.23</v>
      </c>
      <c r="Z13" s="33">
        <f t="shared" si="5"/>
        <v>0</v>
      </c>
      <c r="AA13" s="49">
        <f t="shared" si="6"/>
        <v>10.23</v>
      </c>
      <c r="AB13" s="56"/>
      <c r="AC13" s="57"/>
      <c r="AD13" s="50">
        <f t="shared" si="7"/>
        <v>413.79</v>
      </c>
      <c r="AE13" s="36">
        <v>56708881292</v>
      </c>
      <c r="AF13" s="36" t="s">
        <v>203</v>
      </c>
      <c r="AG13" s="18" t="s">
        <v>199</v>
      </c>
    </row>
    <row r="14" spans="1:46" s="18" customFormat="1">
      <c r="A14" s="34" t="s">
        <v>28</v>
      </c>
      <c r="B14" s="34" t="s">
        <v>67</v>
      </c>
      <c r="C14" s="34" t="s">
        <v>77</v>
      </c>
      <c r="D14" s="34" t="s">
        <v>30</v>
      </c>
      <c r="E14" s="54">
        <v>42383</v>
      </c>
      <c r="F14" s="35"/>
      <c r="G14" s="35"/>
      <c r="H14" s="35"/>
      <c r="I14" s="49">
        <f t="shared" si="3"/>
        <v>0</v>
      </c>
      <c r="J14" s="35"/>
      <c r="K14" s="67"/>
      <c r="L14" s="35">
        <v>54.05</v>
      </c>
      <c r="M14" s="35">
        <v>0</v>
      </c>
      <c r="N14" s="68"/>
      <c r="O14" s="68"/>
      <c r="P14" s="35"/>
      <c r="Q14" s="33"/>
      <c r="R14" s="33"/>
      <c r="S14" s="34"/>
      <c r="T14" s="34">
        <v>345.36</v>
      </c>
      <c r="U14" s="49">
        <f t="shared" si="0"/>
        <v>-399.41</v>
      </c>
      <c r="V14" s="33">
        <f t="shared" si="1"/>
        <v>0</v>
      </c>
      <c r="W14" s="49">
        <f t="shared" si="2"/>
        <v>-399.41</v>
      </c>
      <c r="X14" s="33">
        <f t="shared" si="4"/>
        <v>0</v>
      </c>
      <c r="Y14" s="33">
        <v>10.23</v>
      </c>
      <c r="Z14" s="33">
        <f t="shared" si="5"/>
        <v>0</v>
      </c>
      <c r="AA14" s="49">
        <f t="shared" si="6"/>
        <v>10.23</v>
      </c>
      <c r="AB14" s="56"/>
      <c r="AC14" s="57"/>
      <c r="AD14" s="50">
        <f t="shared" si="7"/>
        <v>399.41</v>
      </c>
      <c r="AE14" s="36">
        <v>56708881304</v>
      </c>
      <c r="AF14" s="34"/>
      <c r="AG14" s="18" t="s">
        <v>199</v>
      </c>
    </row>
    <row r="15" spans="1:46" s="18" customFormat="1">
      <c r="A15" s="34" t="s">
        <v>27</v>
      </c>
      <c r="B15" s="34" t="s">
        <v>57</v>
      </c>
      <c r="C15" s="34" t="s">
        <v>97</v>
      </c>
      <c r="D15" s="34" t="s">
        <v>46</v>
      </c>
      <c r="E15" s="54">
        <v>42416</v>
      </c>
      <c r="F15" s="35"/>
      <c r="G15" s="35"/>
      <c r="H15" s="35"/>
      <c r="I15" s="49">
        <f t="shared" si="3"/>
        <v>0</v>
      </c>
      <c r="J15" s="35"/>
      <c r="K15" s="67"/>
      <c r="L15" s="35">
        <v>66.88</v>
      </c>
      <c r="M15" s="35">
        <v>0</v>
      </c>
      <c r="N15" s="68"/>
      <c r="O15" s="68"/>
      <c r="P15" s="35"/>
      <c r="Q15" s="33"/>
      <c r="R15" s="33"/>
      <c r="S15" s="34"/>
      <c r="T15" s="34">
        <v>437.38</v>
      </c>
      <c r="U15" s="49">
        <f t="shared" si="0"/>
        <v>-504.26</v>
      </c>
      <c r="V15" s="33">
        <f t="shared" si="1"/>
        <v>0</v>
      </c>
      <c r="W15" s="49">
        <f t="shared" si="2"/>
        <v>-504.26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6"/>
      <c r="AC15" s="57"/>
      <c r="AD15" s="50">
        <f t="shared" si="7"/>
        <v>504.26</v>
      </c>
      <c r="AE15" s="36">
        <v>56708881318</v>
      </c>
      <c r="AF15" s="34"/>
      <c r="AG15" s="18" t="s">
        <v>199</v>
      </c>
    </row>
    <row r="16" spans="1:46" s="18" customFormat="1">
      <c r="A16" s="34" t="s">
        <v>28</v>
      </c>
      <c r="B16" s="34" t="s">
        <v>87</v>
      </c>
      <c r="C16" s="34" t="s">
        <v>80</v>
      </c>
      <c r="D16" s="34" t="s">
        <v>31</v>
      </c>
      <c r="E16" s="54">
        <v>39699</v>
      </c>
      <c r="F16" s="35"/>
      <c r="G16" s="35"/>
      <c r="H16" s="35"/>
      <c r="I16" s="49">
        <f t="shared" si="3"/>
        <v>0</v>
      </c>
      <c r="J16" s="35">
        <v>413.79</v>
      </c>
      <c r="K16" s="67"/>
      <c r="L16" s="35"/>
      <c r="M16" s="35">
        <v>1000</v>
      </c>
      <c r="N16" s="68"/>
      <c r="O16" s="68"/>
      <c r="P16" s="35"/>
      <c r="Q16" s="33"/>
      <c r="R16" s="33"/>
      <c r="S16" s="34"/>
      <c r="T16" s="34">
        <v>0</v>
      </c>
      <c r="U16" s="49">
        <f t="shared" si="0"/>
        <v>-1413.79</v>
      </c>
      <c r="V16" s="33">
        <f t="shared" si="1"/>
        <v>0</v>
      </c>
      <c r="W16" s="49">
        <f t="shared" si="2"/>
        <v>-1413.79</v>
      </c>
      <c r="X16" s="33">
        <f t="shared" si="4"/>
        <v>0</v>
      </c>
      <c r="Y16" s="33">
        <v>10.23</v>
      </c>
      <c r="Z16" s="33">
        <f t="shared" si="5"/>
        <v>0</v>
      </c>
      <c r="AA16" s="49">
        <f t="shared" si="6"/>
        <v>10.23</v>
      </c>
      <c r="AB16" s="56"/>
      <c r="AC16" s="57"/>
      <c r="AD16" s="50">
        <f t="shared" ref="AD16:AD19" si="14">+AB16+AC16-W16</f>
        <v>1413.79</v>
      </c>
      <c r="AE16" s="36">
        <v>56708881349</v>
      </c>
      <c r="AF16" s="36" t="s">
        <v>203</v>
      </c>
      <c r="AG16" s="18" t="s">
        <v>199</v>
      </c>
    </row>
    <row r="17" spans="1:33" s="18" customFormat="1">
      <c r="A17" s="34" t="s">
        <v>28</v>
      </c>
      <c r="B17" s="34" t="s">
        <v>178</v>
      </c>
      <c r="C17" s="34"/>
      <c r="D17" s="34" t="s">
        <v>30</v>
      </c>
      <c r="E17" s="54">
        <v>42776</v>
      </c>
      <c r="F17" s="35">
        <v>4381.5</v>
      </c>
      <c r="G17" s="35"/>
      <c r="H17" s="35"/>
      <c r="I17" s="49">
        <f t="shared" si="3"/>
        <v>4381.5</v>
      </c>
      <c r="J17" s="35"/>
      <c r="K17" s="67"/>
      <c r="L17" s="35"/>
      <c r="M17" s="35"/>
      <c r="N17" s="68"/>
      <c r="O17" s="68"/>
      <c r="P17" s="35"/>
      <c r="Q17" s="33"/>
      <c r="R17" s="33"/>
      <c r="S17" s="34"/>
      <c r="T17" s="34">
        <v>43.66</v>
      </c>
      <c r="U17" s="49">
        <f t="shared" si="0"/>
        <v>4337.84</v>
      </c>
      <c r="V17" s="33"/>
      <c r="W17" s="49"/>
      <c r="X17" s="33"/>
      <c r="Y17" s="33"/>
      <c r="Z17" s="33"/>
      <c r="AA17" s="49"/>
      <c r="AB17" s="56"/>
      <c r="AC17" s="57"/>
      <c r="AD17" s="50"/>
      <c r="AE17" s="36">
        <v>60589631591</v>
      </c>
      <c r="AF17" s="34"/>
      <c r="AG17" s="18" t="s">
        <v>199</v>
      </c>
    </row>
    <row r="18" spans="1:33" s="18" customFormat="1">
      <c r="A18" s="34" t="s">
        <v>27</v>
      </c>
      <c r="B18" s="34" t="s">
        <v>75</v>
      </c>
      <c r="C18" s="34" t="s">
        <v>97</v>
      </c>
      <c r="D18" s="34" t="s">
        <v>46</v>
      </c>
      <c r="E18" s="54">
        <v>42332</v>
      </c>
      <c r="F18" s="35">
        <v>1771.61</v>
      </c>
      <c r="G18" s="35"/>
      <c r="H18" s="35"/>
      <c r="I18" s="49">
        <f t="shared" si="3"/>
        <v>1771.61</v>
      </c>
      <c r="J18" s="35"/>
      <c r="K18" s="67"/>
      <c r="L18" s="35">
        <v>54.05</v>
      </c>
      <c r="M18" s="35">
        <v>0</v>
      </c>
      <c r="N18" s="68"/>
      <c r="O18" s="68"/>
      <c r="P18" s="35"/>
      <c r="Q18" s="33"/>
      <c r="R18" s="33"/>
      <c r="S18" s="34"/>
      <c r="T18" s="34">
        <v>773.14</v>
      </c>
      <c r="U18" s="49">
        <f t="shared" si="0"/>
        <v>944.42</v>
      </c>
      <c r="V18" s="33">
        <f t="shared" si="1"/>
        <v>0</v>
      </c>
      <c r="W18" s="49">
        <f t="shared" si="2"/>
        <v>944.42</v>
      </c>
      <c r="X18" s="33">
        <f t="shared" si="4"/>
        <v>177.161</v>
      </c>
      <c r="Y18" s="33">
        <v>10.23</v>
      </c>
      <c r="Z18" s="33">
        <f t="shared" si="5"/>
        <v>0</v>
      </c>
      <c r="AA18" s="49">
        <f t="shared" si="6"/>
        <v>1959.001</v>
      </c>
      <c r="AB18" s="56"/>
      <c r="AC18" s="57"/>
      <c r="AD18" s="50">
        <f t="shared" si="14"/>
        <v>-944.42</v>
      </c>
      <c r="AE18" s="36">
        <v>56708844947</v>
      </c>
      <c r="AF18" s="36"/>
      <c r="AG18" s="18" t="s">
        <v>199</v>
      </c>
    </row>
    <row r="19" spans="1:33" s="18" customFormat="1">
      <c r="A19" s="34" t="s">
        <v>28</v>
      </c>
      <c r="B19" s="34" t="s">
        <v>95</v>
      </c>
      <c r="C19" s="34" t="s">
        <v>82</v>
      </c>
      <c r="D19" s="34" t="s">
        <v>30</v>
      </c>
      <c r="E19" s="54">
        <v>42437</v>
      </c>
      <c r="F19" s="35"/>
      <c r="G19" s="35"/>
      <c r="H19" s="35"/>
      <c r="I19" s="49">
        <f t="shared" si="3"/>
        <v>0</v>
      </c>
      <c r="J19" s="35"/>
      <c r="K19" s="67"/>
      <c r="L19" s="35">
        <v>47.05</v>
      </c>
      <c r="M19" s="35">
        <v>0</v>
      </c>
      <c r="N19" s="68"/>
      <c r="O19" s="68"/>
      <c r="P19" s="35"/>
      <c r="Q19" s="33"/>
      <c r="R19" s="33"/>
      <c r="S19" s="34"/>
      <c r="T19" s="34">
        <v>0</v>
      </c>
      <c r="U19" s="49">
        <f t="shared" si="0"/>
        <v>-47.05</v>
      </c>
      <c r="V19" s="33">
        <f t="shared" si="1"/>
        <v>0</v>
      </c>
      <c r="W19" s="49">
        <f t="shared" si="2"/>
        <v>-47.05</v>
      </c>
      <c r="X19" s="33">
        <f t="shared" si="4"/>
        <v>0</v>
      </c>
      <c r="Y19" s="33">
        <v>10.23</v>
      </c>
      <c r="Z19" s="33">
        <f t="shared" si="5"/>
        <v>0</v>
      </c>
      <c r="AA19" s="49">
        <f t="shared" si="6"/>
        <v>10.23</v>
      </c>
      <c r="AB19" s="56"/>
      <c r="AC19" s="57"/>
      <c r="AD19" s="50">
        <f t="shared" si="14"/>
        <v>47.05</v>
      </c>
      <c r="AE19" s="36">
        <v>56708881352</v>
      </c>
      <c r="AF19" s="36"/>
      <c r="AG19" s="18" t="s">
        <v>199</v>
      </c>
    </row>
    <row r="20" spans="1:33" s="18" customFormat="1" ht="15.75">
      <c r="A20" s="34" t="s">
        <v>81</v>
      </c>
      <c r="B20" s="34" t="s">
        <v>58</v>
      </c>
      <c r="C20" s="34"/>
      <c r="D20" s="102" t="s">
        <v>45</v>
      </c>
      <c r="E20" s="54">
        <v>42205</v>
      </c>
      <c r="F20" s="74"/>
      <c r="G20" s="35"/>
      <c r="H20" s="35"/>
      <c r="I20" s="49">
        <f t="shared" si="3"/>
        <v>0</v>
      </c>
      <c r="J20" s="35"/>
      <c r="K20" s="67"/>
      <c r="L20" s="35"/>
      <c r="M20" s="35">
        <v>300</v>
      </c>
      <c r="N20" s="68"/>
      <c r="O20" s="68"/>
      <c r="P20" s="35"/>
      <c r="Q20" s="33"/>
      <c r="R20" s="82">
        <v>0.3</v>
      </c>
      <c r="S20" s="34"/>
      <c r="T20" s="34">
        <v>0</v>
      </c>
      <c r="U20" s="49">
        <f t="shared" si="0"/>
        <v>-300.3</v>
      </c>
      <c r="V20" s="33">
        <f t="shared" si="1"/>
        <v>0</v>
      </c>
      <c r="W20" s="49">
        <f t="shared" si="2"/>
        <v>-300.3</v>
      </c>
      <c r="X20" s="33">
        <f t="shared" si="4"/>
        <v>0</v>
      </c>
      <c r="Y20" s="33">
        <v>10.23</v>
      </c>
      <c r="Z20" s="33">
        <f t="shared" si="5"/>
        <v>0</v>
      </c>
      <c r="AA20" s="49">
        <f t="shared" si="6"/>
        <v>10.23</v>
      </c>
      <c r="AB20" s="56"/>
      <c r="AC20" s="56"/>
      <c r="AD20" s="50">
        <f t="shared" ref="AD20" si="15">+AB20+AC20-W20</f>
        <v>300.3</v>
      </c>
      <c r="AE20" s="36">
        <v>56708844950</v>
      </c>
      <c r="AF20" s="34"/>
      <c r="AG20" s="18" t="s">
        <v>199</v>
      </c>
    </row>
    <row r="21" spans="1:33" s="18" customFormat="1">
      <c r="A21" s="34" t="s">
        <v>81</v>
      </c>
      <c r="B21" s="34" t="s">
        <v>110</v>
      </c>
      <c r="C21" s="34"/>
      <c r="D21" s="102" t="s">
        <v>45</v>
      </c>
      <c r="E21" s="54">
        <v>42476</v>
      </c>
      <c r="F21" s="74">
        <v>850</v>
      </c>
      <c r="G21" s="35"/>
      <c r="H21" s="35"/>
      <c r="I21" s="49">
        <f t="shared" si="3"/>
        <v>850</v>
      </c>
      <c r="J21" s="35"/>
      <c r="K21" s="67"/>
      <c r="L21" s="35"/>
      <c r="M21" s="35">
        <v>0</v>
      </c>
      <c r="N21" s="68"/>
      <c r="O21" s="68"/>
      <c r="P21" s="35"/>
      <c r="Q21" s="33"/>
      <c r="R21" s="33"/>
      <c r="S21" s="34"/>
      <c r="T21" s="34">
        <v>0</v>
      </c>
      <c r="U21" s="49">
        <f t="shared" ref="U21" si="16">+I21-SUM(J21:T21)</f>
        <v>850</v>
      </c>
      <c r="V21" s="33">
        <f t="shared" ref="V21" si="17">IF(I21&gt;2250,I21*0.1,0)</f>
        <v>0</v>
      </c>
      <c r="W21" s="49">
        <f t="shared" ref="W21" si="18">+U21-V21</f>
        <v>850</v>
      </c>
      <c r="X21" s="33">
        <f t="shared" si="4"/>
        <v>85</v>
      </c>
      <c r="Y21" s="33">
        <v>10.23</v>
      </c>
      <c r="Z21" s="33">
        <f t="shared" si="5"/>
        <v>0</v>
      </c>
      <c r="AA21" s="49">
        <f t="shared" si="6"/>
        <v>945.23</v>
      </c>
      <c r="AB21" s="56"/>
      <c r="AC21" s="56"/>
      <c r="AD21" s="50">
        <f>+AB21+AC21-W23</f>
        <v>-850</v>
      </c>
      <c r="AE21" s="36">
        <v>56708844964</v>
      </c>
      <c r="AF21" s="36"/>
      <c r="AG21" s="18" t="s">
        <v>199</v>
      </c>
    </row>
    <row r="22" spans="1:33" s="18" customFormat="1">
      <c r="A22" s="34" t="s">
        <v>26</v>
      </c>
      <c r="B22" s="34" t="s">
        <v>170</v>
      </c>
      <c r="C22" s="34"/>
      <c r="D22" s="34" t="s">
        <v>44</v>
      </c>
      <c r="E22" s="54">
        <v>42756</v>
      </c>
      <c r="F22" s="35">
        <v>1950</v>
      </c>
      <c r="G22" s="35"/>
      <c r="H22" s="35"/>
      <c r="I22" s="49">
        <f t="shared" si="3"/>
        <v>1950</v>
      </c>
      <c r="J22" s="35"/>
      <c r="K22" s="67"/>
      <c r="L22" s="35"/>
      <c r="M22" s="35"/>
      <c r="N22" s="68"/>
      <c r="O22" s="68"/>
      <c r="P22" s="35"/>
      <c r="Q22" s="33"/>
      <c r="R22" s="33"/>
      <c r="S22" s="34"/>
      <c r="T22" s="34"/>
      <c r="U22" s="49">
        <f t="shared" ref="U22" si="19">+I22-SUM(J22:T22)</f>
        <v>1950</v>
      </c>
      <c r="V22" s="33">
        <f t="shared" ref="V22" si="20">IF(I22&gt;2250,I22*0.1,0)</f>
        <v>0</v>
      </c>
      <c r="W22" s="49">
        <f t="shared" ref="W22" si="21">+U22-V22</f>
        <v>1950</v>
      </c>
      <c r="X22" s="33"/>
      <c r="Y22" s="33"/>
      <c r="Z22" s="33"/>
      <c r="AA22" s="49"/>
      <c r="AB22" s="56"/>
      <c r="AC22" s="56"/>
      <c r="AD22" s="50"/>
      <c r="AE22" s="36">
        <v>56706751056</v>
      </c>
      <c r="AF22" s="36"/>
      <c r="AG22" s="18" t="s">
        <v>199</v>
      </c>
    </row>
    <row r="23" spans="1:33" s="18" customFormat="1">
      <c r="A23" s="34" t="s">
        <v>39</v>
      </c>
      <c r="B23" s="34" t="s">
        <v>164</v>
      </c>
      <c r="C23" s="34"/>
      <c r="D23" s="34" t="s">
        <v>29</v>
      </c>
      <c r="E23" s="54">
        <v>42740</v>
      </c>
      <c r="F23" s="35">
        <v>1033.08</v>
      </c>
      <c r="G23" s="35"/>
      <c r="H23" s="35"/>
      <c r="I23" s="49">
        <f t="shared" si="3"/>
        <v>1033.08</v>
      </c>
      <c r="J23" s="35"/>
      <c r="K23" s="67"/>
      <c r="L23" s="35"/>
      <c r="M23" s="35"/>
      <c r="N23" s="68"/>
      <c r="O23" s="68"/>
      <c r="P23" s="35"/>
      <c r="Q23" s="33"/>
      <c r="R23" s="33"/>
      <c r="S23" s="34"/>
      <c r="T23" s="34">
        <v>660.45</v>
      </c>
      <c r="U23" s="34">
        <f>+I21-SUM(J21:T21)</f>
        <v>850</v>
      </c>
      <c r="V23" s="34">
        <f>IF(I21&gt;2250,I21*0.1,0)</f>
        <v>0</v>
      </c>
      <c r="W23" s="34">
        <f>+U23-V23</f>
        <v>850</v>
      </c>
      <c r="X23" s="33"/>
      <c r="Y23" s="33"/>
      <c r="Z23" s="33"/>
      <c r="AA23" s="49"/>
      <c r="AB23" s="56"/>
      <c r="AC23" s="56"/>
      <c r="AD23" s="50"/>
      <c r="AE23" s="88" t="s">
        <v>202</v>
      </c>
      <c r="AF23" s="36"/>
      <c r="AG23" s="18" t="s">
        <v>200</v>
      </c>
    </row>
    <row r="24" spans="1:33" s="18" customFormat="1">
      <c r="A24" s="34" t="s">
        <v>39</v>
      </c>
      <c r="B24" s="34" t="s">
        <v>118</v>
      </c>
      <c r="C24" s="34"/>
      <c r="D24" s="34" t="s">
        <v>29</v>
      </c>
      <c r="E24" s="54">
        <v>42514</v>
      </c>
      <c r="F24" s="35">
        <v>1269.43</v>
      </c>
      <c r="G24" s="35"/>
      <c r="H24" s="35"/>
      <c r="I24" s="49">
        <f t="shared" si="3"/>
        <v>1269.43</v>
      </c>
      <c r="J24" s="35"/>
      <c r="K24" s="67"/>
      <c r="L24" s="35"/>
      <c r="M24" s="35">
        <v>0</v>
      </c>
      <c r="N24" s="68"/>
      <c r="O24" s="68"/>
      <c r="P24" s="35"/>
      <c r="Q24" s="33"/>
      <c r="R24" s="33"/>
      <c r="S24" s="34"/>
      <c r="T24" s="34">
        <v>0</v>
      </c>
      <c r="U24" s="49">
        <f t="shared" si="0"/>
        <v>1269.43</v>
      </c>
      <c r="V24" s="33">
        <f t="shared" si="1"/>
        <v>0</v>
      </c>
      <c r="W24" s="49">
        <f t="shared" si="2"/>
        <v>1269.43</v>
      </c>
      <c r="X24" s="33">
        <f t="shared" si="4"/>
        <v>126.94300000000001</v>
      </c>
      <c r="Y24" s="33">
        <v>11.23</v>
      </c>
      <c r="Z24" s="33">
        <f t="shared" si="5"/>
        <v>0</v>
      </c>
      <c r="AA24" s="49">
        <f t="shared" si="6"/>
        <v>1407.6030000000001</v>
      </c>
      <c r="AB24" s="56"/>
      <c r="AC24" s="57"/>
      <c r="AD24" s="50"/>
      <c r="AE24" s="36">
        <v>56708844978</v>
      </c>
      <c r="AF24" s="36"/>
      <c r="AG24" s="18" t="s">
        <v>199</v>
      </c>
    </row>
    <row r="25" spans="1:33" s="18" customFormat="1">
      <c r="A25" s="34" t="s">
        <v>28</v>
      </c>
      <c r="B25" s="34" t="s">
        <v>145</v>
      </c>
      <c r="C25" s="34"/>
      <c r="D25" s="34" t="s">
        <v>146</v>
      </c>
      <c r="E25" s="54">
        <v>41359</v>
      </c>
      <c r="F25" s="35">
        <v>1570.42</v>
      </c>
      <c r="G25" s="35"/>
      <c r="H25" s="35"/>
      <c r="I25" s="49">
        <f t="shared" si="3"/>
        <v>1570.42</v>
      </c>
      <c r="J25" s="35">
        <v>413.79</v>
      </c>
      <c r="K25" s="67"/>
      <c r="L25" s="35"/>
      <c r="M25" s="35"/>
      <c r="N25" s="68"/>
      <c r="O25" s="68"/>
      <c r="P25" s="35"/>
      <c r="Q25" s="33"/>
      <c r="R25" s="33"/>
      <c r="S25" s="34"/>
      <c r="T25" s="34"/>
      <c r="U25" s="49">
        <f t="shared" ref="U25" si="22">+I25-SUM(J25:T25)</f>
        <v>1156.6300000000001</v>
      </c>
      <c r="V25" s="33">
        <f t="shared" ref="V25" si="23">IF(I25&gt;2250,I25*0.1,0)</f>
        <v>0</v>
      </c>
      <c r="W25" s="49">
        <f t="shared" ref="W25" si="24">+U25-V25</f>
        <v>1156.6300000000001</v>
      </c>
      <c r="X25" s="33"/>
      <c r="Y25" s="33"/>
      <c r="Z25" s="33"/>
      <c r="AA25" s="49"/>
      <c r="AB25" s="56"/>
      <c r="AC25" s="57"/>
      <c r="AD25" s="50"/>
      <c r="AE25" s="36">
        <v>56708881383</v>
      </c>
      <c r="AF25" s="36" t="s">
        <v>203</v>
      </c>
      <c r="AG25" s="18" t="s">
        <v>199</v>
      </c>
    </row>
    <row r="26" spans="1:33" s="18" customFormat="1">
      <c r="A26" s="34" t="s">
        <v>28</v>
      </c>
      <c r="B26" s="34" t="s">
        <v>182</v>
      </c>
      <c r="C26" s="34"/>
      <c r="D26" s="34" t="s">
        <v>30</v>
      </c>
      <c r="E26" s="54">
        <v>42798</v>
      </c>
      <c r="F26" s="35"/>
      <c r="G26" s="35"/>
      <c r="H26" s="35"/>
      <c r="I26" s="49">
        <f t="shared" si="3"/>
        <v>0</v>
      </c>
      <c r="J26" s="35"/>
      <c r="K26" s="67"/>
      <c r="L26" s="35"/>
      <c r="M26" s="35"/>
      <c r="N26" s="68"/>
      <c r="O26" s="68"/>
      <c r="P26" s="35"/>
      <c r="Q26" s="33"/>
      <c r="R26" s="33"/>
      <c r="S26" s="34"/>
      <c r="T26" s="34">
        <v>250</v>
      </c>
      <c r="U26" s="49">
        <f t="shared" ref="U26" si="25">+I26-SUM(J26:T26)</f>
        <v>-250</v>
      </c>
      <c r="V26" s="33"/>
      <c r="W26" s="49"/>
      <c r="X26" s="33"/>
      <c r="Y26" s="33"/>
      <c r="Z26" s="33"/>
      <c r="AA26" s="49"/>
      <c r="AB26" s="56"/>
      <c r="AC26" s="57"/>
      <c r="AD26" s="50"/>
      <c r="AE26" s="88">
        <v>1129000062</v>
      </c>
      <c r="AF26" s="36"/>
      <c r="AG26" s="18" t="s">
        <v>201</v>
      </c>
    </row>
    <row r="27" spans="1:33" s="18" customFormat="1">
      <c r="A27" s="34" t="s">
        <v>28</v>
      </c>
      <c r="B27" s="34" t="s">
        <v>109</v>
      </c>
      <c r="C27" s="34" t="s">
        <v>77</v>
      </c>
      <c r="D27" s="34" t="s">
        <v>30</v>
      </c>
      <c r="E27" s="54">
        <v>42413</v>
      </c>
      <c r="F27" s="35">
        <v>9588.27</v>
      </c>
      <c r="G27" s="35"/>
      <c r="H27" s="35"/>
      <c r="I27" s="49">
        <f t="shared" si="3"/>
        <v>9588.27</v>
      </c>
      <c r="J27" s="35"/>
      <c r="K27" s="67"/>
      <c r="L27" s="35">
        <v>33.049999999999997</v>
      </c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0"/>
        <v>9555.2200000000012</v>
      </c>
      <c r="V27" s="33">
        <f t="shared" si="1"/>
        <v>958.82700000000011</v>
      </c>
      <c r="W27" s="49">
        <f t="shared" si="2"/>
        <v>8596.3930000000018</v>
      </c>
      <c r="X27" s="33">
        <f t="shared" si="4"/>
        <v>0</v>
      </c>
      <c r="Y27" s="33">
        <v>13.23</v>
      </c>
      <c r="Z27" s="33">
        <f t="shared" si="5"/>
        <v>0</v>
      </c>
      <c r="AA27" s="49">
        <f t="shared" si="6"/>
        <v>9601.5</v>
      </c>
      <c r="AB27" s="56"/>
      <c r="AC27" s="57"/>
      <c r="AD27" s="50">
        <f>+AB27+AC27-W27</f>
        <v>-8596.3930000000018</v>
      </c>
      <c r="AE27" s="88">
        <v>2861674129</v>
      </c>
      <c r="AF27" s="36"/>
      <c r="AG27" s="18" t="s">
        <v>201</v>
      </c>
    </row>
    <row r="28" spans="1:33" s="18" customFormat="1">
      <c r="A28" s="34" t="s">
        <v>28</v>
      </c>
      <c r="B28" s="34" t="s">
        <v>121</v>
      </c>
      <c r="C28" s="34"/>
      <c r="D28" s="34" t="s">
        <v>30</v>
      </c>
      <c r="E28" s="54">
        <v>42532</v>
      </c>
      <c r="F28" s="35"/>
      <c r="G28" s="35"/>
      <c r="H28" s="35"/>
      <c r="I28" s="49">
        <f t="shared" si="3"/>
        <v>0</v>
      </c>
      <c r="J28" s="35"/>
      <c r="K28" s="67"/>
      <c r="L28" s="35">
        <v>33.049999999999997</v>
      </c>
      <c r="M28" s="35">
        <v>0</v>
      </c>
      <c r="N28" s="68"/>
      <c r="O28" s="68"/>
      <c r="P28" s="35"/>
      <c r="Q28" s="33"/>
      <c r="R28" s="33"/>
      <c r="S28" s="34"/>
      <c r="T28" s="34">
        <v>0</v>
      </c>
      <c r="U28" s="49">
        <f t="shared" si="0"/>
        <v>-33.049999999999997</v>
      </c>
      <c r="V28" s="33">
        <f t="shared" si="1"/>
        <v>0</v>
      </c>
      <c r="W28" s="49">
        <f t="shared" si="2"/>
        <v>-33.049999999999997</v>
      </c>
      <c r="X28" s="33">
        <f t="shared" si="4"/>
        <v>0</v>
      </c>
      <c r="Y28" s="33">
        <v>13.23</v>
      </c>
      <c r="Z28" s="33">
        <f t="shared" si="5"/>
        <v>0</v>
      </c>
      <c r="AA28" s="49">
        <f t="shared" si="6"/>
        <v>13.23</v>
      </c>
      <c r="AB28" s="56"/>
      <c r="AC28" s="57"/>
      <c r="AD28" s="50">
        <f>+AB28+AC28-W28</f>
        <v>33.049999999999997</v>
      </c>
      <c r="AE28" s="36">
        <v>56708881426</v>
      </c>
      <c r="AF28" s="36"/>
      <c r="AG28" s="18" t="s">
        <v>199</v>
      </c>
    </row>
    <row r="29" spans="1:33" s="18" customFormat="1">
      <c r="A29" s="69" t="s">
        <v>26</v>
      </c>
      <c r="B29" s="69" t="s">
        <v>139</v>
      </c>
      <c r="C29" s="69"/>
      <c r="D29" s="69" t="s">
        <v>138</v>
      </c>
      <c r="E29" s="70">
        <v>42010</v>
      </c>
      <c r="F29" s="71"/>
      <c r="G29" s="71"/>
      <c r="H29" s="71"/>
      <c r="I29" s="49">
        <f t="shared" si="3"/>
        <v>0</v>
      </c>
      <c r="J29" s="35"/>
      <c r="K29" s="67"/>
      <c r="L29" s="35"/>
      <c r="M29" s="35"/>
      <c r="N29" s="68"/>
      <c r="O29" s="68"/>
      <c r="P29" s="35"/>
      <c r="Q29" s="33"/>
      <c r="R29" s="33"/>
      <c r="S29" s="34"/>
      <c r="T29" s="34"/>
      <c r="U29" s="49"/>
      <c r="V29" s="33"/>
      <c r="W29" s="49"/>
      <c r="X29" s="33"/>
      <c r="Y29" s="33"/>
      <c r="Z29" s="33"/>
      <c r="AA29" s="49"/>
      <c r="AB29" s="56"/>
      <c r="AC29" s="57"/>
      <c r="AD29" s="50"/>
      <c r="AE29" s="34"/>
      <c r="AF29" s="72" t="s">
        <v>140</v>
      </c>
    </row>
    <row r="30" spans="1:33" s="18" customFormat="1">
      <c r="A30" s="34" t="s">
        <v>27</v>
      </c>
      <c r="B30" s="34" t="s">
        <v>148</v>
      </c>
      <c r="C30" s="34"/>
      <c r="D30" s="34" t="s">
        <v>46</v>
      </c>
      <c r="E30" s="54">
        <v>42660</v>
      </c>
      <c r="F30" s="35">
        <v>8448.67</v>
      </c>
      <c r="G30" s="35"/>
      <c r="H30" s="35"/>
      <c r="I30" s="49">
        <f t="shared" si="3"/>
        <v>8448.67</v>
      </c>
      <c r="J30" s="35"/>
      <c r="K30" s="67"/>
      <c r="L30" s="35"/>
      <c r="M30" s="35"/>
      <c r="N30" s="68"/>
      <c r="O30" s="68"/>
      <c r="P30" s="35"/>
      <c r="Q30" s="33"/>
      <c r="R30" s="33"/>
      <c r="S30" s="34"/>
      <c r="T30" s="34"/>
      <c r="U30" s="49">
        <f t="shared" ref="U30" si="26">+I30-SUM(J30:T30)</f>
        <v>8448.67</v>
      </c>
      <c r="V30" s="33">
        <f t="shared" ref="V30" si="27">IF(I30&gt;2250,I30*0.1,0)</f>
        <v>844.86700000000008</v>
      </c>
      <c r="W30" s="49">
        <f t="shared" ref="W30" si="28">+U30-V30</f>
        <v>7603.8029999999999</v>
      </c>
      <c r="X30" s="33"/>
      <c r="Y30" s="33"/>
      <c r="Z30" s="33"/>
      <c r="AA30" s="49"/>
      <c r="AB30" s="56"/>
      <c r="AC30" s="57"/>
      <c r="AD30" s="50"/>
      <c r="AE30" s="36">
        <v>60589655838</v>
      </c>
      <c r="AF30" s="36"/>
      <c r="AG30" s="18" t="s">
        <v>199</v>
      </c>
    </row>
    <row r="31" spans="1:33" s="18" customFormat="1">
      <c r="A31" s="34" t="s">
        <v>28</v>
      </c>
      <c r="B31" s="34" t="s">
        <v>115</v>
      </c>
      <c r="C31" s="34"/>
      <c r="D31" s="34" t="s">
        <v>129</v>
      </c>
      <c r="E31" s="54">
        <v>42480</v>
      </c>
      <c r="F31" s="35"/>
      <c r="G31" s="35"/>
      <c r="H31" s="35"/>
      <c r="I31" s="49">
        <f t="shared" si="3"/>
        <v>0</v>
      </c>
      <c r="J31" s="35"/>
      <c r="K31" s="67"/>
      <c r="L31" s="35"/>
      <c r="M31" s="35">
        <v>0</v>
      </c>
      <c r="N31" s="68"/>
      <c r="O31" s="68"/>
      <c r="P31" s="35"/>
      <c r="Q31" s="33"/>
      <c r="R31" s="33"/>
      <c r="S31" s="34"/>
      <c r="T31" s="34">
        <v>0</v>
      </c>
      <c r="U31" s="49">
        <f t="shared" ref="U31:U51" si="29">+I31-SUM(J31:T31)</f>
        <v>0</v>
      </c>
      <c r="V31" s="33">
        <f t="shared" ref="V31:V51" si="30">IF(I31&gt;2250,I31*0.1,0)</f>
        <v>0</v>
      </c>
      <c r="W31" s="49">
        <f t="shared" ref="W31:W51" si="31">+U31-V31</f>
        <v>0</v>
      </c>
      <c r="X31" s="33">
        <f t="shared" ref="X31:X51" si="32">IF(I31&lt;2250,I31*0.1,0)</f>
        <v>0</v>
      </c>
      <c r="Y31" s="33">
        <v>17.23</v>
      </c>
      <c r="Z31" s="33">
        <f t="shared" ref="Z31:Z51" si="33">+N31</f>
        <v>0</v>
      </c>
      <c r="AA31" s="49">
        <f t="shared" ref="AA31:AA51" si="34">+I31+X31+Y31+Z31</f>
        <v>17.23</v>
      </c>
      <c r="AB31" s="56"/>
      <c r="AC31" s="57"/>
      <c r="AD31" s="50">
        <f>+AB31+AC31-W31</f>
        <v>0</v>
      </c>
      <c r="AE31" s="36">
        <v>56708845010</v>
      </c>
      <c r="AF31" s="36"/>
      <c r="AG31" s="18" t="s">
        <v>199</v>
      </c>
    </row>
    <row r="32" spans="1:33" s="18" customFormat="1">
      <c r="A32" s="34" t="s">
        <v>28</v>
      </c>
      <c r="B32" s="34" t="s">
        <v>78</v>
      </c>
      <c r="C32" s="34" t="s">
        <v>77</v>
      </c>
      <c r="D32" s="34" t="s">
        <v>30</v>
      </c>
      <c r="E32" s="54">
        <v>42240</v>
      </c>
      <c r="F32" s="35"/>
      <c r="G32" s="35"/>
      <c r="H32" s="35"/>
      <c r="I32" s="49">
        <f t="shared" si="3"/>
        <v>0</v>
      </c>
      <c r="J32" s="35"/>
      <c r="K32" s="67"/>
      <c r="L32" s="35">
        <v>33.049999999999997</v>
      </c>
      <c r="M32" s="35">
        <v>0</v>
      </c>
      <c r="N32" s="68"/>
      <c r="O32" s="68"/>
      <c r="P32" s="35"/>
      <c r="Q32" s="33"/>
      <c r="R32" s="33"/>
      <c r="S32" s="34"/>
      <c r="T32" s="34">
        <v>0</v>
      </c>
      <c r="U32" s="49">
        <f t="shared" si="29"/>
        <v>-33.049999999999997</v>
      </c>
      <c r="V32" s="33">
        <f t="shared" si="30"/>
        <v>0</v>
      </c>
      <c r="W32" s="49">
        <f t="shared" si="31"/>
        <v>-33.049999999999997</v>
      </c>
      <c r="X32" s="33">
        <f t="shared" si="32"/>
        <v>0</v>
      </c>
      <c r="Y32" s="33">
        <v>18.23</v>
      </c>
      <c r="Z32" s="33">
        <f t="shared" si="33"/>
        <v>0</v>
      </c>
      <c r="AA32" s="49">
        <f t="shared" si="34"/>
        <v>18.23</v>
      </c>
      <c r="AB32" s="58"/>
      <c r="AC32" s="58"/>
      <c r="AD32" s="50">
        <f>+AB32+AC32-W32</f>
        <v>33.049999999999997</v>
      </c>
      <c r="AE32" s="36">
        <v>56708845024</v>
      </c>
      <c r="AF32" s="36"/>
      <c r="AG32" s="18" t="s">
        <v>199</v>
      </c>
    </row>
    <row r="33" spans="1:33" s="18" customFormat="1">
      <c r="A33" s="103" t="s">
        <v>41</v>
      </c>
      <c r="B33" s="103" t="s">
        <v>210</v>
      </c>
      <c r="C33" s="103"/>
      <c r="D33" s="103" t="s">
        <v>45</v>
      </c>
      <c r="E33" s="104">
        <v>42826</v>
      </c>
      <c r="F33" s="105"/>
      <c r="G33" s="105"/>
      <c r="H33" s="105"/>
      <c r="I33" s="49"/>
      <c r="J33" s="35"/>
      <c r="K33" s="67"/>
      <c r="L33" s="35"/>
      <c r="M33" s="35"/>
      <c r="N33" s="68"/>
      <c r="O33" s="68"/>
      <c r="P33" s="35"/>
      <c r="Q33" s="33"/>
      <c r="R33" s="33"/>
      <c r="S33" s="34"/>
      <c r="T33" s="34"/>
      <c r="U33" s="49"/>
      <c r="V33" s="33"/>
      <c r="W33" s="49"/>
      <c r="X33" s="33"/>
      <c r="Y33" s="33"/>
      <c r="Z33" s="33"/>
      <c r="AA33" s="49"/>
      <c r="AB33" s="56"/>
      <c r="AC33" s="56"/>
      <c r="AD33" s="50"/>
      <c r="AE33" s="106" t="s">
        <v>161</v>
      </c>
      <c r="AF33" s="103"/>
    </row>
    <row r="34" spans="1:33" s="18" customFormat="1">
      <c r="A34" s="34" t="s">
        <v>28</v>
      </c>
      <c r="B34" s="34" t="s">
        <v>152</v>
      </c>
      <c r="C34" s="34"/>
      <c r="D34" s="34" t="s">
        <v>30</v>
      </c>
      <c r="E34" s="54">
        <v>42415</v>
      </c>
      <c r="F34" s="35"/>
      <c r="G34" s="35"/>
      <c r="H34" s="35"/>
      <c r="I34" s="49">
        <f t="shared" si="3"/>
        <v>0</v>
      </c>
      <c r="J34" s="35"/>
      <c r="K34" s="67">
        <v>1</v>
      </c>
      <c r="L34" s="35">
        <v>33.049999999999997</v>
      </c>
      <c r="M34" s="35"/>
      <c r="N34" s="68"/>
      <c r="O34" s="68"/>
      <c r="P34" s="35"/>
      <c r="Q34" s="33"/>
      <c r="R34" s="33"/>
      <c r="S34" s="34"/>
      <c r="T34" s="34"/>
      <c r="U34" s="49">
        <f t="shared" ref="U34" si="35">+I34-SUM(J34:T34)</f>
        <v>-34.049999999999997</v>
      </c>
      <c r="V34" s="33">
        <f t="shared" ref="V34" si="36">IF(I34&gt;2250,I34*0.1,0)</f>
        <v>0</v>
      </c>
      <c r="W34" s="49">
        <f t="shared" ref="W34" si="37">+U34-V34</f>
        <v>-34.049999999999997</v>
      </c>
      <c r="X34" s="33"/>
      <c r="Y34" s="33"/>
      <c r="Z34" s="33"/>
      <c r="AA34" s="49"/>
      <c r="AB34" s="58"/>
      <c r="AC34" s="58"/>
      <c r="AD34" s="50"/>
      <c r="AE34" s="36">
        <v>56708881656</v>
      </c>
      <c r="AF34" s="36"/>
      <c r="AG34" s="18" t="s">
        <v>199</v>
      </c>
    </row>
    <row r="35" spans="1:33" s="18" customFormat="1">
      <c r="A35" s="34" t="s">
        <v>28</v>
      </c>
      <c r="B35" s="34" t="s">
        <v>68</v>
      </c>
      <c r="C35" s="34" t="s">
        <v>79</v>
      </c>
      <c r="D35" s="34" t="s">
        <v>30</v>
      </c>
      <c r="E35" s="54">
        <v>41463</v>
      </c>
      <c r="F35" s="35">
        <v>61.5</v>
      </c>
      <c r="G35" s="35"/>
      <c r="H35" s="35"/>
      <c r="I35" s="49">
        <f t="shared" si="3"/>
        <v>61.5</v>
      </c>
      <c r="J35" s="35"/>
      <c r="K35" s="67"/>
      <c r="L35" s="35">
        <v>33.049999999999997</v>
      </c>
      <c r="M35" s="35">
        <v>0</v>
      </c>
      <c r="N35" s="68"/>
      <c r="O35" s="68"/>
      <c r="P35" s="35"/>
      <c r="Q35" s="33"/>
      <c r="R35" s="33"/>
      <c r="S35" s="34"/>
      <c r="T35" s="34">
        <v>0</v>
      </c>
      <c r="U35" s="49">
        <f t="shared" si="29"/>
        <v>28.450000000000003</v>
      </c>
      <c r="V35" s="33">
        <f t="shared" si="30"/>
        <v>0</v>
      </c>
      <c r="W35" s="49">
        <f t="shared" si="31"/>
        <v>28.450000000000003</v>
      </c>
      <c r="X35" s="33">
        <f t="shared" si="32"/>
        <v>6.15</v>
      </c>
      <c r="Y35" s="33">
        <v>20.23</v>
      </c>
      <c r="Z35" s="33">
        <f t="shared" si="33"/>
        <v>0</v>
      </c>
      <c r="AA35" s="49">
        <f t="shared" si="34"/>
        <v>87.88000000000001</v>
      </c>
      <c r="AB35" s="56"/>
      <c r="AC35" s="57"/>
      <c r="AD35" s="50">
        <f>+AB35+AC35-W35</f>
        <v>-28.450000000000003</v>
      </c>
      <c r="AE35" s="36">
        <v>56708881457</v>
      </c>
      <c r="AF35" s="34"/>
      <c r="AG35" s="18" t="s">
        <v>199</v>
      </c>
    </row>
    <row r="36" spans="1:33" s="18" customFormat="1">
      <c r="A36" s="34" t="s">
        <v>26</v>
      </c>
      <c r="B36" s="34" t="s">
        <v>116</v>
      </c>
      <c r="C36" s="34"/>
      <c r="D36" s="34" t="s">
        <v>117</v>
      </c>
      <c r="E36" s="59">
        <v>40618</v>
      </c>
      <c r="F36" s="35">
        <v>5380</v>
      </c>
      <c r="G36" s="35"/>
      <c r="H36" s="35"/>
      <c r="I36" s="49">
        <f t="shared" si="3"/>
        <v>5380</v>
      </c>
      <c r="J36" s="35"/>
      <c r="K36" s="67"/>
      <c r="L36" s="35"/>
      <c r="M36" s="35">
        <v>0</v>
      </c>
      <c r="N36" s="68"/>
      <c r="O36" s="68"/>
      <c r="P36" s="35"/>
      <c r="Q36" s="33"/>
      <c r="R36" s="33"/>
      <c r="S36" s="34"/>
      <c r="T36" s="34">
        <v>0</v>
      </c>
      <c r="U36" s="49">
        <f t="shared" si="29"/>
        <v>5380</v>
      </c>
      <c r="V36" s="33">
        <f t="shared" si="30"/>
        <v>538</v>
      </c>
      <c r="W36" s="49">
        <f t="shared" si="31"/>
        <v>4842</v>
      </c>
      <c r="X36" s="33">
        <f t="shared" si="32"/>
        <v>0</v>
      </c>
      <c r="Y36" s="33">
        <v>21.23</v>
      </c>
      <c r="Z36" s="33">
        <f t="shared" si="33"/>
        <v>0</v>
      </c>
      <c r="AA36" s="49">
        <f t="shared" si="34"/>
        <v>5401.23</v>
      </c>
      <c r="AB36" s="56"/>
      <c r="AC36" s="57"/>
      <c r="AD36" s="50"/>
      <c r="AE36" s="36">
        <v>56708845038</v>
      </c>
      <c r="AF36" s="36"/>
      <c r="AG36" s="18" t="s">
        <v>199</v>
      </c>
    </row>
    <row r="37" spans="1:33" s="18" customFormat="1">
      <c r="A37" s="34" t="s">
        <v>28</v>
      </c>
      <c r="B37" s="34" t="s">
        <v>108</v>
      </c>
      <c r="C37" s="34" t="s">
        <v>82</v>
      </c>
      <c r="D37" s="34" t="s">
        <v>30</v>
      </c>
      <c r="E37" s="54">
        <v>42296</v>
      </c>
      <c r="F37" s="35"/>
      <c r="G37" s="35"/>
      <c r="H37" s="35"/>
      <c r="I37" s="49">
        <f t="shared" si="3"/>
        <v>0</v>
      </c>
      <c r="J37" s="35"/>
      <c r="K37" s="67"/>
      <c r="L37" s="35">
        <v>33.049999999999997</v>
      </c>
      <c r="M37" s="35">
        <v>0</v>
      </c>
      <c r="N37" s="68"/>
      <c r="O37" s="68"/>
      <c r="P37" s="35"/>
      <c r="Q37" s="33" t="s">
        <v>137</v>
      </c>
      <c r="R37" s="33"/>
      <c r="S37" s="34"/>
      <c r="T37" s="34">
        <v>672</v>
      </c>
      <c r="U37" s="49">
        <f t="shared" si="29"/>
        <v>-705.05</v>
      </c>
      <c r="V37" s="33">
        <f t="shared" si="30"/>
        <v>0</v>
      </c>
      <c r="W37" s="49">
        <f t="shared" si="31"/>
        <v>-705.05</v>
      </c>
      <c r="X37" s="33">
        <f t="shared" si="32"/>
        <v>0</v>
      </c>
      <c r="Y37" s="33">
        <v>10.23</v>
      </c>
      <c r="Z37" s="33">
        <f t="shared" si="33"/>
        <v>0</v>
      </c>
      <c r="AA37" s="49">
        <f t="shared" si="34"/>
        <v>10.23</v>
      </c>
      <c r="AB37" s="56"/>
      <c r="AC37" s="57"/>
      <c r="AD37" s="50">
        <f>+AB37+AC37-W37</f>
        <v>705.05</v>
      </c>
      <c r="AE37" s="36">
        <v>56708881460</v>
      </c>
      <c r="AF37" s="36"/>
      <c r="AG37" s="18" t="s">
        <v>199</v>
      </c>
    </row>
    <row r="38" spans="1:33" s="18" customFormat="1">
      <c r="A38" s="34" t="s">
        <v>27</v>
      </c>
      <c r="B38" s="34" t="s">
        <v>36</v>
      </c>
      <c r="C38" s="34" t="s">
        <v>97</v>
      </c>
      <c r="D38" s="34" t="s">
        <v>46</v>
      </c>
      <c r="E38" s="54">
        <v>42199</v>
      </c>
      <c r="F38" s="35"/>
      <c r="G38" s="35"/>
      <c r="H38" s="35"/>
      <c r="I38" s="49">
        <f t="shared" si="3"/>
        <v>0</v>
      </c>
      <c r="J38" s="35"/>
      <c r="K38" s="67"/>
      <c r="L38" s="35">
        <v>54.05</v>
      </c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9"/>
        <v>-54.05</v>
      </c>
      <c r="V38" s="33">
        <f t="shared" si="30"/>
        <v>0</v>
      </c>
      <c r="W38" s="49">
        <f t="shared" si="31"/>
        <v>-54.05</v>
      </c>
      <c r="X38" s="33">
        <f t="shared" si="32"/>
        <v>0</v>
      </c>
      <c r="Y38" s="33">
        <v>10.23</v>
      </c>
      <c r="Z38" s="33">
        <f t="shared" si="33"/>
        <v>0</v>
      </c>
      <c r="AA38" s="49">
        <f t="shared" si="34"/>
        <v>10.23</v>
      </c>
      <c r="AB38" s="56"/>
      <c r="AC38" s="57"/>
      <c r="AD38" s="50">
        <f>+AB38+AC38-W38</f>
        <v>54.05</v>
      </c>
      <c r="AE38" s="36">
        <v>56708881474</v>
      </c>
      <c r="AF38" s="34"/>
      <c r="AG38" s="18" t="s">
        <v>199</v>
      </c>
    </row>
    <row r="39" spans="1:33" s="18" customFormat="1">
      <c r="A39" s="34" t="s">
        <v>28</v>
      </c>
      <c r="B39" s="34" t="s">
        <v>83</v>
      </c>
      <c r="C39" s="34" t="s">
        <v>82</v>
      </c>
      <c r="D39" s="34" t="s">
        <v>30</v>
      </c>
      <c r="E39" s="54">
        <v>42304</v>
      </c>
      <c r="F39" s="35"/>
      <c r="G39" s="35"/>
      <c r="H39" s="35"/>
      <c r="I39" s="49">
        <f t="shared" si="3"/>
        <v>0</v>
      </c>
      <c r="J39" s="35"/>
      <c r="K39" s="67"/>
      <c r="L39" s="35">
        <v>33.049999999999997</v>
      </c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9"/>
        <v>-33.049999999999997</v>
      </c>
      <c r="V39" s="33">
        <f t="shared" si="30"/>
        <v>0</v>
      </c>
      <c r="W39" s="49">
        <f t="shared" si="31"/>
        <v>-33.049999999999997</v>
      </c>
      <c r="X39" s="33">
        <f t="shared" si="32"/>
        <v>0</v>
      </c>
      <c r="Y39" s="33">
        <v>10.23</v>
      </c>
      <c r="Z39" s="33">
        <f t="shared" si="33"/>
        <v>0</v>
      </c>
      <c r="AA39" s="49">
        <f t="shared" si="34"/>
        <v>10.23</v>
      </c>
      <c r="AB39" s="50"/>
      <c r="AC39" s="50"/>
      <c r="AD39" s="50"/>
      <c r="AE39" s="36">
        <v>56708845069</v>
      </c>
      <c r="AF39" s="36"/>
      <c r="AG39" s="18" t="s">
        <v>199</v>
      </c>
    </row>
    <row r="40" spans="1:33" s="18" customFormat="1">
      <c r="A40" s="34" t="s">
        <v>27</v>
      </c>
      <c r="B40" s="34" t="s">
        <v>124</v>
      </c>
      <c r="C40" s="34"/>
      <c r="D40" s="34" t="s">
        <v>46</v>
      </c>
      <c r="E40" s="54">
        <v>42576</v>
      </c>
      <c r="F40" s="35"/>
      <c r="G40" s="35"/>
      <c r="H40" s="35"/>
      <c r="I40" s="49">
        <f t="shared" si="3"/>
        <v>0</v>
      </c>
      <c r="J40" s="35"/>
      <c r="K40" s="67"/>
      <c r="L40" s="35"/>
      <c r="M40" s="35">
        <v>0</v>
      </c>
      <c r="N40" s="68"/>
      <c r="O40" s="68"/>
      <c r="P40" s="35"/>
      <c r="Q40" s="33"/>
      <c r="R40" s="33"/>
      <c r="S40" s="34"/>
      <c r="T40" s="34">
        <v>0</v>
      </c>
      <c r="U40" s="49">
        <f t="shared" si="29"/>
        <v>0</v>
      </c>
      <c r="V40" s="33">
        <f t="shared" si="30"/>
        <v>0</v>
      </c>
      <c r="W40" s="49">
        <f t="shared" si="31"/>
        <v>0</v>
      </c>
      <c r="X40" s="33">
        <f t="shared" si="32"/>
        <v>0</v>
      </c>
      <c r="Y40" s="33">
        <v>11.23</v>
      </c>
      <c r="Z40" s="33">
        <f t="shared" si="33"/>
        <v>0</v>
      </c>
      <c r="AA40" s="49">
        <f t="shared" si="34"/>
        <v>11.23</v>
      </c>
      <c r="AB40" s="52"/>
      <c r="AC40" s="52"/>
      <c r="AD40" s="52"/>
      <c r="AE40" s="36">
        <v>56708845072</v>
      </c>
      <c r="AF40" s="36"/>
      <c r="AG40" s="18" t="s">
        <v>199</v>
      </c>
    </row>
    <row r="41" spans="1:33" s="18" customFormat="1">
      <c r="A41" s="34" t="s">
        <v>28</v>
      </c>
      <c r="B41" s="34" t="s">
        <v>105</v>
      </c>
      <c r="C41" s="34" t="s">
        <v>82</v>
      </c>
      <c r="D41" s="34" t="s">
        <v>30</v>
      </c>
      <c r="E41" s="54">
        <v>41622</v>
      </c>
      <c r="F41" s="35"/>
      <c r="G41" s="35"/>
      <c r="H41" s="35"/>
      <c r="I41" s="49">
        <f t="shared" si="3"/>
        <v>0</v>
      </c>
      <c r="J41" s="35"/>
      <c r="K41" s="67"/>
      <c r="L41" s="35">
        <v>33.049999999999997</v>
      </c>
      <c r="M41" s="35">
        <v>0</v>
      </c>
      <c r="N41" s="68"/>
      <c r="O41" s="68"/>
      <c r="P41" s="35"/>
      <c r="Q41" s="33"/>
      <c r="R41" s="33"/>
      <c r="S41" s="34"/>
      <c r="T41" s="34">
        <v>0</v>
      </c>
      <c r="U41" s="49">
        <f t="shared" si="29"/>
        <v>-33.049999999999997</v>
      </c>
      <c r="V41" s="33">
        <f t="shared" si="30"/>
        <v>0</v>
      </c>
      <c r="W41" s="49">
        <f t="shared" si="31"/>
        <v>-33.049999999999997</v>
      </c>
      <c r="X41" s="33">
        <f t="shared" si="32"/>
        <v>0</v>
      </c>
      <c r="Y41" s="33">
        <v>10.23</v>
      </c>
      <c r="Z41" s="33">
        <f t="shared" si="33"/>
        <v>0</v>
      </c>
      <c r="AA41" s="49">
        <f t="shared" si="34"/>
        <v>10.23</v>
      </c>
      <c r="AB41" s="56"/>
      <c r="AC41" s="56"/>
      <c r="AD41" s="50">
        <f t="shared" ref="AD41:AD44" si="38">+AB41+AC41-W41</f>
        <v>33.049999999999997</v>
      </c>
      <c r="AE41" s="36">
        <v>56708881491</v>
      </c>
      <c r="AF41" s="34"/>
      <c r="AG41" s="18" t="s">
        <v>199</v>
      </c>
    </row>
    <row r="42" spans="1:33" s="18" customFormat="1">
      <c r="A42" s="103" t="s">
        <v>28</v>
      </c>
      <c r="B42" s="103" t="s">
        <v>209</v>
      </c>
      <c r="C42" s="103"/>
      <c r="D42" s="103" t="s">
        <v>30</v>
      </c>
      <c r="E42" s="104">
        <v>42828</v>
      </c>
      <c r="F42" s="105"/>
      <c r="G42" s="105"/>
      <c r="H42" s="105"/>
      <c r="I42" s="49"/>
      <c r="J42" s="35"/>
      <c r="K42" s="67"/>
      <c r="L42" s="35"/>
      <c r="M42" s="35"/>
      <c r="N42" s="68"/>
      <c r="O42" s="68"/>
      <c r="P42" s="35"/>
      <c r="Q42" s="33"/>
      <c r="R42" s="33"/>
      <c r="S42" s="34"/>
      <c r="T42" s="34"/>
      <c r="U42" s="49"/>
      <c r="V42" s="33"/>
      <c r="W42" s="49"/>
      <c r="X42" s="33"/>
      <c r="Y42" s="33"/>
      <c r="Z42" s="33"/>
      <c r="AA42" s="49"/>
      <c r="AB42" s="56"/>
      <c r="AC42" s="56"/>
      <c r="AD42" s="50"/>
      <c r="AE42" s="106">
        <v>60589861092</v>
      </c>
      <c r="AF42" s="103"/>
      <c r="AG42" s="18" t="s">
        <v>199</v>
      </c>
    </row>
    <row r="43" spans="1:33" s="18" customFormat="1">
      <c r="A43" s="34" t="s">
        <v>28</v>
      </c>
      <c r="B43" s="34" t="s">
        <v>111</v>
      </c>
      <c r="C43" s="34" t="s">
        <v>79</v>
      </c>
      <c r="D43" s="34" t="s">
        <v>30</v>
      </c>
      <c r="E43" s="54">
        <v>37834</v>
      </c>
      <c r="F43" s="35">
        <v>6577.66</v>
      </c>
      <c r="G43" s="35"/>
      <c r="H43" s="35"/>
      <c r="I43" s="49">
        <f t="shared" si="3"/>
        <v>6577.66</v>
      </c>
      <c r="J43" s="35"/>
      <c r="K43" s="67"/>
      <c r="L43" s="35">
        <v>33.049999999999997</v>
      </c>
      <c r="M43" s="35">
        <v>0</v>
      </c>
      <c r="N43" s="68"/>
      <c r="O43" s="68"/>
      <c r="P43" s="35"/>
      <c r="Q43" s="33"/>
      <c r="R43" s="33"/>
      <c r="S43" s="34"/>
      <c r="T43" s="34">
        <v>0</v>
      </c>
      <c r="U43" s="49">
        <f t="shared" si="29"/>
        <v>6544.61</v>
      </c>
      <c r="V43" s="33">
        <f t="shared" si="30"/>
        <v>657.76600000000008</v>
      </c>
      <c r="W43" s="49">
        <f t="shared" si="31"/>
        <v>5886.8439999999991</v>
      </c>
      <c r="X43" s="33">
        <f t="shared" si="32"/>
        <v>0</v>
      </c>
      <c r="Y43" s="33">
        <v>10.23</v>
      </c>
      <c r="Z43" s="33">
        <f t="shared" si="33"/>
        <v>0</v>
      </c>
      <c r="AA43" s="49">
        <f t="shared" si="34"/>
        <v>6587.8899999999994</v>
      </c>
      <c r="AB43" s="56"/>
      <c r="AC43" s="57"/>
      <c r="AD43" s="50">
        <f t="shared" si="38"/>
        <v>-5886.8439999999991</v>
      </c>
      <c r="AE43" s="36">
        <v>56708881503</v>
      </c>
      <c r="AF43" s="36"/>
      <c r="AG43" s="18" t="s">
        <v>199</v>
      </c>
    </row>
    <row r="44" spans="1:33" s="18" customFormat="1">
      <c r="A44" s="34" t="s">
        <v>28</v>
      </c>
      <c r="B44" s="34" t="s">
        <v>64</v>
      </c>
      <c r="C44" s="34" t="s">
        <v>77</v>
      </c>
      <c r="D44" s="34" t="s">
        <v>30</v>
      </c>
      <c r="E44" s="54">
        <v>42394</v>
      </c>
      <c r="F44" s="35"/>
      <c r="G44" s="35"/>
      <c r="H44" s="35"/>
      <c r="I44" s="49">
        <f t="shared" si="3"/>
        <v>0</v>
      </c>
      <c r="J44" s="35">
        <v>100</v>
      </c>
      <c r="K44" s="67"/>
      <c r="L44" s="35">
        <v>33.049999999999997</v>
      </c>
      <c r="M44" s="35">
        <v>0</v>
      </c>
      <c r="N44" s="68"/>
      <c r="O44" s="68"/>
      <c r="P44" s="35"/>
      <c r="Q44" s="33"/>
      <c r="R44" s="33"/>
      <c r="S44" s="51"/>
      <c r="T44" s="51">
        <v>500</v>
      </c>
      <c r="U44" s="49">
        <f t="shared" si="29"/>
        <v>-633.04999999999995</v>
      </c>
      <c r="V44" s="33">
        <f t="shared" si="30"/>
        <v>0</v>
      </c>
      <c r="W44" s="49">
        <f t="shared" si="31"/>
        <v>-633.04999999999995</v>
      </c>
      <c r="X44" s="33">
        <f t="shared" si="32"/>
        <v>0</v>
      </c>
      <c r="Y44" s="33">
        <v>10.23</v>
      </c>
      <c r="Z44" s="33">
        <f t="shared" si="33"/>
        <v>0</v>
      </c>
      <c r="AA44" s="49">
        <f t="shared" si="34"/>
        <v>10.23</v>
      </c>
      <c r="AB44" s="56"/>
      <c r="AC44" s="57"/>
      <c r="AD44" s="50">
        <f t="shared" si="38"/>
        <v>633.04999999999995</v>
      </c>
      <c r="AE44" s="36">
        <v>56708881517</v>
      </c>
      <c r="AF44" s="36" t="s">
        <v>191</v>
      </c>
      <c r="AG44" s="18" t="s">
        <v>199</v>
      </c>
    </row>
    <row r="45" spans="1:33" s="18" customFormat="1">
      <c r="A45" s="34" t="s">
        <v>28</v>
      </c>
      <c r="B45" s="34" t="s">
        <v>144</v>
      </c>
      <c r="C45" s="34"/>
      <c r="D45" s="34" t="s">
        <v>30</v>
      </c>
      <c r="E45" s="54">
        <v>42342</v>
      </c>
      <c r="F45" s="35"/>
      <c r="G45" s="35"/>
      <c r="H45" s="35"/>
      <c r="I45" s="49">
        <f t="shared" si="3"/>
        <v>0</v>
      </c>
      <c r="J45" s="35"/>
      <c r="K45" s="67">
        <v>1</v>
      </c>
      <c r="L45" s="35">
        <v>26.44</v>
      </c>
      <c r="M45" s="35">
        <v>0</v>
      </c>
      <c r="N45" s="68"/>
      <c r="O45" s="68"/>
      <c r="P45" s="35"/>
      <c r="Q45" s="33">
        <v>257.3</v>
      </c>
      <c r="R45" s="33"/>
      <c r="S45" s="51"/>
      <c r="T45" s="51"/>
      <c r="U45" s="49">
        <f t="shared" ref="U45" si="39">+I45-SUM(J45:T45)</f>
        <v>-284.74</v>
      </c>
      <c r="V45" s="33">
        <f t="shared" ref="V45" si="40">IF(I45&gt;2250,I45*0.1,0)</f>
        <v>0</v>
      </c>
      <c r="W45" s="49">
        <f t="shared" ref="W45" si="41">+U45-V45</f>
        <v>-284.74</v>
      </c>
      <c r="X45" s="33"/>
      <c r="Y45" s="33"/>
      <c r="Z45" s="33"/>
      <c r="AA45" s="49"/>
      <c r="AB45" s="56"/>
      <c r="AC45" s="57"/>
      <c r="AD45" s="50"/>
      <c r="AE45" s="36">
        <v>56708845101</v>
      </c>
      <c r="AF45" s="36"/>
      <c r="AG45" s="18" t="s">
        <v>199</v>
      </c>
    </row>
    <row r="46" spans="1:33" s="18" customFormat="1">
      <c r="A46" s="34" t="s">
        <v>28</v>
      </c>
      <c r="B46" s="34" t="s">
        <v>147</v>
      </c>
      <c r="C46" s="34"/>
      <c r="D46" s="34" t="s">
        <v>30</v>
      </c>
      <c r="E46" s="54">
        <v>42648</v>
      </c>
      <c r="F46" s="35">
        <v>443.1</v>
      </c>
      <c r="G46" s="35"/>
      <c r="H46" s="35"/>
      <c r="I46" s="49">
        <f t="shared" si="3"/>
        <v>443.1</v>
      </c>
      <c r="J46" s="35"/>
      <c r="K46" s="67"/>
      <c r="L46" s="35">
        <v>33.049999999999997</v>
      </c>
      <c r="M46" s="35"/>
      <c r="N46" s="68"/>
      <c r="O46" s="68"/>
      <c r="P46" s="35"/>
      <c r="Q46" s="33"/>
      <c r="R46" s="33"/>
      <c r="S46" s="51"/>
      <c r="T46" s="51"/>
      <c r="U46" s="49">
        <f t="shared" ref="U46" si="42">+I46-SUM(J46:T46)</f>
        <v>410.05</v>
      </c>
      <c r="V46" s="33">
        <f t="shared" ref="V46" si="43">IF(I46&gt;2250,I46*0.1,0)</f>
        <v>0</v>
      </c>
      <c r="W46" s="49">
        <f t="shared" ref="W46" si="44">+U46-V46</f>
        <v>410.05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199</v>
      </c>
    </row>
    <row r="47" spans="1:33" s="18" customFormat="1">
      <c r="A47" s="34" t="s">
        <v>27</v>
      </c>
      <c r="B47" s="34" t="s">
        <v>154</v>
      </c>
      <c r="C47" s="34"/>
      <c r="D47" s="34" t="s">
        <v>46</v>
      </c>
      <c r="E47" s="54">
        <v>42644</v>
      </c>
      <c r="F47" s="35">
        <v>3527.15</v>
      </c>
      <c r="G47" s="35"/>
      <c r="H47" s="35"/>
      <c r="I47" s="49">
        <f t="shared" si="3"/>
        <v>3527.15</v>
      </c>
      <c r="J47" s="35"/>
      <c r="K47" s="67"/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ref="U47" si="45">+I47-SUM(J47:T47)</f>
        <v>3527.15</v>
      </c>
      <c r="V47" s="33">
        <f t="shared" ref="V47" si="46">IF(I47&gt;2250,I47*0.1,0)</f>
        <v>352.71500000000003</v>
      </c>
      <c r="W47" s="49">
        <f t="shared" ref="W47" si="47">+U47-V47</f>
        <v>3174.4349999999999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199</v>
      </c>
    </row>
    <row r="48" spans="1:33" s="18" customFormat="1">
      <c r="A48" s="34" t="s">
        <v>28</v>
      </c>
      <c r="B48" s="34" t="s">
        <v>167</v>
      </c>
      <c r="C48" s="34"/>
      <c r="D48" s="34" t="s">
        <v>30</v>
      </c>
      <c r="E48" s="54">
        <v>42751</v>
      </c>
      <c r="F48" s="35">
        <v>5425.29</v>
      </c>
      <c r="G48" s="35"/>
      <c r="H48" s="35"/>
      <c r="I48" s="49">
        <f t="shared" si="3"/>
        <v>5425.29</v>
      </c>
      <c r="J48" s="35"/>
      <c r="K48" s="67"/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ref="U48" si="48">+I48-SUM(J48:T48)</f>
        <v>5425.29</v>
      </c>
      <c r="V48" s="33">
        <f t="shared" ref="V48" si="49">IF(I48&gt;2250,I48*0.1,0)</f>
        <v>542.529</v>
      </c>
      <c r="W48" s="49">
        <f t="shared" ref="W48" si="50">+U48-V48</f>
        <v>4882.7610000000004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199</v>
      </c>
    </row>
    <row r="49" spans="1:33" s="18" customFormat="1">
      <c r="A49" s="34" t="s">
        <v>41</v>
      </c>
      <c r="B49" s="34" t="s">
        <v>133</v>
      </c>
      <c r="C49" s="34"/>
      <c r="D49" s="102" t="s">
        <v>45</v>
      </c>
      <c r="E49" s="54">
        <v>41709</v>
      </c>
      <c r="F49" s="74"/>
      <c r="G49" s="35"/>
      <c r="H49" s="35"/>
      <c r="I49" s="49">
        <f t="shared" si="3"/>
        <v>0</v>
      </c>
      <c r="J49" s="35"/>
      <c r="K49" s="67"/>
      <c r="L49" s="35"/>
      <c r="M49" s="35"/>
      <c r="N49" s="68"/>
      <c r="O49" s="68"/>
      <c r="P49" s="35"/>
      <c r="Q49" s="33"/>
      <c r="R49" s="33"/>
      <c r="S49" s="34"/>
      <c r="T49" s="34">
        <v>0</v>
      </c>
      <c r="U49" s="49">
        <f t="shared" si="29"/>
        <v>0</v>
      </c>
      <c r="V49" s="33">
        <f t="shared" si="30"/>
        <v>0</v>
      </c>
      <c r="W49" s="49">
        <f t="shared" si="31"/>
        <v>0</v>
      </c>
      <c r="X49" s="33">
        <f t="shared" si="32"/>
        <v>0</v>
      </c>
      <c r="Y49" s="33">
        <v>11.23</v>
      </c>
      <c r="Z49" s="33">
        <f t="shared" si="33"/>
        <v>0</v>
      </c>
      <c r="AA49" s="49">
        <f t="shared" si="34"/>
        <v>11.23</v>
      </c>
      <c r="AB49" s="56"/>
      <c r="AC49" s="57"/>
      <c r="AD49" s="50"/>
      <c r="AE49" s="88">
        <v>2836126510</v>
      </c>
      <c r="AF49" s="34"/>
      <c r="AG49" s="18" t="s">
        <v>201</v>
      </c>
    </row>
    <row r="50" spans="1:33" s="18" customFormat="1">
      <c r="A50" s="34" t="s">
        <v>28</v>
      </c>
      <c r="B50" s="34" t="s">
        <v>92</v>
      </c>
      <c r="C50" s="34" t="s">
        <v>82</v>
      </c>
      <c r="D50" s="34" t="s">
        <v>30</v>
      </c>
      <c r="E50" s="54">
        <v>42251</v>
      </c>
      <c r="F50" s="35"/>
      <c r="G50" s="35"/>
      <c r="H50" s="35"/>
      <c r="I50" s="49">
        <f t="shared" si="3"/>
        <v>0</v>
      </c>
      <c r="J50" s="35"/>
      <c r="K50" s="67"/>
      <c r="L50" s="35">
        <v>33.049999999999997</v>
      </c>
      <c r="M50" s="35">
        <v>0</v>
      </c>
      <c r="N50" s="68"/>
      <c r="O50" s="68"/>
      <c r="P50" s="35"/>
      <c r="Q50" s="33"/>
      <c r="R50" s="33"/>
      <c r="S50" s="34"/>
      <c r="T50" s="34">
        <v>0</v>
      </c>
      <c r="U50" s="49">
        <f t="shared" si="29"/>
        <v>-33.049999999999997</v>
      </c>
      <c r="V50" s="33">
        <f t="shared" si="30"/>
        <v>0</v>
      </c>
      <c r="W50" s="49">
        <f t="shared" si="31"/>
        <v>-33.049999999999997</v>
      </c>
      <c r="X50" s="33">
        <f t="shared" si="32"/>
        <v>0</v>
      </c>
      <c r="Y50" s="33">
        <v>10.23</v>
      </c>
      <c r="Z50" s="33">
        <f t="shared" si="33"/>
        <v>0</v>
      </c>
      <c r="AA50" s="49">
        <f t="shared" si="34"/>
        <v>10.23</v>
      </c>
      <c r="AB50" s="56"/>
      <c r="AC50" s="57"/>
      <c r="AD50" s="50">
        <f t="shared" ref="AD50:AD51" si="51">+AB50+AC50-W50</f>
        <v>33.049999999999997</v>
      </c>
      <c r="AE50" s="36">
        <v>56708881548</v>
      </c>
      <c r="AF50" s="34"/>
      <c r="AG50" s="18" t="s">
        <v>199</v>
      </c>
    </row>
    <row r="51" spans="1:33" s="18" customFormat="1">
      <c r="A51" s="34" t="s">
        <v>39</v>
      </c>
      <c r="B51" s="34" t="s">
        <v>114</v>
      </c>
      <c r="C51" s="34"/>
      <c r="D51" s="34" t="s">
        <v>29</v>
      </c>
      <c r="E51" s="54">
        <v>42506</v>
      </c>
      <c r="F51" s="35">
        <v>1934.85</v>
      </c>
      <c r="G51" s="35"/>
      <c r="H51" s="35"/>
      <c r="I51" s="49">
        <f t="shared" si="3"/>
        <v>1934.85</v>
      </c>
      <c r="J51" s="35"/>
      <c r="K51" s="67"/>
      <c r="L51" s="35"/>
      <c r="M51" s="35">
        <v>0</v>
      </c>
      <c r="N51" s="68"/>
      <c r="O51" s="68"/>
      <c r="P51" s="35"/>
      <c r="Q51" s="33"/>
      <c r="R51" s="33"/>
      <c r="S51" s="34"/>
      <c r="T51" s="34">
        <v>0</v>
      </c>
      <c r="U51" s="49">
        <f t="shared" si="29"/>
        <v>1934.85</v>
      </c>
      <c r="V51" s="33">
        <f t="shared" si="30"/>
        <v>0</v>
      </c>
      <c r="W51" s="49">
        <f t="shared" si="31"/>
        <v>1934.85</v>
      </c>
      <c r="X51" s="33">
        <f t="shared" si="32"/>
        <v>193.48500000000001</v>
      </c>
      <c r="Y51" s="33">
        <v>10.23</v>
      </c>
      <c r="Z51" s="33">
        <f t="shared" si="33"/>
        <v>0</v>
      </c>
      <c r="AA51" s="49">
        <f t="shared" si="34"/>
        <v>2138.5650000000001</v>
      </c>
      <c r="AB51" s="56"/>
      <c r="AC51" s="56"/>
      <c r="AD51" s="50">
        <f t="shared" si="51"/>
        <v>-1934.85</v>
      </c>
      <c r="AE51" s="36">
        <v>56708881551</v>
      </c>
      <c r="AF51" s="36"/>
      <c r="AG51" s="18" t="s">
        <v>199</v>
      </c>
    </row>
    <row r="52" spans="1:33" s="18" customFormat="1">
      <c r="A52" s="34" t="s">
        <v>27</v>
      </c>
      <c r="B52" s="34" t="s">
        <v>165</v>
      </c>
      <c r="C52" s="34"/>
      <c r="D52" s="34" t="s">
        <v>46</v>
      </c>
      <c r="E52" s="54">
        <v>42739</v>
      </c>
      <c r="F52" s="35"/>
      <c r="G52" s="35"/>
      <c r="H52" s="35"/>
      <c r="I52" s="49">
        <f t="shared" si="3"/>
        <v>0</v>
      </c>
      <c r="J52" s="35"/>
      <c r="K52" s="67"/>
      <c r="L52" s="35"/>
      <c r="M52" s="35"/>
      <c r="N52" s="68"/>
      <c r="O52" s="68"/>
      <c r="P52" s="35"/>
      <c r="Q52" s="33"/>
      <c r="R52" s="33"/>
      <c r="S52" s="34"/>
      <c r="T52" s="34"/>
      <c r="U52" s="49">
        <f t="shared" ref="U52" si="52">+I52-SUM(J52:T52)</f>
        <v>0</v>
      </c>
      <c r="V52" s="33">
        <f t="shared" ref="V52" si="53">IF(I52&gt;2250,I52*0.1,0)</f>
        <v>0</v>
      </c>
      <c r="W52" s="49">
        <f t="shared" ref="W52" si="54">+U52-V52</f>
        <v>0</v>
      </c>
      <c r="X52" s="33"/>
      <c r="Y52" s="33"/>
      <c r="Z52" s="33"/>
      <c r="AA52" s="49"/>
      <c r="AB52" s="56"/>
      <c r="AC52" s="56"/>
      <c r="AD52" s="50"/>
      <c r="AE52" s="89">
        <v>1504923790</v>
      </c>
      <c r="AF52" s="36"/>
      <c r="AG52" s="18" t="s">
        <v>201</v>
      </c>
    </row>
    <row r="53" spans="1:33" s="18" customFormat="1">
      <c r="A53" s="34" t="s">
        <v>28</v>
      </c>
      <c r="B53" s="34" t="s">
        <v>163</v>
      </c>
      <c r="C53" s="34"/>
      <c r="D53" s="34" t="s">
        <v>30</v>
      </c>
      <c r="E53" s="54">
        <v>42730</v>
      </c>
      <c r="F53" s="35">
        <v>13626.25</v>
      </c>
      <c r="G53" s="35"/>
      <c r="H53" s="35"/>
      <c r="I53" s="49">
        <f t="shared" si="3"/>
        <v>13626.25</v>
      </c>
      <c r="J53" s="35"/>
      <c r="K53" s="67"/>
      <c r="L53" s="35"/>
      <c r="M53" s="35"/>
      <c r="N53" s="68"/>
      <c r="O53" s="68"/>
      <c r="P53" s="35"/>
      <c r="Q53" s="33"/>
      <c r="R53" s="33"/>
      <c r="S53" s="34"/>
      <c r="T53" s="34"/>
      <c r="U53" s="49">
        <f t="shared" ref="U53" si="55">+I53-SUM(J53:T53)</f>
        <v>13626.25</v>
      </c>
      <c r="V53" s="33">
        <f t="shared" ref="V53" si="56">IF(I53&gt;2250,I53*0.1,0)</f>
        <v>1362.625</v>
      </c>
      <c r="W53" s="49">
        <f t="shared" ref="W53" si="57">+U53-V53</f>
        <v>12263.625</v>
      </c>
      <c r="X53" s="33"/>
      <c r="Y53" s="33"/>
      <c r="Z53" s="33"/>
      <c r="AA53" s="49"/>
      <c r="AB53" s="56"/>
      <c r="AC53" s="56"/>
      <c r="AD53" s="50"/>
      <c r="AE53" s="36">
        <v>60589669043</v>
      </c>
      <c r="AF53" s="36"/>
      <c r="AG53" s="18" t="s">
        <v>199</v>
      </c>
    </row>
    <row r="54" spans="1:33" s="18" customFormat="1">
      <c r="A54" s="34" t="s">
        <v>28</v>
      </c>
      <c r="B54" s="34" t="s">
        <v>119</v>
      </c>
      <c r="C54" s="34"/>
      <c r="D54" s="34" t="s">
        <v>30</v>
      </c>
      <c r="E54" s="54">
        <v>42522</v>
      </c>
      <c r="F54" s="35"/>
      <c r="G54" s="35"/>
      <c r="H54" s="35"/>
      <c r="I54" s="49">
        <f t="shared" si="3"/>
        <v>0</v>
      </c>
      <c r="J54" s="35"/>
      <c r="K54" s="67">
        <v>1</v>
      </c>
      <c r="L54" s="35">
        <v>33.049999999999997</v>
      </c>
      <c r="M54" s="35">
        <v>0</v>
      </c>
      <c r="N54" s="68"/>
      <c r="O54" s="68"/>
      <c r="P54" s="35"/>
      <c r="Q54" s="33"/>
      <c r="R54" s="33"/>
      <c r="S54" s="34"/>
      <c r="T54" s="34">
        <v>0</v>
      </c>
      <c r="U54" s="49">
        <f t="shared" ref="U54:U68" si="58">+I54-SUM(J54:T54)</f>
        <v>-34.049999999999997</v>
      </c>
      <c r="V54" s="33">
        <f t="shared" ref="V54:V59" si="59">IF(I54&gt;2250,I54*0.1,0)</f>
        <v>0</v>
      </c>
      <c r="W54" s="49">
        <f t="shared" ref="W54:W68" si="60">+U54-V54</f>
        <v>-34.049999999999997</v>
      </c>
      <c r="X54" s="33">
        <f t="shared" ref="X54:X66" si="61">IF(I54&lt;2250,I54*0.1,0)</f>
        <v>0</v>
      </c>
      <c r="Y54" s="33">
        <v>10.23</v>
      </c>
      <c r="Z54" s="33">
        <f t="shared" ref="Z54:Z66" si="62">+N54</f>
        <v>0</v>
      </c>
      <c r="AA54" s="49">
        <f t="shared" ref="AA54:AA66" si="63">+I54+X54+Y54+Z54</f>
        <v>10.23</v>
      </c>
      <c r="AB54" s="56"/>
      <c r="AC54" s="56"/>
      <c r="AD54" s="50"/>
      <c r="AE54" s="36">
        <v>56708845237</v>
      </c>
      <c r="AF54" s="36"/>
      <c r="AG54" s="18" t="s">
        <v>199</v>
      </c>
    </row>
    <row r="55" spans="1:33" s="18" customFormat="1">
      <c r="A55" s="34" t="s">
        <v>28</v>
      </c>
      <c r="B55" s="34" t="s">
        <v>65</v>
      </c>
      <c r="C55" s="34" t="s">
        <v>79</v>
      </c>
      <c r="D55" s="34" t="s">
        <v>30</v>
      </c>
      <c r="E55" s="54">
        <v>42396</v>
      </c>
      <c r="F55" s="35">
        <v>464.54</v>
      </c>
      <c r="G55" s="35"/>
      <c r="H55" s="35"/>
      <c r="I55" s="49">
        <f t="shared" si="3"/>
        <v>464.54</v>
      </c>
      <c r="J55" s="35"/>
      <c r="K55" s="67"/>
      <c r="L55" s="35">
        <v>54.05</v>
      </c>
      <c r="M55" s="35">
        <v>0</v>
      </c>
      <c r="N55" s="68"/>
      <c r="O55" s="68"/>
      <c r="P55" s="35"/>
      <c r="Q55" s="33" t="s">
        <v>137</v>
      </c>
      <c r="R55" s="33"/>
      <c r="S55" s="34"/>
      <c r="T55" s="34">
        <v>300</v>
      </c>
      <c r="U55" s="49">
        <f t="shared" si="58"/>
        <v>110.49000000000001</v>
      </c>
      <c r="V55" s="33">
        <f t="shared" si="59"/>
        <v>0</v>
      </c>
      <c r="W55" s="49">
        <f t="shared" si="60"/>
        <v>110.49000000000001</v>
      </c>
      <c r="X55" s="33">
        <f t="shared" si="61"/>
        <v>46.454000000000008</v>
      </c>
      <c r="Y55" s="33">
        <v>10.23</v>
      </c>
      <c r="Z55" s="33">
        <f t="shared" si="62"/>
        <v>0</v>
      </c>
      <c r="AA55" s="49">
        <f t="shared" si="63"/>
        <v>521.22400000000005</v>
      </c>
      <c r="AB55" s="56"/>
      <c r="AC55" s="56"/>
      <c r="AD55" s="50">
        <f t="shared" ref="AD55:AD59" si="64">+AB55+AC55-W55</f>
        <v>-110.49000000000001</v>
      </c>
      <c r="AE55" s="36">
        <v>56708881579</v>
      </c>
      <c r="AF55" s="36"/>
      <c r="AG55" s="18" t="s">
        <v>199</v>
      </c>
    </row>
    <row r="56" spans="1:33" s="18" customFormat="1">
      <c r="A56" s="34" t="s">
        <v>39</v>
      </c>
      <c r="B56" s="34" t="s">
        <v>74</v>
      </c>
      <c r="C56" s="34"/>
      <c r="D56" s="102" t="s">
        <v>45</v>
      </c>
      <c r="E56" s="54">
        <v>42321</v>
      </c>
      <c r="F56" s="74"/>
      <c r="G56" s="35"/>
      <c r="H56" s="35"/>
      <c r="I56" s="49">
        <f t="shared" si="3"/>
        <v>0</v>
      </c>
      <c r="J56" s="35"/>
      <c r="K56" s="67"/>
      <c r="L56" s="35"/>
      <c r="M56" s="35">
        <v>0</v>
      </c>
      <c r="N56" s="68"/>
      <c r="O56" s="68"/>
      <c r="P56" s="35"/>
      <c r="Q56" s="33"/>
      <c r="R56" s="33"/>
      <c r="S56" s="34"/>
      <c r="T56" s="34">
        <v>0</v>
      </c>
      <c r="U56" s="49">
        <f t="shared" si="58"/>
        <v>0</v>
      </c>
      <c r="V56" s="33">
        <f t="shared" si="59"/>
        <v>0</v>
      </c>
      <c r="W56" s="49">
        <f t="shared" si="60"/>
        <v>0</v>
      </c>
      <c r="X56" s="33">
        <f t="shared" si="61"/>
        <v>0</v>
      </c>
      <c r="Y56" s="33">
        <v>10.23</v>
      </c>
      <c r="Z56" s="33">
        <f t="shared" si="62"/>
        <v>0</v>
      </c>
      <c r="AA56" s="49">
        <f t="shared" si="63"/>
        <v>10.23</v>
      </c>
      <c r="AB56" s="56"/>
      <c r="AC56" s="57"/>
      <c r="AD56" s="50">
        <f t="shared" si="64"/>
        <v>0</v>
      </c>
      <c r="AE56" s="88">
        <v>2947520190</v>
      </c>
      <c r="AF56" s="34"/>
      <c r="AG56" s="18" t="s">
        <v>201</v>
      </c>
    </row>
    <row r="57" spans="1:33" s="18" customFormat="1">
      <c r="A57" s="34" t="s">
        <v>39</v>
      </c>
      <c r="B57" s="34" t="s">
        <v>143</v>
      </c>
      <c r="C57" s="34"/>
      <c r="D57" s="34" t="s">
        <v>29</v>
      </c>
      <c r="E57" s="54">
        <v>42646</v>
      </c>
      <c r="F57" s="35">
        <v>1212.56</v>
      </c>
      <c r="G57" s="35"/>
      <c r="H57" s="35"/>
      <c r="I57" s="49">
        <f t="shared" si="3"/>
        <v>1212.56</v>
      </c>
      <c r="J57" s="35"/>
      <c r="K57" s="67"/>
      <c r="L57" s="35"/>
      <c r="M57" s="35">
        <v>0</v>
      </c>
      <c r="N57" s="68"/>
      <c r="O57" s="68"/>
      <c r="P57" s="35"/>
      <c r="Q57" s="33"/>
      <c r="R57" s="33"/>
      <c r="S57" s="34"/>
      <c r="T57" s="34"/>
      <c r="U57" s="49">
        <f t="shared" ref="U57" si="65">+I57-SUM(J57:T57)</f>
        <v>1212.56</v>
      </c>
      <c r="V57" s="33">
        <f t="shared" ref="V57" si="66">IF(I57&gt;2250,I57*0.1,0)</f>
        <v>0</v>
      </c>
      <c r="W57" s="49">
        <f t="shared" ref="W57" si="67">+U57-V57</f>
        <v>1212.56</v>
      </c>
      <c r="X57" s="33"/>
      <c r="Y57" s="33"/>
      <c r="Z57" s="33"/>
      <c r="AA57" s="49"/>
      <c r="AB57" s="56"/>
      <c r="AC57" s="57"/>
      <c r="AD57" s="50"/>
      <c r="AE57" s="36">
        <v>56708881582</v>
      </c>
      <c r="AF57" s="36" t="s">
        <v>204</v>
      </c>
      <c r="AG57" s="18" t="s">
        <v>199</v>
      </c>
    </row>
    <row r="58" spans="1:33" s="18" customFormat="1">
      <c r="A58" s="34" t="s">
        <v>39</v>
      </c>
      <c r="B58" s="34" t="s">
        <v>73</v>
      </c>
      <c r="C58" s="34"/>
      <c r="D58" s="34" t="s">
        <v>29</v>
      </c>
      <c r="E58" s="54">
        <v>42065</v>
      </c>
      <c r="F58" s="35">
        <v>3733.08</v>
      </c>
      <c r="G58" s="35"/>
      <c r="H58" s="35"/>
      <c r="I58" s="49">
        <f t="shared" si="3"/>
        <v>3733.08</v>
      </c>
      <c r="J58" s="35"/>
      <c r="K58" s="67"/>
      <c r="L58" s="35"/>
      <c r="M58" s="35">
        <v>0</v>
      </c>
      <c r="N58" s="68"/>
      <c r="O58" s="68"/>
      <c r="P58" s="35"/>
      <c r="Q58" s="33"/>
      <c r="R58" s="33"/>
      <c r="S58" s="34"/>
      <c r="T58" s="34">
        <v>0</v>
      </c>
      <c r="U58" s="49">
        <f t="shared" si="58"/>
        <v>3733.08</v>
      </c>
      <c r="V58" s="33">
        <f t="shared" si="59"/>
        <v>373.30799999999999</v>
      </c>
      <c r="W58" s="49">
        <f t="shared" si="60"/>
        <v>3359.7719999999999</v>
      </c>
      <c r="X58" s="33">
        <f t="shared" si="61"/>
        <v>0</v>
      </c>
      <c r="Y58" s="33">
        <v>10.23</v>
      </c>
      <c r="Z58" s="33">
        <f t="shared" si="62"/>
        <v>0</v>
      </c>
      <c r="AA58" s="49">
        <f t="shared" si="63"/>
        <v>3743.31</v>
      </c>
      <c r="AB58" s="56"/>
      <c r="AC58" s="57"/>
      <c r="AD58" s="50">
        <f t="shared" si="64"/>
        <v>-3359.7719999999999</v>
      </c>
      <c r="AE58" s="36">
        <v>56708845254</v>
      </c>
      <c r="AF58" s="36"/>
      <c r="AG58" s="18" t="s">
        <v>199</v>
      </c>
    </row>
    <row r="59" spans="1:33" s="18" customFormat="1">
      <c r="A59" s="34" t="s">
        <v>28</v>
      </c>
      <c r="B59" s="34" t="s">
        <v>38</v>
      </c>
      <c r="C59" s="34" t="s">
        <v>77</v>
      </c>
      <c r="D59" s="34" t="s">
        <v>30</v>
      </c>
      <c r="E59" s="54">
        <v>41218</v>
      </c>
      <c r="F59" s="35"/>
      <c r="G59" s="35"/>
      <c r="H59" s="35"/>
      <c r="I59" s="49">
        <f t="shared" si="3"/>
        <v>0</v>
      </c>
      <c r="J59" s="35"/>
      <c r="K59" s="67"/>
      <c r="L59" s="35">
        <v>40.049999999999997</v>
      </c>
      <c r="M59" s="35">
        <v>0</v>
      </c>
      <c r="N59" s="68"/>
      <c r="O59" s="68"/>
      <c r="P59" s="35"/>
      <c r="Q59" s="33" t="s">
        <v>137</v>
      </c>
      <c r="R59" s="33"/>
      <c r="S59" s="34"/>
      <c r="T59" s="34">
        <v>0</v>
      </c>
      <c r="U59" s="49">
        <f t="shared" si="58"/>
        <v>-40.049999999999997</v>
      </c>
      <c r="V59" s="33">
        <f t="shared" si="59"/>
        <v>0</v>
      </c>
      <c r="W59" s="49">
        <f t="shared" si="60"/>
        <v>-40.049999999999997</v>
      </c>
      <c r="X59" s="33">
        <f t="shared" si="61"/>
        <v>0</v>
      </c>
      <c r="Y59" s="33">
        <v>10.23</v>
      </c>
      <c r="Z59" s="33">
        <f t="shared" si="62"/>
        <v>0</v>
      </c>
      <c r="AA59" s="49">
        <f t="shared" si="63"/>
        <v>10.23</v>
      </c>
      <c r="AB59" s="56"/>
      <c r="AC59" s="57"/>
      <c r="AD59" s="50">
        <f t="shared" si="64"/>
        <v>40.049999999999997</v>
      </c>
      <c r="AE59" s="36">
        <v>56708881596</v>
      </c>
      <c r="AF59" s="34"/>
      <c r="AG59" s="18" t="s">
        <v>199</v>
      </c>
    </row>
    <row r="60" spans="1:33" s="18" customFormat="1">
      <c r="A60" s="34" t="s">
        <v>26</v>
      </c>
      <c r="B60" s="34" t="s">
        <v>141</v>
      </c>
      <c r="C60" s="34"/>
      <c r="D60" s="34" t="s">
        <v>138</v>
      </c>
      <c r="E60" s="54">
        <v>42241</v>
      </c>
      <c r="F60" s="35"/>
      <c r="G60" s="35"/>
      <c r="H60" s="35"/>
      <c r="I60" s="49">
        <f t="shared" si="3"/>
        <v>0</v>
      </c>
      <c r="J60" s="35"/>
      <c r="K60" s="67">
        <v>1</v>
      </c>
      <c r="L60" s="35">
        <v>54.05</v>
      </c>
      <c r="M60" s="35"/>
      <c r="N60" s="68"/>
      <c r="O60" s="68"/>
      <c r="P60" s="35"/>
      <c r="Q60" s="33"/>
      <c r="R60" s="33"/>
      <c r="S60" s="34"/>
      <c r="T60" s="34"/>
      <c r="U60" s="49">
        <f t="shared" ref="U60" si="68">+I60-SUM(J60:T60)</f>
        <v>-55.05</v>
      </c>
      <c r="V60" s="33">
        <f t="shared" ref="V60" si="69">IF(I60&gt;2250,I60*0.1,0)</f>
        <v>0</v>
      </c>
      <c r="W60" s="49">
        <f t="shared" ref="W60" si="70">+U60-V60</f>
        <v>-55.05</v>
      </c>
      <c r="X60" s="33">
        <f t="shared" si="61"/>
        <v>0</v>
      </c>
      <c r="Y60" s="33"/>
      <c r="Z60" s="33"/>
      <c r="AA60" s="49"/>
      <c r="AB60" s="56"/>
      <c r="AC60" s="57"/>
      <c r="AD60" s="50"/>
      <c r="AE60" s="36">
        <v>56708845268</v>
      </c>
      <c r="AF60" s="36"/>
      <c r="AG60" s="18" t="s">
        <v>199</v>
      </c>
    </row>
    <row r="61" spans="1:33" s="18" customFormat="1">
      <c r="A61" s="34" t="s">
        <v>41</v>
      </c>
      <c r="B61" s="34" t="s">
        <v>99</v>
      </c>
      <c r="C61" s="34"/>
      <c r="D61" s="102" t="s">
        <v>45</v>
      </c>
      <c r="E61" s="54">
        <v>42333</v>
      </c>
      <c r="F61" s="74">
        <v>800</v>
      </c>
      <c r="G61" s="35"/>
      <c r="H61" s="35"/>
      <c r="I61" s="49">
        <f t="shared" si="3"/>
        <v>800</v>
      </c>
      <c r="J61" s="35"/>
      <c r="K61" s="67"/>
      <c r="L61" s="35"/>
      <c r="M61" s="35">
        <v>0</v>
      </c>
      <c r="N61" s="68"/>
      <c r="O61" s="68"/>
      <c r="P61" s="35"/>
      <c r="Q61" s="33"/>
      <c r="R61" s="33"/>
      <c r="S61" s="34"/>
      <c r="T61" s="34">
        <v>297.95</v>
      </c>
      <c r="U61" s="49">
        <f t="shared" si="58"/>
        <v>502.05</v>
      </c>
      <c r="V61" s="33">
        <f t="shared" ref="V61:V68" si="71">IF(I61&gt;2250,I61*0.1,0)</f>
        <v>0</v>
      </c>
      <c r="W61" s="49">
        <f t="shared" si="60"/>
        <v>502.05</v>
      </c>
      <c r="X61" s="33">
        <f t="shared" si="61"/>
        <v>80</v>
      </c>
      <c r="Y61" s="33">
        <v>10.23</v>
      </c>
      <c r="Z61" s="33">
        <f t="shared" si="62"/>
        <v>0</v>
      </c>
      <c r="AA61" s="49">
        <f t="shared" si="63"/>
        <v>890.23</v>
      </c>
      <c r="AB61" s="56"/>
      <c r="AC61" s="57"/>
      <c r="AD61" s="50">
        <f>+AB61+AC61-W61</f>
        <v>-502.05</v>
      </c>
      <c r="AE61" s="36">
        <v>60589939521</v>
      </c>
      <c r="AF61" s="34"/>
      <c r="AG61" s="18" t="s">
        <v>199</v>
      </c>
    </row>
    <row r="62" spans="1:33" s="18" customFormat="1">
      <c r="A62" s="34" t="s">
        <v>28</v>
      </c>
      <c r="B62" s="34" t="s">
        <v>125</v>
      </c>
      <c r="C62" s="34"/>
      <c r="D62" s="34" t="s">
        <v>30</v>
      </c>
      <c r="E62" s="54">
        <v>42459</v>
      </c>
      <c r="F62" s="35">
        <v>1499.75</v>
      </c>
      <c r="G62" s="35"/>
      <c r="H62" s="35"/>
      <c r="I62" s="49">
        <f t="shared" si="3"/>
        <v>1499.75</v>
      </c>
      <c r="J62" s="35"/>
      <c r="K62" s="67"/>
      <c r="L62" s="35">
        <v>33.049999999999997</v>
      </c>
      <c r="M62" s="35">
        <v>0</v>
      </c>
      <c r="N62" s="68"/>
      <c r="O62" s="68"/>
      <c r="P62" s="35"/>
      <c r="Q62" s="33"/>
      <c r="R62" s="33"/>
      <c r="S62" s="34"/>
      <c r="T62" s="34"/>
      <c r="U62" s="49">
        <f t="shared" si="58"/>
        <v>1466.7</v>
      </c>
      <c r="V62" s="33">
        <f t="shared" si="71"/>
        <v>0</v>
      </c>
      <c r="W62" s="49">
        <f t="shared" si="60"/>
        <v>1466.7</v>
      </c>
      <c r="X62" s="33">
        <f t="shared" si="61"/>
        <v>149.97499999999999</v>
      </c>
      <c r="Y62" s="33">
        <v>10.23</v>
      </c>
      <c r="Z62" s="33">
        <f t="shared" si="62"/>
        <v>0</v>
      </c>
      <c r="AA62" s="49">
        <f t="shared" si="63"/>
        <v>1659.9549999999999</v>
      </c>
      <c r="AB62" s="62"/>
      <c r="AC62" s="57"/>
      <c r="AD62" s="50">
        <f>+AB62+AC62-W62</f>
        <v>-1466.7</v>
      </c>
      <c r="AE62" s="36">
        <v>60589627948</v>
      </c>
      <c r="AF62" s="36"/>
      <c r="AG62" s="18" t="s">
        <v>199</v>
      </c>
    </row>
    <row r="63" spans="1:33" s="18" customFormat="1">
      <c r="A63" s="76" t="s">
        <v>26</v>
      </c>
      <c r="B63" s="76" t="s">
        <v>122</v>
      </c>
      <c r="C63" s="76"/>
      <c r="D63" s="76" t="s">
        <v>44</v>
      </c>
      <c r="E63" s="79">
        <v>42566</v>
      </c>
      <c r="F63" s="87"/>
      <c r="G63" s="87"/>
      <c r="H63" s="87"/>
      <c r="I63" s="49">
        <f t="shared" si="3"/>
        <v>0</v>
      </c>
      <c r="J63" s="35"/>
      <c r="K63" s="67"/>
      <c r="L63" s="35"/>
      <c r="M63" s="35"/>
      <c r="N63" s="68"/>
      <c r="O63" s="68"/>
      <c r="P63" s="35"/>
      <c r="Q63" s="33"/>
      <c r="R63" s="33"/>
      <c r="S63" s="34"/>
      <c r="T63" s="34"/>
      <c r="U63" s="49">
        <f t="shared" si="58"/>
        <v>0</v>
      </c>
      <c r="V63" s="33">
        <f t="shared" si="71"/>
        <v>0</v>
      </c>
      <c r="W63" s="49">
        <f t="shared" si="60"/>
        <v>0</v>
      </c>
      <c r="X63" s="33">
        <f t="shared" si="61"/>
        <v>0</v>
      </c>
      <c r="Y63" s="33">
        <v>21.23</v>
      </c>
      <c r="Z63" s="33">
        <f t="shared" si="62"/>
        <v>0</v>
      </c>
      <c r="AA63" s="49">
        <f t="shared" si="63"/>
        <v>21.23</v>
      </c>
      <c r="AB63" s="62"/>
      <c r="AC63" s="57"/>
      <c r="AD63" s="50"/>
      <c r="AE63" s="78"/>
      <c r="AF63" s="78" t="s">
        <v>180</v>
      </c>
    </row>
    <row r="64" spans="1:33" s="18" customFormat="1">
      <c r="A64" s="34" t="s">
        <v>28</v>
      </c>
      <c r="B64" s="34" t="s">
        <v>101</v>
      </c>
      <c r="C64" s="34" t="s">
        <v>79</v>
      </c>
      <c r="D64" s="34" t="s">
        <v>30</v>
      </c>
      <c r="E64" s="54">
        <v>42327</v>
      </c>
      <c r="F64" s="35"/>
      <c r="G64" s="35"/>
      <c r="H64" s="35"/>
      <c r="I64" s="49">
        <f t="shared" si="3"/>
        <v>0</v>
      </c>
      <c r="J64" s="35"/>
      <c r="K64" s="67"/>
      <c r="L64" s="35">
        <v>33.049999999999997</v>
      </c>
      <c r="M64" s="35">
        <v>0</v>
      </c>
      <c r="N64" s="68"/>
      <c r="O64" s="68"/>
      <c r="P64" s="35"/>
      <c r="Q64" s="33"/>
      <c r="R64" s="33"/>
      <c r="S64" s="34"/>
      <c r="T64" s="65">
        <v>435.75</v>
      </c>
      <c r="U64" s="49">
        <f t="shared" si="58"/>
        <v>-468.8</v>
      </c>
      <c r="V64" s="33">
        <f t="shared" si="71"/>
        <v>0</v>
      </c>
      <c r="W64" s="49">
        <f t="shared" si="60"/>
        <v>-468.8</v>
      </c>
      <c r="X64" s="33">
        <f t="shared" si="61"/>
        <v>0</v>
      </c>
      <c r="Y64" s="33">
        <v>10.23</v>
      </c>
      <c r="Z64" s="33">
        <f t="shared" si="62"/>
        <v>0</v>
      </c>
      <c r="AA64" s="49">
        <f t="shared" si="63"/>
        <v>10.23</v>
      </c>
      <c r="AB64" s="56"/>
      <c r="AC64" s="57"/>
      <c r="AD64" s="50">
        <f t="shared" ref="AD64:AD66" si="72">+AB64+AC64-W64</f>
        <v>468.8</v>
      </c>
      <c r="AE64" s="36">
        <v>56708881807</v>
      </c>
      <c r="AF64" s="36"/>
      <c r="AG64" s="18" t="s">
        <v>199</v>
      </c>
    </row>
    <row r="65" spans="1:186" s="18" customFormat="1">
      <c r="A65" s="34" t="s">
        <v>27</v>
      </c>
      <c r="B65" s="34" t="s">
        <v>90</v>
      </c>
      <c r="C65" s="34" t="s">
        <v>80</v>
      </c>
      <c r="D65" s="34" t="s">
        <v>98</v>
      </c>
      <c r="E65" s="54">
        <v>42173</v>
      </c>
      <c r="F65" s="35">
        <v>2029.35</v>
      </c>
      <c r="G65" s="35"/>
      <c r="H65" s="35"/>
      <c r="I65" s="49">
        <f t="shared" si="3"/>
        <v>2029.35</v>
      </c>
      <c r="J65" s="35">
        <v>497.54</v>
      </c>
      <c r="K65" s="67"/>
      <c r="L65" s="35"/>
      <c r="M65" s="35">
        <v>0</v>
      </c>
      <c r="N65" s="68"/>
      <c r="O65" s="68"/>
      <c r="P65" s="35"/>
      <c r="Q65" s="33"/>
      <c r="R65" s="33"/>
      <c r="S65" s="34"/>
      <c r="T65" s="34">
        <v>0</v>
      </c>
      <c r="U65" s="49">
        <f t="shared" si="58"/>
        <v>1531.81</v>
      </c>
      <c r="V65" s="33">
        <f t="shared" si="71"/>
        <v>0</v>
      </c>
      <c r="W65" s="49">
        <f t="shared" si="60"/>
        <v>1531.81</v>
      </c>
      <c r="X65" s="33">
        <f t="shared" si="61"/>
        <v>202.935</v>
      </c>
      <c r="Y65" s="33">
        <v>10.23</v>
      </c>
      <c r="Z65" s="33">
        <f t="shared" si="62"/>
        <v>0</v>
      </c>
      <c r="AA65" s="49">
        <f t="shared" si="63"/>
        <v>2242.5149999999999</v>
      </c>
      <c r="AB65" s="62"/>
      <c r="AC65" s="63"/>
      <c r="AD65" s="50">
        <f t="shared" si="72"/>
        <v>-1531.81</v>
      </c>
      <c r="AE65" s="36">
        <v>56708881810</v>
      </c>
      <c r="AF65" s="36" t="s">
        <v>203</v>
      </c>
      <c r="AG65" s="18" t="s">
        <v>199</v>
      </c>
    </row>
    <row r="66" spans="1:186" s="18" customFormat="1">
      <c r="A66" s="34" t="s">
        <v>28</v>
      </c>
      <c r="B66" s="34" t="s">
        <v>113</v>
      </c>
      <c r="C66" s="34" t="s">
        <v>77</v>
      </c>
      <c r="D66" s="34" t="s">
        <v>30</v>
      </c>
      <c r="E66" s="54">
        <v>42506</v>
      </c>
      <c r="F66" s="35">
        <v>4024.21</v>
      </c>
      <c r="G66" s="35"/>
      <c r="H66" s="35"/>
      <c r="I66" s="49">
        <f t="shared" si="3"/>
        <v>4024.21</v>
      </c>
      <c r="J66" s="35"/>
      <c r="K66" s="67"/>
      <c r="L66" s="35">
        <v>33.049999999999997</v>
      </c>
      <c r="M66" s="35">
        <v>0</v>
      </c>
      <c r="N66" s="68"/>
      <c r="O66" s="68"/>
      <c r="P66" s="35"/>
      <c r="Q66" s="33">
        <v>205</v>
      </c>
      <c r="R66" s="33"/>
      <c r="S66" s="34"/>
      <c r="T66" s="65">
        <v>196</v>
      </c>
      <c r="U66" s="49">
        <f t="shared" si="58"/>
        <v>3590.16</v>
      </c>
      <c r="V66" s="33">
        <f t="shared" si="71"/>
        <v>402.42100000000005</v>
      </c>
      <c r="W66" s="49">
        <f t="shared" si="60"/>
        <v>3187.7389999999996</v>
      </c>
      <c r="X66" s="33">
        <f t="shared" si="61"/>
        <v>0</v>
      </c>
      <c r="Y66" s="33">
        <v>10.23</v>
      </c>
      <c r="Z66" s="33">
        <f t="shared" si="62"/>
        <v>0</v>
      </c>
      <c r="AA66" s="49">
        <f t="shared" si="63"/>
        <v>4034.44</v>
      </c>
      <c r="AB66" s="62"/>
      <c r="AC66" s="62"/>
      <c r="AD66" s="50">
        <f t="shared" si="72"/>
        <v>-3187.7389999999996</v>
      </c>
      <c r="AE66" s="89">
        <v>1179675078</v>
      </c>
      <c r="AF66" s="36"/>
      <c r="AG66" s="18" t="s">
        <v>201</v>
      </c>
    </row>
    <row r="67" spans="1:186" s="18" customFormat="1">
      <c r="A67" s="34" t="s">
        <v>28</v>
      </c>
      <c r="B67" s="34" t="s">
        <v>179</v>
      </c>
      <c r="C67" s="34"/>
      <c r="D67" s="34" t="s">
        <v>138</v>
      </c>
      <c r="E67" s="54">
        <v>42762</v>
      </c>
      <c r="F67" s="35"/>
      <c r="G67" s="35"/>
      <c r="H67" s="35"/>
      <c r="I67" s="49">
        <f t="shared" si="3"/>
        <v>0</v>
      </c>
      <c r="J67" s="35"/>
      <c r="K67" s="67"/>
      <c r="L67" s="35"/>
      <c r="M67" s="35"/>
      <c r="N67" s="68"/>
      <c r="O67" s="68"/>
      <c r="P67" s="35"/>
      <c r="Q67" s="33"/>
      <c r="R67" s="33"/>
      <c r="S67" s="34"/>
      <c r="T67" s="65"/>
      <c r="U67" s="49">
        <f t="shared" si="58"/>
        <v>0</v>
      </c>
      <c r="V67" s="33"/>
      <c r="W67" s="49"/>
      <c r="X67" s="33"/>
      <c r="Y67" s="33"/>
      <c r="Z67" s="33"/>
      <c r="AA67" s="49"/>
      <c r="AB67" s="62"/>
      <c r="AC67" s="62"/>
      <c r="AD67" s="50"/>
      <c r="AE67" s="36">
        <v>60589688725</v>
      </c>
      <c r="AF67" s="36"/>
      <c r="AG67" s="18" t="s">
        <v>199</v>
      </c>
    </row>
    <row r="68" spans="1:186" s="18" customFormat="1">
      <c r="A68" s="34" t="s">
        <v>26</v>
      </c>
      <c r="B68" s="34" t="s">
        <v>176</v>
      </c>
      <c r="C68" s="34"/>
      <c r="D68" s="34" t="s">
        <v>44</v>
      </c>
      <c r="E68" s="54">
        <v>42597</v>
      </c>
      <c r="F68" s="35">
        <v>2160</v>
      </c>
      <c r="G68" s="35"/>
      <c r="H68" s="35"/>
      <c r="I68" s="49">
        <f t="shared" si="3"/>
        <v>2160</v>
      </c>
      <c r="J68" s="35"/>
      <c r="K68" s="67"/>
      <c r="L68" s="35"/>
      <c r="M68" s="35"/>
      <c r="N68" s="68"/>
      <c r="O68" s="68"/>
      <c r="P68" s="35"/>
      <c r="Q68" s="33"/>
      <c r="R68" s="33"/>
      <c r="S68" s="34"/>
      <c r="T68" s="65">
        <v>0</v>
      </c>
      <c r="U68" s="49">
        <f t="shared" si="58"/>
        <v>2160</v>
      </c>
      <c r="V68" s="33">
        <f t="shared" si="71"/>
        <v>0</v>
      </c>
      <c r="W68" s="49">
        <f t="shared" si="60"/>
        <v>2160</v>
      </c>
      <c r="X68" s="33"/>
      <c r="Y68" s="33"/>
      <c r="Z68" s="33"/>
      <c r="AA68" s="49"/>
      <c r="AB68" s="62"/>
      <c r="AC68" s="62"/>
      <c r="AD68" s="50"/>
      <c r="AE68" s="36">
        <v>56708881838</v>
      </c>
      <c r="AF68" s="36"/>
      <c r="AG68" s="18" t="s">
        <v>199</v>
      </c>
    </row>
    <row r="69" spans="1:186" s="18" customFormat="1">
      <c r="A69" s="34" t="s">
        <v>39</v>
      </c>
      <c r="B69" s="34" t="s">
        <v>155</v>
      </c>
      <c r="C69" s="34"/>
      <c r="D69" s="34" t="s">
        <v>29</v>
      </c>
      <c r="E69" s="54">
        <v>42696</v>
      </c>
      <c r="F69" s="35">
        <v>1501.89</v>
      </c>
      <c r="G69" s="35"/>
      <c r="H69" s="35"/>
      <c r="I69" s="49">
        <f t="shared" si="3"/>
        <v>1501.89</v>
      </c>
      <c r="J69" s="35"/>
      <c r="K69" s="67"/>
      <c r="L69" s="35"/>
      <c r="M69" s="35"/>
      <c r="N69" s="68"/>
      <c r="O69" s="68"/>
      <c r="P69" s="35"/>
      <c r="Q69" s="33"/>
      <c r="R69" s="33"/>
      <c r="S69" s="34"/>
      <c r="T69" s="65"/>
      <c r="U69" s="49">
        <f t="shared" ref="U69" si="73">+I69-SUM(J69:T69)</f>
        <v>1501.89</v>
      </c>
      <c r="V69" s="33">
        <f t="shared" ref="V69" si="74">IF(I69&gt;2250,I69*0.1,0)</f>
        <v>0</v>
      </c>
      <c r="W69" s="49">
        <f t="shared" ref="W69" si="75">+U69-V69</f>
        <v>1501.89</v>
      </c>
      <c r="X69" s="33"/>
      <c r="Y69" s="33"/>
      <c r="Z69" s="33"/>
      <c r="AA69" s="49"/>
      <c r="AB69" s="62"/>
      <c r="AC69" s="62"/>
      <c r="AD69" s="50"/>
      <c r="AE69" s="36">
        <v>56710784605</v>
      </c>
      <c r="AF69" s="36"/>
      <c r="AG69" s="18" t="s">
        <v>199</v>
      </c>
    </row>
    <row r="70" spans="1:186" s="18" customFormat="1">
      <c r="A70" s="34" t="s">
        <v>28</v>
      </c>
      <c r="B70" s="34" t="s">
        <v>157</v>
      </c>
      <c r="C70" s="34"/>
      <c r="D70" s="34" t="s">
        <v>30</v>
      </c>
      <c r="E70" s="54">
        <v>42632</v>
      </c>
      <c r="F70" s="35">
        <v>4698.0600000000004</v>
      </c>
      <c r="G70" s="35"/>
      <c r="H70" s="35"/>
      <c r="I70" s="49">
        <f t="shared" si="3"/>
        <v>4698.0600000000004</v>
      </c>
      <c r="J70" s="35"/>
      <c r="K70" s="67"/>
      <c r="L70" s="35"/>
      <c r="M70" s="35"/>
      <c r="N70" s="68"/>
      <c r="O70" s="68"/>
      <c r="P70" s="35"/>
      <c r="Q70" s="33"/>
      <c r="R70" s="33"/>
      <c r="S70" s="34"/>
      <c r="T70" s="65"/>
      <c r="U70" s="49">
        <f t="shared" ref="U70" si="76">+I70-SUM(J70:T70)</f>
        <v>4698.0600000000004</v>
      </c>
      <c r="V70" s="33">
        <f t="shared" ref="V70" si="77">IF(I70&gt;2250,I70*0.1,0)</f>
        <v>469.80600000000004</v>
      </c>
      <c r="W70" s="49">
        <f t="shared" ref="W70" si="78">+U70-V70</f>
        <v>4228.2540000000008</v>
      </c>
      <c r="X70" s="33"/>
      <c r="Y70" s="33"/>
      <c r="Z70" s="33"/>
      <c r="AA70" s="49"/>
      <c r="AB70" s="62"/>
      <c r="AC70" s="62"/>
      <c r="AD70" s="50"/>
      <c r="AE70" s="36">
        <v>60589620126</v>
      </c>
      <c r="AF70" s="36"/>
      <c r="AG70" s="18" t="s">
        <v>199</v>
      </c>
    </row>
    <row r="71" spans="1:186" s="18" customFormat="1">
      <c r="A71" s="25"/>
      <c r="B71" s="26"/>
      <c r="C71" s="26"/>
      <c r="D71" s="26"/>
      <c r="E71" s="26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37"/>
      <c r="R71" s="37"/>
      <c r="S71" s="37"/>
      <c r="T71" s="37"/>
      <c r="U71" s="28"/>
      <c r="V71" s="37"/>
      <c r="W71" s="28"/>
      <c r="X71" s="37"/>
      <c r="Y71" s="37"/>
      <c r="Z71" s="37"/>
      <c r="AA71" s="28"/>
      <c r="AB71" s="46"/>
      <c r="AC71" s="46"/>
      <c r="AD71" s="23"/>
    </row>
    <row r="72" spans="1:186">
      <c r="B72" s="38" t="s">
        <v>1</v>
      </c>
      <c r="C72" s="38"/>
      <c r="D72" s="38"/>
      <c r="E72" s="38"/>
      <c r="F72" s="39">
        <f>SUM(F7:F71)</f>
        <v>96471.33</v>
      </c>
      <c r="G72" s="39">
        <f t="shared" ref="G72:J72" si="79">SUM(G8:G71)</f>
        <v>0</v>
      </c>
      <c r="H72" s="39">
        <f t="shared" si="79"/>
        <v>0</v>
      </c>
      <c r="I72" s="39">
        <f t="shared" si="79"/>
        <v>96471.33</v>
      </c>
      <c r="J72" s="39">
        <f t="shared" si="79"/>
        <v>2165.91</v>
      </c>
      <c r="K72" s="39"/>
      <c r="L72" s="39">
        <f>SUM(L8:L71)</f>
        <v>979.46999999999957</v>
      </c>
      <c r="M72" s="40">
        <f t="shared" ref="M72:AD72" si="80">SUM(M8:M71)</f>
        <v>1300</v>
      </c>
      <c r="N72" s="40">
        <f t="shared" si="80"/>
        <v>0</v>
      </c>
      <c r="O72" s="40">
        <f t="shared" si="80"/>
        <v>0</v>
      </c>
      <c r="P72" s="40">
        <f t="shared" si="80"/>
        <v>0</v>
      </c>
      <c r="Q72" s="39">
        <f t="shared" si="80"/>
        <v>462.3</v>
      </c>
      <c r="R72" s="39">
        <f t="shared" si="80"/>
        <v>0.3</v>
      </c>
      <c r="S72" s="39">
        <f t="shared" si="80"/>
        <v>0</v>
      </c>
      <c r="T72" s="39">
        <f t="shared" si="80"/>
        <v>6920.69</v>
      </c>
      <c r="U72" s="39">
        <f t="shared" si="80"/>
        <v>85116.029999999984</v>
      </c>
      <c r="V72" s="39">
        <f t="shared" si="80"/>
        <v>6937.8640000000014</v>
      </c>
      <c r="W72" s="39">
        <f t="shared" si="80"/>
        <v>74282.325999999972</v>
      </c>
      <c r="X72" s="39">
        <f t="shared" si="80"/>
        <v>1203.0160000000001</v>
      </c>
      <c r="Y72" s="39">
        <f t="shared" si="80"/>
        <v>444.74000000000029</v>
      </c>
      <c r="Z72" s="39">
        <f t="shared" si="80"/>
        <v>0</v>
      </c>
      <c r="AA72" s="39">
        <f t="shared" si="80"/>
        <v>42981.136000000006</v>
      </c>
      <c r="AB72" s="47">
        <f t="shared" si="80"/>
        <v>0</v>
      </c>
      <c r="AC72" s="47">
        <f t="shared" si="80"/>
        <v>0</v>
      </c>
      <c r="AD72" s="41">
        <f t="shared" si="80"/>
        <v>-24309.848000000005</v>
      </c>
      <c r="AE72" s="29"/>
      <c r="AF72" s="29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</row>
    <row r="73" spans="1:186">
      <c r="AA73" s="14">
        <f>AA72*0.16</f>
        <v>6876.9817600000015</v>
      </c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</row>
    <row r="74" spans="1:186">
      <c r="A74" s="108" t="s">
        <v>93</v>
      </c>
      <c r="B74" s="108"/>
      <c r="C74" s="42"/>
      <c r="D74" s="29"/>
      <c r="E74" s="29"/>
      <c r="F74" s="31"/>
      <c r="G74" s="31"/>
      <c r="H74" s="31"/>
      <c r="I74" s="39"/>
      <c r="J74" s="31"/>
      <c r="K74" s="31"/>
      <c r="L74" s="31"/>
      <c r="M74" s="35"/>
      <c r="N74" s="35"/>
      <c r="O74" s="35"/>
      <c r="P74" s="35"/>
      <c r="Q74" s="31"/>
      <c r="R74" s="31"/>
      <c r="S74" s="31"/>
      <c r="T74" s="31"/>
      <c r="U74" s="39"/>
      <c r="V74" s="31"/>
      <c r="W74" s="39"/>
      <c r="X74" s="31"/>
      <c r="Y74" s="31"/>
      <c r="Z74" s="31"/>
      <c r="AA74" s="39">
        <f>+AA72+AA73</f>
        <v>49858.117760000008</v>
      </c>
      <c r="AB74" s="47"/>
      <c r="AC74" s="47"/>
      <c r="AD74" s="41"/>
      <c r="AE74" s="29"/>
      <c r="AF74" s="29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75" s="34" t="s">
        <v>42</v>
      </c>
      <c r="B75" s="34" t="s">
        <v>94</v>
      </c>
      <c r="C75" s="30"/>
      <c r="D75" s="30" t="s">
        <v>131</v>
      </c>
      <c r="E75" s="55">
        <v>41142</v>
      </c>
      <c r="F75" s="35">
        <f>1384.599+5.571+324.11</f>
        <v>1714.2799999999997</v>
      </c>
      <c r="G75" s="32"/>
      <c r="H75" s="32"/>
      <c r="I75" s="49">
        <f>SUM(F75:H75)</f>
        <v>1714.2799999999997</v>
      </c>
      <c r="J75" s="35">
        <v>134.66999999999999</v>
      </c>
      <c r="K75" s="67"/>
      <c r="L75" s="35"/>
      <c r="M75" s="35"/>
      <c r="N75" s="68" t="s">
        <v>137</v>
      </c>
      <c r="O75" s="68" t="s">
        <v>137</v>
      </c>
      <c r="P75" s="35"/>
      <c r="Q75" s="33"/>
      <c r="R75" s="33"/>
      <c r="S75" s="34"/>
      <c r="T75" s="34"/>
      <c r="U75" s="49">
        <f>+I75-SUM(J75:T75)</f>
        <v>1579.6099999999997</v>
      </c>
      <c r="V75" s="33">
        <f>+U75*0.05</f>
        <v>78.980499999999992</v>
      </c>
      <c r="W75" s="49">
        <f>+U75-Q75-T75</f>
        <v>1579.6099999999997</v>
      </c>
      <c r="X75" s="61">
        <f>IF(U75&lt;3000,U75*0.1,0)</f>
        <v>157.96099999999998</v>
      </c>
      <c r="Y75" s="61">
        <v>0</v>
      </c>
      <c r="Z75" s="61"/>
      <c r="AA75" s="60">
        <f>+U75+X75+Y75</f>
        <v>1737.5709999999997</v>
      </c>
      <c r="AB75" s="48"/>
      <c r="AC75" s="48"/>
      <c r="AD75" s="43"/>
      <c r="AE75" s="36">
        <v>56708845760</v>
      </c>
      <c r="AF75" s="36" t="s">
        <v>169</v>
      </c>
      <c r="AG75" s="18" t="s">
        <v>199</v>
      </c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 s="18" customFormat="1">
      <c r="A76" s="34" t="s">
        <v>42</v>
      </c>
      <c r="B76" s="34" t="s">
        <v>54</v>
      </c>
      <c r="C76" s="34"/>
      <c r="D76" s="34" t="s">
        <v>131</v>
      </c>
      <c r="E76" s="54">
        <v>41381</v>
      </c>
      <c r="F76" s="35">
        <f>4336.482+2.599+804</f>
        <v>5143.0810000000001</v>
      </c>
      <c r="G76" s="35"/>
      <c r="H76" s="35"/>
      <c r="I76" s="49">
        <f t="shared" ref="I76:I124" si="81">SUM(F76:H76)</f>
        <v>5143.0810000000001</v>
      </c>
      <c r="J76" s="35">
        <v>372.75</v>
      </c>
      <c r="K76" s="67"/>
      <c r="L76" s="35"/>
      <c r="M76" s="35">
        <v>0</v>
      </c>
      <c r="N76" s="68" t="s">
        <v>137</v>
      </c>
      <c r="O76" s="68" t="s">
        <v>137</v>
      </c>
      <c r="P76" s="35"/>
      <c r="Q76" s="33"/>
      <c r="R76" s="33"/>
      <c r="S76" s="34"/>
      <c r="T76" s="34">
        <v>0</v>
      </c>
      <c r="U76" s="49">
        <f t="shared" ref="U76:U97" si="82">+I76-SUM(J76:T76)</f>
        <v>4770.3310000000001</v>
      </c>
      <c r="V76" s="33">
        <f t="shared" ref="V76:V87" si="83">IF(I76&gt;2250,I76*0.1,0)</f>
        <v>514.30810000000008</v>
      </c>
      <c r="W76" s="49">
        <f t="shared" ref="W76:W87" si="84">+U76-V76</f>
        <v>4256.0228999999999</v>
      </c>
      <c r="X76" s="33">
        <f t="shared" ref="X76:X87" si="85">IF(I76&lt;2250,I76*0.1,0)</f>
        <v>0</v>
      </c>
      <c r="Y76" s="33">
        <v>10.23</v>
      </c>
      <c r="Z76" s="33" t="str">
        <f t="shared" ref="Z76:Z87" si="86">+N76</f>
        <v>X</v>
      </c>
      <c r="AA76" s="49" t="e">
        <f t="shared" ref="AA76:AA87" si="87">+I76+X76+Y76+Z76</f>
        <v>#VALUE!</v>
      </c>
      <c r="AB76" s="56"/>
      <c r="AC76" s="57"/>
      <c r="AD76" s="50">
        <f t="shared" ref="AD76:AD82" si="88">+AB76+AC76-W76</f>
        <v>-4256.0228999999999</v>
      </c>
      <c r="AE76" s="36">
        <v>56708845774</v>
      </c>
      <c r="AF76" s="36" t="s">
        <v>169</v>
      </c>
      <c r="AG76" s="18" t="s">
        <v>199</v>
      </c>
    </row>
    <row r="77" spans="1:186" s="18" customFormat="1">
      <c r="A77" s="34" t="s">
        <v>40</v>
      </c>
      <c r="B77" s="34" t="s">
        <v>181</v>
      </c>
      <c r="C77" s="34"/>
      <c r="D77" s="34" t="s">
        <v>43</v>
      </c>
      <c r="E77" s="54">
        <v>42793</v>
      </c>
      <c r="F77" s="35">
        <f>2864.376+7.428</f>
        <v>2871.8040000000001</v>
      </c>
      <c r="G77" s="35"/>
      <c r="H77" s="35"/>
      <c r="I77" s="49">
        <f t="shared" si="81"/>
        <v>2871.8040000000001</v>
      </c>
      <c r="J77" s="35"/>
      <c r="K77" s="67"/>
      <c r="L77" s="35"/>
      <c r="M77" s="35"/>
      <c r="N77" s="68"/>
      <c r="O77" s="68"/>
      <c r="P77" s="35"/>
      <c r="Q77" s="33"/>
      <c r="R77" s="33"/>
      <c r="S77" s="34"/>
      <c r="T77" s="34"/>
      <c r="U77" s="49">
        <f t="shared" si="82"/>
        <v>2871.8040000000001</v>
      </c>
      <c r="V77" s="33"/>
      <c r="W77" s="49"/>
      <c r="X77" s="33"/>
      <c r="Y77" s="33"/>
      <c r="Z77" s="33"/>
      <c r="AA77" s="49"/>
      <c r="AB77" s="56"/>
      <c r="AC77" s="57"/>
      <c r="AD77" s="50"/>
      <c r="AE77" s="36">
        <v>56711602712</v>
      </c>
      <c r="AF77" s="36"/>
      <c r="AG77" s="18" t="s">
        <v>199</v>
      </c>
    </row>
    <row r="78" spans="1:186" s="18" customFormat="1">
      <c r="A78" s="34" t="s">
        <v>42</v>
      </c>
      <c r="B78" s="34" t="s">
        <v>107</v>
      </c>
      <c r="C78" s="34"/>
      <c r="D78" s="34" t="s">
        <v>131</v>
      </c>
      <c r="E78" s="54">
        <v>41740</v>
      </c>
      <c r="F78" s="35">
        <f>1619.399+5.571+326.73</f>
        <v>1951.6999999999998</v>
      </c>
      <c r="G78" s="35"/>
      <c r="H78" s="35"/>
      <c r="I78" s="49">
        <f t="shared" si="81"/>
        <v>1951.6999999999998</v>
      </c>
      <c r="J78" s="35">
        <v>275.38</v>
      </c>
      <c r="K78" s="67"/>
      <c r="L78" s="35"/>
      <c r="M78" s="35">
        <v>300</v>
      </c>
      <c r="N78" s="68" t="s">
        <v>137</v>
      </c>
      <c r="O78" s="68" t="s">
        <v>137</v>
      </c>
      <c r="P78" s="35"/>
      <c r="Q78" s="33"/>
      <c r="R78" s="33"/>
      <c r="S78" s="34"/>
      <c r="T78" s="34">
        <v>0</v>
      </c>
      <c r="U78" s="49">
        <f t="shared" si="82"/>
        <v>1376.3199999999997</v>
      </c>
      <c r="V78" s="33">
        <f t="shared" si="83"/>
        <v>0</v>
      </c>
      <c r="W78" s="49">
        <f t="shared" si="84"/>
        <v>1376.3199999999997</v>
      </c>
      <c r="X78" s="33">
        <f t="shared" si="85"/>
        <v>195.17</v>
      </c>
      <c r="Y78" s="33">
        <v>10.23</v>
      </c>
      <c r="Z78" s="33" t="str">
        <f t="shared" si="86"/>
        <v>X</v>
      </c>
      <c r="AA78" s="49" t="e">
        <f t="shared" si="87"/>
        <v>#VALUE!</v>
      </c>
      <c r="AB78" s="56"/>
      <c r="AC78" s="57"/>
      <c r="AD78" s="50">
        <f t="shared" si="88"/>
        <v>-1376.3199999999997</v>
      </c>
      <c r="AE78" s="36">
        <v>56708845788</v>
      </c>
      <c r="AF78" s="36" t="s">
        <v>169</v>
      </c>
      <c r="AG78" s="18" t="s">
        <v>199</v>
      </c>
    </row>
    <row r="79" spans="1:186" s="18" customFormat="1">
      <c r="A79" s="34" t="s">
        <v>42</v>
      </c>
      <c r="B79" s="34" t="s">
        <v>177</v>
      </c>
      <c r="C79" s="34"/>
      <c r="D79" s="34" t="s">
        <v>127</v>
      </c>
      <c r="E79" s="54">
        <v>42779</v>
      </c>
      <c r="F79" s="35">
        <f>785.631+174</f>
        <v>959.63099999999997</v>
      </c>
      <c r="G79" s="35"/>
      <c r="H79" s="35"/>
      <c r="I79" s="49">
        <f t="shared" si="81"/>
        <v>959.63099999999997</v>
      </c>
      <c r="J79" s="35"/>
      <c r="K79" s="67"/>
      <c r="L79" s="35"/>
      <c r="M79" s="35"/>
      <c r="N79" s="68"/>
      <c r="O79" s="68"/>
      <c r="P79" s="35"/>
      <c r="Q79" s="33"/>
      <c r="R79" s="33"/>
      <c r="S79" s="34"/>
      <c r="T79" s="34"/>
      <c r="U79" s="49">
        <f t="shared" si="82"/>
        <v>959.63099999999997</v>
      </c>
      <c r="V79" s="33"/>
      <c r="W79" s="49"/>
      <c r="X79" s="33"/>
      <c r="Y79" s="33"/>
      <c r="Z79" s="33"/>
      <c r="AA79" s="49"/>
      <c r="AB79" s="56"/>
      <c r="AC79" s="57"/>
      <c r="AD79" s="50"/>
      <c r="AE79" s="36">
        <v>60589582591</v>
      </c>
      <c r="AF79" s="36"/>
      <c r="AG79" s="18" t="s">
        <v>199</v>
      </c>
    </row>
    <row r="80" spans="1:186" s="18" customFormat="1">
      <c r="A80" s="34" t="s">
        <v>42</v>
      </c>
      <c r="B80" s="34" t="s">
        <v>188</v>
      </c>
      <c r="C80" s="34"/>
      <c r="D80" s="34" t="s">
        <v>127</v>
      </c>
      <c r="E80" s="54">
        <v>42804</v>
      </c>
      <c r="F80" s="35">
        <f>573.377+132</f>
        <v>705.37699999999995</v>
      </c>
      <c r="G80" s="35"/>
      <c r="H80" s="35"/>
      <c r="I80" s="49">
        <f t="shared" si="81"/>
        <v>705.37699999999995</v>
      </c>
      <c r="J80" s="35"/>
      <c r="K80" s="67"/>
      <c r="L80" s="35"/>
      <c r="M80" s="35"/>
      <c r="N80" s="68"/>
      <c r="O80" s="68"/>
      <c r="P80" s="35"/>
      <c r="Q80" s="33"/>
      <c r="R80" s="33"/>
      <c r="S80" s="34"/>
      <c r="T80" s="34"/>
      <c r="U80" s="49">
        <f t="shared" si="82"/>
        <v>705.37699999999995</v>
      </c>
      <c r="V80" s="33"/>
      <c r="W80" s="49"/>
      <c r="X80" s="33"/>
      <c r="Y80" s="33"/>
      <c r="Z80" s="33"/>
      <c r="AA80" s="49"/>
      <c r="AB80" s="56"/>
      <c r="AC80" s="57"/>
      <c r="AD80" s="50"/>
      <c r="AE80" s="36">
        <v>60589637961</v>
      </c>
      <c r="AF80" s="36"/>
      <c r="AG80" s="18" t="s">
        <v>199</v>
      </c>
    </row>
    <row r="81" spans="1:33" s="18" customFormat="1">
      <c r="A81" s="34" t="s">
        <v>42</v>
      </c>
      <c r="B81" s="34" t="s">
        <v>55</v>
      </c>
      <c r="C81" s="34"/>
      <c r="D81" s="34" t="s">
        <v>47</v>
      </c>
      <c r="E81" s="54">
        <v>41227</v>
      </c>
      <c r="F81" s="35">
        <f>6613.48+13.099+534.68</f>
        <v>7161.259</v>
      </c>
      <c r="G81" s="35"/>
      <c r="H81" s="35"/>
      <c r="I81" s="49">
        <f t="shared" si="81"/>
        <v>7161.259</v>
      </c>
      <c r="J81" s="35"/>
      <c r="K81" s="67"/>
      <c r="L81" s="35"/>
      <c r="M81" s="35">
        <v>700</v>
      </c>
      <c r="N81" s="68" t="s">
        <v>137</v>
      </c>
      <c r="O81" s="68" t="s">
        <v>137</v>
      </c>
      <c r="P81" s="35"/>
      <c r="Q81" s="33"/>
      <c r="R81" s="33"/>
      <c r="S81" s="34"/>
      <c r="T81" s="34">
        <v>0</v>
      </c>
      <c r="U81" s="49">
        <f t="shared" si="82"/>
        <v>6461.259</v>
      </c>
      <c r="V81" s="33">
        <f t="shared" si="83"/>
        <v>716.1259</v>
      </c>
      <c r="W81" s="49">
        <f t="shared" si="84"/>
        <v>5745.1331</v>
      </c>
      <c r="X81" s="33">
        <f t="shared" si="85"/>
        <v>0</v>
      </c>
      <c r="Y81" s="33">
        <v>10.23</v>
      </c>
      <c r="Z81" s="33" t="str">
        <f t="shared" si="86"/>
        <v>X</v>
      </c>
      <c r="AA81" s="49" t="e">
        <f t="shared" si="87"/>
        <v>#VALUE!</v>
      </c>
      <c r="AB81" s="56"/>
      <c r="AC81" s="57"/>
      <c r="AD81" s="50">
        <f t="shared" si="88"/>
        <v>-5745.1331</v>
      </c>
      <c r="AE81" s="36">
        <v>56708845791</v>
      </c>
      <c r="AF81" s="36"/>
      <c r="AG81" s="18" t="s">
        <v>199</v>
      </c>
    </row>
    <row r="82" spans="1:33" s="18" customFormat="1">
      <c r="A82" s="34" t="s">
        <v>42</v>
      </c>
      <c r="B82" s="34" t="s">
        <v>88</v>
      </c>
      <c r="C82" s="34"/>
      <c r="D82" s="34" t="s">
        <v>159</v>
      </c>
      <c r="E82" s="54">
        <v>42242</v>
      </c>
      <c r="F82" s="35">
        <f>633.075+2.599+138.95</f>
        <v>774.62400000000002</v>
      </c>
      <c r="G82" s="35"/>
      <c r="H82" s="35"/>
      <c r="I82" s="49">
        <f t="shared" si="81"/>
        <v>774.62400000000002</v>
      </c>
      <c r="J82" s="35"/>
      <c r="K82" s="67"/>
      <c r="L82" s="35"/>
      <c r="M82" s="35">
        <v>0</v>
      </c>
      <c r="N82" s="68" t="s">
        <v>137</v>
      </c>
      <c r="O82" s="68" t="s">
        <v>137</v>
      </c>
      <c r="P82" s="35"/>
      <c r="Q82" s="33"/>
      <c r="R82" s="33"/>
      <c r="S82" s="34"/>
      <c r="T82" s="34">
        <v>0</v>
      </c>
      <c r="U82" s="49">
        <f t="shared" si="82"/>
        <v>774.62400000000002</v>
      </c>
      <c r="V82" s="33">
        <f t="shared" si="83"/>
        <v>0</v>
      </c>
      <c r="W82" s="49">
        <f t="shared" si="84"/>
        <v>774.62400000000002</v>
      </c>
      <c r="X82" s="33">
        <f t="shared" si="85"/>
        <v>77.462400000000002</v>
      </c>
      <c r="Y82" s="33">
        <v>10.23</v>
      </c>
      <c r="Z82" s="33" t="str">
        <f t="shared" si="86"/>
        <v>X</v>
      </c>
      <c r="AA82" s="49" t="e">
        <f t="shared" si="87"/>
        <v>#VALUE!</v>
      </c>
      <c r="AB82" s="56"/>
      <c r="AC82" s="57"/>
      <c r="AD82" s="50">
        <f t="shared" si="88"/>
        <v>-774.62400000000002</v>
      </c>
      <c r="AE82" s="36">
        <v>56708845803</v>
      </c>
      <c r="AF82" s="36"/>
      <c r="AG82" s="18" t="s">
        <v>199</v>
      </c>
    </row>
    <row r="83" spans="1:33" s="18" customFormat="1">
      <c r="A83" s="34" t="s">
        <v>40</v>
      </c>
      <c r="B83" s="34" t="s">
        <v>102</v>
      </c>
      <c r="C83" s="34"/>
      <c r="D83" s="34" t="s">
        <v>127</v>
      </c>
      <c r="E83" s="54">
        <v>42338</v>
      </c>
      <c r="F83" s="35">
        <f>2621.94+7.428+364.71</f>
        <v>2994.078</v>
      </c>
      <c r="G83" s="35"/>
      <c r="H83" s="35"/>
      <c r="I83" s="49">
        <f t="shared" si="81"/>
        <v>2994.078</v>
      </c>
      <c r="J83" s="35"/>
      <c r="K83" s="67"/>
      <c r="L83" s="35"/>
      <c r="M83" s="35">
        <v>0</v>
      </c>
      <c r="N83" s="68"/>
      <c r="O83" s="68"/>
      <c r="P83" s="35"/>
      <c r="Q83" s="33"/>
      <c r="R83" s="33"/>
      <c r="S83" s="34"/>
      <c r="T83" s="34">
        <v>0</v>
      </c>
      <c r="U83" s="49">
        <f t="shared" si="82"/>
        <v>2994.078</v>
      </c>
      <c r="V83" s="33">
        <f t="shared" si="83"/>
        <v>299.40780000000001</v>
      </c>
      <c r="W83" s="49">
        <f t="shared" si="84"/>
        <v>2694.6702</v>
      </c>
      <c r="X83" s="33">
        <f t="shared" si="85"/>
        <v>0</v>
      </c>
      <c r="Y83" s="33">
        <v>10.23</v>
      </c>
      <c r="Z83" s="33">
        <f t="shared" si="86"/>
        <v>0</v>
      </c>
      <c r="AA83" s="49">
        <f t="shared" si="87"/>
        <v>3004.308</v>
      </c>
      <c r="AB83" s="56"/>
      <c r="AC83" s="57"/>
      <c r="AD83" s="50">
        <f>+AB83+AC83-W83</f>
        <v>-2694.6702</v>
      </c>
      <c r="AE83" s="36">
        <v>56708881872</v>
      </c>
      <c r="AF83" s="36"/>
      <c r="AG83" s="18" t="s">
        <v>199</v>
      </c>
    </row>
    <row r="84" spans="1:33" s="18" customFormat="1">
      <c r="A84" s="34" t="s">
        <v>42</v>
      </c>
      <c r="B84" s="34" t="s">
        <v>187</v>
      </c>
      <c r="C84" s="34"/>
      <c r="D84" s="34" t="s">
        <v>127</v>
      </c>
      <c r="E84" s="54">
        <v>42807</v>
      </c>
      <c r="F84" s="35">
        <f>529.515+88</f>
        <v>617.51499999999999</v>
      </c>
      <c r="G84" s="35"/>
      <c r="H84" s="35"/>
      <c r="I84" s="49">
        <f t="shared" si="81"/>
        <v>617.51499999999999</v>
      </c>
      <c r="J84" s="35"/>
      <c r="K84" s="67"/>
      <c r="L84" s="35"/>
      <c r="M84" s="35"/>
      <c r="N84" s="68"/>
      <c r="O84" s="68"/>
      <c r="P84" s="35"/>
      <c r="Q84" s="33"/>
      <c r="R84" s="33"/>
      <c r="S84" s="34"/>
      <c r="T84" s="34"/>
      <c r="U84" s="49">
        <f t="shared" si="82"/>
        <v>617.51499999999999</v>
      </c>
      <c r="V84" s="33"/>
      <c r="W84" s="49"/>
      <c r="X84" s="33"/>
      <c r="Y84" s="33"/>
      <c r="Z84" s="33"/>
      <c r="AA84" s="49"/>
      <c r="AB84" s="56"/>
      <c r="AC84" s="57"/>
      <c r="AD84" s="50"/>
      <c r="AE84" s="36">
        <v>60589642468</v>
      </c>
      <c r="AF84" s="36"/>
      <c r="AG84" s="18" t="s">
        <v>199</v>
      </c>
    </row>
    <row r="85" spans="1:33" s="18" customFormat="1">
      <c r="A85" s="34" t="s">
        <v>40</v>
      </c>
      <c r="B85" s="34" t="s">
        <v>151</v>
      </c>
      <c r="C85" s="34"/>
      <c r="D85" s="34" t="s">
        <v>43</v>
      </c>
      <c r="E85" s="54">
        <v>42681</v>
      </c>
      <c r="F85" s="35">
        <f>3774.922+13.099+755.15</f>
        <v>4543.1710000000003</v>
      </c>
      <c r="G85" s="35"/>
      <c r="H85" s="35"/>
      <c r="I85" s="49">
        <f t="shared" si="81"/>
        <v>4543.1710000000003</v>
      </c>
      <c r="J85" s="35"/>
      <c r="K85" s="67"/>
      <c r="L85" s="35"/>
      <c r="M85" s="35"/>
      <c r="N85" s="68"/>
      <c r="O85" s="68"/>
      <c r="P85" s="35"/>
      <c r="Q85" s="33"/>
      <c r="R85" s="33"/>
      <c r="S85" s="34"/>
      <c r="T85" s="34"/>
      <c r="U85" s="49">
        <f t="shared" si="82"/>
        <v>4543.1710000000003</v>
      </c>
      <c r="V85" s="33">
        <f t="shared" ref="V85" si="89">IF(I85&gt;2250,I85*0.1,0)</f>
        <v>454.31710000000004</v>
      </c>
      <c r="W85" s="49">
        <f t="shared" ref="W85" si="90">+U85-V85</f>
        <v>4088.8539000000001</v>
      </c>
      <c r="X85" s="33"/>
      <c r="Y85" s="33"/>
      <c r="Z85" s="33"/>
      <c r="AA85" s="49"/>
      <c r="AB85" s="56"/>
      <c r="AC85" s="57"/>
      <c r="AD85" s="50"/>
      <c r="AE85" s="36">
        <v>56710773131</v>
      </c>
      <c r="AF85" s="36"/>
      <c r="AG85" s="18" t="s">
        <v>199</v>
      </c>
    </row>
    <row r="86" spans="1:33" s="18" customFormat="1">
      <c r="A86" s="34" t="s">
        <v>42</v>
      </c>
      <c r="B86" s="34" t="s">
        <v>112</v>
      </c>
      <c r="C86" s="34"/>
      <c r="D86" s="34" t="s">
        <v>131</v>
      </c>
      <c r="E86" s="54">
        <v>41227</v>
      </c>
      <c r="F86" s="35">
        <f>2118.362+2.599+369.43</f>
        <v>2490.3910000000001</v>
      </c>
      <c r="G86" s="35"/>
      <c r="H86" s="35"/>
      <c r="I86" s="49">
        <f t="shared" si="81"/>
        <v>2490.3910000000001</v>
      </c>
      <c r="J86" s="35">
        <v>199.21</v>
      </c>
      <c r="K86" s="67"/>
      <c r="L86" s="35"/>
      <c r="M86" s="35">
        <v>500</v>
      </c>
      <c r="N86" s="68" t="s">
        <v>137</v>
      </c>
      <c r="O86" s="68" t="s">
        <v>137</v>
      </c>
      <c r="P86" s="35"/>
      <c r="Q86" s="33"/>
      <c r="R86" s="33"/>
      <c r="S86" s="34"/>
      <c r="T86" s="34">
        <v>0</v>
      </c>
      <c r="U86" s="49">
        <f t="shared" si="82"/>
        <v>1791.181</v>
      </c>
      <c r="V86" s="33">
        <f t="shared" si="83"/>
        <v>249.03910000000002</v>
      </c>
      <c r="W86" s="49">
        <f t="shared" si="84"/>
        <v>1542.1419000000001</v>
      </c>
      <c r="X86" s="33">
        <f t="shared" si="85"/>
        <v>0</v>
      </c>
      <c r="Y86" s="33">
        <v>10.23</v>
      </c>
      <c r="Z86" s="33" t="str">
        <f t="shared" si="86"/>
        <v>X</v>
      </c>
      <c r="AA86" s="49" t="e">
        <f t="shared" si="87"/>
        <v>#VALUE!</v>
      </c>
      <c r="AB86" s="56"/>
      <c r="AC86" s="57"/>
      <c r="AD86" s="50">
        <f>+AB86+AC86-W86</f>
        <v>-1542.1419000000001</v>
      </c>
      <c r="AE86" s="36">
        <v>56708845820</v>
      </c>
      <c r="AF86" s="36" t="s">
        <v>169</v>
      </c>
      <c r="AG86" s="18" t="s">
        <v>199</v>
      </c>
    </row>
    <row r="87" spans="1:33" s="18" customFormat="1">
      <c r="A87" s="34" t="s">
        <v>42</v>
      </c>
      <c r="B87" s="34" t="s">
        <v>69</v>
      </c>
      <c r="C87" s="34"/>
      <c r="D87" s="34" t="s">
        <v>131</v>
      </c>
      <c r="E87" s="54">
        <v>41227</v>
      </c>
      <c r="F87" s="35">
        <f>6421.884+5.571+881.1</f>
        <v>7308.5550000000003</v>
      </c>
      <c r="G87" s="35"/>
      <c r="H87" s="35"/>
      <c r="I87" s="49">
        <f t="shared" si="81"/>
        <v>7308.5550000000003</v>
      </c>
      <c r="J87" s="35"/>
      <c r="K87" s="67"/>
      <c r="L87" s="35"/>
      <c r="M87" s="35">
        <v>700</v>
      </c>
      <c r="N87" s="68" t="s">
        <v>137</v>
      </c>
      <c r="O87" s="68" t="s">
        <v>137</v>
      </c>
      <c r="P87" s="35"/>
      <c r="Q87" s="33"/>
      <c r="R87" s="33"/>
      <c r="S87" s="34"/>
      <c r="T87" s="34">
        <v>0</v>
      </c>
      <c r="U87" s="49">
        <f t="shared" si="82"/>
        <v>6608.5550000000003</v>
      </c>
      <c r="V87" s="33">
        <f t="shared" si="83"/>
        <v>730.85550000000012</v>
      </c>
      <c r="W87" s="49">
        <f t="shared" si="84"/>
        <v>5877.6995000000006</v>
      </c>
      <c r="X87" s="33">
        <f t="shared" si="85"/>
        <v>0</v>
      </c>
      <c r="Y87" s="33">
        <v>10.23</v>
      </c>
      <c r="Z87" s="33" t="str">
        <f t="shared" si="86"/>
        <v>X</v>
      </c>
      <c r="AA87" s="49" t="e">
        <f t="shared" si="87"/>
        <v>#VALUE!</v>
      </c>
      <c r="AB87" s="56"/>
      <c r="AC87" s="57"/>
      <c r="AD87" s="50">
        <f>+AB87+AC87-W87</f>
        <v>-5877.6995000000006</v>
      </c>
      <c r="AE87" s="36">
        <v>56708845834</v>
      </c>
      <c r="AF87" s="36"/>
      <c r="AG87" s="18" t="s">
        <v>199</v>
      </c>
    </row>
    <row r="88" spans="1:33" s="18" customFormat="1">
      <c r="A88" s="91" t="s">
        <v>40</v>
      </c>
      <c r="B88" s="91" t="s">
        <v>189</v>
      </c>
      <c r="C88" s="91"/>
      <c r="D88" s="91" t="s">
        <v>43</v>
      </c>
      <c r="E88" s="92">
        <v>42803</v>
      </c>
      <c r="F88" s="93">
        <v>0</v>
      </c>
      <c r="G88" s="93"/>
      <c r="H88" s="93"/>
      <c r="I88" s="40">
        <f t="shared" si="81"/>
        <v>0</v>
      </c>
      <c r="J88" s="93"/>
      <c r="K88" s="94"/>
      <c r="L88" s="93"/>
      <c r="M88" s="93"/>
      <c r="N88" s="95"/>
      <c r="O88" s="95"/>
      <c r="P88" s="93"/>
      <c r="Q88" s="96"/>
      <c r="R88" s="96"/>
      <c r="S88" s="91"/>
      <c r="T88" s="91"/>
      <c r="U88" s="40">
        <f t="shared" si="82"/>
        <v>0</v>
      </c>
      <c r="V88" s="96"/>
      <c r="W88" s="40"/>
      <c r="X88" s="96"/>
      <c r="Y88" s="96"/>
      <c r="Z88" s="96"/>
      <c r="AA88" s="40"/>
      <c r="AB88" s="97"/>
      <c r="AC88" s="98"/>
      <c r="AD88" s="99"/>
      <c r="AE88" s="100">
        <v>60589599412</v>
      </c>
      <c r="AF88" s="100" t="s">
        <v>207</v>
      </c>
      <c r="AG88" s="101" t="s">
        <v>199</v>
      </c>
    </row>
    <row r="89" spans="1:33" s="18" customFormat="1">
      <c r="A89" s="34" t="s">
        <v>40</v>
      </c>
      <c r="B89" s="34" t="s">
        <v>135</v>
      </c>
      <c r="C89" s="34"/>
      <c r="D89" s="34" t="s">
        <v>159</v>
      </c>
      <c r="E89" s="54">
        <v>42604</v>
      </c>
      <c r="F89" s="35">
        <f>489.446+145</f>
        <v>634.44600000000003</v>
      </c>
      <c r="G89" s="35"/>
      <c r="H89" s="35"/>
      <c r="I89" s="49">
        <f t="shared" si="81"/>
        <v>634.44600000000003</v>
      </c>
      <c r="J89" s="35"/>
      <c r="K89" s="67"/>
      <c r="L89" s="35"/>
      <c r="M89" s="35"/>
      <c r="N89" s="68"/>
      <c r="O89" s="68"/>
      <c r="P89" s="35"/>
      <c r="Q89" s="33"/>
      <c r="R89" s="33"/>
      <c r="S89" s="34"/>
      <c r="T89" s="34"/>
      <c r="U89" s="49">
        <f t="shared" si="82"/>
        <v>634.44600000000003</v>
      </c>
      <c r="V89" s="33">
        <f t="shared" ref="V89" si="91">IF(I89&gt;2250,I89*0.1,0)</f>
        <v>0</v>
      </c>
      <c r="W89" s="49">
        <f t="shared" ref="W89" si="92">+U89-V89</f>
        <v>634.44600000000003</v>
      </c>
      <c r="X89" s="33"/>
      <c r="Y89" s="33"/>
      <c r="Z89" s="33"/>
      <c r="AA89" s="49"/>
      <c r="AB89" s="56"/>
      <c r="AC89" s="57"/>
      <c r="AD89" s="50"/>
      <c r="AE89" s="36">
        <v>56708845848</v>
      </c>
      <c r="AF89" s="36"/>
      <c r="AG89" s="18" t="s">
        <v>199</v>
      </c>
    </row>
    <row r="90" spans="1:33" s="18" customFormat="1">
      <c r="A90" s="34" t="s">
        <v>40</v>
      </c>
      <c r="B90" s="34" t="s">
        <v>70</v>
      </c>
      <c r="C90" s="34"/>
      <c r="D90" s="34" t="s">
        <v>43</v>
      </c>
      <c r="E90" s="54">
        <v>42319</v>
      </c>
      <c r="F90" s="35">
        <f>3941.896+13.099</f>
        <v>3954.9950000000003</v>
      </c>
      <c r="G90" s="35"/>
      <c r="H90" s="35"/>
      <c r="I90" s="49">
        <f t="shared" si="81"/>
        <v>3954.9950000000003</v>
      </c>
      <c r="J90" s="35"/>
      <c r="K90" s="67"/>
      <c r="L90" s="35"/>
      <c r="M90" s="35">
        <v>0</v>
      </c>
      <c r="N90" s="68"/>
      <c r="O90" s="68"/>
      <c r="P90" s="35"/>
      <c r="Q90" s="33"/>
      <c r="R90" s="33"/>
      <c r="S90" s="34"/>
      <c r="T90" s="34">
        <v>0</v>
      </c>
      <c r="U90" s="49">
        <f t="shared" si="82"/>
        <v>3954.9950000000003</v>
      </c>
      <c r="V90" s="33">
        <f t="shared" ref="V90:V119" si="93">IF(I90&gt;2250,I90*0.1,0)</f>
        <v>395.49950000000007</v>
      </c>
      <c r="W90" s="49">
        <f t="shared" ref="W90:W119" si="94">+U90-V90</f>
        <v>3559.4955000000004</v>
      </c>
      <c r="X90" s="33">
        <f t="shared" ref="X90:X119" si="95">IF(I90&lt;2250,I90*0.1,0)</f>
        <v>0</v>
      </c>
      <c r="Y90" s="33">
        <v>19.23</v>
      </c>
      <c r="Z90" s="33">
        <f t="shared" ref="Z90:Z119" si="96">+N90</f>
        <v>0</v>
      </c>
      <c r="AA90" s="49">
        <f t="shared" ref="AA90:AA119" si="97">+I90+X90+Y90+Z90</f>
        <v>3974.2250000000004</v>
      </c>
      <c r="AB90" s="56"/>
      <c r="AC90" s="57"/>
      <c r="AD90" s="50">
        <f>+AB90+AC90-W90</f>
        <v>-3559.4955000000004</v>
      </c>
      <c r="AE90" s="36">
        <v>56708881901</v>
      </c>
      <c r="AF90" s="36"/>
      <c r="AG90" s="18" t="s">
        <v>199</v>
      </c>
    </row>
    <row r="91" spans="1:33" s="18" customFormat="1">
      <c r="A91" s="103" t="s">
        <v>40</v>
      </c>
      <c r="B91" s="103" t="s">
        <v>212</v>
      </c>
      <c r="C91" s="103"/>
      <c r="D91" s="103" t="s">
        <v>43</v>
      </c>
      <c r="E91" s="104">
        <v>42823</v>
      </c>
      <c r="F91" s="105">
        <f>3686.524+13.099</f>
        <v>3699.623</v>
      </c>
      <c r="G91" s="105"/>
      <c r="H91" s="105"/>
      <c r="I91" s="49"/>
      <c r="J91" s="35"/>
      <c r="K91" s="67"/>
      <c r="L91" s="35"/>
      <c r="M91" s="35"/>
      <c r="N91" s="68"/>
      <c r="O91" s="68"/>
      <c r="P91" s="35"/>
      <c r="Q91" s="33"/>
      <c r="R91" s="33"/>
      <c r="S91" s="34"/>
      <c r="T91" s="34"/>
      <c r="U91" s="49"/>
      <c r="V91" s="33"/>
      <c r="W91" s="49"/>
      <c r="X91" s="33"/>
      <c r="Y91" s="33"/>
      <c r="Z91" s="33"/>
      <c r="AA91" s="49"/>
      <c r="AB91" s="56"/>
      <c r="AC91" s="56"/>
      <c r="AD91" s="50"/>
      <c r="AE91" s="106" t="s">
        <v>161</v>
      </c>
      <c r="AF91" s="103"/>
      <c r="AG91" s="18" t="s">
        <v>199</v>
      </c>
    </row>
    <row r="92" spans="1:33" s="18" customFormat="1">
      <c r="A92" s="34" t="s">
        <v>40</v>
      </c>
      <c r="B92" s="34" t="s">
        <v>184</v>
      </c>
      <c r="C92" s="34"/>
      <c r="D92" s="34" t="s">
        <v>43</v>
      </c>
      <c r="E92" s="54">
        <v>42803</v>
      </c>
      <c r="F92" s="35">
        <v>0</v>
      </c>
      <c r="G92" s="35"/>
      <c r="H92" s="35"/>
      <c r="I92" s="49">
        <f t="shared" si="81"/>
        <v>0</v>
      </c>
      <c r="J92" s="35"/>
      <c r="K92" s="67"/>
      <c r="L92" s="35"/>
      <c r="M92" s="35"/>
      <c r="N92" s="68"/>
      <c r="O92" s="68"/>
      <c r="P92" s="35"/>
      <c r="Q92" s="33"/>
      <c r="R92" s="33"/>
      <c r="S92" s="34"/>
      <c r="T92" s="34"/>
      <c r="U92" s="49">
        <f t="shared" si="82"/>
        <v>0</v>
      </c>
      <c r="V92" s="33"/>
      <c r="W92" s="49"/>
      <c r="X92" s="33"/>
      <c r="Y92" s="33"/>
      <c r="Z92" s="33"/>
      <c r="AA92" s="49"/>
      <c r="AB92" s="56"/>
      <c r="AC92" s="57"/>
      <c r="AD92" s="50"/>
      <c r="AE92" s="36">
        <v>60589597854</v>
      </c>
      <c r="AF92" s="36"/>
      <c r="AG92" s="18" t="s">
        <v>199</v>
      </c>
    </row>
    <row r="93" spans="1:33" s="18" customFormat="1">
      <c r="A93" s="34" t="s">
        <v>42</v>
      </c>
      <c r="B93" s="34" t="s">
        <v>51</v>
      </c>
      <c r="C93" s="34"/>
      <c r="D93" s="34" t="s">
        <v>159</v>
      </c>
      <c r="E93" s="54">
        <v>41981</v>
      </c>
      <c r="F93" s="35">
        <f>1922.081+3.736+221.57</f>
        <v>2147.3870000000002</v>
      </c>
      <c r="G93" s="35"/>
      <c r="H93" s="35"/>
      <c r="I93" s="49">
        <f t="shared" si="81"/>
        <v>2147.3870000000002</v>
      </c>
      <c r="J93" s="35"/>
      <c r="K93" s="67"/>
      <c r="L93" s="35"/>
      <c r="M93" s="35">
        <v>300</v>
      </c>
      <c r="N93" s="68" t="s">
        <v>137</v>
      </c>
      <c r="O93" s="68" t="s">
        <v>137</v>
      </c>
      <c r="P93" s="35"/>
      <c r="Q93" s="33"/>
      <c r="R93" s="33"/>
      <c r="S93" s="34"/>
      <c r="T93" s="34">
        <v>0</v>
      </c>
      <c r="U93" s="49">
        <f t="shared" si="82"/>
        <v>1847.3870000000002</v>
      </c>
      <c r="V93" s="33">
        <f t="shared" si="93"/>
        <v>0</v>
      </c>
      <c r="W93" s="49">
        <f t="shared" si="94"/>
        <v>1847.3870000000002</v>
      </c>
      <c r="X93" s="33">
        <f t="shared" si="95"/>
        <v>214.73870000000002</v>
      </c>
      <c r="Y93" s="33">
        <v>10.23</v>
      </c>
      <c r="Z93" s="33" t="str">
        <f t="shared" si="96"/>
        <v>X</v>
      </c>
      <c r="AA93" s="49" t="e">
        <f t="shared" si="97"/>
        <v>#VALUE!</v>
      </c>
      <c r="AB93" s="56"/>
      <c r="AC93" s="57"/>
      <c r="AD93" s="50">
        <f t="shared" ref="AD93:AD119" si="98">+AB93+AC93-W93</f>
        <v>-1847.3870000000002</v>
      </c>
      <c r="AE93" s="36">
        <v>56708845851</v>
      </c>
      <c r="AF93" s="36"/>
      <c r="AG93" s="18" t="s">
        <v>199</v>
      </c>
    </row>
    <row r="94" spans="1:33" s="18" customFormat="1">
      <c r="A94" s="34" t="s">
        <v>42</v>
      </c>
      <c r="B94" s="34" t="s">
        <v>86</v>
      </c>
      <c r="C94" s="34"/>
      <c r="D94" s="34" t="s">
        <v>131</v>
      </c>
      <c r="E94" s="53">
        <v>41284</v>
      </c>
      <c r="F94" s="35">
        <f>2223.318+2.599+616</f>
        <v>2841.9170000000004</v>
      </c>
      <c r="G94" s="35"/>
      <c r="H94" s="35"/>
      <c r="I94" s="49">
        <f t="shared" si="81"/>
        <v>2841.9170000000004</v>
      </c>
      <c r="J94" s="35">
        <v>246.63</v>
      </c>
      <c r="K94" s="67"/>
      <c r="L94" s="35"/>
      <c r="M94" s="35">
        <v>0</v>
      </c>
      <c r="N94" s="68" t="s">
        <v>137</v>
      </c>
      <c r="O94" s="68" t="s">
        <v>137</v>
      </c>
      <c r="P94" s="35"/>
      <c r="Q94" s="33"/>
      <c r="R94" s="33"/>
      <c r="S94" s="34"/>
      <c r="T94" s="34">
        <v>0</v>
      </c>
      <c r="U94" s="49">
        <f t="shared" si="82"/>
        <v>2595.2870000000003</v>
      </c>
      <c r="V94" s="33">
        <f t="shared" si="93"/>
        <v>284.19170000000003</v>
      </c>
      <c r="W94" s="49">
        <f t="shared" si="94"/>
        <v>2311.0953000000004</v>
      </c>
      <c r="X94" s="33">
        <f t="shared" si="95"/>
        <v>0</v>
      </c>
      <c r="Y94" s="33">
        <v>10.23</v>
      </c>
      <c r="Z94" s="33" t="str">
        <f t="shared" si="96"/>
        <v>X</v>
      </c>
      <c r="AA94" s="49" t="e">
        <f t="shared" si="97"/>
        <v>#VALUE!</v>
      </c>
      <c r="AB94" s="56"/>
      <c r="AC94" s="57"/>
      <c r="AD94" s="50">
        <f t="shared" si="98"/>
        <v>-2311.0953000000004</v>
      </c>
      <c r="AE94" s="36">
        <v>56708881915</v>
      </c>
      <c r="AF94" s="36" t="s">
        <v>169</v>
      </c>
      <c r="AG94" s="18" t="s">
        <v>199</v>
      </c>
    </row>
    <row r="95" spans="1:33" s="18" customFormat="1">
      <c r="A95" s="103" t="s">
        <v>40</v>
      </c>
      <c r="B95" s="103" t="s">
        <v>211</v>
      </c>
      <c r="C95" s="103"/>
      <c r="D95" s="103" t="s">
        <v>43</v>
      </c>
      <c r="E95" s="104">
        <v>42823</v>
      </c>
      <c r="F95" s="105">
        <f>4059.76+13.099</f>
        <v>4072.8590000000004</v>
      </c>
      <c r="G95" s="105"/>
      <c r="H95" s="105"/>
      <c r="I95" s="49"/>
      <c r="J95" s="35"/>
      <c r="K95" s="67"/>
      <c r="L95" s="35"/>
      <c r="M95" s="35"/>
      <c r="N95" s="68"/>
      <c r="O95" s="68"/>
      <c r="P95" s="35"/>
      <c r="Q95" s="33"/>
      <c r="R95" s="33"/>
      <c r="S95" s="34"/>
      <c r="T95" s="34"/>
      <c r="U95" s="49"/>
      <c r="V95" s="33"/>
      <c r="W95" s="49"/>
      <c r="X95" s="33"/>
      <c r="Y95" s="33"/>
      <c r="Z95" s="33"/>
      <c r="AA95" s="49"/>
      <c r="AB95" s="56"/>
      <c r="AC95" s="56"/>
      <c r="AD95" s="50"/>
      <c r="AE95" s="106">
        <v>60589704184</v>
      </c>
      <c r="AF95" s="103"/>
      <c r="AG95" s="18" t="s">
        <v>199</v>
      </c>
    </row>
    <row r="96" spans="1:33" s="18" customFormat="1">
      <c r="A96" s="34" t="s">
        <v>42</v>
      </c>
      <c r="B96" s="34" t="s">
        <v>53</v>
      </c>
      <c r="C96" s="34"/>
      <c r="D96" s="34" t="s">
        <v>131</v>
      </c>
      <c r="E96" s="53">
        <v>41227</v>
      </c>
      <c r="F96" s="35">
        <f>2771.255+2.972+21.93+413</f>
        <v>3209.1570000000002</v>
      </c>
      <c r="G96" s="35"/>
      <c r="H96" s="35"/>
      <c r="I96" s="49">
        <f t="shared" si="81"/>
        <v>3209.1570000000002</v>
      </c>
      <c r="J96" s="35">
        <v>307.93</v>
      </c>
      <c r="K96" s="67"/>
      <c r="L96" s="35"/>
      <c r="M96" s="35">
        <v>0</v>
      </c>
      <c r="N96" s="68" t="s">
        <v>137</v>
      </c>
      <c r="O96" s="68" t="s">
        <v>137</v>
      </c>
      <c r="P96" s="35"/>
      <c r="Q96" s="33"/>
      <c r="R96" s="33"/>
      <c r="S96" s="34"/>
      <c r="T96" s="34">
        <v>0</v>
      </c>
      <c r="U96" s="49">
        <f t="shared" si="82"/>
        <v>2901.2270000000003</v>
      </c>
      <c r="V96" s="33">
        <f t="shared" si="93"/>
        <v>320.91570000000002</v>
      </c>
      <c r="W96" s="49">
        <f t="shared" si="94"/>
        <v>2580.3113000000003</v>
      </c>
      <c r="X96" s="33">
        <f t="shared" si="95"/>
        <v>0</v>
      </c>
      <c r="Y96" s="33">
        <v>10.23</v>
      </c>
      <c r="Z96" s="33" t="str">
        <f t="shared" si="96"/>
        <v>X</v>
      </c>
      <c r="AA96" s="49" t="e">
        <f t="shared" si="97"/>
        <v>#VALUE!</v>
      </c>
      <c r="AB96" s="56"/>
      <c r="AC96" s="56"/>
      <c r="AD96" s="50">
        <f t="shared" si="98"/>
        <v>-2580.3113000000003</v>
      </c>
      <c r="AE96" s="36">
        <v>56708845865</v>
      </c>
      <c r="AF96" s="36" t="s">
        <v>169</v>
      </c>
      <c r="AG96" s="18" t="s">
        <v>199</v>
      </c>
    </row>
    <row r="97" spans="1:186" s="18" customFormat="1">
      <c r="A97" s="34" t="s">
        <v>40</v>
      </c>
      <c r="B97" s="34" t="s">
        <v>71</v>
      </c>
      <c r="C97" s="34"/>
      <c r="D97" s="34" t="s">
        <v>43</v>
      </c>
      <c r="E97" s="53">
        <v>41493</v>
      </c>
      <c r="F97" s="35">
        <f>4372.754+13.099</f>
        <v>4385.8530000000001</v>
      </c>
      <c r="G97" s="35"/>
      <c r="H97" s="35"/>
      <c r="I97" s="49">
        <f t="shared" si="81"/>
        <v>4385.8530000000001</v>
      </c>
      <c r="J97" s="35"/>
      <c r="K97" s="67"/>
      <c r="L97" s="35"/>
      <c r="M97" s="35">
        <v>0</v>
      </c>
      <c r="N97" s="68"/>
      <c r="O97" s="68"/>
      <c r="P97" s="35"/>
      <c r="Q97" s="33"/>
      <c r="R97" s="33"/>
      <c r="S97" s="34"/>
      <c r="T97" s="34">
        <v>0</v>
      </c>
      <c r="U97" s="49">
        <f t="shared" si="82"/>
        <v>4385.8530000000001</v>
      </c>
      <c r="V97" s="33">
        <f t="shared" si="93"/>
        <v>438.58530000000002</v>
      </c>
      <c r="W97" s="49">
        <f t="shared" si="94"/>
        <v>3947.2676999999999</v>
      </c>
      <c r="X97" s="33">
        <f t="shared" si="95"/>
        <v>0</v>
      </c>
      <c r="Y97" s="33">
        <v>10.23</v>
      </c>
      <c r="Z97" s="33">
        <f t="shared" si="96"/>
        <v>0</v>
      </c>
      <c r="AA97" s="49">
        <f t="shared" si="97"/>
        <v>4396.0829999999996</v>
      </c>
      <c r="AB97" s="56"/>
      <c r="AC97" s="57"/>
      <c r="AD97" s="50">
        <f t="shared" si="98"/>
        <v>-3947.2676999999999</v>
      </c>
      <c r="AE97" s="36">
        <v>56708845879</v>
      </c>
      <c r="AF97" s="36"/>
      <c r="AG97" s="18" t="s">
        <v>199</v>
      </c>
    </row>
    <row r="98" spans="1:186" s="18" customFormat="1">
      <c r="A98" s="34" t="s">
        <v>42</v>
      </c>
      <c r="B98" s="34" t="s">
        <v>123</v>
      </c>
      <c r="C98" s="34"/>
      <c r="D98" s="34" t="s">
        <v>159</v>
      </c>
      <c r="E98" s="54">
        <v>42493</v>
      </c>
      <c r="F98" s="35">
        <f>1993.888+2.599+284</f>
        <v>2280.4870000000001</v>
      </c>
      <c r="G98" s="35"/>
      <c r="H98" s="35"/>
      <c r="I98" s="49">
        <f t="shared" si="81"/>
        <v>2280.4870000000001</v>
      </c>
      <c r="J98" s="35"/>
      <c r="K98" s="67"/>
      <c r="L98" s="35"/>
      <c r="M98" s="35">
        <v>0</v>
      </c>
      <c r="N98" s="68" t="s">
        <v>137</v>
      </c>
      <c r="O98" s="68" t="s">
        <v>137</v>
      </c>
      <c r="P98" s="35"/>
      <c r="Q98" s="33"/>
      <c r="R98" s="33"/>
      <c r="S98" s="34"/>
      <c r="T98" s="34">
        <v>0</v>
      </c>
      <c r="U98" s="49">
        <f t="shared" ref="U98:U119" si="99">+I98-SUM(J98:T98)</f>
        <v>2280.4870000000001</v>
      </c>
      <c r="V98" s="33">
        <f t="shared" si="93"/>
        <v>228.04870000000003</v>
      </c>
      <c r="W98" s="49">
        <f t="shared" si="94"/>
        <v>2052.4383000000003</v>
      </c>
      <c r="X98" s="33">
        <f t="shared" si="95"/>
        <v>0</v>
      </c>
      <c r="Y98" s="33">
        <v>10.23</v>
      </c>
      <c r="Z98" s="33" t="str">
        <f t="shared" si="96"/>
        <v>X</v>
      </c>
      <c r="AA98" s="49" t="e">
        <f t="shared" si="97"/>
        <v>#VALUE!</v>
      </c>
      <c r="AB98" s="56"/>
      <c r="AC98" s="56"/>
      <c r="AD98" s="50">
        <f t="shared" si="98"/>
        <v>-2052.4383000000003</v>
      </c>
      <c r="AE98" s="36">
        <v>56708845882</v>
      </c>
      <c r="AF98" s="36"/>
      <c r="AG98" s="18" t="s">
        <v>199</v>
      </c>
    </row>
    <row r="99" spans="1:186">
      <c r="A99" s="29" t="s">
        <v>28</v>
      </c>
      <c r="B99" s="34" t="s">
        <v>96</v>
      </c>
      <c r="C99" s="29"/>
      <c r="D99" s="102" t="s">
        <v>45</v>
      </c>
      <c r="E99" s="66">
        <v>40813</v>
      </c>
      <c r="F99" s="75">
        <v>750</v>
      </c>
      <c r="G99" s="31"/>
      <c r="H99" s="31"/>
      <c r="I99" s="49">
        <f t="shared" si="81"/>
        <v>750</v>
      </c>
      <c r="J99" s="35"/>
      <c r="K99" s="67"/>
      <c r="L99" s="35"/>
      <c r="M99" s="35"/>
      <c r="N99" s="68"/>
      <c r="O99" s="68"/>
      <c r="P99" s="35"/>
      <c r="Q99" s="33"/>
      <c r="R99" s="33"/>
      <c r="S99" s="34"/>
      <c r="T99" s="34"/>
      <c r="U99" s="49">
        <f t="shared" si="99"/>
        <v>750</v>
      </c>
      <c r="V99" s="33">
        <f t="shared" ref="V99" si="100">+U99*0.05</f>
        <v>37.5</v>
      </c>
      <c r="W99" s="49">
        <f t="shared" ref="W99" si="101">+U99-Q99-T99</f>
        <v>750</v>
      </c>
      <c r="X99" s="61">
        <f t="shared" ref="X99" si="102">IF(U99&lt;3000,U99*0.1,0)</f>
        <v>75</v>
      </c>
      <c r="Y99" s="61"/>
      <c r="Z99" s="61"/>
      <c r="AA99" s="60">
        <f t="shared" ref="AA99" si="103">+U99+X99+Y99</f>
        <v>825</v>
      </c>
      <c r="AB99" s="47"/>
      <c r="AC99" s="47"/>
      <c r="AD99" s="41"/>
      <c r="AE99" s="90">
        <v>2631133012</v>
      </c>
      <c r="AF99" s="36"/>
      <c r="AG99" s="18" t="s">
        <v>201</v>
      </c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</row>
    <row r="100" spans="1:186" s="18" customFormat="1">
      <c r="A100" s="34" t="s">
        <v>40</v>
      </c>
      <c r="B100" s="34" t="s">
        <v>158</v>
      </c>
      <c r="C100" s="34"/>
      <c r="D100" s="34" t="s">
        <v>127</v>
      </c>
      <c r="E100" s="54">
        <v>42716</v>
      </c>
      <c r="F100" s="35">
        <v>0</v>
      </c>
      <c r="G100" s="35"/>
      <c r="H100" s="35"/>
      <c r="I100" s="49">
        <f t="shared" si="81"/>
        <v>0</v>
      </c>
      <c r="J100" s="35"/>
      <c r="K100" s="67"/>
      <c r="L100" s="35"/>
      <c r="M100" s="35"/>
      <c r="N100" s="68"/>
      <c r="O100" s="68"/>
      <c r="P100" s="35"/>
      <c r="Q100" s="33"/>
      <c r="R100" s="33"/>
      <c r="S100" s="34"/>
      <c r="T100" s="65">
        <v>263.26</v>
      </c>
      <c r="U100" s="49">
        <f t="shared" ref="U100" si="104">+I100-SUM(J100:T100)</f>
        <v>-263.26</v>
      </c>
      <c r="V100" s="33">
        <f t="shared" ref="V100" si="105">IF(I100&gt;2250,I100*0.1,0)</f>
        <v>0</v>
      </c>
      <c r="W100" s="49">
        <f t="shared" ref="W100" si="106">+U100-V100</f>
        <v>-263.26</v>
      </c>
      <c r="X100" s="33"/>
      <c r="Y100" s="33"/>
      <c r="Z100" s="33"/>
      <c r="AA100" s="49"/>
      <c r="AB100" s="56"/>
      <c r="AC100" s="56"/>
      <c r="AD100" s="50"/>
      <c r="AE100" s="36">
        <v>60589845501</v>
      </c>
      <c r="AF100" s="36"/>
      <c r="AG100" s="18" t="s">
        <v>199</v>
      </c>
    </row>
    <row r="101" spans="1:186" s="18" customFormat="1">
      <c r="A101" s="103" t="s">
        <v>40</v>
      </c>
      <c r="B101" s="103" t="s">
        <v>213</v>
      </c>
      <c r="C101" s="103"/>
      <c r="D101" s="103" t="s">
        <v>43</v>
      </c>
      <c r="E101" s="104">
        <v>42825</v>
      </c>
      <c r="F101" s="105">
        <f>2563.2+7.428</f>
        <v>2570.6279999999997</v>
      </c>
      <c r="G101" s="105"/>
      <c r="H101" s="105"/>
      <c r="I101" s="49"/>
      <c r="J101" s="35"/>
      <c r="K101" s="67"/>
      <c r="L101" s="35"/>
      <c r="M101" s="35"/>
      <c r="N101" s="68"/>
      <c r="O101" s="68"/>
      <c r="P101" s="35"/>
      <c r="Q101" s="33"/>
      <c r="R101" s="33"/>
      <c r="S101" s="34"/>
      <c r="T101" s="34"/>
      <c r="U101" s="49"/>
      <c r="V101" s="33"/>
      <c r="W101" s="49"/>
      <c r="X101" s="33"/>
      <c r="Y101" s="33"/>
      <c r="Z101" s="33"/>
      <c r="AA101" s="49"/>
      <c r="AB101" s="56"/>
      <c r="AC101" s="56"/>
      <c r="AD101" s="50"/>
      <c r="AE101" s="106">
        <v>60589796563</v>
      </c>
      <c r="AF101" s="103"/>
      <c r="AG101" s="18" t="s">
        <v>199</v>
      </c>
    </row>
    <row r="102" spans="1:186" s="18" customFormat="1">
      <c r="A102" s="34" t="s">
        <v>40</v>
      </c>
      <c r="B102" s="34" t="s">
        <v>103</v>
      </c>
      <c r="C102" s="34"/>
      <c r="D102" s="34" t="s">
        <v>43</v>
      </c>
      <c r="E102" s="54">
        <v>42170</v>
      </c>
      <c r="F102" s="35">
        <f>3247.808+13.099+649.71</f>
        <v>3910.6170000000002</v>
      </c>
      <c r="G102" s="35"/>
      <c r="H102" s="35"/>
      <c r="I102" s="49">
        <f t="shared" si="81"/>
        <v>3910.6170000000002</v>
      </c>
      <c r="J102" s="67"/>
      <c r="K102" s="67"/>
      <c r="L102" s="35"/>
      <c r="M102" s="35">
        <v>0</v>
      </c>
      <c r="N102" s="68"/>
      <c r="O102" s="68"/>
      <c r="P102" s="35"/>
      <c r="Q102" s="33"/>
      <c r="R102" s="33"/>
      <c r="S102" s="34"/>
      <c r="T102" s="34">
        <v>0</v>
      </c>
      <c r="U102" s="49">
        <f t="shared" si="99"/>
        <v>3910.6170000000002</v>
      </c>
      <c r="V102" s="33">
        <f t="shared" si="93"/>
        <v>391.06170000000003</v>
      </c>
      <c r="W102" s="49">
        <f t="shared" si="94"/>
        <v>3519.5553</v>
      </c>
      <c r="X102" s="33">
        <f t="shared" si="95"/>
        <v>0</v>
      </c>
      <c r="Y102" s="33">
        <v>10.23</v>
      </c>
      <c r="Z102" s="33">
        <f t="shared" si="96"/>
        <v>0</v>
      </c>
      <c r="AA102" s="49">
        <f t="shared" si="97"/>
        <v>3920.8470000000002</v>
      </c>
      <c r="AB102" s="56"/>
      <c r="AC102" s="57"/>
      <c r="AD102" s="50">
        <f t="shared" si="98"/>
        <v>-3519.5553</v>
      </c>
      <c r="AE102" s="36">
        <v>56708881929</v>
      </c>
      <c r="AF102" s="36"/>
      <c r="AG102" s="18" t="s">
        <v>199</v>
      </c>
    </row>
    <row r="103" spans="1:186" s="18" customFormat="1">
      <c r="A103" s="34" t="s">
        <v>42</v>
      </c>
      <c r="B103" s="34" t="s">
        <v>59</v>
      </c>
      <c r="C103" s="34"/>
      <c r="D103" s="34" t="s">
        <v>130</v>
      </c>
      <c r="E103" s="54">
        <v>36868</v>
      </c>
      <c r="F103" s="35">
        <f>749.091+3.714+453</f>
        <v>1205.8050000000001</v>
      </c>
      <c r="G103" s="35"/>
      <c r="H103" s="35"/>
      <c r="I103" s="49">
        <f t="shared" si="81"/>
        <v>1205.8050000000001</v>
      </c>
      <c r="J103" s="35">
        <v>236.31</v>
      </c>
      <c r="K103" s="67"/>
      <c r="L103" s="35"/>
      <c r="M103" s="35">
        <v>0</v>
      </c>
      <c r="N103" s="68" t="s">
        <v>137</v>
      </c>
      <c r="O103" s="68" t="s">
        <v>137</v>
      </c>
      <c r="P103" s="35"/>
      <c r="Q103" s="33"/>
      <c r="R103" s="33"/>
      <c r="S103" s="34"/>
      <c r="T103" s="34">
        <v>0</v>
      </c>
      <c r="U103" s="49">
        <f t="shared" si="99"/>
        <v>969.49500000000012</v>
      </c>
      <c r="V103" s="33">
        <f t="shared" si="93"/>
        <v>0</v>
      </c>
      <c r="W103" s="49">
        <f t="shared" si="94"/>
        <v>969.49500000000012</v>
      </c>
      <c r="X103" s="33">
        <f t="shared" si="95"/>
        <v>120.58050000000001</v>
      </c>
      <c r="Y103" s="33">
        <v>10.23</v>
      </c>
      <c r="Z103" s="33" t="str">
        <f t="shared" si="96"/>
        <v>X</v>
      </c>
      <c r="AA103" s="49" t="e">
        <f t="shared" si="97"/>
        <v>#VALUE!</v>
      </c>
      <c r="AB103" s="56"/>
      <c r="AC103" s="56"/>
      <c r="AD103" s="50">
        <f t="shared" si="98"/>
        <v>-969.49500000000012</v>
      </c>
      <c r="AE103" s="36">
        <v>56708845911</v>
      </c>
      <c r="AF103" s="36" t="s">
        <v>169</v>
      </c>
      <c r="AG103" s="18" t="s">
        <v>199</v>
      </c>
    </row>
    <row r="104" spans="1:186" s="18" customFormat="1">
      <c r="A104" s="34" t="s">
        <v>42</v>
      </c>
      <c r="B104" s="34" t="s">
        <v>56</v>
      </c>
      <c r="C104" s="34"/>
      <c r="D104" s="34" t="s">
        <v>128</v>
      </c>
      <c r="E104" s="54">
        <v>41949</v>
      </c>
      <c r="F104" s="35">
        <f>5607+7.428+500+517</f>
        <v>6631.4279999999999</v>
      </c>
      <c r="G104" s="35"/>
      <c r="H104" s="35"/>
      <c r="I104" s="49">
        <f t="shared" si="81"/>
        <v>6631.4279999999999</v>
      </c>
      <c r="J104" s="35"/>
      <c r="K104" s="67"/>
      <c r="L104" s="35"/>
      <c r="M104" s="35">
        <v>250</v>
      </c>
      <c r="N104" s="68" t="s">
        <v>137</v>
      </c>
      <c r="O104" s="68" t="s">
        <v>137</v>
      </c>
      <c r="P104" s="35"/>
      <c r="Q104" s="33"/>
      <c r="R104" s="33"/>
      <c r="S104" s="34"/>
      <c r="T104" s="34">
        <v>0</v>
      </c>
      <c r="U104" s="49">
        <f t="shared" si="99"/>
        <v>6381.4279999999999</v>
      </c>
      <c r="V104" s="33">
        <f t="shared" si="93"/>
        <v>663.14280000000008</v>
      </c>
      <c r="W104" s="49">
        <f t="shared" si="94"/>
        <v>5718.2852000000003</v>
      </c>
      <c r="X104" s="33">
        <f t="shared" si="95"/>
        <v>0</v>
      </c>
      <c r="Y104" s="33">
        <v>10.23</v>
      </c>
      <c r="Z104" s="33" t="str">
        <f t="shared" si="96"/>
        <v>X</v>
      </c>
      <c r="AA104" s="49" t="e">
        <f t="shared" si="97"/>
        <v>#VALUE!</v>
      </c>
      <c r="AB104" s="56"/>
      <c r="AC104" s="57"/>
      <c r="AD104" s="50">
        <f t="shared" si="98"/>
        <v>-5718.2852000000003</v>
      </c>
      <c r="AE104" s="36">
        <v>56708845925</v>
      </c>
      <c r="AF104" s="34"/>
      <c r="AG104" s="18" t="s">
        <v>199</v>
      </c>
    </row>
    <row r="105" spans="1:186" s="18" customFormat="1">
      <c r="A105" s="34" t="s">
        <v>40</v>
      </c>
      <c r="B105" s="34" t="s">
        <v>171</v>
      </c>
      <c r="C105" s="34"/>
      <c r="D105" s="34" t="s">
        <v>127</v>
      </c>
      <c r="E105" s="54">
        <v>42756</v>
      </c>
      <c r="F105" s="35">
        <v>0</v>
      </c>
      <c r="G105" s="35"/>
      <c r="H105" s="35"/>
      <c r="I105" s="49">
        <f t="shared" si="81"/>
        <v>0</v>
      </c>
      <c r="J105" s="35"/>
      <c r="K105" s="67"/>
      <c r="L105" s="35"/>
      <c r="M105" s="35"/>
      <c r="N105" s="68"/>
      <c r="O105" s="68"/>
      <c r="P105" s="35"/>
      <c r="Q105" s="33"/>
      <c r="R105" s="33"/>
      <c r="S105" s="34"/>
      <c r="T105" s="34"/>
      <c r="U105" s="49">
        <f t="shared" ref="U105:U106" si="107">+I105-SUM(J105:T105)</f>
        <v>0</v>
      </c>
      <c r="V105" s="33">
        <f t="shared" ref="V105:V106" si="108">IF(I105&gt;2250,I105*0.1,0)</f>
        <v>0</v>
      </c>
      <c r="W105" s="49">
        <f t="shared" ref="W105:W106" si="109">+U105-V105</f>
        <v>0</v>
      </c>
      <c r="X105" s="33"/>
      <c r="Y105" s="33"/>
      <c r="Z105" s="33"/>
      <c r="AA105" s="49"/>
      <c r="AB105" s="56"/>
      <c r="AC105" s="57"/>
      <c r="AD105" s="50"/>
      <c r="AE105" s="36">
        <v>60589806088</v>
      </c>
      <c r="AF105" s="34"/>
      <c r="AG105" s="18" t="s">
        <v>199</v>
      </c>
    </row>
    <row r="106" spans="1:186" s="18" customFormat="1">
      <c r="A106" s="34" t="s">
        <v>40</v>
      </c>
      <c r="B106" s="34" t="s">
        <v>34</v>
      </c>
      <c r="C106" s="34"/>
      <c r="D106" s="34" t="s">
        <v>43</v>
      </c>
      <c r="E106" s="54">
        <v>42129</v>
      </c>
      <c r="F106" s="35">
        <f>6259.888+13.099</f>
        <v>6272.9870000000001</v>
      </c>
      <c r="G106" s="35"/>
      <c r="H106" s="35"/>
      <c r="I106" s="49">
        <f t="shared" si="81"/>
        <v>6272.9870000000001</v>
      </c>
      <c r="J106" s="35"/>
      <c r="K106" s="67"/>
      <c r="L106" s="35"/>
      <c r="M106" s="35">
        <v>0</v>
      </c>
      <c r="N106" s="68"/>
      <c r="O106" s="68"/>
      <c r="P106" s="35"/>
      <c r="Q106" s="33"/>
      <c r="R106" s="33"/>
      <c r="S106" s="34"/>
      <c r="T106" s="34">
        <v>0</v>
      </c>
      <c r="U106" s="49">
        <f t="shared" si="107"/>
        <v>6272.9870000000001</v>
      </c>
      <c r="V106" s="33">
        <f t="shared" si="108"/>
        <v>627.29870000000005</v>
      </c>
      <c r="W106" s="49">
        <f t="shared" si="109"/>
        <v>5645.6882999999998</v>
      </c>
      <c r="X106" s="33">
        <f t="shared" si="95"/>
        <v>0</v>
      </c>
      <c r="Y106" s="33">
        <v>10.23</v>
      </c>
      <c r="Z106" s="33">
        <f t="shared" si="96"/>
        <v>0</v>
      </c>
      <c r="AA106" s="49">
        <f t="shared" si="97"/>
        <v>6283.2169999999996</v>
      </c>
      <c r="AB106" s="56"/>
      <c r="AC106" s="57"/>
      <c r="AD106" s="50">
        <f t="shared" si="98"/>
        <v>-5645.6882999999998</v>
      </c>
      <c r="AE106" s="36">
        <v>56708845939</v>
      </c>
      <c r="AF106" s="36"/>
      <c r="AG106" s="18" t="s">
        <v>199</v>
      </c>
    </row>
    <row r="107" spans="1:186" s="18" customFormat="1">
      <c r="A107" s="34" t="s">
        <v>40</v>
      </c>
      <c r="B107" s="34" t="s">
        <v>198</v>
      </c>
      <c r="C107" s="34"/>
      <c r="D107" s="34" t="s">
        <v>43</v>
      </c>
      <c r="E107" s="54">
        <v>42815</v>
      </c>
      <c r="F107" s="35">
        <f>2467.08+7.428</f>
        <v>2474.5079999999998</v>
      </c>
      <c r="G107" s="35"/>
      <c r="H107" s="35"/>
      <c r="I107" s="49">
        <f t="shared" si="81"/>
        <v>2474.5079999999998</v>
      </c>
      <c r="J107" s="35"/>
      <c r="K107" s="67"/>
      <c r="L107" s="35"/>
      <c r="M107" s="35"/>
      <c r="N107" s="68"/>
      <c r="O107" s="68"/>
      <c r="P107" s="35"/>
      <c r="Q107" s="33"/>
      <c r="R107" s="33"/>
      <c r="S107" s="34"/>
      <c r="T107" s="34"/>
      <c r="U107" s="49"/>
      <c r="V107" s="33"/>
      <c r="W107" s="49"/>
      <c r="X107" s="33"/>
      <c r="Y107" s="33"/>
      <c r="Z107" s="33"/>
      <c r="AA107" s="49"/>
      <c r="AB107" s="56"/>
      <c r="AC107" s="57"/>
      <c r="AD107" s="50"/>
      <c r="AE107" s="36">
        <v>60589426888</v>
      </c>
      <c r="AF107" s="36"/>
      <c r="AG107" s="18" t="s">
        <v>199</v>
      </c>
    </row>
    <row r="108" spans="1:186" s="18" customFormat="1">
      <c r="A108" s="34" t="s">
        <v>40</v>
      </c>
      <c r="B108" s="34" t="s">
        <v>89</v>
      </c>
      <c r="C108" s="34"/>
      <c r="D108" s="34" t="s">
        <v>127</v>
      </c>
      <c r="E108" s="54">
        <v>42422</v>
      </c>
      <c r="F108" s="35">
        <f>5743.906+13.099</f>
        <v>5757.0050000000001</v>
      </c>
      <c r="G108" s="35"/>
      <c r="H108" s="35"/>
      <c r="I108" s="49">
        <f t="shared" si="81"/>
        <v>5757.0050000000001</v>
      </c>
      <c r="J108" s="35"/>
      <c r="K108" s="67"/>
      <c r="L108" s="35"/>
      <c r="M108" s="35">
        <v>0</v>
      </c>
      <c r="N108" s="68"/>
      <c r="O108" s="68"/>
      <c r="P108" s="35"/>
      <c r="Q108" s="33"/>
      <c r="R108" s="33"/>
      <c r="S108" s="34"/>
      <c r="T108" s="34">
        <v>0</v>
      </c>
      <c r="U108" s="49">
        <f t="shared" ref="U108" si="110">+I108-SUM(J108:T108)</f>
        <v>5757.0050000000001</v>
      </c>
      <c r="V108" s="33">
        <f t="shared" ref="V108" si="111">IF(I108&gt;2250,I108*0.1,0)</f>
        <v>575.70050000000003</v>
      </c>
      <c r="W108" s="49">
        <f t="shared" ref="W108" si="112">+U108-V108</f>
        <v>5181.3045000000002</v>
      </c>
      <c r="X108" s="33">
        <f t="shared" si="95"/>
        <v>0</v>
      </c>
      <c r="Y108" s="33">
        <v>10.23</v>
      </c>
      <c r="Z108" s="33">
        <f t="shared" si="96"/>
        <v>0</v>
      </c>
      <c r="AA108" s="49">
        <f t="shared" si="97"/>
        <v>5767.2349999999997</v>
      </c>
      <c r="AB108" s="56"/>
      <c r="AC108" s="57"/>
      <c r="AD108" s="50">
        <f t="shared" si="98"/>
        <v>-5181.3045000000002</v>
      </c>
      <c r="AE108" s="36">
        <v>56708845942</v>
      </c>
      <c r="AF108" s="36"/>
      <c r="AG108" s="18" t="s">
        <v>199</v>
      </c>
    </row>
    <row r="109" spans="1:186" s="18" customFormat="1">
      <c r="A109" s="34" t="s">
        <v>42</v>
      </c>
      <c r="B109" s="34" t="s">
        <v>104</v>
      </c>
      <c r="C109" s="34"/>
      <c r="D109" s="34" t="s">
        <v>131</v>
      </c>
      <c r="E109" s="54">
        <v>41227</v>
      </c>
      <c r="F109" s="35">
        <f>3068.198+2.599+516</f>
        <v>3586.797</v>
      </c>
      <c r="G109" s="35"/>
      <c r="H109" s="35"/>
      <c r="I109" s="49">
        <f t="shared" si="81"/>
        <v>3586.797</v>
      </c>
      <c r="J109" s="35">
        <f>209.76</f>
        <v>209.76</v>
      </c>
      <c r="K109" s="67"/>
      <c r="L109" s="35"/>
      <c r="M109" s="35">
        <v>400</v>
      </c>
      <c r="N109" s="68" t="s">
        <v>137</v>
      </c>
      <c r="O109" s="68" t="s">
        <v>137</v>
      </c>
      <c r="P109" s="35">
        <v>343.11</v>
      </c>
      <c r="Q109" s="33"/>
      <c r="R109" s="33"/>
      <c r="S109" s="34"/>
      <c r="T109" s="34">
        <v>0</v>
      </c>
      <c r="U109" s="49">
        <f t="shared" si="99"/>
        <v>2633.9270000000001</v>
      </c>
      <c r="V109" s="33">
        <f t="shared" si="93"/>
        <v>358.67970000000003</v>
      </c>
      <c r="W109" s="49">
        <f t="shared" si="94"/>
        <v>2275.2473</v>
      </c>
      <c r="X109" s="33">
        <f t="shared" si="95"/>
        <v>0</v>
      </c>
      <c r="Y109" s="33">
        <v>10.23</v>
      </c>
      <c r="Z109" s="33" t="str">
        <f t="shared" si="96"/>
        <v>X</v>
      </c>
      <c r="AA109" s="49" t="e">
        <f t="shared" si="97"/>
        <v>#VALUE!</v>
      </c>
      <c r="AB109" s="56"/>
      <c r="AC109" s="56"/>
      <c r="AD109" s="50">
        <f t="shared" si="98"/>
        <v>-2275.2473</v>
      </c>
      <c r="AE109" s="36">
        <v>56708881946</v>
      </c>
      <c r="AF109" s="36" t="s">
        <v>169</v>
      </c>
      <c r="AG109" s="18" t="s">
        <v>199</v>
      </c>
    </row>
    <row r="110" spans="1:186" s="18" customFormat="1">
      <c r="A110" s="34" t="s">
        <v>42</v>
      </c>
      <c r="B110" s="34" t="s">
        <v>166</v>
      </c>
      <c r="C110" s="34"/>
      <c r="D110" s="34" t="s">
        <v>127</v>
      </c>
      <c r="E110" s="54">
        <v>42746</v>
      </c>
      <c r="F110" s="35">
        <f>414.708+183</f>
        <v>597.70800000000008</v>
      </c>
      <c r="G110" s="35"/>
      <c r="H110" s="35"/>
      <c r="I110" s="49">
        <f t="shared" si="81"/>
        <v>597.70800000000008</v>
      </c>
      <c r="J110" s="35"/>
      <c r="K110" s="67">
        <v>1</v>
      </c>
      <c r="L110" s="35"/>
      <c r="M110" s="35"/>
      <c r="N110" s="68"/>
      <c r="O110" s="68"/>
      <c r="P110" s="35"/>
      <c r="Q110" s="33"/>
      <c r="R110" s="33"/>
      <c r="S110" s="34"/>
      <c r="T110" s="34"/>
      <c r="U110" s="49">
        <f t="shared" ref="U110" si="113">+I110-SUM(J110:T110)</f>
        <v>596.70800000000008</v>
      </c>
      <c r="V110" s="33">
        <f t="shared" ref="V110" si="114">IF(I110&gt;2250,I110*0.1,0)</f>
        <v>0</v>
      </c>
      <c r="W110" s="49">
        <f t="shared" ref="W110" si="115">+U110-V110</f>
        <v>596.70800000000008</v>
      </c>
      <c r="X110" s="33"/>
      <c r="Y110" s="33"/>
      <c r="Z110" s="33"/>
      <c r="AA110" s="49"/>
      <c r="AB110" s="56"/>
      <c r="AC110" s="57"/>
      <c r="AD110" s="50"/>
      <c r="AE110" s="36">
        <v>60589825131</v>
      </c>
      <c r="AF110" s="34"/>
      <c r="AG110" s="18" t="s">
        <v>199</v>
      </c>
    </row>
    <row r="111" spans="1:186" s="18" customFormat="1">
      <c r="A111" s="34" t="s">
        <v>42</v>
      </c>
      <c r="B111" s="34" t="s">
        <v>142</v>
      </c>
      <c r="C111" s="34"/>
      <c r="D111" s="34" t="s">
        <v>127</v>
      </c>
      <c r="E111" s="54">
        <v>42635</v>
      </c>
      <c r="F111" s="35">
        <f>1302.6+197</f>
        <v>1499.6</v>
      </c>
      <c r="G111" s="35"/>
      <c r="H111" s="35"/>
      <c r="I111" s="49">
        <f t="shared" si="81"/>
        <v>1499.6</v>
      </c>
      <c r="J111" s="35"/>
      <c r="K111" s="67"/>
      <c r="L111" s="35"/>
      <c r="M111" s="35"/>
      <c r="N111" s="68"/>
      <c r="O111" s="68"/>
      <c r="P111" s="35"/>
      <c r="Q111" s="33"/>
      <c r="R111" s="33"/>
      <c r="S111" s="34"/>
      <c r="T111" s="34"/>
      <c r="U111" s="49">
        <f t="shared" ref="U111" si="116">+I111-SUM(J111:T111)</f>
        <v>1499.6</v>
      </c>
      <c r="V111" s="33">
        <f t="shared" ref="V111" si="117">IF(I111&gt;2250,I111*0.1,0)</f>
        <v>0</v>
      </c>
      <c r="W111" s="49">
        <f t="shared" ref="W111" si="118">+U111-V111</f>
        <v>1499.6</v>
      </c>
      <c r="X111" s="33"/>
      <c r="Y111" s="33"/>
      <c r="Z111" s="33"/>
      <c r="AA111" s="49"/>
      <c r="AB111" s="56"/>
      <c r="AC111" s="56"/>
      <c r="AD111" s="50"/>
      <c r="AE111" s="36">
        <v>56708881608</v>
      </c>
      <c r="AF111" s="34"/>
      <c r="AG111" s="18" t="s">
        <v>199</v>
      </c>
    </row>
    <row r="112" spans="1:186" s="18" customFormat="1">
      <c r="A112" s="34" t="s">
        <v>42</v>
      </c>
      <c r="B112" s="34" t="s">
        <v>106</v>
      </c>
      <c r="C112" s="34"/>
      <c r="D112" s="34" t="s">
        <v>131</v>
      </c>
      <c r="E112" s="54">
        <v>41703</v>
      </c>
      <c r="F112" s="35">
        <f>936.008+243</f>
        <v>1179.008</v>
      </c>
      <c r="G112" s="35"/>
      <c r="H112" s="35"/>
      <c r="I112" s="49">
        <f t="shared" si="81"/>
        <v>1179.008</v>
      </c>
      <c r="J112" s="35"/>
      <c r="K112" s="67"/>
      <c r="L112" s="35"/>
      <c r="M112" s="35">
        <v>0</v>
      </c>
      <c r="N112" s="68" t="s">
        <v>137</v>
      </c>
      <c r="O112" s="68" t="s">
        <v>137</v>
      </c>
      <c r="P112" s="35"/>
      <c r="Q112" s="33"/>
      <c r="R112" s="33"/>
      <c r="S112" s="34"/>
      <c r="T112" s="34">
        <v>0</v>
      </c>
      <c r="U112" s="49">
        <f t="shared" si="99"/>
        <v>1179.008</v>
      </c>
      <c r="V112" s="33">
        <f t="shared" si="93"/>
        <v>0</v>
      </c>
      <c r="W112" s="49">
        <f t="shared" si="94"/>
        <v>1179.008</v>
      </c>
      <c r="X112" s="33">
        <f t="shared" si="95"/>
        <v>117.9008</v>
      </c>
      <c r="Y112" s="33">
        <v>10.23</v>
      </c>
      <c r="Z112" s="33" t="str">
        <f t="shared" si="96"/>
        <v>X</v>
      </c>
      <c r="AA112" s="49" t="e">
        <f t="shared" si="97"/>
        <v>#VALUE!</v>
      </c>
      <c r="AB112" s="56"/>
      <c r="AC112" s="56"/>
      <c r="AD112" s="50">
        <f t="shared" si="98"/>
        <v>-1179.008</v>
      </c>
      <c r="AE112" s="36">
        <v>56708845973</v>
      </c>
      <c r="AF112" s="34"/>
      <c r="AG112" s="18" t="s">
        <v>199</v>
      </c>
    </row>
    <row r="113" spans="1:186" s="18" customFormat="1">
      <c r="A113" s="34" t="s">
        <v>42</v>
      </c>
      <c r="B113" s="34" t="s">
        <v>185</v>
      </c>
      <c r="C113" s="34"/>
      <c r="D113" s="34" t="s">
        <v>159</v>
      </c>
      <c r="E113" s="54">
        <v>42804</v>
      </c>
      <c r="F113" s="35">
        <f>1922.4+7.428+412</f>
        <v>2341.8280000000004</v>
      </c>
      <c r="G113" s="35"/>
      <c r="H113" s="35"/>
      <c r="I113" s="49">
        <f t="shared" si="81"/>
        <v>2341.8280000000004</v>
      </c>
      <c r="J113" s="35"/>
      <c r="K113" s="67"/>
      <c r="L113" s="35"/>
      <c r="M113" s="35"/>
      <c r="N113" s="68"/>
      <c r="O113" s="68"/>
      <c r="P113" s="35"/>
      <c r="Q113" s="33"/>
      <c r="R113" s="33"/>
      <c r="S113" s="34"/>
      <c r="T113" s="34"/>
      <c r="U113" s="49">
        <f t="shared" si="99"/>
        <v>2341.8280000000004</v>
      </c>
      <c r="V113" s="33"/>
      <c r="W113" s="49"/>
      <c r="X113" s="33"/>
      <c r="Y113" s="33"/>
      <c r="Z113" s="33"/>
      <c r="AA113" s="49"/>
      <c r="AB113" s="56"/>
      <c r="AC113" s="56"/>
      <c r="AD113" s="50"/>
      <c r="AE113" s="36">
        <v>56684566360</v>
      </c>
      <c r="AF113" s="34"/>
      <c r="AG113" s="18" t="s">
        <v>199</v>
      </c>
    </row>
    <row r="114" spans="1:186" s="18" customFormat="1">
      <c r="A114" s="34" t="s">
        <v>42</v>
      </c>
      <c r="B114" s="34" t="s">
        <v>52</v>
      </c>
      <c r="C114" s="34"/>
      <c r="D114" s="34" t="s">
        <v>131</v>
      </c>
      <c r="E114" s="54">
        <v>41291</v>
      </c>
      <c r="F114" s="35">
        <f>2418.91+2.599+515</f>
        <v>2936.509</v>
      </c>
      <c r="G114" s="35"/>
      <c r="H114" s="35"/>
      <c r="I114" s="49">
        <f t="shared" si="81"/>
        <v>2936.509</v>
      </c>
      <c r="J114" s="35">
        <v>216.71</v>
      </c>
      <c r="K114" s="67"/>
      <c r="L114" s="35"/>
      <c r="M114" s="35">
        <v>200</v>
      </c>
      <c r="N114" s="68" t="s">
        <v>137</v>
      </c>
      <c r="O114" s="68" t="s">
        <v>137</v>
      </c>
      <c r="P114" s="35">
        <v>343.11</v>
      </c>
      <c r="Q114" s="33"/>
      <c r="R114" s="33"/>
      <c r="S114" s="34"/>
      <c r="T114" s="34">
        <v>0</v>
      </c>
      <c r="U114" s="49">
        <f t="shared" si="99"/>
        <v>2176.6889999999999</v>
      </c>
      <c r="V114" s="33">
        <f t="shared" si="93"/>
        <v>293.65090000000004</v>
      </c>
      <c r="W114" s="49">
        <f t="shared" si="94"/>
        <v>1883.0380999999998</v>
      </c>
      <c r="X114" s="33">
        <f t="shared" si="95"/>
        <v>0</v>
      </c>
      <c r="Y114" s="33">
        <v>10.23</v>
      </c>
      <c r="Z114" s="33" t="str">
        <f t="shared" si="96"/>
        <v>X</v>
      </c>
      <c r="AA114" s="49" t="e">
        <f t="shared" si="97"/>
        <v>#VALUE!</v>
      </c>
      <c r="AB114" s="56"/>
      <c r="AC114" s="56"/>
      <c r="AD114" s="50">
        <f t="shared" si="98"/>
        <v>-1883.0380999999998</v>
      </c>
      <c r="AE114" s="36">
        <v>56708881963</v>
      </c>
      <c r="AF114" s="36" t="s">
        <v>169</v>
      </c>
      <c r="AG114" s="18" t="s">
        <v>199</v>
      </c>
    </row>
    <row r="115" spans="1:186" s="18" customFormat="1">
      <c r="A115" s="34" t="s">
        <v>40</v>
      </c>
      <c r="B115" s="34" t="s">
        <v>61</v>
      </c>
      <c r="C115" s="34"/>
      <c r="D115" s="34" t="s">
        <v>43</v>
      </c>
      <c r="E115" s="54">
        <v>41666</v>
      </c>
      <c r="F115" s="35">
        <f>3193.32+7.428</f>
        <v>3200.748</v>
      </c>
      <c r="G115" s="35"/>
      <c r="H115" s="35"/>
      <c r="I115" s="49">
        <f t="shared" si="81"/>
        <v>3200.748</v>
      </c>
      <c r="J115" s="35"/>
      <c r="K115" s="67"/>
      <c r="L115" s="35"/>
      <c r="M115" s="35">
        <v>200</v>
      </c>
      <c r="N115" s="68"/>
      <c r="O115" s="68"/>
      <c r="P115" s="35"/>
      <c r="Q115" s="33"/>
      <c r="R115" s="33"/>
      <c r="S115" s="34"/>
      <c r="T115" s="34">
        <v>0</v>
      </c>
      <c r="U115" s="49">
        <f t="shared" si="99"/>
        <v>3000.748</v>
      </c>
      <c r="V115" s="33">
        <f t="shared" si="93"/>
        <v>320.07480000000004</v>
      </c>
      <c r="W115" s="49">
        <f t="shared" si="94"/>
        <v>2680.6732000000002</v>
      </c>
      <c r="X115" s="33">
        <f t="shared" si="95"/>
        <v>0</v>
      </c>
      <c r="Y115" s="33">
        <v>10.23</v>
      </c>
      <c r="Z115" s="33">
        <f t="shared" si="96"/>
        <v>0</v>
      </c>
      <c r="AA115" s="49">
        <f t="shared" si="97"/>
        <v>3210.9780000000001</v>
      </c>
      <c r="AB115" s="56"/>
      <c r="AC115" s="57"/>
      <c r="AD115" s="50">
        <f t="shared" si="98"/>
        <v>-2680.6732000000002</v>
      </c>
      <c r="AE115" s="36">
        <v>56708845990</v>
      </c>
      <c r="AF115" s="34"/>
      <c r="AG115" s="18" t="s">
        <v>199</v>
      </c>
    </row>
    <row r="116" spans="1:186" s="18" customFormat="1">
      <c r="A116" s="34" t="s">
        <v>40</v>
      </c>
      <c r="B116" s="34" t="s">
        <v>190</v>
      </c>
      <c r="C116" s="34"/>
      <c r="D116" s="34" t="s">
        <v>43</v>
      </c>
      <c r="E116" s="54">
        <v>42809</v>
      </c>
      <c r="F116" s="35">
        <f>5480.676+13.099</f>
        <v>5493.7750000000005</v>
      </c>
      <c r="G116" s="35"/>
      <c r="H116" s="35"/>
      <c r="I116" s="49">
        <f t="shared" si="81"/>
        <v>5493.7750000000005</v>
      </c>
      <c r="J116" s="35"/>
      <c r="K116" s="67"/>
      <c r="L116" s="35"/>
      <c r="M116" s="35"/>
      <c r="N116" s="68"/>
      <c r="O116" s="68"/>
      <c r="P116" s="35"/>
      <c r="Q116" s="33"/>
      <c r="R116" s="33"/>
      <c r="S116" s="34"/>
      <c r="T116" s="34"/>
      <c r="U116" s="49">
        <f t="shared" si="99"/>
        <v>5493.7750000000005</v>
      </c>
      <c r="V116" s="33"/>
      <c r="W116" s="49"/>
      <c r="X116" s="33"/>
      <c r="Y116" s="33"/>
      <c r="Z116" s="33"/>
      <c r="AA116" s="49"/>
      <c r="AB116" s="56"/>
      <c r="AC116" s="57"/>
      <c r="AD116" s="50"/>
      <c r="AE116" s="36">
        <v>60589597089</v>
      </c>
      <c r="AF116" s="36"/>
      <c r="AG116" s="18" t="s">
        <v>199</v>
      </c>
    </row>
    <row r="117" spans="1:186" s="18" customFormat="1">
      <c r="A117" s="103" t="s">
        <v>40</v>
      </c>
      <c r="B117" s="103" t="s">
        <v>214</v>
      </c>
      <c r="C117" s="103"/>
      <c r="D117" s="103" t="s">
        <v>43</v>
      </c>
      <c r="E117" s="104">
        <v>42829</v>
      </c>
      <c r="F117" s="105"/>
      <c r="G117" s="105"/>
      <c r="H117" s="105"/>
      <c r="I117" s="49"/>
      <c r="J117" s="35"/>
      <c r="K117" s="67"/>
      <c r="L117" s="35"/>
      <c r="M117" s="35"/>
      <c r="N117" s="68"/>
      <c r="O117" s="68"/>
      <c r="P117" s="35"/>
      <c r="Q117" s="33"/>
      <c r="R117" s="33"/>
      <c r="S117" s="34"/>
      <c r="T117" s="34"/>
      <c r="U117" s="49"/>
      <c r="V117" s="33"/>
      <c r="W117" s="49"/>
      <c r="X117" s="33"/>
      <c r="Y117" s="33"/>
      <c r="Z117" s="33"/>
      <c r="AA117" s="49"/>
      <c r="AB117" s="56"/>
      <c r="AC117" s="56"/>
      <c r="AD117" s="50"/>
      <c r="AE117" s="106">
        <v>56705590161</v>
      </c>
      <c r="AF117" s="103"/>
      <c r="AG117" s="18" t="s">
        <v>199</v>
      </c>
    </row>
    <row r="118" spans="1:186" s="18" customFormat="1">
      <c r="A118" s="34" t="s">
        <v>42</v>
      </c>
      <c r="B118" s="34" t="s">
        <v>168</v>
      </c>
      <c r="C118" s="34"/>
      <c r="D118" s="34" t="s">
        <v>127</v>
      </c>
      <c r="E118" s="54">
        <v>42752</v>
      </c>
      <c r="F118" s="35">
        <f>527.485+154</f>
        <v>681.48500000000001</v>
      </c>
      <c r="G118" s="35"/>
      <c r="H118" s="35"/>
      <c r="I118" s="49">
        <f t="shared" si="81"/>
        <v>681.48500000000001</v>
      </c>
      <c r="J118" s="35"/>
      <c r="K118" s="67"/>
      <c r="L118" s="35"/>
      <c r="M118" s="35"/>
      <c r="N118" s="68"/>
      <c r="O118" s="68"/>
      <c r="P118" s="35"/>
      <c r="Q118" s="33"/>
      <c r="R118" s="33"/>
      <c r="S118" s="34"/>
      <c r="T118" s="34"/>
      <c r="U118" s="49">
        <f t="shared" ref="U118" si="119">+I118-SUM(J118:T118)</f>
        <v>681.48500000000001</v>
      </c>
      <c r="V118" s="33">
        <f t="shared" ref="V118" si="120">IF(I118&gt;2250,I118*0.1,0)</f>
        <v>0</v>
      </c>
      <c r="W118" s="49">
        <f t="shared" ref="W118" si="121">+U118-V118</f>
        <v>681.48500000000001</v>
      </c>
      <c r="X118" s="33"/>
      <c r="Y118" s="33"/>
      <c r="Z118" s="33"/>
      <c r="AA118" s="49"/>
      <c r="AB118" s="56"/>
      <c r="AC118" s="57"/>
      <c r="AD118" s="50"/>
      <c r="AE118" s="36">
        <v>60589634536</v>
      </c>
      <c r="AF118" s="36"/>
      <c r="AG118" s="18" t="s">
        <v>199</v>
      </c>
    </row>
    <row r="119" spans="1:186" s="18" customFormat="1">
      <c r="A119" s="34" t="s">
        <v>42</v>
      </c>
      <c r="B119" s="34" t="s">
        <v>126</v>
      </c>
      <c r="C119" s="34"/>
      <c r="D119" s="34" t="s">
        <v>130</v>
      </c>
      <c r="E119" s="54">
        <v>29733</v>
      </c>
      <c r="F119" s="35">
        <f>3698.159+3.714+505</f>
        <v>4206.8729999999996</v>
      </c>
      <c r="G119" s="35"/>
      <c r="H119" s="35"/>
      <c r="I119" s="49">
        <f t="shared" si="81"/>
        <v>4206.8729999999996</v>
      </c>
      <c r="J119" s="35">
        <v>470.2</v>
      </c>
      <c r="K119" s="67"/>
      <c r="L119" s="35"/>
      <c r="M119" s="35">
        <v>50</v>
      </c>
      <c r="N119" s="68" t="s">
        <v>137</v>
      </c>
      <c r="O119" s="68" t="s">
        <v>137</v>
      </c>
      <c r="P119" s="35"/>
      <c r="Q119" s="33"/>
      <c r="R119" s="33"/>
      <c r="S119" s="34"/>
      <c r="T119" s="34">
        <v>0</v>
      </c>
      <c r="U119" s="49">
        <f t="shared" si="99"/>
        <v>3686.6729999999998</v>
      </c>
      <c r="V119" s="33">
        <f t="shared" si="93"/>
        <v>420.68729999999999</v>
      </c>
      <c r="W119" s="49">
        <f t="shared" si="94"/>
        <v>3265.9856999999997</v>
      </c>
      <c r="X119" s="33">
        <f t="shared" si="95"/>
        <v>0</v>
      </c>
      <c r="Y119" s="33">
        <v>10.23</v>
      </c>
      <c r="Z119" s="33" t="str">
        <f t="shared" si="96"/>
        <v>X</v>
      </c>
      <c r="AA119" s="49" t="e">
        <f t="shared" si="97"/>
        <v>#VALUE!</v>
      </c>
      <c r="AB119" s="56"/>
      <c r="AC119" s="57"/>
      <c r="AD119" s="50">
        <f t="shared" si="98"/>
        <v>-3265.9856999999997</v>
      </c>
      <c r="AE119" s="88">
        <v>2695890284</v>
      </c>
      <c r="AF119" s="36" t="s">
        <v>169</v>
      </c>
      <c r="AG119" s="18" t="s">
        <v>201</v>
      </c>
    </row>
    <row r="120" spans="1:186" s="18" customFormat="1">
      <c r="A120" s="34" t="s">
        <v>40</v>
      </c>
      <c r="B120" s="34" t="s">
        <v>136</v>
      </c>
      <c r="C120" s="34"/>
      <c r="D120" s="34" t="s">
        <v>159</v>
      </c>
      <c r="E120" s="54">
        <v>42604</v>
      </c>
      <c r="F120" s="35">
        <f>445.169+128</f>
        <v>573.16899999999998</v>
      </c>
      <c r="G120" s="35"/>
      <c r="H120" s="35"/>
      <c r="I120" s="49">
        <f t="shared" si="81"/>
        <v>573.16899999999998</v>
      </c>
      <c r="J120" s="35"/>
      <c r="K120" s="67"/>
      <c r="L120" s="35"/>
      <c r="M120" s="35"/>
      <c r="N120" s="68"/>
      <c r="O120" s="68"/>
      <c r="P120" s="35"/>
      <c r="Q120" s="33"/>
      <c r="R120" s="33"/>
      <c r="S120" s="34"/>
      <c r="T120" s="34"/>
      <c r="U120" s="49">
        <f t="shared" ref="U120" si="122">+I120-SUM(J120:T120)</f>
        <v>573.16899999999998</v>
      </c>
      <c r="V120" s="33">
        <f t="shared" ref="V120" si="123">IF(I120&gt;2250,I120*0.1,0)</f>
        <v>0</v>
      </c>
      <c r="W120" s="49">
        <f t="shared" ref="W120" si="124">+U120-V120</f>
        <v>573.16899999999998</v>
      </c>
      <c r="X120" s="33"/>
      <c r="Y120" s="33"/>
      <c r="Z120" s="33"/>
      <c r="AA120" s="49"/>
      <c r="AB120" s="56"/>
      <c r="AC120" s="63"/>
      <c r="AD120" s="50"/>
      <c r="AE120" s="88">
        <v>1258728771</v>
      </c>
      <c r="AF120" s="34"/>
      <c r="AG120" s="18" t="s">
        <v>201</v>
      </c>
    </row>
    <row r="121" spans="1:186" s="18" customFormat="1">
      <c r="A121" s="34" t="s">
        <v>40</v>
      </c>
      <c r="B121" s="34" t="s">
        <v>35</v>
      </c>
      <c r="C121" s="34"/>
      <c r="D121" s="34" t="s">
        <v>43</v>
      </c>
      <c r="E121" s="54">
        <v>42361</v>
      </c>
      <c r="F121" s="35">
        <f>2846.22+7.428</f>
        <v>2853.6479999999997</v>
      </c>
      <c r="G121" s="35"/>
      <c r="H121" s="35"/>
      <c r="I121" s="49">
        <f t="shared" si="81"/>
        <v>2853.6479999999997</v>
      </c>
      <c r="J121" s="35"/>
      <c r="K121" s="67"/>
      <c r="L121" s="35"/>
      <c r="M121" s="35">
        <v>0</v>
      </c>
      <c r="N121" s="68"/>
      <c r="O121" s="68"/>
      <c r="P121" s="35"/>
      <c r="Q121" s="33"/>
      <c r="R121" s="33"/>
      <c r="S121" s="34"/>
      <c r="T121" s="34">
        <v>0</v>
      </c>
      <c r="U121" s="49">
        <f>+I121-SUM(J121:T121)</f>
        <v>2853.6479999999997</v>
      </c>
      <c r="V121" s="33">
        <f>IF(I121&gt;2250,I121*0.1,0)</f>
        <v>285.3648</v>
      </c>
      <c r="W121" s="49">
        <f>+U121-V121</f>
        <v>2568.2831999999999</v>
      </c>
      <c r="X121" s="33">
        <f>IF(I121&lt;2250,I121*0.1,0)</f>
        <v>0</v>
      </c>
      <c r="Y121" s="33">
        <v>10.23</v>
      </c>
      <c r="Z121" s="33">
        <f>+N121</f>
        <v>0</v>
      </c>
      <c r="AA121" s="49">
        <f>+I121+X121+Y121+Z121</f>
        <v>2863.8779999999997</v>
      </c>
      <c r="AB121" s="56"/>
      <c r="AC121" s="62"/>
      <c r="AD121" s="50">
        <f>+AB121+AC121-W121</f>
        <v>-2568.2831999999999</v>
      </c>
      <c r="AE121" s="36">
        <v>56708846047</v>
      </c>
      <c r="AF121" s="36"/>
      <c r="AG121" s="18" t="s">
        <v>199</v>
      </c>
    </row>
    <row r="122" spans="1:186" s="18" customFormat="1">
      <c r="A122" s="34" t="s">
        <v>40</v>
      </c>
      <c r="B122" s="34" t="s">
        <v>60</v>
      </c>
      <c r="C122" s="34"/>
      <c r="D122" s="34" t="s">
        <v>43</v>
      </c>
      <c r="E122" s="54">
        <v>41549</v>
      </c>
      <c r="F122" s="35">
        <f>6028.744+13.099</f>
        <v>6041.8429999999998</v>
      </c>
      <c r="G122" s="35"/>
      <c r="H122" s="35"/>
      <c r="I122" s="49">
        <f t="shared" si="81"/>
        <v>6041.8429999999998</v>
      </c>
      <c r="J122" s="35"/>
      <c r="K122" s="67"/>
      <c r="L122" s="35"/>
      <c r="M122" s="35">
        <v>500</v>
      </c>
      <c r="N122" s="68"/>
      <c r="O122" s="68"/>
      <c r="P122" s="35"/>
      <c r="Q122" s="33"/>
      <c r="R122" s="33"/>
      <c r="S122" s="34"/>
      <c r="T122" s="34">
        <v>0</v>
      </c>
      <c r="U122" s="49">
        <f>+I122-SUM(J122:T122)</f>
        <v>5541.8429999999998</v>
      </c>
      <c r="V122" s="33">
        <f>IF(I122&gt;2250,I122*0.1,0)</f>
        <v>604.18430000000001</v>
      </c>
      <c r="W122" s="49">
        <f>+U122-V122</f>
        <v>4937.6587</v>
      </c>
      <c r="X122" s="33">
        <f>IF(I122&lt;2250,I122*0.1,0)</f>
        <v>0</v>
      </c>
      <c r="Y122" s="33">
        <v>10.23</v>
      </c>
      <c r="Z122" s="33">
        <f>+N122</f>
        <v>0</v>
      </c>
      <c r="AA122" s="49">
        <f>+I122+X122+Y122+Z122</f>
        <v>6052.0729999999994</v>
      </c>
      <c r="AB122" s="56"/>
      <c r="AC122" s="57"/>
      <c r="AD122" s="50">
        <f>+AB122+AC122-W122</f>
        <v>-4937.6587</v>
      </c>
      <c r="AE122" s="36">
        <v>56708846050</v>
      </c>
      <c r="AF122" s="36"/>
      <c r="AG122" s="18" t="s">
        <v>199</v>
      </c>
    </row>
    <row r="123" spans="1:186">
      <c r="A123" s="29"/>
      <c r="B123" s="34"/>
      <c r="C123" s="29"/>
      <c r="D123" s="29"/>
      <c r="E123" s="66"/>
      <c r="F123" s="31"/>
      <c r="G123" s="31"/>
      <c r="H123" s="31"/>
      <c r="I123" s="49">
        <f t="shared" si="81"/>
        <v>0</v>
      </c>
      <c r="J123" s="35"/>
      <c r="K123" s="35"/>
      <c r="L123" s="35"/>
      <c r="M123" s="35"/>
      <c r="N123" s="35"/>
      <c r="O123" s="35"/>
      <c r="P123" s="35"/>
      <c r="Q123" s="33"/>
      <c r="R123" s="33"/>
      <c r="S123" s="33"/>
      <c r="T123" s="33"/>
      <c r="U123" s="49"/>
      <c r="V123" s="33"/>
      <c r="W123" s="49"/>
      <c r="X123" s="61"/>
      <c r="Y123" s="61"/>
      <c r="Z123" s="61"/>
      <c r="AA123" s="60"/>
      <c r="AB123" s="47"/>
      <c r="AC123" s="47"/>
      <c r="AD123" s="41"/>
      <c r="AE123" s="29"/>
      <c r="AF123" s="29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124" s="29"/>
      <c r="B124" s="36" t="s">
        <v>175</v>
      </c>
      <c r="C124" s="29"/>
      <c r="D124" s="29"/>
      <c r="E124" s="66"/>
      <c r="F124" s="39">
        <f>SUM(F75:F122)</f>
        <v>131228.15900000001</v>
      </c>
      <c r="G124" s="39">
        <f t="shared" ref="G124:W124" si="125">SUM(G75:G122)</f>
        <v>0</v>
      </c>
      <c r="H124" s="39">
        <f t="shared" si="125"/>
        <v>0</v>
      </c>
      <c r="I124" s="49">
        <f t="shared" si="81"/>
        <v>131228.15900000001</v>
      </c>
      <c r="J124" s="39">
        <f t="shared" si="125"/>
        <v>2669.5499999999997</v>
      </c>
      <c r="K124" s="39">
        <f t="shared" si="125"/>
        <v>1</v>
      </c>
      <c r="L124" s="39">
        <f t="shared" si="125"/>
        <v>0</v>
      </c>
      <c r="M124" s="39">
        <f t="shared" si="125"/>
        <v>4100</v>
      </c>
      <c r="N124" s="39">
        <f t="shared" si="125"/>
        <v>0</v>
      </c>
      <c r="O124" s="39">
        <f t="shared" si="125"/>
        <v>0</v>
      </c>
      <c r="P124" s="39">
        <f t="shared" si="125"/>
        <v>686.22</v>
      </c>
      <c r="Q124" s="39">
        <f t="shared" si="125"/>
        <v>0</v>
      </c>
      <c r="R124" s="39">
        <f t="shared" si="125"/>
        <v>0</v>
      </c>
      <c r="S124" s="39">
        <f t="shared" si="125"/>
        <v>0</v>
      </c>
      <c r="T124" s="39">
        <f t="shared" si="125"/>
        <v>263.26</v>
      </c>
      <c r="U124" s="39">
        <f t="shared" si="125"/>
        <v>110690.51099999998</v>
      </c>
      <c r="V124" s="39">
        <f t="shared" si="125"/>
        <v>9287.6203999999998</v>
      </c>
      <c r="W124" s="39">
        <f t="shared" si="125"/>
        <v>88529.441100000025</v>
      </c>
      <c r="X124" s="61"/>
      <c r="Y124" s="61"/>
      <c r="Z124" s="61"/>
      <c r="AA124" s="60"/>
      <c r="AB124" s="47"/>
      <c r="AC124" s="47"/>
      <c r="AD124" s="41"/>
      <c r="AE124" s="29"/>
      <c r="AF124" s="29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B125" s="20"/>
      <c r="C125" s="20"/>
      <c r="AA125" s="14" t="e">
        <f>+#REF!*0.16</f>
        <v>#REF!</v>
      </c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 ht="23.25">
      <c r="A129" s="119" t="s">
        <v>25</v>
      </c>
      <c r="B129" s="119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 s="18" customFormat="1" ht="15" customHeight="1">
      <c r="A130" s="76" t="s">
        <v>28</v>
      </c>
      <c r="B130" s="76" t="s">
        <v>149</v>
      </c>
      <c r="C130" s="76"/>
      <c r="D130" s="76" t="s">
        <v>30</v>
      </c>
      <c r="E130" s="79">
        <v>42668</v>
      </c>
      <c r="F130" s="35"/>
      <c r="G130" s="35"/>
      <c r="H130" s="35"/>
      <c r="I130" s="49">
        <f>SUM(F130:H130)</f>
        <v>0</v>
      </c>
      <c r="J130" s="35"/>
      <c r="K130" s="67"/>
      <c r="L130" s="35"/>
      <c r="M130" s="35"/>
      <c r="N130" s="68"/>
      <c r="O130" s="68"/>
      <c r="P130" s="35"/>
      <c r="Q130" s="33"/>
      <c r="R130" s="73"/>
      <c r="S130" s="34"/>
      <c r="T130" s="64"/>
      <c r="U130" s="49">
        <v>2737.24</v>
      </c>
      <c r="V130" s="33">
        <v>273.72399999999999</v>
      </c>
      <c r="W130" s="49">
        <v>2463.5159999999996</v>
      </c>
      <c r="X130" s="33"/>
      <c r="Y130" s="33"/>
      <c r="Z130" s="33"/>
      <c r="AA130" s="49"/>
      <c r="AB130" s="58"/>
      <c r="AC130" s="56"/>
      <c r="AD130" s="50"/>
      <c r="AE130" s="34">
        <v>1196048064</v>
      </c>
      <c r="AF130" s="78" t="s">
        <v>192</v>
      </c>
    </row>
    <row r="131" spans="1:186" s="18" customFormat="1" ht="15" customHeight="1">
      <c r="A131" s="76" t="s">
        <v>41</v>
      </c>
      <c r="B131" s="76" t="s">
        <v>132</v>
      </c>
      <c r="C131" s="76"/>
      <c r="D131" s="76" t="s">
        <v>45</v>
      </c>
      <c r="E131" s="79">
        <v>32540</v>
      </c>
      <c r="F131" s="35"/>
      <c r="G131" s="35"/>
      <c r="H131" s="35"/>
      <c r="I131" s="49">
        <f t="shared" ref="I131:I136" si="126">SUM(F131:H131)</f>
        <v>0</v>
      </c>
      <c r="J131" s="35"/>
      <c r="K131" s="67"/>
      <c r="L131" s="35"/>
      <c r="M131" s="35"/>
      <c r="N131" s="68"/>
      <c r="O131" s="68"/>
      <c r="P131" s="35"/>
      <c r="Q131" s="33"/>
      <c r="R131" s="73"/>
      <c r="S131" s="34"/>
      <c r="T131" s="64"/>
      <c r="U131" s="49">
        <v>0</v>
      </c>
      <c r="V131" s="33">
        <v>0</v>
      </c>
      <c r="W131" s="49">
        <v>0</v>
      </c>
      <c r="X131" s="33">
        <v>0</v>
      </c>
      <c r="Y131" s="33">
        <v>11.23</v>
      </c>
      <c r="Z131" s="33">
        <v>0</v>
      </c>
      <c r="AA131" s="49">
        <v>11.23</v>
      </c>
      <c r="AB131" s="58"/>
      <c r="AC131" s="56"/>
      <c r="AD131" s="50"/>
      <c r="AE131" s="34">
        <v>1461266403</v>
      </c>
      <c r="AF131" s="78" t="s">
        <v>193</v>
      </c>
    </row>
    <row r="132" spans="1:186" s="18" customFormat="1" ht="15.75">
      <c r="A132" s="76" t="s">
        <v>41</v>
      </c>
      <c r="B132" s="76" t="s">
        <v>150</v>
      </c>
      <c r="C132" s="76"/>
      <c r="D132" s="76" t="s">
        <v>45</v>
      </c>
      <c r="E132" s="79"/>
      <c r="F132" s="35">
        <v>300</v>
      </c>
      <c r="G132" s="35"/>
      <c r="H132" s="35"/>
      <c r="I132" s="49">
        <f t="shared" si="126"/>
        <v>300</v>
      </c>
      <c r="J132" s="35"/>
      <c r="K132" s="67"/>
      <c r="L132" s="35"/>
      <c r="M132" s="35">
        <v>150</v>
      </c>
      <c r="N132" s="68"/>
      <c r="O132" s="68"/>
      <c r="P132" s="35"/>
      <c r="Q132" s="33"/>
      <c r="R132" s="73"/>
      <c r="S132" s="34"/>
      <c r="T132" s="64"/>
      <c r="U132" s="49">
        <v>-150</v>
      </c>
      <c r="V132" s="33">
        <v>0</v>
      </c>
      <c r="W132" s="49">
        <v>-150</v>
      </c>
      <c r="X132" s="33"/>
      <c r="Y132" s="33"/>
      <c r="Z132" s="33"/>
      <c r="AA132" s="49"/>
      <c r="AB132" s="58"/>
      <c r="AC132" s="56"/>
      <c r="AD132" s="50"/>
      <c r="AE132" s="34"/>
      <c r="AF132" s="81" t="s">
        <v>194</v>
      </c>
    </row>
    <row r="133" spans="1:186">
      <c r="A133" s="76" t="s">
        <v>39</v>
      </c>
      <c r="B133" s="76" t="s">
        <v>134</v>
      </c>
      <c r="C133" s="76"/>
      <c r="D133" s="76" t="s">
        <v>45</v>
      </c>
      <c r="E133" s="77">
        <v>34275</v>
      </c>
      <c r="F133" s="35"/>
      <c r="G133" s="35"/>
      <c r="H133" s="35"/>
      <c r="I133" s="49">
        <f t="shared" si="126"/>
        <v>0</v>
      </c>
      <c r="J133" s="35"/>
      <c r="K133" s="67"/>
      <c r="L133" s="35"/>
      <c r="M133" s="35"/>
      <c r="N133" s="68"/>
      <c r="O133" s="68"/>
      <c r="P133" s="35"/>
      <c r="Q133" s="33"/>
      <c r="R133" s="33"/>
      <c r="S133" s="34"/>
      <c r="T133" s="34"/>
      <c r="U133" s="49">
        <v>0</v>
      </c>
      <c r="V133" s="33">
        <v>0</v>
      </c>
      <c r="W133" s="49">
        <v>0</v>
      </c>
      <c r="X133" s="61"/>
      <c r="Y133" s="61"/>
      <c r="Z133" s="61"/>
      <c r="AA133" s="60"/>
      <c r="AB133" s="47"/>
      <c r="AC133" s="47"/>
      <c r="AD133" s="41"/>
      <c r="AE133" s="29"/>
      <c r="AF133" s="81" t="s">
        <v>195</v>
      </c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134" s="76" t="s">
        <v>41</v>
      </c>
      <c r="B134" s="76" t="s">
        <v>172</v>
      </c>
      <c r="C134" s="76"/>
      <c r="D134" s="76" t="s">
        <v>173</v>
      </c>
      <c r="E134" s="77">
        <v>38825</v>
      </c>
      <c r="F134" s="35"/>
      <c r="G134" s="35"/>
      <c r="H134" s="35"/>
      <c r="I134" s="49">
        <f t="shared" si="126"/>
        <v>0</v>
      </c>
      <c r="J134" s="35"/>
      <c r="K134" s="67"/>
      <c r="L134" s="35"/>
      <c r="M134" s="35"/>
      <c r="N134" s="68"/>
      <c r="O134" s="68"/>
      <c r="P134" s="35"/>
      <c r="Q134" s="33"/>
      <c r="R134" s="33"/>
      <c r="S134" s="34"/>
      <c r="T134" s="34"/>
      <c r="U134" s="49"/>
      <c r="V134" s="33"/>
      <c r="W134" s="49"/>
      <c r="X134" s="61"/>
      <c r="Y134" s="61"/>
      <c r="Z134" s="61"/>
      <c r="AA134" s="60"/>
      <c r="AB134" s="47"/>
      <c r="AC134" s="47"/>
      <c r="AD134" s="41"/>
      <c r="AE134" s="29" t="s">
        <v>174</v>
      </c>
      <c r="AF134" s="81" t="s">
        <v>196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135" s="76" t="s">
        <v>42</v>
      </c>
      <c r="B135" s="76" t="s">
        <v>186</v>
      </c>
      <c r="C135" s="76"/>
      <c r="D135" s="76" t="s">
        <v>127</v>
      </c>
      <c r="E135" s="77">
        <v>42807</v>
      </c>
      <c r="F135" s="35">
        <v>545.56200000000001</v>
      </c>
      <c r="G135" s="35"/>
      <c r="H135" s="35"/>
      <c r="I135" s="49">
        <f t="shared" si="126"/>
        <v>545.56200000000001</v>
      </c>
      <c r="J135" s="35"/>
      <c r="K135" s="67"/>
      <c r="L135" s="35"/>
      <c r="M135" s="35"/>
      <c r="N135" s="68"/>
      <c r="O135" s="68"/>
      <c r="P135" s="35"/>
      <c r="Q135" s="33"/>
      <c r="R135" s="33"/>
      <c r="S135" s="34"/>
      <c r="T135" s="34"/>
      <c r="U135" s="49">
        <f t="shared" ref="U135" si="127">+I135-SUM(J135:T135)</f>
        <v>545.56200000000001</v>
      </c>
      <c r="V135" s="33"/>
      <c r="W135" s="49"/>
      <c r="X135" s="61"/>
      <c r="Y135" s="61"/>
      <c r="Z135" s="61"/>
      <c r="AA135" s="60"/>
      <c r="AB135" s="47"/>
      <c r="AC135" s="47"/>
      <c r="AD135" s="41"/>
      <c r="AE135" s="29" t="s">
        <v>161</v>
      </c>
      <c r="AF135" s="81" t="s">
        <v>197</v>
      </c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136" s="76" t="s">
        <v>39</v>
      </c>
      <c r="B136" s="76" t="s">
        <v>139</v>
      </c>
      <c r="C136" s="76"/>
      <c r="D136" s="76" t="s">
        <v>138</v>
      </c>
      <c r="E136" s="77">
        <v>42809</v>
      </c>
      <c r="F136" s="35">
        <v>1875</v>
      </c>
      <c r="G136" s="35"/>
      <c r="H136" s="35"/>
      <c r="I136" s="49">
        <f t="shared" si="126"/>
        <v>1875</v>
      </c>
      <c r="J136" s="35"/>
      <c r="K136" s="67"/>
      <c r="L136" s="35"/>
      <c r="M136" s="35"/>
      <c r="N136" s="68"/>
      <c r="O136" s="68"/>
      <c r="P136" s="35"/>
      <c r="Q136" s="33"/>
      <c r="R136" s="33"/>
      <c r="S136" s="34"/>
      <c r="T136" s="34"/>
      <c r="U136" s="49"/>
      <c r="V136" s="33"/>
      <c r="W136" s="49"/>
      <c r="X136" s="61"/>
      <c r="Y136" s="61"/>
      <c r="Z136" s="61"/>
      <c r="AA136" s="60"/>
      <c r="AB136" s="47"/>
      <c r="AC136" s="47"/>
      <c r="AD136" s="41"/>
      <c r="AE136" s="29" t="s">
        <v>161</v>
      </c>
      <c r="AF136" s="81" t="s">
        <v>208</v>
      </c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141" s="19" t="s">
        <v>17</v>
      </c>
      <c r="B141" s="13"/>
      <c r="C141" s="13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18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143" s="19" t="s">
        <v>19</v>
      </c>
      <c r="B143" s="13"/>
      <c r="C143" s="13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144" s="19" t="s">
        <v>20</v>
      </c>
      <c r="B144" s="13"/>
      <c r="C144" s="13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5" spans="1:186">
      <c r="A145" s="19" t="s">
        <v>21</v>
      </c>
      <c r="B145" s="13"/>
      <c r="C145" s="13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</row>
    <row r="146" spans="1:186">
      <c r="A146" s="19" t="s">
        <v>22</v>
      </c>
      <c r="B146" s="13"/>
      <c r="C146" s="13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</row>
    <row r="147" spans="1:186"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</row>
    <row r="148" spans="1:186"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</row>
    <row r="150" spans="1:186">
      <c r="B150" s="17"/>
      <c r="C150" s="21"/>
    </row>
    <row r="151" spans="1:186">
      <c r="B151" s="17"/>
      <c r="C151" s="21"/>
    </row>
    <row r="152" spans="1:186">
      <c r="B152" s="17"/>
      <c r="C152" s="21"/>
    </row>
  </sheetData>
  <sheetProtection selectLockedCells="1" selectUnlockedCells="1"/>
  <autoFilter ref="A5:AF70">
    <filterColumn colId="27" showButton="0"/>
    <sortState ref="A8:AH99">
      <sortCondition ref="B5:B99"/>
    </sortState>
  </autoFilter>
  <mergeCells count="32">
    <mergeCell ref="A129:B129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74:B74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2017-04-07T01:07:16Z</dcterms:modified>
</cp:coreProperties>
</file>