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NOMINA'!$A$5:$AH$72</definedName>
  </definedNames>
  <calcPr calcId="124519"/>
</workbook>
</file>

<file path=xl/calcChain.xml><?xml version="1.0" encoding="utf-8"?>
<calcChain xmlns="http://schemas.openxmlformats.org/spreadsheetml/2006/main">
  <c r="G80" i="4"/>
  <c r="G101"/>
  <c r="G105"/>
  <c r="G106"/>
  <c r="G85"/>
  <c r="G97"/>
  <c r="G119"/>
  <c r="G114"/>
  <c r="G88"/>
  <c r="G79"/>
  <c r="G92"/>
  <c r="G87"/>
  <c r="G107"/>
  <c r="G89"/>
  <c r="G118"/>
  <c r="G103"/>
  <c r="G83"/>
  <c r="G116"/>
  <c r="G98"/>
  <c r="G102"/>
  <c r="G84"/>
  <c r="G78"/>
  <c r="G96"/>
  <c r="G113"/>
  <c r="G94"/>
  <c r="G112"/>
  <c r="G95"/>
  <c r="G77"/>
  <c r="K132" l="1"/>
  <c r="W132" s="1"/>
  <c r="K82" l="1"/>
  <c r="W82" s="1"/>
  <c r="K83"/>
  <c r="W83" s="1"/>
  <c r="K84"/>
  <c r="W84" s="1"/>
  <c r="K85"/>
  <c r="W85" s="1"/>
  <c r="K86"/>
  <c r="W86" s="1"/>
  <c r="K87"/>
  <c r="W87" s="1"/>
  <c r="K88"/>
  <c r="W88" s="1"/>
  <c r="K89"/>
  <c r="W89" s="1"/>
  <c r="K90"/>
  <c r="W90" s="1"/>
  <c r="K91"/>
  <c r="W91" s="1"/>
  <c r="K92"/>
  <c r="W92" s="1"/>
  <c r="K93"/>
  <c r="W93" s="1"/>
  <c r="K94"/>
  <c r="W94" s="1"/>
  <c r="K112"/>
  <c r="W112" s="1"/>
  <c r="L107" l="1"/>
  <c r="K79" l="1"/>
  <c r="W79" s="1"/>
  <c r="K11"/>
  <c r="W11" s="1"/>
  <c r="K28"/>
  <c r="W28" s="1"/>
  <c r="K33"/>
  <c r="W33" s="1"/>
  <c r="X33" l="1"/>
  <c r="Y33" s="1"/>
  <c r="K69"/>
  <c r="W69" s="1"/>
  <c r="K18" l="1"/>
  <c r="W18" s="1"/>
  <c r="K81"/>
  <c r="W81" s="1"/>
  <c r="L121" l="1"/>
  <c r="M121"/>
  <c r="N121"/>
  <c r="O121"/>
  <c r="P121"/>
  <c r="Q121"/>
  <c r="R121"/>
  <c r="S121"/>
  <c r="T121"/>
  <c r="U121"/>
  <c r="V121"/>
  <c r="H121"/>
  <c r="I121"/>
  <c r="J121"/>
  <c r="G121"/>
  <c r="K104" l="1"/>
  <c r="W104" s="1"/>
  <c r="K23"/>
  <c r="X23" s="1"/>
  <c r="X104" l="1"/>
  <c r="Y104" s="1"/>
  <c r="W23"/>
  <c r="Y23" s="1"/>
  <c r="K99"/>
  <c r="W99" s="1"/>
  <c r="K105"/>
  <c r="W105" l="1"/>
  <c r="X105"/>
  <c r="Y99"/>
  <c r="Z99"/>
  <c r="AC99" s="1"/>
  <c r="X99"/>
  <c r="Y105" l="1"/>
  <c r="K115"/>
  <c r="X115" s="1"/>
  <c r="K50"/>
  <c r="X50" s="1"/>
  <c r="K108"/>
  <c r="W108" s="1"/>
  <c r="X108" l="1"/>
  <c r="Y108" s="1"/>
  <c r="W115"/>
  <c r="Y115" s="1"/>
  <c r="W50"/>
  <c r="Y50" s="1"/>
  <c r="K54" l="1"/>
  <c r="X54" s="1"/>
  <c r="W54" l="1"/>
  <c r="Y54" s="1"/>
  <c r="K24"/>
  <c r="K55" l="1"/>
  <c r="X55" s="1"/>
  <c r="N74"/>
  <c r="W55" l="1"/>
  <c r="Y55" s="1"/>
  <c r="K10"/>
  <c r="X10" s="1"/>
  <c r="W10" l="1"/>
  <c r="Y10" s="1"/>
  <c r="K100" l="1"/>
  <c r="X100" s="1"/>
  <c r="W100" l="1"/>
  <c r="Y100" s="1"/>
  <c r="K12"/>
  <c r="W12" s="1"/>
  <c r="X12" l="1"/>
  <c r="Y12" s="1"/>
  <c r="G74"/>
  <c r="K109" l="1"/>
  <c r="W109" s="1"/>
  <c r="K71"/>
  <c r="X71" s="1"/>
  <c r="V74"/>
  <c r="W71" l="1"/>
  <c r="Y71" s="1"/>
  <c r="X109"/>
  <c r="Y109" s="1"/>
  <c r="K49"/>
  <c r="X49" s="1"/>
  <c r="W49" l="1"/>
  <c r="Y49" s="1"/>
  <c r="K7"/>
  <c r="W7" s="1"/>
  <c r="X7" l="1"/>
  <c r="Y7" s="1"/>
  <c r="K36" l="1"/>
  <c r="X36" s="1"/>
  <c r="W36" l="1"/>
  <c r="Y36" s="1"/>
  <c r="X87" l="1"/>
  <c r="Y87" s="1"/>
  <c r="K48" l="1"/>
  <c r="W48" s="1"/>
  <c r="X48" l="1"/>
  <c r="Y48" s="1"/>
  <c r="K26"/>
  <c r="X26" s="1"/>
  <c r="K47"/>
  <c r="X47" s="1"/>
  <c r="W47" l="1"/>
  <c r="Y47" s="1"/>
  <c r="W26"/>
  <c r="Y26" s="1"/>
  <c r="K59"/>
  <c r="X59" s="1"/>
  <c r="W59" l="1"/>
  <c r="Y59" s="1"/>
  <c r="K110"/>
  <c r="X110" s="1"/>
  <c r="W110" l="1"/>
  <c r="Y110" s="1"/>
  <c r="K72" l="1"/>
  <c r="X72" s="1"/>
  <c r="W72" l="1"/>
  <c r="Y72" s="1"/>
  <c r="K62" l="1"/>
  <c r="W62" s="1"/>
  <c r="X62" l="1"/>
  <c r="Y62" s="1"/>
  <c r="Z62"/>
  <c r="J74" l="1"/>
  <c r="K117" l="1"/>
  <c r="W117" s="1"/>
  <c r="K27"/>
  <c r="X27" s="1"/>
  <c r="X91" l="1"/>
  <c r="Y91" s="1"/>
  <c r="X117"/>
  <c r="Y117" s="1"/>
  <c r="W27"/>
  <c r="Y27" s="1"/>
  <c r="K70" l="1"/>
  <c r="X70" s="1"/>
  <c r="W70" l="1"/>
  <c r="Y70" s="1"/>
  <c r="AB51" l="1"/>
  <c r="K51" l="1"/>
  <c r="X51" l="1"/>
  <c r="W51"/>
  <c r="Z51"/>
  <c r="AC51" s="1"/>
  <c r="Y51" l="1"/>
  <c r="K42"/>
  <c r="Z42" s="1"/>
  <c r="AB42"/>
  <c r="K65"/>
  <c r="W65" s="1"/>
  <c r="AB65"/>
  <c r="AC42" l="1"/>
  <c r="W42"/>
  <c r="X42"/>
  <c r="Z65"/>
  <c r="AC65" s="1"/>
  <c r="X65"/>
  <c r="Y65" s="1"/>
  <c r="AB30"/>
  <c r="K30"/>
  <c r="Y42" l="1"/>
  <c r="Z30"/>
  <c r="AC30" s="1"/>
  <c r="W30"/>
  <c r="X30"/>
  <c r="Y30" l="1"/>
  <c r="AF30" s="1"/>
  <c r="AB56" l="1"/>
  <c r="K56"/>
  <c r="W56" s="1"/>
  <c r="Z56" l="1"/>
  <c r="AC56" s="1"/>
  <c r="X56"/>
  <c r="Y56" s="1"/>
  <c r="AB25" l="1"/>
  <c r="AB29"/>
  <c r="AB31"/>
  <c r="AB34"/>
  <c r="AB35"/>
  <c r="AB92"/>
  <c r="AB37"/>
  <c r="AB38"/>
  <c r="K25"/>
  <c r="W25" s="1"/>
  <c r="K31"/>
  <c r="X31" s="1"/>
  <c r="W31" l="1"/>
  <c r="Y31" s="1"/>
  <c r="Z25"/>
  <c r="AC25" s="1"/>
  <c r="Z31"/>
  <c r="AC31" s="1"/>
  <c r="X25"/>
  <c r="Y25" s="1"/>
  <c r="K38" l="1"/>
  <c r="Z38" l="1"/>
  <c r="AC38" s="1"/>
  <c r="W38"/>
  <c r="X38"/>
  <c r="Y38" l="1"/>
  <c r="X92" l="1"/>
  <c r="Z92"/>
  <c r="AC92" s="1"/>
  <c r="Y92" l="1"/>
  <c r="AB68" l="1"/>
  <c r="K68"/>
  <c r="K34"/>
  <c r="AB53"/>
  <c r="K53"/>
  <c r="Z34" l="1"/>
  <c r="AC34" s="1"/>
  <c r="W34"/>
  <c r="X34"/>
  <c r="W68"/>
  <c r="Z68"/>
  <c r="AC68" s="1"/>
  <c r="X53"/>
  <c r="Z53"/>
  <c r="AC53" s="1"/>
  <c r="X68"/>
  <c r="W53"/>
  <c r="AB58"/>
  <c r="K58"/>
  <c r="Z58" s="1"/>
  <c r="Y34" l="1"/>
  <c r="AF34" s="1"/>
  <c r="Y68"/>
  <c r="Y53"/>
  <c r="AC58"/>
  <c r="W58"/>
  <c r="X58"/>
  <c r="Y58" l="1"/>
  <c r="AF68" l="1"/>
  <c r="AF53" l="1"/>
  <c r="AB63"/>
  <c r="K98" l="1"/>
  <c r="X98" l="1"/>
  <c r="Z98"/>
  <c r="AB98"/>
  <c r="AC98" l="1"/>
  <c r="W98"/>
  <c r="Y98" s="1"/>
  <c r="AF98" s="1"/>
  <c r="AB22" l="1"/>
  <c r="K22"/>
  <c r="X22" l="1"/>
  <c r="W22"/>
  <c r="W24"/>
  <c r="Z22"/>
  <c r="AC22" s="1"/>
  <c r="X24"/>
  <c r="Y22" l="1"/>
  <c r="Y24"/>
  <c r="AF22" l="1"/>
  <c r="AB57" l="1"/>
  <c r="K35" l="1"/>
  <c r="X35" l="1"/>
  <c r="Z35"/>
  <c r="AC35" s="1"/>
  <c r="W35"/>
  <c r="AB64"/>
  <c r="K64" l="1"/>
  <c r="Z64" s="1"/>
  <c r="Y35"/>
  <c r="X64" l="1"/>
  <c r="W64"/>
  <c r="AC64"/>
  <c r="Y64" l="1"/>
  <c r="AF64" s="1"/>
  <c r="AB20" l="1"/>
  <c r="K107" l="1"/>
  <c r="X107" l="1"/>
  <c r="Z107"/>
  <c r="K20"/>
  <c r="AB119"/>
  <c r="AB118"/>
  <c r="AB67"/>
  <c r="AB66"/>
  <c r="AB114"/>
  <c r="AB61"/>
  <c r="AB60"/>
  <c r="AB106"/>
  <c r="AB105"/>
  <c r="AB52"/>
  <c r="AB101"/>
  <c r="AB46"/>
  <c r="AB45"/>
  <c r="AB44"/>
  <c r="AB97"/>
  <c r="AB43"/>
  <c r="AB41"/>
  <c r="AB40"/>
  <c r="AB39"/>
  <c r="AB21"/>
  <c r="AB85"/>
  <c r="AB19"/>
  <c r="AB17"/>
  <c r="AB16"/>
  <c r="AB14"/>
  <c r="AB15"/>
  <c r="AB13"/>
  <c r="AB9"/>
  <c r="AB8"/>
  <c r="X20" l="1"/>
  <c r="Z20"/>
  <c r="AC20" s="1"/>
  <c r="W20"/>
  <c r="AB107"/>
  <c r="Y20" l="1"/>
  <c r="AF20" s="1"/>
  <c r="AC107"/>
  <c r="W107"/>
  <c r="Y107" s="1"/>
  <c r="AF107" s="1"/>
  <c r="K106"/>
  <c r="X106" l="1"/>
  <c r="W106"/>
  <c r="Z106"/>
  <c r="AC106" s="1"/>
  <c r="AA74"/>
  <c r="K77"/>
  <c r="AE74"/>
  <c r="AD74"/>
  <c r="S74"/>
  <c r="R74"/>
  <c r="L74"/>
  <c r="I74"/>
  <c r="H74"/>
  <c r="K57"/>
  <c r="K119"/>
  <c r="K118"/>
  <c r="K116"/>
  <c r="K67"/>
  <c r="K63"/>
  <c r="Z63" s="1"/>
  <c r="K114"/>
  <c r="K113"/>
  <c r="K111"/>
  <c r="K61"/>
  <c r="K60"/>
  <c r="K52"/>
  <c r="K103"/>
  <c r="K102"/>
  <c r="K101"/>
  <c r="K46"/>
  <c r="K45"/>
  <c r="K44"/>
  <c r="K97"/>
  <c r="W97" s="1"/>
  <c r="K96"/>
  <c r="W96" s="1"/>
  <c r="K95"/>
  <c r="W95" s="1"/>
  <c r="K43"/>
  <c r="K41"/>
  <c r="K40"/>
  <c r="K39"/>
  <c r="K37"/>
  <c r="K19"/>
  <c r="K17"/>
  <c r="K80"/>
  <c r="K15"/>
  <c r="K13"/>
  <c r="K78"/>
  <c r="K9"/>
  <c r="K121" l="1"/>
  <c r="Y106"/>
  <c r="AF106" s="1"/>
  <c r="K29"/>
  <c r="W37"/>
  <c r="X37"/>
  <c r="Z37"/>
  <c r="AC37" s="1"/>
  <c r="X52"/>
  <c r="Z52"/>
  <c r="AC52" s="1"/>
  <c r="X43"/>
  <c r="Z43"/>
  <c r="AC43" s="1"/>
  <c r="X40"/>
  <c r="Z40"/>
  <c r="AC40" s="1"/>
  <c r="X41"/>
  <c r="Z41"/>
  <c r="X46"/>
  <c r="Z46"/>
  <c r="AC46" s="1"/>
  <c r="X19"/>
  <c r="Z19"/>
  <c r="X39"/>
  <c r="Z39"/>
  <c r="X44"/>
  <c r="Z44"/>
  <c r="AC44" s="1"/>
  <c r="X45"/>
  <c r="Z45"/>
  <c r="X15"/>
  <c r="Z15"/>
  <c r="AC15" s="1"/>
  <c r="X9"/>
  <c r="Z9"/>
  <c r="AC9" s="1"/>
  <c r="X13"/>
  <c r="Z13"/>
  <c r="AC13" s="1"/>
  <c r="X17"/>
  <c r="Z17"/>
  <c r="AC17" s="1"/>
  <c r="X80"/>
  <c r="Z80"/>
  <c r="Z105"/>
  <c r="AC105" s="1"/>
  <c r="X85"/>
  <c r="Z85"/>
  <c r="AC85" s="1"/>
  <c r="X83"/>
  <c r="Z83"/>
  <c r="X102"/>
  <c r="Z102"/>
  <c r="X84"/>
  <c r="Z84"/>
  <c r="X78"/>
  <c r="Z78"/>
  <c r="X94"/>
  <c r="Z94"/>
  <c r="X88"/>
  <c r="Z88"/>
  <c r="X101"/>
  <c r="Z101"/>
  <c r="AC101" s="1"/>
  <c r="X97"/>
  <c r="Z97"/>
  <c r="AC97" s="1"/>
  <c r="X61"/>
  <c r="Z61"/>
  <c r="X116"/>
  <c r="Z116"/>
  <c r="X114"/>
  <c r="Z114"/>
  <c r="AC114" s="1"/>
  <c r="X67"/>
  <c r="Z67"/>
  <c r="AC67" s="1"/>
  <c r="X119"/>
  <c r="Z119"/>
  <c r="AC119" s="1"/>
  <c r="X60"/>
  <c r="Z60"/>
  <c r="AC60" s="1"/>
  <c r="X113"/>
  <c r="Z113"/>
  <c r="X111"/>
  <c r="Z111"/>
  <c r="X118"/>
  <c r="Z118"/>
  <c r="AC118" s="1"/>
  <c r="W57"/>
  <c r="Z57"/>
  <c r="AC57" s="1"/>
  <c r="X103"/>
  <c r="Z103"/>
  <c r="X96"/>
  <c r="Z96"/>
  <c r="X95"/>
  <c r="Z95"/>
  <c r="X89"/>
  <c r="Z89"/>
  <c r="X63"/>
  <c r="X57"/>
  <c r="K16"/>
  <c r="Z16" s="1"/>
  <c r="K66"/>
  <c r="K14"/>
  <c r="T74"/>
  <c r="K21"/>
  <c r="AB95"/>
  <c r="AC63"/>
  <c r="AB88"/>
  <c r="U74"/>
  <c r="W43"/>
  <c r="AB83"/>
  <c r="W46"/>
  <c r="W101"/>
  <c r="AF35"/>
  <c r="W13"/>
  <c r="W114"/>
  <c r="W67"/>
  <c r="W17"/>
  <c r="AB96"/>
  <c r="W118"/>
  <c r="AB94"/>
  <c r="W9"/>
  <c r="K8"/>
  <c r="AB80"/>
  <c r="AB89"/>
  <c r="AB78"/>
  <c r="W15"/>
  <c r="AB84"/>
  <c r="AF58"/>
  <c r="W44"/>
  <c r="AB102"/>
  <c r="AB103"/>
  <c r="AB116"/>
  <c r="W40"/>
  <c r="W60"/>
  <c r="AB111"/>
  <c r="AB113"/>
  <c r="W52"/>
  <c r="W63"/>
  <c r="W119"/>
  <c r="W29" l="1"/>
  <c r="Z29"/>
  <c r="AC29" s="1"/>
  <c r="X29"/>
  <c r="Y37"/>
  <c r="Y15"/>
  <c r="AF15" s="1"/>
  <c r="Y67"/>
  <c r="AF67" s="1"/>
  <c r="Y119"/>
  <c r="AF119" s="1"/>
  <c r="Y52"/>
  <c r="AF52" s="1"/>
  <c r="Y40"/>
  <c r="AF40" s="1"/>
  <c r="Y97"/>
  <c r="AF97" s="1"/>
  <c r="Y43"/>
  <c r="AF43" s="1"/>
  <c r="X21"/>
  <c r="Z21"/>
  <c r="AC21" s="1"/>
  <c r="Z14"/>
  <c r="AC14" s="1"/>
  <c r="X8"/>
  <c r="Z8"/>
  <c r="AC8" s="1"/>
  <c r="Y118"/>
  <c r="AF118" s="1"/>
  <c r="X66"/>
  <c r="Z66"/>
  <c r="AC66" s="1"/>
  <c r="X16"/>
  <c r="W16"/>
  <c r="W77"/>
  <c r="Y57"/>
  <c r="AF57" s="1"/>
  <c r="W14"/>
  <c r="X14"/>
  <c r="W66"/>
  <c r="AC16"/>
  <c r="W21"/>
  <c r="AF92"/>
  <c r="Y101"/>
  <c r="AF101" s="1"/>
  <c r="Y44"/>
  <c r="AF44" s="1"/>
  <c r="Y17"/>
  <c r="AF17" s="1"/>
  <c r="Y9"/>
  <c r="AF9" s="1"/>
  <c r="AF105"/>
  <c r="Y46"/>
  <c r="AF46" s="1"/>
  <c r="Y85"/>
  <c r="AF85" s="1"/>
  <c r="Y114"/>
  <c r="AF114" s="1"/>
  <c r="Y60"/>
  <c r="AF60" s="1"/>
  <c r="Y13"/>
  <c r="AF13" s="1"/>
  <c r="Y63"/>
  <c r="AF63" s="1"/>
  <c r="AC89"/>
  <c r="AC116"/>
  <c r="AC113"/>
  <c r="AC95"/>
  <c r="AC94"/>
  <c r="AC96"/>
  <c r="AC83"/>
  <c r="AC78"/>
  <c r="AC102"/>
  <c r="AC84"/>
  <c r="AC88"/>
  <c r="AC80"/>
  <c r="AC103"/>
  <c r="AC111"/>
  <c r="AB74"/>
  <c r="Y95"/>
  <c r="AF95" s="1"/>
  <c r="Y96"/>
  <c r="AF96" s="1"/>
  <c r="W113"/>
  <c r="Y113" s="1"/>
  <c r="AF113" s="1"/>
  <c r="Y88"/>
  <c r="AF88" s="1"/>
  <c r="W39"/>
  <c r="AC39"/>
  <c r="AC19"/>
  <c r="AC61"/>
  <c r="W41"/>
  <c r="AC41"/>
  <c r="W45"/>
  <c r="AC45"/>
  <c r="Y83"/>
  <c r="AF83" s="1"/>
  <c r="W19"/>
  <c r="W102"/>
  <c r="Y102" s="1"/>
  <c r="AF102" s="1"/>
  <c r="W103"/>
  <c r="Y103" s="1"/>
  <c r="AF103" s="1"/>
  <c r="Y94"/>
  <c r="AF94" s="1"/>
  <c r="Y89"/>
  <c r="AF89" s="1"/>
  <c r="W80"/>
  <c r="Y80" s="1"/>
  <c r="AF80" s="1"/>
  <c r="O74"/>
  <c r="W116"/>
  <c r="Y116" s="1"/>
  <c r="AF116" s="1"/>
  <c r="P74"/>
  <c r="Q74"/>
  <c r="W8"/>
  <c r="W61"/>
  <c r="Y84"/>
  <c r="AF84" s="1"/>
  <c r="W78"/>
  <c r="Y78" s="1"/>
  <c r="AF78" s="1"/>
  <c r="W111"/>
  <c r="Y111" s="1"/>
  <c r="AF111" s="1"/>
  <c r="X77" l="1"/>
  <c r="X121" s="1"/>
  <c r="W121"/>
  <c r="Y29"/>
  <c r="AF29" s="1"/>
  <c r="Y21"/>
  <c r="AF21" s="1"/>
  <c r="Y16"/>
  <c r="AF16" s="1"/>
  <c r="Y66"/>
  <c r="AF66" s="1"/>
  <c r="Y77"/>
  <c r="Y121" s="1"/>
  <c r="Z77"/>
  <c r="AC77" s="1"/>
  <c r="AC122" s="1"/>
  <c r="Y14"/>
  <c r="AF14" s="1"/>
  <c r="AF37"/>
  <c r="Y19"/>
  <c r="AF19" s="1"/>
  <c r="Y41"/>
  <c r="Y39"/>
  <c r="AF39" s="1"/>
  <c r="Y61"/>
  <c r="AF61" s="1"/>
  <c r="Y45"/>
  <c r="AF45" s="1"/>
  <c r="Y8"/>
  <c r="AF8" s="1"/>
  <c r="K74" l="1"/>
  <c r="Z74"/>
  <c r="X74"/>
  <c r="W74" l="1"/>
  <c r="AC74"/>
  <c r="Y74" l="1"/>
  <c r="AF74"/>
  <c r="AC75"/>
  <c r="AC76" s="1"/>
</calcChain>
</file>

<file path=xl/comments1.xml><?xml version="1.0" encoding="utf-8"?>
<comments xmlns="http://schemas.openxmlformats.org/spreadsheetml/2006/main">
  <authors>
    <author>usuario</author>
  </authors>
  <commentList>
    <comment ref="G10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REPUESTO DE FALTA</t>
        </r>
      </text>
    </comment>
    <comment ref="L107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EL DESCUENTO DE $1216.50 ES DEL VALE DE CAJA (DESC 2/2)</t>
        </r>
      </text>
    </comment>
    <comment ref="G11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DIAS PENDIENTES</t>
        </r>
      </text>
    </comment>
  </commentList>
</comments>
</file>

<file path=xl/sharedStrings.xml><?xml version="1.0" encoding="utf-8"?>
<sst xmlns="http://schemas.openxmlformats.org/spreadsheetml/2006/main" count="523" uniqueCount="256">
  <si>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</si>
  <si>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</si>
  <si>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</si>
  <si>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</si>
  <si>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</si>
  <si>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</si>
  <si>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</si>
  <si>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</si>
  <si>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</si>
  <si>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</si>
  <si>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</si>
  <si>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</si>
  <si>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</si>
  <si>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</si>
  <si>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</si>
  <si>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</si>
  <si>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</si>
  <si>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</si>
  <si>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</si>
  <si>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</si>
  <si>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</si>
  <si>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</si>
  <si>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</si>
  <si>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</si>
  <si>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</si>
  <si>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</si>
  <si>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</si>
  <si>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</si>
  <si>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</si>
  <si>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</si>
  <si>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</si>
  <si>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</si>
  <si>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</si>
  <si>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</si>
  <si>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</si>
  <si>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</si>
  <si>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</si>
  <si>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</si>
  <si>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</si>
  <si>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</si>
  <si>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</si>
  <si>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</si>
  <si>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</si>
  <si>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</si>
  <si>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</si>
  <si>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</si>
  <si>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</si>
  <si>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</si>
  <si>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</si>
  <si>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</si>
  <si>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</si>
  <si>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</si>
  <si>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VM21</t>
  </si>
  <si>
    <t>VR23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</si>
  <si>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</si>
  <si>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</si>
  <si>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</si>
  <si>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</si>
  <si>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</si>
  <si>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</si>
  <si>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</si>
  <si>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</si>
  <si>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</si>
  <si>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</si>
  <si>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</si>
  <si>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</si>
  <si>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</si>
  <si>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</si>
  <si>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</si>
  <si>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</si>
  <si>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</si>
  <si>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</si>
  <si>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</si>
  <si>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</si>
  <si>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</si>
  <si>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</si>
  <si>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</si>
  <si>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</si>
  <si>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</si>
  <si>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</si>
  <si>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</si>
  <si>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</si>
  <si>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</si>
  <si>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</si>
  <si>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</si>
  <si>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</si>
  <si>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</si>
  <si>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</si>
  <si>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</si>
  <si>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</si>
  <si>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</si>
  <si>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</si>
  <si>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</si>
  <si>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</si>
  <si>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</si>
  <si>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</si>
  <si>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</si>
  <si>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</si>
  <si>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</si>
  <si>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</si>
  <si>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</si>
  <si>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</si>
  <si>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</si>
  <si>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</si>
  <si>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</si>
  <si>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</si>
  <si>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</si>
  <si>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</si>
  <si>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</si>
  <si>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</si>
  <si>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</si>
  <si>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</si>
  <si>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</si>
  <si>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</si>
  <si>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</si>
  <si>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</si>
  <si>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</si>
  <si>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</si>
  <si>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</si>
  <si>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</si>
  <si>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</si>
  <si>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</si>
  <si>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</si>
  <si>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</si>
  <si>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</si>
  <si>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</si>
  <si>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</si>
  <si>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</si>
  <si>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</si>
  <si>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</si>
  <si>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</si>
  <si>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</si>
  <si>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</si>
  <si>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</si>
  <si>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</si>
  <si>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</si>
  <si>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</si>
  <si>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</si>
  <si>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</si>
  <si>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</si>
  <si>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</si>
  <si>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</si>
  <si>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</si>
  <si>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</si>
  <si>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</si>
  <si>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</si>
  <si>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</si>
  <si>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</si>
  <si>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</si>
  <si>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</si>
  <si>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</si>
  <si>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</si>
  <si>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</si>
  <si>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</si>
  <si>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</si>
  <si>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</si>
  <si>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</si>
  <si>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</si>
  <si>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</si>
  <si>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</si>
  <si>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</si>
  <si>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</si>
  <si>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</si>
  <si>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</si>
  <si>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</si>
  <si>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</si>
  <si>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</si>
  <si>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</si>
  <si>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</si>
  <si>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</si>
  <si>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</si>
  <si>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</si>
  <si>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</si>
  <si>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</si>
  <si>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</si>
  <si>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</si>
  <si>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</si>
  <si>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</si>
  <si>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</si>
  <si>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</si>
  <si>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</si>
  <si>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</si>
  <si>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</si>
  <si>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</si>
  <si>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</si>
  <si>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</si>
  <si>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</si>
  <si>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</si>
  <si>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</si>
  <si>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</si>
  <si>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</si>
  <si>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</si>
  <si>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</si>
  <si>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</si>
  <si>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</si>
  <si>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</si>
  <si>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</si>
  <si>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</si>
  <si>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ARIAS MONROY JOSE</t>
  </si>
  <si>
    <t>GAYTAN MARTINEZ RAUL</t>
  </si>
  <si>
    <t>DOMINGUEZ GUDIÑO OMAR</t>
  </si>
  <si>
    <t>HERNANDEZ SANCHEZ RODRIGO</t>
  </si>
  <si>
    <t>AGUAS OROZCO FRANCISCO</t>
  </si>
  <si>
    <t>NAVARRO ARENAS ANDREA ARELI</t>
  </si>
  <si>
    <t>VARGAS GOMEZ RAUL ARMANDO</t>
  </si>
  <si>
    <t>RUIZ VARGAS FRANCISCO DE JESUS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</si>
  <si>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</si>
  <si>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</si>
  <si>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</si>
  <si>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</si>
  <si>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</si>
  <si>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</si>
  <si>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</si>
  <si>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</si>
  <si>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</si>
  <si>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PINEDA HERNANDEZ BRIANDA IVONNE</t>
  </si>
  <si>
    <t xml:space="preserve">RUIZ MIRANDA GADIEL </t>
  </si>
  <si>
    <t>OLIVAS MANCILLA JESUS DANIEL</t>
  </si>
  <si>
    <t>VALDEZ BERNAL JUAN PABLO</t>
  </si>
  <si>
    <t>BERDEJA LEON GERARDO FRANCISCO</t>
  </si>
  <si>
    <t>SUELDO SEMANAL $1,516 FAVOR DE PASAR SU SUELDO A SINDICATO Y DESCONTARLE EL 10%</t>
  </si>
  <si>
    <t>DESCUENTO CTA 254 POR CONCEPTO DE HERRAMIENTAS</t>
  </si>
  <si>
    <t>ESTRADA UNZUETA ALEJANDRA</t>
  </si>
  <si>
    <t>ORTEGA BUSTAMANTE JESUS GERARDO</t>
  </si>
  <si>
    <t>MANDAR EFECTIVO O CHEQUE YA QUE TUVO PROBLEMA CON CUENTA</t>
  </si>
  <si>
    <t>FERRER GONZALEZ MARIA ELENA</t>
  </si>
  <si>
    <t>AUX. ADMON.</t>
  </si>
  <si>
    <t>BANORTE</t>
  </si>
  <si>
    <t>SUELDO SEMANAL DE $2,100, DESCONTARLE EL 10%</t>
  </si>
  <si>
    <t>TOTAL DE LA NOMINA</t>
  </si>
  <si>
    <t>VALDEZ HERNANDEZ ELDA NELLY</t>
  </si>
  <si>
    <t>BAUTISTA RAMIREZ MARIO ALEXIS</t>
  </si>
  <si>
    <t>0455386500</t>
  </si>
  <si>
    <t>CASILLAS GARCIA DEL VALLE RODRIGO BARUCH</t>
  </si>
  <si>
    <t>2709468560</t>
  </si>
  <si>
    <t>URBINA SIERRA ANGELICA</t>
  </si>
  <si>
    <t>INCAPACIDAD POR MATERNIDAD</t>
  </si>
  <si>
    <t>ARIAS CORTES ROBERTO CARLOS</t>
  </si>
  <si>
    <t>SUELDO SEMANAL 1677 FAVOR DE PASAR SUELDO A SINDICATO Y DESCONTAR EL 10%</t>
  </si>
  <si>
    <t>SUELDO SEMANAL $1,026.69 FAVOR DE PASAR SUELDO A SINDICATO Y DESCONTARLE EL 10%</t>
  </si>
  <si>
    <t>FAVOR DE PASAR SU SUELDO $1,516 A SINDICATO Y DESCONTARLE EL 10%</t>
  </si>
  <si>
    <t>GONZALEZ RODRIGUEZ ERICK</t>
  </si>
  <si>
    <t>ALARCON ORTIZ JOSE AURELIO</t>
  </si>
  <si>
    <t>Periodo Semana 11</t>
  </si>
  <si>
    <t>08/03/17 AL 14/03/17</t>
  </si>
  <si>
    <t>NUEVO INGRESO SUELDO $1,200</t>
  </si>
  <si>
    <t xml:space="preserve">LOPEZ LABRADA DANIEL </t>
  </si>
  <si>
    <t>SANCHEZ DE JESUS FROYLAN</t>
  </si>
  <si>
    <t>NUEVO INGRESO 10/03/2017</t>
  </si>
  <si>
    <t>JUAREZ URIBE MICHEL</t>
  </si>
  <si>
    <t>DE JESUS PADILLA ALFREDO</t>
  </si>
  <si>
    <t>0456193617</t>
  </si>
  <si>
    <t>0456285848</t>
  </si>
  <si>
    <t>CAMPA LOPEZ JOSE ABRAHAM</t>
  </si>
  <si>
    <t xml:space="preserve">GALVAN RODRIGUEZ JOSE MARCELINO </t>
  </si>
  <si>
    <t>SD 80.04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</si>
</sst>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9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0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0" fontId="6" fillId="10" borderId="7" xfId="0" applyFont="1" applyFill="1" applyBorder="1"/>
    <xf numFmtId="164" fontId="12" fillId="10" borderId="7" xfId="0" applyNumberFormat="1" applyFont="1" applyFill="1" applyBorder="1"/>
    <xf numFmtId="43" fontId="6" fillId="10" borderId="7" xfId="2" applyFont="1" applyFill="1" applyBorder="1"/>
    <xf numFmtId="43" fontId="4" fillId="10" borderId="7" xfId="2" applyFont="1" applyFill="1" applyBorder="1"/>
    <xf numFmtId="0" fontId="7" fillId="10" borderId="7" xfId="0" applyFont="1" applyFill="1" applyBorder="1"/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43" fontId="15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3" fontId="6" fillId="7" borderId="7" xfId="2" applyFont="1" applyFill="1" applyBorder="1"/>
    <xf numFmtId="43" fontId="4" fillId="7" borderId="7" xfId="2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15" fillId="9" borderId="7" xfId="2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" fontId="12" fillId="9" borderId="7" xfId="0" applyNumberFormat="1" applyFont="1" applyFill="1" applyBorder="1" applyAlignment="1">
      <alignment wrapText="1"/>
    </xf>
    <xf numFmtId="43" fontId="12" fillId="9" borderId="7" xfId="2" applyFont="1" applyFill="1" applyBorder="1"/>
    <xf numFmtId="0" fontId="6" fillId="9" borderId="0" xfId="0" applyFont="1" applyFill="1"/>
    <xf numFmtId="0" fontId="7" fillId="9" borderId="7" xfId="0" applyFont="1" applyFill="1" applyBorder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49" fontId="7" fillId="8" borderId="7" xfId="0" applyNumberFormat="1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49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8.85546875" style="19" customWidth="1"/>
    <col min="5" max="5" width="29" style="19" customWidth="1"/>
    <col min="6" max="6" width="13.28515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47" hidden="1" customWidth="1"/>
    <col min="31" max="31" width="12.7109375" style="47" hidden="1" customWidth="1"/>
    <col min="32" max="32" width="11.5703125" style="1" hidden="1" customWidth="1"/>
    <col min="33" max="33" width="19.28515625" style="19" bestFit="1" customWidth="1"/>
    <col min="34" max="34" width="83.710937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206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46"/>
      <c r="AE1" s="46"/>
      <c r="AF1" s="22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46"/>
      <c r="AE2" s="46"/>
      <c r="AF2" s="22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243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46"/>
      <c r="AE3" s="46"/>
      <c r="AF3" s="22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244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47"/>
      <c r="AE4" s="4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26" t="s">
        <v>13</v>
      </c>
      <c r="B5" s="126" t="s">
        <v>14</v>
      </c>
      <c r="C5" s="126" t="s">
        <v>125</v>
      </c>
      <c r="D5" s="126" t="s">
        <v>15</v>
      </c>
      <c r="E5" s="126" t="s">
        <v>0</v>
      </c>
      <c r="F5" s="128" t="s">
        <v>121</v>
      </c>
      <c r="G5" s="120" t="s">
        <v>34</v>
      </c>
      <c r="H5" s="119" t="s">
        <v>9</v>
      </c>
      <c r="I5" s="119" t="s">
        <v>10</v>
      </c>
      <c r="J5" s="119" t="s">
        <v>24</v>
      </c>
      <c r="K5" s="119" t="s">
        <v>11</v>
      </c>
      <c r="L5" s="119" t="s">
        <v>12</v>
      </c>
      <c r="M5" s="120" t="s">
        <v>168</v>
      </c>
      <c r="N5" s="120" t="s">
        <v>137</v>
      </c>
      <c r="O5" s="121" t="s">
        <v>91</v>
      </c>
      <c r="P5" s="121" t="s">
        <v>107</v>
      </c>
      <c r="Q5" s="121" t="s">
        <v>106</v>
      </c>
      <c r="R5" s="121" t="s">
        <v>92</v>
      </c>
      <c r="S5" s="119" t="s">
        <v>6</v>
      </c>
      <c r="T5" s="119" t="s">
        <v>17</v>
      </c>
      <c r="U5" s="119" t="s">
        <v>16</v>
      </c>
      <c r="V5" s="119" t="s">
        <v>8</v>
      </c>
      <c r="W5" s="119" t="s">
        <v>25</v>
      </c>
      <c r="X5" s="114" t="s">
        <v>3</v>
      </c>
      <c r="Y5" s="114" t="s">
        <v>7</v>
      </c>
      <c r="Z5" s="114" t="s">
        <v>2</v>
      </c>
      <c r="AA5" s="114" t="s">
        <v>4</v>
      </c>
      <c r="AB5" s="24"/>
      <c r="AC5" s="114" t="s">
        <v>5</v>
      </c>
      <c r="AD5" s="116" t="s">
        <v>146</v>
      </c>
      <c r="AE5" s="117"/>
      <c r="AF5" s="118" t="s">
        <v>93</v>
      </c>
      <c r="AG5" s="112" t="s">
        <v>129</v>
      </c>
      <c r="AH5" s="112" t="s">
        <v>130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90" customFormat="1" ht="39" customHeight="1">
      <c r="A6" s="127"/>
      <c r="B6" s="127"/>
      <c r="C6" s="127"/>
      <c r="D6" s="127"/>
      <c r="E6" s="127"/>
      <c r="F6" s="129"/>
      <c r="G6" s="125"/>
      <c r="H6" s="120"/>
      <c r="I6" s="120"/>
      <c r="J6" s="120"/>
      <c r="K6" s="120"/>
      <c r="L6" s="120"/>
      <c r="M6" s="123"/>
      <c r="N6" s="123"/>
      <c r="O6" s="122"/>
      <c r="P6" s="122"/>
      <c r="Q6" s="122"/>
      <c r="R6" s="122"/>
      <c r="S6" s="120"/>
      <c r="T6" s="120"/>
      <c r="U6" s="120"/>
      <c r="V6" s="120"/>
      <c r="W6" s="120"/>
      <c r="X6" s="115"/>
      <c r="Y6" s="115"/>
      <c r="Z6" s="115"/>
      <c r="AA6" s="115"/>
      <c r="AB6" s="87"/>
      <c r="AC6" s="115"/>
      <c r="AD6" s="88" t="s">
        <v>26</v>
      </c>
      <c r="AE6" s="88" t="s">
        <v>27</v>
      </c>
      <c r="AF6" s="118"/>
      <c r="AG6" s="112"/>
      <c r="AH6" s="112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</row>
    <row r="7" spans="1:48" s="18" customFormat="1">
      <c r="A7" s="34" t="s">
        <v>30</v>
      </c>
      <c r="B7" s="34" t="s">
        <v>202</v>
      </c>
      <c r="C7" s="34"/>
      <c r="D7" s="34"/>
      <c r="E7" s="34" t="s">
        <v>32</v>
      </c>
      <c r="F7" s="84">
        <v>42689</v>
      </c>
      <c r="G7" s="35">
        <v>8453.43</v>
      </c>
      <c r="H7" s="35"/>
      <c r="I7" s="35"/>
      <c r="J7" s="51"/>
      <c r="K7" s="52">
        <f t="shared" ref="K7:K31" si="0">SUM(G7:I7)-J7</f>
        <v>8453.43</v>
      </c>
      <c r="L7" s="35"/>
      <c r="M7" s="70"/>
      <c r="N7" s="35"/>
      <c r="O7" s="35"/>
      <c r="P7" s="71"/>
      <c r="Q7" s="71"/>
      <c r="R7" s="35"/>
      <c r="S7" s="33"/>
      <c r="T7" s="33"/>
      <c r="U7" s="34"/>
      <c r="V7" s="34"/>
      <c r="W7" s="52">
        <f t="shared" ref="W7:W31" si="1">+K7-SUM(L7:V7)</f>
        <v>8453.43</v>
      </c>
      <c r="X7" s="33">
        <f t="shared" ref="X7:X31" si="2">IF(K7&gt;2250,K7*0.1,0)</f>
        <v>845.34300000000007</v>
      </c>
      <c r="Y7" s="52">
        <f t="shared" ref="Y7:Y31" si="3">+W7-X7</f>
        <v>7608.0870000000004</v>
      </c>
      <c r="Z7" s="33"/>
      <c r="AA7" s="33"/>
      <c r="AB7" s="33"/>
      <c r="AC7" s="52"/>
      <c r="AD7" s="59"/>
      <c r="AE7" s="60"/>
      <c r="AF7" s="53"/>
      <c r="AG7" s="34">
        <v>1500716952</v>
      </c>
      <c r="AH7" s="34"/>
    </row>
    <row r="8" spans="1:48" s="18" customFormat="1">
      <c r="A8" s="34" t="s">
        <v>41</v>
      </c>
      <c r="B8" s="34" t="s">
        <v>117</v>
      </c>
      <c r="C8" s="34"/>
      <c r="D8" s="34" t="s">
        <v>45</v>
      </c>
      <c r="E8" s="34" t="s">
        <v>31</v>
      </c>
      <c r="F8" s="57">
        <v>42062</v>
      </c>
      <c r="G8" s="35">
        <v>2297.4899999999998</v>
      </c>
      <c r="H8" s="35"/>
      <c r="I8" s="35"/>
      <c r="J8" s="51"/>
      <c r="K8" s="52">
        <f t="shared" si="0"/>
        <v>2297.4899999999998</v>
      </c>
      <c r="L8" s="35"/>
      <c r="M8" s="70"/>
      <c r="N8" s="35"/>
      <c r="O8" s="35">
        <v>0</v>
      </c>
      <c r="P8" s="71"/>
      <c r="Q8" s="71"/>
      <c r="R8" s="35"/>
      <c r="S8" s="33"/>
      <c r="T8" s="33"/>
      <c r="U8" s="34"/>
      <c r="V8" s="34">
        <v>0</v>
      </c>
      <c r="W8" s="52">
        <f t="shared" si="1"/>
        <v>2297.4899999999998</v>
      </c>
      <c r="X8" s="33">
        <f t="shared" si="2"/>
        <v>229.749</v>
      </c>
      <c r="Y8" s="52">
        <f t="shared" si="3"/>
        <v>2067.741</v>
      </c>
      <c r="Z8" s="33">
        <f t="shared" ref="Z8:Z31" si="4">IF(K8&lt;2250,K8*0.1,0)</f>
        <v>0</v>
      </c>
      <c r="AA8" s="33">
        <v>10.23</v>
      </c>
      <c r="AB8" s="33">
        <f t="shared" ref="AB8:AB31" si="5">+P8</f>
        <v>0</v>
      </c>
      <c r="AC8" s="52">
        <f t="shared" ref="AC8:AC31" si="6">+K8+Z8+AA8+AB8</f>
        <v>2307.7199999999998</v>
      </c>
      <c r="AD8" s="59"/>
      <c r="AE8" s="60"/>
      <c r="AF8" s="53">
        <f t="shared" ref="AF8:AF16" si="7">+AD8+AE8-Y8</f>
        <v>-2067.741</v>
      </c>
      <c r="AG8" s="34"/>
      <c r="AH8" s="34"/>
    </row>
    <row r="9" spans="1:48" s="18" customFormat="1">
      <c r="A9" s="34" t="s">
        <v>30</v>
      </c>
      <c r="B9" s="34" t="s">
        <v>111</v>
      </c>
      <c r="C9" s="34" t="s">
        <v>125</v>
      </c>
      <c r="D9" s="34" t="s">
        <v>75</v>
      </c>
      <c r="E9" s="34" t="s">
        <v>33</v>
      </c>
      <c r="F9" s="57">
        <v>41797</v>
      </c>
      <c r="G9" s="35"/>
      <c r="H9" s="35"/>
      <c r="I9" s="35"/>
      <c r="J9" s="51"/>
      <c r="K9" s="52">
        <f>SUM(G9:I9)-J9</f>
        <v>0</v>
      </c>
      <c r="L9" s="35"/>
      <c r="M9" s="70"/>
      <c r="N9" s="70"/>
      <c r="O9" s="35">
        <v>0</v>
      </c>
      <c r="P9" s="71"/>
      <c r="Q9" s="71"/>
      <c r="R9" s="35"/>
      <c r="S9" s="33"/>
      <c r="T9" s="33"/>
      <c r="U9" s="34"/>
      <c r="V9" s="34">
        <v>0</v>
      </c>
      <c r="W9" s="52">
        <f>+K9-SUM(L9:V9)</f>
        <v>0</v>
      </c>
      <c r="X9" s="33">
        <f>IF(K9&gt;2250,K9*0.1,0)</f>
        <v>0</v>
      </c>
      <c r="Y9" s="52">
        <f>+W9-X9</f>
        <v>0</v>
      </c>
      <c r="Z9" s="33">
        <f>IF(K9&lt;2250,K9*0.1,0)</f>
        <v>0</v>
      </c>
      <c r="AA9" s="33">
        <v>10.23</v>
      </c>
      <c r="AB9" s="33">
        <f>+P9</f>
        <v>0</v>
      </c>
      <c r="AC9" s="52">
        <f>+K9+Z9+AA9+AB9</f>
        <v>10.23</v>
      </c>
      <c r="AD9" s="59"/>
      <c r="AE9" s="60"/>
      <c r="AF9" s="53">
        <f>+AD9+AE9-Y9</f>
        <v>0</v>
      </c>
      <c r="AG9" s="34"/>
      <c r="AH9" s="36"/>
    </row>
    <row r="10" spans="1:48" s="18" customFormat="1">
      <c r="A10" s="34" t="s">
        <v>41</v>
      </c>
      <c r="B10" s="34" t="s">
        <v>212</v>
      </c>
      <c r="C10" s="34"/>
      <c r="D10" s="34"/>
      <c r="E10" s="34" t="s">
        <v>31</v>
      </c>
      <c r="F10" s="57">
        <v>42725</v>
      </c>
      <c r="G10" s="35">
        <v>1080.95</v>
      </c>
      <c r="H10" s="35"/>
      <c r="I10" s="35"/>
      <c r="J10" s="51"/>
      <c r="K10" s="52">
        <f t="shared" si="0"/>
        <v>1080.95</v>
      </c>
      <c r="L10" s="35"/>
      <c r="M10" s="70"/>
      <c r="N10" s="35"/>
      <c r="O10" s="35"/>
      <c r="P10" s="71"/>
      <c r="Q10" s="71"/>
      <c r="R10" s="35"/>
      <c r="S10" s="33"/>
      <c r="T10" s="33"/>
      <c r="U10" s="34"/>
      <c r="V10" s="34"/>
      <c r="W10" s="52">
        <f t="shared" ref="W10:W11" si="8">+K10-SUM(L10:V10)</f>
        <v>1080.95</v>
      </c>
      <c r="X10" s="33">
        <f t="shared" ref="X10" si="9">IF(K10&gt;2250,K10*0.1,0)</f>
        <v>0</v>
      </c>
      <c r="Y10" s="52">
        <f t="shared" ref="Y10" si="10">+W10-X10</f>
        <v>1080.95</v>
      </c>
      <c r="Z10" s="33"/>
      <c r="AA10" s="33"/>
      <c r="AB10" s="33"/>
      <c r="AC10" s="52"/>
      <c r="AD10" s="59"/>
      <c r="AE10" s="60"/>
      <c r="AF10" s="53"/>
      <c r="AG10" s="34">
        <v>1133645940</v>
      </c>
      <c r="AH10" s="36"/>
    </row>
    <row r="11" spans="1:48" s="18" customFormat="1">
      <c r="A11" s="34" t="s">
        <v>30</v>
      </c>
      <c r="B11" s="34" t="s">
        <v>242</v>
      </c>
      <c r="C11" s="34"/>
      <c r="D11" s="34"/>
      <c r="E11" s="34" t="s">
        <v>32</v>
      </c>
      <c r="F11" s="57">
        <v>42796</v>
      </c>
      <c r="G11" s="35">
        <v>2004.39</v>
      </c>
      <c r="H11" s="35"/>
      <c r="I11" s="35"/>
      <c r="J11" s="51"/>
      <c r="K11" s="52">
        <f t="shared" si="0"/>
        <v>2004.39</v>
      </c>
      <c r="L11" s="35"/>
      <c r="M11" s="70"/>
      <c r="N11" s="35"/>
      <c r="O11" s="35"/>
      <c r="P11" s="71"/>
      <c r="Q11" s="71"/>
      <c r="R11" s="35"/>
      <c r="S11" s="33"/>
      <c r="T11" s="33"/>
      <c r="U11" s="34"/>
      <c r="V11" s="34">
        <v>192</v>
      </c>
      <c r="W11" s="52">
        <f t="shared" si="8"/>
        <v>1812.39</v>
      </c>
      <c r="X11" s="33"/>
      <c r="Y11" s="52"/>
      <c r="Z11" s="33"/>
      <c r="AA11" s="33"/>
      <c r="AB11" s="33"/>
      <c r="AC11" s="52"/>
      <c r="AD11" s="59"/>
      <c r="AE11" s="60"/>
      <c r="AF11" s="53"/>
      <c r="AG11" s="34">
        <v>2850727768</v>
      </c>
      <c r="AH11" s="36"/>
    </row>
    <row r="12" spans="1:48" s="18" customFormat="1">
      <c r="A12" s="34" t="s">
        <v>41</v>
      </c>
      <c r="B12" s="34" t="s">
        <v>210</v>
      </c>
      <c r="C12" s="34"/>
      <c r="D12" s="34"/>
      <c r="E12" s="34" t="s">
        <v>165</v>
      </c>
      <c r="F12" s="57">
        <v>42718</v>
      </c>
      <c r="G12" s="35">
        <v>4096.3900000000003</v>
      </c>
      <c r="H12" s="35"/>
      <c r="I12" s="35"/>
      <c r="J12" s="51"/>
      <c r="K12" s="52">
        <f t="shared" si="0"/>
        <v>4096.3900000000003</v>
      </c>
      <c r="L12" s="35"/>
      <c r="M12" s="70"/>
      <c r="N12" s="70"/>
      <c r="O12" s="35"/>
      <c r="P12" s="71"/>
      <c r="Q12" s="71"/>
      <c r="R12" s="35"/>
      <c r="S12" s="33"/>
      <c r="T12" s="33"/>
      <c r="U12" s="34"/>
      <c r="V12" s="34">
        <v>1798.35</v>
      </c>
      <c r="W12" s="52">
        <f t="shared" ref="W12" si="11">+K12-SUM(L12:V12)</f>
        <v>2298.0400000000004</v>
      </c>
      <c r="X12" s="33">
        <f t="shared" ref="X12" si="12">IF(K12&gt;2250,K12*0.1,0)</f>
        <v>409.63900000000007</v>
      </c>
      <c r="Y12" s="52">
        <f t="shared" ref="Y12" si="13">+W12-X12</f>
        <v>1888.4010000000003</v>
      </c>
      <c r="Z12" s="33"/>
      <c r="AA12" s="33"/>
      <c r="AB12" s="33"/>
      <c r="AC12" s="52"/>
      <c r="AD12" s="59"/>
      <c r="AE12" s="60"/>
      <c r="AF12" s="53"/>
      <c r="AG12" s="34" t="s">
        <v>211</v>
      </c>
      <c r="AH12" s="34"/>
    </row>
    <row r="13" spans="1:48" s="18" customFormat="1">
      <c r="A13" s="34" t="s">
        <v>30</v>
      </c>
      <c r="B13" s="34" t="s">
        <v>39</v>
      </c>
      <c r="C13" s="34" t="s">
        <v>125</v>
      </c>
      <c r="D13" s="34">
        <v>16</v>
      </c>
      <c r="E13" s="34" t="s">
        <v>33</v>
      </c>
      <c r="F13" s="57">
        <v>39508</v>
      </c>
      <c r="G13" s="35">
        <v>8627.2099999999991</v>
      </c>
      <c r="H13" s="35"/>
      <c r="I13" s="35"/>
      <c r="J13" s="51"/>
      <c r="K13" s="52">
        <f t="shared" si="0"/>
        <v>8627.2099999999991</v>
      </c>
      <c r="L13" s="35"/>
      <c r="M13" s="70"/>
      <c r="N13" s="35"/>
      <c r="O13" s="35">
        <v>0</v>
      </c>
      <c r="P13" s="71"/>
      <c r="Q13" s="71"/>
      <c r="R13" s="35"/>
      <c r="S13" s="33"/>
      <c r="T13" s="33"/>
      <c r="U13" s="34"/>
      <c r="V13" s="34">
        <v>0</v>
      </c>
      <c r="W13" s="52">
        <f t="shared" si="1"/>
        <v>8627.2099999999991</v>
      </c>
      <c r="X13" s="33">
        <f t="shared" si="2"/>
        <v>862.721</v>
      </c>
      <c r="Y13" s="52">
        <f t="shared" si="3"/>
        <v>7764.4889999999996</v>
      </c>
      <c r="Z13" s="33">
        <f t="shared" si="4"/>
        <v>0</v>
      </c>
      <c r="AA13" s="33">
        <v>10.23</v>
      </c>
      <c r="AB13" s="33">
        <f t="shared" si="5"/>
        <v>0</v>
      </c>
      <c r="AC13" s="52">
        <f t="shared" si="6"/>
        <v>8637.4399999999987</v>
      </c>
      <c r="AD13" s="59"/>
      <c r="AE13" s="60"/>
      <c r="AF13" s="53">
        <f t="shared" si="7"/>
        <v>-7764.4889999999996</v>
      </c>
      <c r="AG13" s="34"/>
      <c r="AH13" s="36"/>
    </row>
    <row r="14" spans="1:48" s="18" customFormat="1">
      <c r="A14" s="34" t="s">
        <v>30</v>
      </c>
      <c r="B14" s="34" t="s">
        <v>112</v>
      </c>
      <c r="C14" s="34" t="s">
        <v>122</v>
      </c>
      <c r="D14" s="34" t="s">
        <v>76</v>
      </c>
      <c r="E14" s="34" t="s">
        <v>32</v>
      </c>
      <c r="F14" s="57">
        <v>42383</v>
      </c>
      <c r="G14" s="35"/>
      <c r="H14" s="35"/>
      <c r="I14" s="35"/>
      <c r="J14" s="51"/>
      <c r="K14" s="52">
        <f t="shared" si="0"/>
        <v>0</v>
      </c>
      <c r="L14" s="35"/>
      <c r="M14" s="70"/>
      <c r="N14" s="35">
        <v>54.05</v>
      </c>
      <c r="O14" s="35">
        <v>0</v>
      </c>
      <c r="P14" s="71"/>
      <c r="Q14" s="71"/>
      <c r="R14" s="35"/>
      <c r="S14" s="33"/>
      <c r="T14" s="33"/>
      <c r="U14" s="34"/>
      <c r="V14" s="34">
        <v>358.34</v>
      </c>
      <c r="W14" s="52">
        <f t="shared" si="1"/>
        <v>-412.39</v>
      </c>
      <c r="X14" s="33">
        <f t="shared" si="2"/>
        <v>0</v>
      </c>
      <c r="Y14" s="52">
        <f t="shared" si="3"/>
        <v>-412.39</v>
      </c>
      <c r="Z14" s="33">
        <f t="shared" si="4"/>
        <v>0</v>
      </c>
      <c r="AA14" s="33">
        <v>10.23</v>
      </c>
      <c r="AB14" s="33">
        <f t="shared" si="5"/>
        <v>0</v>
      </c>
      <c r="AC14" s="52">
        <f t="shared" si="6"/>
        <v>10.23</v>
      </c>
      <c r="AD14" s="59"/>
      <c r="AE14" s="60"/>
      <c r="AF14" s="53">
        <f t="shared" si="7"/>
        <v>412.39</v>
      </c>
      <c r="AG14" s="34"/>
      <c r="AH14" s="34"/>
    </row>
    <row r="15" spans="1:48" s="18" customFormat="1">
      <c r="A15" s="34" t="s">
        <v>29</v>
      </c>
      <c r="B15" s="34" t="s">
        <v>101</v>
      </c>
      <c r="C15" s="34" t="s">
        <v>143</v>
      </c>
      <c r="D15" s="34"/>
      <c r="E15" s="34" t="s">
        <v>89</v>
      </c>
      <c r="F15" s="57">
        <v>42416</v>
      </c>
      <c r="G15" s="35">
        <v>16480.48</v>
      </c>
      <c r="H15" s="35"/>
      <c r="I15" s="35"/>
      <c r="J15" s="51"/>
      <c r="K15" s="52">
        <f t="shared" si="0"/>
        <v>16480.48</v>
      </c>
      <c r="L15" s="35"/>
      <c r="M15" s="70"/>
      <c r="N15" s="35">
        <v>66.88</v>
      </c>
      <c r="O15" s="35">
        <v>0</v>
      </c>
      <c r="P15" s="71"/>
      <c r="Q15" s="71"/>
      <c r="R15" s="35"/>
      <c r="S15" s="33"/>
      <c r="T15" s="33"/>
      <c r="U15" s="34"/>
      <c r="V15" s="34">
        <v>467.79</v>
      </c>
      <c r="W15" s="52">
        <f t="shared" si="1"/>
        <v>15945.81</v>
      </c>
      <c r="X15" s="33">
        <f t="shared" si="2"/>
        <v>1648.048</v>
      </c>
      <c r="Y15" s="52">
        <f t="shared" si="3"/>
        <v>14297.761999999999</v>
      </c>
      <c r="Z15" s="33">
        <f t="shared" si="4"/>
        <v>0</v>
      </c>
      <c r="AA15" s="33">
        <v>10.23</v>
      </c>
      <c r="AB15" s="33">
        <f t="shared" si="5"/>
        <v>0</v>
      </c>
      <c r="AC15" s="52">
        <f t="shared" si="6"/>
        <v>16490.71</v>
      </c>
      <c r="AD15" s="59"/>
      <c r="AE15" s="60"/>
      <c r="AF15" s="53">
        <f t="shared" si="7"/>
        <v>-14297.761999999999</v>
      </c>
      <c r="AG15" s="34"/>
      <c r="AH15" s="34"/>
    </row>
    <row r="16" spans="1:48" s="18" customFormat="1" ht="15" customHeight="1">
      <c r="A16" s="34" t="s">
        <v>30</v>
      </c>
      <c r="B16" s="34" t="s">
        <v>219</v>
      </c>
      <c r="C16" s="34" t="s">
        <v>124</v>
      </c>
      <c r="D16" s="34" t="s">
        <v>77</v>
      </c>
      <c r="E16" s="34" t="s">
        <v>32</v>
      </c>
      <c r="F16" s="57">
        <v>41831</v>
      </c>
      <c r="G16" s="35"/>
      <c r="H16" s="35"/>
      <c r="I16" s="35"/>
      <c r="J16" s="51"/>
      <c r="K16" s="52">
        <f t="shared" si="0"/>
        <v>0</v>
      </c>
      <c r="L16" s="35"/>
      <c r="M16" s="70"/>
      <c r="N16" s="35">
        <v>54.05</v>
      </c>
      <c r="O16" s="35"/>
      <c r="P16" s="71"/>
      <c r="Q16" s="71"/>
      <c r="R16" s="35"/>
      <c r="S16" s="33"/>
      <c r="T16" s="86">
        <v>0.3</v>
      </c>
      <c r="U16" s="34"/>
      <c r="V16" s="34">
        <v>600</v>
      </c>
      <c r="W16" s="52">
        <f t="shared" si="1"/>
        <v>-654.35</v>
      </c>
      <c r="X16" s="33">
        <f t="shared" si="2"/>
        <v>0</v>
      </c>
      <c r="Y16" s="52">
        <f t="shared" si="3"/>
        <v>-654.35</v>
      </c>
      <c r="Z16" s="33">
        <f t="shared" si="4"/>
        <v>0</v>
      </c>
      <c r="AA16" s="33">
        <v>10.23</v>
      </c>
      <c r="AB16" s="33">
        <f t="shared" si="5"/>
        <v>0</v>
      </c>
      <c r="AC16" s="52">
        <f t="shared" si="6"/>
        <v>10.23</v>
      </c>
      <c r="AD16" s="61"/>
      <c r="AE16" s="59"/>
      <c r="AF16" s="53">
        <f t="shared" si="7"/>
        <v>654.35</v>
      </c>
      <c r="AG16" s="34"/>
      <c r="AH16" s="36"/>
    </row>
    <row r="17" spans="1:34" s="18" customFormat="1">
      <c r="A17" s="34" t="s">
        <v>30</v>
      </c>
      <c r="B17" s="34" t="s">
        <v>133</v>
      </c>
      <c r="C17" s="34" t="s">
        <v>125</v>
      </c>
      <c r="D17" s="34">
        <v>18</v>
      </c>
      <c r="E17" s="34" t="s">
        <v>33</v>
      </c>
      <c r="F17" s="57">
        <v>39699</v>
      </c>
      <c r="G17" s="35"/>
      <c r="H17" s="35"/>
      <c r="I17" s="35"/>
      <c r="J17" s="51"/>
      <c r="K17" s="52">
        <f t="shared" si="0"/>
        <v>0</v>
      </c>
      <c r="L17" s="35"/>
      <c r="M17" s="70"/>
      <c r="N17" s="35"/>
      <c r="O17" s="35">
        <v>1000</v>
      </c>
      <c r="P17" s="71"/>
      <c r="Q17" s="71"/>
      <c r="R17" s="35"/>
      <c r="S17" s="33"/>
      <c r="T17" s="33"/>
      <c r="U17" s="34"/>
      <c r="V17" s="34">
        <v>0</v>
      </c>
      <c r="W17" s="52">
        <f t="shared" si="1"/>
        <v>-1000</v>
      </c>
      <c r="X17" s="33">
        <f t="shared" si="2"/>
        <v>0</v>
      </c>
      <c r="Y17" s="52">
        <f t="shared" si="3"/>
        <v>-1000</v>
      </c>
      <c r="Z17" s="33">
        <f t="shared" si="4"/>
        <v>0</v>
      </c>
      <c r="AA17" s="33">
        <v>10.23</v>
      </c>
      <c r="AB17" s="33">
        <f t="shared" si="5"/>
        <v>0</v>
      </c>
      <c r="AC17" s="52">
        <f t="shared" si="6"/>
        <v>10.23</v>
      </c>
      <c r="AD17" s="59"/>
      <c r="AE17" s="60"/>
      <c r="AF17" s="53">
        <f t="shared" ref="AF17:AF20" si="14">+AD17+AE17-Y17</f>
        <v>1000</v>
      </c>
      <c r="AG17" s="34"/>
      <c r="AH17" s="34"/>
    </row>
    <row r="18" spans="1:34" s="18" customFormat="1">
      <c r="A18" s="34" t="s">
        <v>30</v>
      </c>
      <c r="B18" s="34" t="s">
        <v>233</v>
      </c>
      <c r="C18" s="34"/>
      <c r="D18" s="34"/>
      <c r="E18" s="34" t="s">
        <v>32</v>
      </c>
      <c r="F18" s="57">
        <v>42776</v>
      </c>
      <c r="G18" s="35"/>
      <c r="H18" s="35"/>
      <c r="I18" s="35"/>
      <c r="J18" s="51"/>
      <c r="K18" s="52">
        <f t="shared" si="0"/>
        <v>0</v>
      </c>
      <c r="L18" s="35"/>
      <c r="M18" s="70"/>
      <c r="N18" s="35"/>
      <c r="O18" s="35"/>
      <c r="P18" s="71"/>
      <c r="Q18" s="71"/>
      <c r="R18" s="35"/>
      <c r="S18" s="33"/>
      <c r="T18" s="33"/>
      <c r="U18" s="34"/>
      <c r="V18" s="34">
        <v>43.66</v>
      </c>
      <c r="W18" s="52">
        <f t="shared" si="1"/>
        <v>-43.66</v>
      </c>
      <c r="X18" s="33"/>
      <c r="Y18" s="52"/>
      <c r="Z18" s="33"/>
      <c r="AA18" s="33"/>
      <c r="AB18" s="33"/>
      <c r="AC18" s="52"/>
      <c r="AD18" s="59"/>
      <c r="AE18" s="60"/>
      <c r="AF18" s="53"/>
      <c r="AG18" s="34" t="s">
        <v>234</v>
      </c>
      <c r="AH18" s="34"/>
    </row>
    <row r="19" spans="1:34" s="18" customFormat="1">
      <c r="A19" s="34" t="s">
        <v>29</v>
      </c>
      <c r="B19" s="34" t="s">
        <v>120</v>
      </c>
      <c r="C19" s="34" t="s">
        <v>143</v>
      </c>
      <c r="D19" s="34" t="s">
        <v>58</v>
      </c>
      <c r="E19" s="34" t="s">
        <v>89</v>
      </c>
      <c r="F19" s="57">
        <v>42332</v>
      </c>
      <c r="G19" s="35"/>
      <c r="H19" s="35"/>
      <c r="I19" s="35"/>
      <c r="J19" s="51"/>
      <c r="K19" s="52">
        <f t="shared" si="0"/>
        <v>0</v>
      </c>
      <c r="L19" s="35"/>
      <c r="M19" s="70"/>
      <c r="N19" s="35">
        <v>54.05</v>
      </c>
      <c r="O19" s="35">
        <v>0</v>
      </c>
      <c r="P19" s="71"/>
      <c r="Q19" s="71"/>
      <c r="R19" s="35"/>
      <c r="S19" s="33"/>
      <c r="T19" s="33"/>
      <c r="U19" s="34"/>
      <c r="V19" s="34">
        <v>599.98</v>
      </c>
      <c r="W19" s="52">
        <f t="shared" si="1"/>
        <v>-654.03</v>
      </c>
      <c r="X19" s="33">
        <f t="shared" si="2"/>
        <v>0</v>
      </c>
      <c r="Y19" s="52">
        <f t="shared" si="3"/>
        <v>-654.03</v>
      </c>
      <c r="Z19" s="33">
        <f t="shared" si="4"/>
        <v>0</v>
      </c>
      <c r="AA19" s="33">
        <v>10.23</v>
      </c>
      <c r="AB19" s="33">
        <f t="shared" si="5"/>
        <v>0</v>
      </c>
      <c r="AC19" s="52">
        <f t="shared" si="6"/>
        <v>10.23</v>
      </c>
      <c r="AD19" s="59"/>
      <c r="AE19" s="60"/>
      <c r="AF19" s="53">
        <f t="shared" si="14"/>
        <v>654.03</v>
      </c>
      <c r="AG19" s="34"/>
      <c r="AH19" s="36"/>
    </row>
    <row r="20" spans="1:34" s="18" customFormat="1">
      <c r="A20" s="34" t="s">
        <v>30</v>
      </c>
      <c r="B20" s="34" t="s">
        <v>141</v>
      </c>
      <c r="C20" s="34" t="s">
        <v>127</v>
      </c>
      <c r="D20" s="34"/>
      <c r="E20" s="34" t="s">
        <v>32</v>
      </c>
      <c r="F20" s="57">
        <v>42437</v>
      </c>
      <c r="G20" s="35"/>
      <c r="H20" s="35"/>
      <c r="I20" s="35"/>
      <c r="J20" s="51"/>
      <c r="K20" s="52">
        <f t="shared" si="0"/>
        <v>0</v>
      </c>
      <c r="L20" s="35"/>
      <c r="M20" s="70"/>
      <c r="N20" s="35">
        <v>47.05</v>
      </c>
      <c r="O20" s="35">
        <v>0</v>
      </c>
      <c r="P20" s="71"/>
      <c r="Q20" s="71"/>
      <c r="R20" s="35"/>
      <c r="S20" s="33"/>
      <c r="T20" s="33"/>
      <c r="U20" s="34"/>
      <c r="V20" s="34">
        <v>0</v>
      </c>
      <c r="W20" s="52">
        <f t="shared" si="1"/>
        <v>-47.05</v>
      </c>
      <c r="X20" s="33">
        <f t="shared" si="2"/>
        <v>0</v>
      </c>
      <c r="Y20" s="52">
        <f t="shared" si="3"/>
        <v>-47.05</v>
      </c>
      <c r="Z20" s="33">
        <f t="shared" si="4"/>
        <v>0</v>
      </c>
      <c r="AA20" s="33">
        <v>10.23</v>
      </c>
      <c r="AB20" s="33">
        <f t="shared" si="5"/>
        <v>0</v>
      </c>
      <c r="AC20" s="52">
        <f t="shared" si="6"/>
        <v>10.23</v>
      </c>
      <c r="AD20" s="59"/>
      <c r="AE20" s="60"/>
      <c r="AF20" s="53">
        <f t="shared" si="14"/>
        <v>47.05</v>
      </c>
      <c r="AG20" s="34"/>
      <c r="AH20" s="36"/>
    </row>
    <row r="21" spans="1:34" s="18" customFormat="1" ht="15.75">
      <c r="A21" s="34" t="s">
        <v>126</v>
      </c>
      <c r="B21" s="34" t="s">
        <v>102</v>
      </c>
      <c r="C21" s="34"/>
      <c r="D21" s="34" t="s">
        <v>55</v>
      </c>
      <c r="E21" s="34" t="s">
        <v>88</v>
      </c>
      <c r="F21" s="57">
        <v>42205</v>
      </c>
      <c r="G21" s="78">
        <v>200</v>
      </c>
      <c r="H21" s="35"/>
      <c r="I21" s="35"/>
      <c r="J21" s="51"/>
      <c r="K21" s="52">
        <f t="shared" si="0"/>
        <v>200</v>
      </c>
      <c r="L21" s="35"/>
      <c r="M21" s="70"/>
      <c r="N21" s="35"/>
      <c r="O21" s="35">
        <v>300</v>
      </c>
      <c r="P21" s="71"/>
      <c r="Q21" s="71"/>
      <c r="R21" s="35"/>
      <c r="S21" s="33"/>
      <c r="T21" s="86">
        <v>0.3</v>
      </c>
      <c r="U21" s="34"/>
      <c r="V21" s="34">
        <v>0</v>
      </c>
      <c r="W21" s="52">
        <f t="shared" si="1"/>
        <v>-100.30000000000001</v>
      </c>
      <c r="X21" s="33">
        <f t="shared" si="2"/>
        <v>0</v>
      </c>
      <c r="Y21" s="52">
        <f t="shared" si="3"/>
        <v>-100.30000000000001</v>
      </c>
      <c r="Z21" s="33">
        <f t="shared" si="4"/>
        <v>20</v>
      </c>
      <c r="AA21" s="33">
        <v>10.23</v>
      </c>
      <c r="AB21" s="33">
        <f t="shared" si="5"/>
        <v>0</v>
      </c>
      <c r="AC21" s="52">
        <f t="shared" si="6"/>
        <v>230.23</v>
      </c>
      <c r="AD21" s="59"/>
      <c r="AE21" s="59"/>
      <c r="AF21" s="53">
        <f t="shared" ref="AF21" si="15">+AD21+AE21-Y21</f>
        <v>100.30000000000001</v>
      </c>
      <c r="AG21" s="34"/>
      <c r="AH21" s="34"/>
    </row>
    <row r="22" spans="1:34" s="18" customFormat="1">
      <c r="A22" s="34" t="s">
        <v>126</v>
      </c>
      <c r="B22" s="34" t="s">
        <v>156</v>
      </c>
      <c r="C22" s="34"/>
      <c r="D22" s="34"/>
      <c r="E22" s="34" t="s">
        <v>88</v>
      </c>
      <c r="F22" s="57">
        <v>42476</v>
      </c>
      <c r="G22" s="78"/>
      <c r="H22" s="35"/>
      <c r="I22" s="35"/>
      <c r="J22" s="51"/>
      <c r="K22" s="52">
        <f t="shared" si="0"/>
        <v>0</v>
      </c>
      <c r="L22" s="35"/>
      <c r="M22" s="70"/>
      <c r="N22" s="35"/>
      <c r="O22" s="35">
        <v>0</v>
      </c>
      <c r="P22" s="71"/>
      <c r="Q22" s="71"/>
      <c r="R22" s="35"/>
      <c r="S22" s="33"/>
      <c r="T22" s="33"/>
      <c r="U22" s="34"/>
      <c r="V22" s="34">
        <v>0</v>
      </c>
      <c r="W22" s="52">
        <f t="shared" ref="W22" si="16">+K22-SUM(L22:V22)</f>
        <v>0</v>
      </c>
      <c r="X22" s="33">
        <f t="shared" ref="X22" si="17">IF(K22&gt;2250,K22*0.1,0)</f>
        <v>0</v>
      </c>
      <c r="Y22" s="52">
        <f t="shared" ref="Y22" si="18">+W22-X22</f>
        <v>0</v>
      </c>
      <c r="Z22" s="33">
        <f t="shared" si="4"/>
        <v>0</v>
      </c>
      <c r="AA22" s="33">
        <v>10.23</v>
      </c>
      <c r="AB22" s="33">
        <f t="shared" si="5"/>
        <v>0</v>
      </c>
      <c r="AC22" s="52">
        <f t="shared" si="6"/>
        <v>10.23</v>
      </c>
      <c r="AD22" s="59"/>
      <c r="AE22" s="59"/>
      <c r="AF22" s="53">
        <f>+AD22+AE22-Y24</f>
        <v>0</v>
      </c>
      <c r="AG22" s="34">
        <v>2919685839</v>
      </c>
      <c r="AH22" s="36"/>
    </row>
    <row r="23" spans="1:34" s="18" customFormat="1">
      <c r="A23" s="34" t="s">
        <v>28</v>
      </c>
      <c r="B23" s="34" t="s">
        <v>222</v>
      </c>
      <c r="C23" s="34"/>
      <c r="D23" s="34"/>
      <c r="E23" s="34" t="s">
        <v>87</v>
      </c>
      <c r="F23" s="57">
        <v>42756</v>
      </c>
      <c r="G23" s="35">
        <v>2190</v>
      </c>
      <c r="H23" s="35"/>
      <c r="I23" s="35"/>
      <c r="J23" s="51"/>
      <c r="K23" s="52">
        <f t="shared" si="0"/>
        <v>2190</v>
      </c>
      <c r="L23" s="35"/>
      <c r="M23" s="70"/>
      <c r="N23" s="35"/>
      <c r="O23" s="35"/>
      <c r="P23" s="71"/>
      <c r="Q23" s="71"/>
      <c r="R23" s="35"/>
      <c r="S23" s="33"/>
      <c r="T23" s="33"/>
      <c r="U23" s="34"/>
      <c r="V23" s="34"/>
      <c r="W23" s="52">
        <f t="shared" ref="W23" si="19">+K23-SUM(L23:V23)</f>
        <v>2190</v>
      </c>
      <c r="X23" s="33">
        <f t="shared" ref="X23" si="20">IF(K23&gt;2250,K23*0.1,0)</f>
        <v>0</v>
      </c>
      <c r="Y23" s="52">
        <f t="shared" ref="Y23" si="21">+W23-X23</f>
        <v>2190</v>
      </c>
      <c r="Z23" s="33"/>
      <c r="AA23" s="33"/>
      <c r="AB23" s="33"/>
      <c r="AC23" s="52"/>
      <c r="AD23" s="59"/>
      <c r="AE23" s="59"/>
      <c r="AF23" s="53"/>
      <c r="AG23" s="34">
        <v>1507536410</v>
      </c>
      <c r="AH23" s="36"/>
    </row>
    <row r="24" spans="1:34" s="18" customFormat="1">
      <c r="A24" s="34" t="s">
        <v>41</v>
      </c>
      <c r="B24" s="34" t="s">
        <v>214</v>
      </c>
      <c r="C24" s="34"/>
      <c r="D24" s="34"/>
      <c r="E24" s="34" t="s">
        <v>31</v>
      </c>
      <c r="F24" s="57">
        <v>42740</v>
      </c>
      <c r="G24" s="35">
        <v>1972.37</v>
      </c>
      <c r="H24" s="35"/>
      <c r="I24" s="35"/>
      <c r="J24" s="51"/>
      <c r="K24" s="52">
        <f t="shared" si="0"/>
        <v>1972.37</v>
      </c>
      <c r="L24" s="35"/>
      <c r="M24" s="70"/>
      <c r="N24" s="35"/>
      <c r="O24" s="35"/>
      <c r="P24" s="71"/>
      <c r="Q24" s="71"/>
      <c r="R24" s="35"/>
      <c r="S24" s="33"/>
      <c r="T24" s="33"/>
      <c r="U24" s="34"/>
      <c r="V24" s="34">
        <v>660.45</v>
      </c>
      <c r="W24" s="34">
        <f>+K22-SUM(L22:V22)</f>
        <v>0</v>
      </c>
      <c r="X24" s="34">
        <f>IF(K22&gt;2250,K22*0.1,0)</f>
        <v>0</v>
      </c>
      <c r="Y24" s="34">
        <f>+W24-X24</f>
        <v>0</v>
      </c>
      <c r="Z24" s="33"/>
      <c r="AA24" s="33"/>
      <c r="AB24" s="33"/>
      <c r="AC24" s="52"/>
      <c r="AD24" s="59"/>
      <c r="AE24" s="59"/>
      <c r="AF24" s="53"/>
      <c r="AG24" s="34"/>
      <c r="AH24" s="36"/>
    </row>
    <row r="25" spans="1:34" s="18" customFormat="1">
      <c r="A25" s="34" t="s">
        <v>41</v>
      </c>
      <c r="B25" s="34" t="s">
        <v>166</v>
      </c>
      <c r="C25" s="34"/>
      <c r="D25" s="34"/>
      <c r="E25" s="34" t="s">
        <v>31</v>
      </c>
      <c r="F25" s="57">
        <v>42514</v>
      </c>
      <c r="G25" s="35">
        <v>2065.9899999999998</v>
      </c>
      <c r="H25" s="35"/>
      <c r="I25" s="35"/>
      <c r="J25" s="51"/>
      <c r="K25" s="52">
        <f t="shared" si="0"/>
        <v>2065.9899999999998</v>
      </c>
      <c r="L25" s="35"/>
      <c r="M25" s="70"/>
      <c r="N25" s="35"/>
      <c r="O25" s="35">
        <v>0</v>
      </c>
      <c r="P25" s="71"/>
      <c r="Q25" s="71"/>
      <c r="R25" s="35"/>
      <c r="S25" s="33"/>
      <c r="T25" s="33"/>
      <c r="U25" s="34"/>
      <c r="V25" s="34">
        <v>0</v>
      </c>
      <c r="W25" s="52">
        <f t="shared" si="1"/>
        <v>2065.9899999999998</v>
      </c>
      <c r="X25" s="33">
        <f t="shared" si="2"/>
        <v>0</v>
      </c>
      <c r="Y25" s="52">
        <f t="shared" si="3"/>
        <v>2065.9899999999998</v>
      </c>
      <c r="Z25" s="33">
        <f t="shared" si="4"/>
        <v>206.59899999999999</v>
      </c>
      <c r="AA25" s="33">
        <v>11.23</v>
      </c>
      <c r="AB25" s="33">
        <f t="shared" si="5"/>
        <v>0</v>
      </c>
      <c r="AC25" s="52">
        <f t="shared" si="6"/>
        <v>2283.819</v>
      </c>
      <c r="AD25" s="59"/>
      <c r="AE25" s="60"/>
      <c r="AF25" s="53"/>
      <c r="AG25" s="34">
        <v>2747910657</v>
      </c>
      <c r="AH25" s="36"/>
    </row>
    <row r="26" spans="1:34" s="18" customFormat="1">
      <c r="A26" s="34" t="s">
        <v>30</v>
      </c>
      <c r="B26" s="34" t="s">
        <v>194</v>
      </c>
      <c r="C26" s="34"/>
      <c r="D26" s="34"/>
      <c r="E26" s="34" t="s">
        <v>195</v>
      </c>
      <c r="F26" s="57">
        <v>41359</v>
      </c>
      <c r="G26" s="35">
        <v>1401.93</v>
      </c>
      <c r="H26" s="35"/>
      <c r="I26" s="35"/>
      <c r="J26" s="51"/>
      <c r="K26" s="52">
        <f t="shared" si="0"/>
        <v>1401.93</v>
      </c>
      <c r="L26" s="35"/>
      <c r="M26" s="70"/>
      <c r="N26" s="35"/>
      <c r="O26" s="35"/>
      <c r="P26" s="71"/>
      <c r="Q26" s="71"/>
      <c r="R26" s="35"/>
      <c r="S26" s="33"/>
      <c r="T26" s="33"/>
      <c r="U26" s="34"/>
      <c r="V26" s="34"/>
      <c r="W26" s="52">
        <f t="shared" ref="W26" si="22">+K26-SUM(L26:V26)</f>
        <v>1401.93</v>
      </c>
      <c r="X26" s="33">
        <f t="shared" ref="X26" si="23">IF(K26&gt;2250,K26*0.1,0)</f>
        <v>0</v>
      </c>
      <c r="Y26" s="52">
        <f t="shared" ref="Y26" si="24">+W26-X26</f>
        <v>1401.93</v>
      </c>
      <c r="Z26" s="33"/>
      <c r="AA26" s="33"/>
      <c r="AB26" s="33"/>
      <c r="AC26" s="52"/>
      <c r="AD26" s="59"/>
      <c r="AE26" s="60"/>
      <c r="AF26" s="53"/>
      <c r="AG26" s="34"/>
      <c r="AH26" s="36"/>
    </row>
    <row r="27" spans="1:34" s="18" customFormat="1">
      <c r="A27" s="34" t="s">
        <v>41</v>
      </c>
      <c r="B27" s="34" t="s">
        <v>190</v>
      </c>
      <c r="C27" s="34"/>
      <c r="D27" s="34"/>
      <c r="E27" s="34" t="s">
        <v>31</v>
      </c>
      <c r="F27" s="57">
        <v>42604</v>
      </c>
      <c r="G27" s="35">
        <v>907.8</v>
      </c>
      <c r="H27" s="35"/>
      <c r="I27" s="35"/>
      <c r="J27" s="51"/>
      <c r="K27" s="52">
        <f t="shared" si="0"/>
        <v>907.8</v>
      </c>
      <c r="L27" s="35"/>
      <c r="M27" s="70"/>
      <c r="N27" s="35"/>
      <c r="O27" s="35"/>
      <c r="P27" s="71"/>
      <c r="Q27" s="71"/>
      <c r="R27" s="35"/>
      <c r="S27" s="33"/>
      <c r="T27" s="33"/>
      <c r="U27" s="34"/>
      <c r="V27" s="34"/>
      <c r="W27" s="52">
        <f t="shared" ref="W27:W28" si="25">+K27-SUM(L27:V27)</f>
        <v>907.8</v>
      </c>
      <c r="X27" s="33">
        <f t="shared" ref="X27" si="26">IF(K27&gt;2250,K27*0.1,0)</f>
        <v>0</v>
      </c>
      <c r="Y27" s="52">
        <f t="shared" ref="Y27" si="27">+W27-X27</f>
        <v>907.8</v>
      </c>
      <c r="Z27" s="33"/>
      <c r="AA27" s="33"/>
      <c r="AB27" s="33"/>
      <c r="AC27" s="52"/>
      <c r="AD27" s="59"/>
      <c r="AE27" s="60"/>
      <c r="AF27" s="53"/>
      <c r="AG27" s="34">
        <v>1143946878</v>
      </c>
      <c r="AH27" s="36"/>
    </row>
    <row r="28" spans="1:34" s="18" customFormat="1">
      <c r="A28" s="34" t="s">
        <v>30</v>
      </c>
      <c r="B28" s="34" t="s">
        <v>241</v>
      </c>
      <c r="C28" s="34"/>
      <c r="D28" s="34"/>
      <c r="E28" s="34" t="s">
        <v>32</v>
      </c>
      <c r="F28" s="57">
        <v>42798</v>
      </c>
      <c r="G28" s="35"/>
      <c r="H28" s="35"/>
      <c r="I28" s="35"/>
      <c r="J28" s="51"/>
      <c r="K28" s="52">
        <f t="shared" si="0"/>
        <v>0</v>
      </c>
      <c r="L28" s="35"/>
      <c r="M28" s="70"/>
      <c r="N28" s="35"/>
      <c r="O28" s="35"/>
      <c r="P28" s="71"/>
      <c r="Q28" s="71"/>
      <c r="R28" s="35"/>
      <c r="S28" s="33"/>
      <c r="T28" s="33"/>
      <c r="U28" s="34"/>
      <c r="V28" s="34">
        <v>250</v>
      </c>
      <c r="W28" s="52">
        <f t="shared" si="25"/>
        <v>-250</v>
      </c>
      <c r="X28" s="33"/>
      <c r="Y28" s="52"/>
      <c r="Z28" s="33"/>
      <c r="AA28" s="33"/>
      <c r="AB28" s="33"/>
      <c r="AC28" s="52"/>
      <c r="AD28" s="59"/>
      <c r="AE28" s="60"/>
      <c r="AF28" s="53"/>
      <c r="AG28" s="34">
        <v>1129000062</v>
      </c>
      <c r="AH28" s="36"/>
    </row>
    <row r="29" spans="1:34" s="18" customFormat="1">
      <c r="A29" s="34" t="s">
        <v>30</v>
      </c>
      <c r="B29" s="34" t="s">
        <v>155</v>
      </c>
      <c r="C29" s="34" t="s">
        <v>122</v>
      </c>
      <c r="D29" s="34"/>
      <c r="E29" s="34" t="s">
        <v>32</v>
      </c>
      <c r="F29" s="57">
        <v>42413</v>
      </c>
      <c r="G29" s="35">
        <v>9511.6200000000008</v>
      </c>
      <c r="H29" s="35"/>
      <c r="I29" s="35"/>
      <c r="J29" s="51"/>
      <c r="K29" s="52">
        <f t="shared" si="0"/>
        <v>9511.6200000000008</v>
      </c>
      <c r="L29" s="35"/>
      <c r="M29" s="70"/>
      <c r="N29" s="35">
        <v>33.049999999999997</v>
      </c>
      <c r="O29" s="35">
        <v>0</v>
      </c>
      <c r="P29" s="71"/>
      <c r="Q29" s="71"/>
      <c r="R29" s="35"/>
      <c r="S29" s="33"/>
      <c r="T29" s="33"/>
      <c r="U29" s="34"/>
      <c r="V29" s="34">
        <v>0</v>
      </c>
      <c r="W29" s="52">
        <f t="shared" si="1"/>
        <v>9478.5700000000015</v>
      </c>
      <c r="X29" s="33">
        <f t="shared" si="2"/>
        <v>951.16200000000015</v>
      </c>
      <c r="Y29" s="52">
        <f t="shared" si="3"/>
        <v>8527.4080000000013</v>
      </c>
      <c r="Z29" s="33">
        <f t="shared" si="4"/>
        <v>0</v>
      </c>
      <c r="AA29" s="33">
        <v>13.23</v>
      </c>
      <c r="AB29" s="33">
        <f t="shared" si="5"/>
        <v>0</v>
      </c>
      <c r="AC29" s="52">
        <f t="shared" si="6"/>
        <v>9524.85</v>
      </c>
      <c r="AD29" s="59"/>
      <c r="AE29" s="60"/>
      <c r="AF29" s="53">
        <f>+AD29+AE29-Y29</f>
        <v>-8527.4080000000013</v>
      </c>
      <c r="AG29" s="34"/>
      <c r="AH29" s="36"/>
    </row>
    <row r="30" spans="1:34" s="18" customFormat="1">
      <c r="A30" s="34" t="s">
        <v>30</v>
      </c>
      <c r="B30" s="34" t="s">
        <v>169</v>
      </c>
      <c r="C30" s="34"/>
      <c r="D30" s="34"/>
      <c r="E30" s="34" t="s">
        <v>32</v>
      </c>
      <c r="F30" s="57">
        <v>42532</v>
      </c>
      <c r="G30" s="35"/>
      <c r="H30" s="35"/>
      <c r="I30" s="35"/>
      <c r="J30" s="51"/>
      <c r="K30" s="52">
        <f t="shared" si="0"/>
        <v>0</v>
      </c>
      <c r="L30" s="35"/>
      <c r="M30" s="70"/>
      <c r="N30" s="35">
        <v>33.049999999999997</v>
      </c>
      <c r="O30" s="35">
        <v>0</v>
      </c>
      <c r="P30" s="71"/>
      <c r="Q30" s="71"/>
      <c r="R30" s="35"/>
      <c r="S30" s="33"/>
      <c r="T30" s="33"/>
      <c r="U30" s="34"/>
      <c r="V30" s="34">
        <v>0</v>
      </c>
      <c r="W30" s="52">
        <f t="shared" si="1"/>
        <v>-33.049999999999997</v>
      </c>
      <c r="X30" s="33">
        <f t="shared" si="2"/>
        <v>0</v>
      </c>
      <c r="Y30" s="52">
        <f t="shared" si="3"/>
        <v>-33.049999999999997</v>
      </c>
      <c r="Z30" s="33">
        <f t="shared" si="4"/>
        <v>0</v>
      </c>
      <c r="AA30" s="33">
        <v>13.23</v>
      </c>
      <c r="AB30" s="33">
        <f t="shared" si="5"/>
        <v>0</v>
      </c>
      <c r="AC30" s="52">
        <f t="shared" si="6"/>
        <v>13.23</v>
      </c>
      <c r="AD30" s="59"/>
      <c r="AE30" s="60"/>
      <c r="AF30" s="53">
        <f>+AD30+AE30-Y30</f>
        <v>33.049999999999997</v>
      </c>
      <c r="AG30" s="34"/>
      <c r="AH30" s="36"/>
    </row>
    <row r="31" spans="1:34" s="18" customFormat="1">
      <c r="A31" s="34" t="s">
        <v>30</v>
      </c>
      <c r="B31" s="34" t="s">
        <v>162</v>
      </c>
      <c r="C31" s="34"/>
      <c r="D31" s="34"/>
      <c r="E31" s="34" t="s">
        <v>32</v>
      </c>
      <c r="F31" s="57">
        <v>42520</v>
      </c>
      <c r="G31" s="35"/>
      <c r="H31" s="35"/>
      <c r="I31" s="35"/>
      <c r="J31" s="51"/>
      <c r="K31" s="52">
        <f t="shared" si="0"/>
        <v>0</v>
      </c>
      <c r="L31" s="35"/>
      <c r="M31" s="70"/>
      <c r="N31" s="35">
        <v>33.049999999999997</v>
      </c>
      <c r="O31" s="35">
        <v>0</v>
      </c>
      <c r="P31" s="71"/>
      <c r="Q31" s="71"/>
      <c r="R31" s="35"/>
      <c r="S31" s="33"/>
      <c r="T31" s="33"/>
      <c r="U31" s="34"/>
      <c r="V31" s="34">
        <v>0</v>
      </c>
      <c r="W31" s="52">
        <f t="shared" si="1"/>
        <v>-33.049999999999997</v>
      </c>
      <c r="X31" s="33">
        <f t="shared" si="2"/>
        <v>0</v>
      </c>
      <c r="Y31" s="52">
        <f t="shared" si="3"/>
        <v>-33.049999999999997</v>
      </c>
      <c r="Z31" s="33">
        <f t="shared" si="4"/>
        <v>0</v>
      </c>
      <c r="AA31" s="33">
        <v>14.23</v>
      </c>
      <c r="AB31" s="33">
        <f t="shared" si="5"/>
        <v>0</v>
      </c>
      <c r="AC31" s="52">
        <f t="shared" si="6"/>
        <v>14.23</v>
      </c>
      <c r="AD31" s="59"/>
      <c r="AE31" s="60"/>
      <c r="AF31" s="53"/>
      <c r="AG31" s="34">
        <v>1175437504</v>
      </c>
      <c r="AH31" s="36"/>
    </row>
    <row r="32" spans="1:34" s="18" customFormat="1">
      <c r="A32" s="72" t="s">
        <v>28</v>
      </c>
      <c r="B32" s="72" t="s">
        <v>187</v>
      </c>
      <c r="C32" s="72"/>
      <c r="D32" s="72"/>
      <c r="E32" s="72" t="s">
        <v>186</v>
      </c>
      <c r="F32" s="73">
        <v>42010</v>
      </c>
      <c r="G32" s="74"/>
      <c r="H32" s="74"/>
      <c r="I32" s="74"/>
      <c r="J32" s="75"/>
      <c r="K32" s="52"/>
      <c r="L32" s="35"/>
      <c r="M32" s="70"/>
      <c r="N32" s="35"/>
      <c r="O32" s="35"/>
      <c r="P32" s="71"/>
      <c r="Q32" s="71"/>
      <c r="R32" s="35"/>
      <c r="S32" s="33"/>
      <c r="T32" s="33"/>
      <c r="U32" s="34"/>
      <c r="V32" s="34"/>
      <c r="W32" s="52"/>
      <c r="X32" s="33"/>
      <c r="Y32" s="52"/>
      <c r="Z32" s="33"/>
      <c r="AA32" s="33"/>
      <c r="AB32" s="33"/>
      <c r="AC32" s="52"/>
      <c r="AD32" s="59"/>
      <c r="AE32" s="60"/>
      <c r="AF32" s="53"/>
      <c r="AG32" s="34">
        <v>2871132644</v>
      </c>
      <c r="AH32" s="76" t="s">
        <v>188</v>
      </c>
    </row>
    <row r="33" spans="1:34" s="18" customFormat="1">
      <c r="A33" s="34" t="s">
        <v>29</v>
      </c>
      <c r="B33" s="34" t="s">
        <v>197</v>
      </c>
      <c r="C33" s="34"/>
      <c r="D33" s="34"/>
      <c r="E33" s="34" t="s">
        <v>175</v>
      </c>
      <c r="F33" s="57">
        <v>42660</v>
      </c>
      <c r="G33" s="35"/>
      <c r="H33" s="35"/>
      <c r="I33" s="35"/>
      <c r="J33" s="51"/>
      <c r="K33" s="52">
        <f t="shared" ref="K33" si="28">SUM(G33:I33)-J33</f>
        <v>0</v>
      </c>
      <c r="L33" s="35"/>
      <c r="M33" s="70"/>
      <c r="N33" s="35"/>
      <c r="O33" s="35"/>
      <c r="P33" s="71"/>
      <c r="Q33" s="71"/>
      <c r="R33" s="35"/>
      <c r="S33" s="33"/>
      <c r="T33" s="33"/>
      <c r="U33" s="34"/>
      <c r="V33" s="34"/>
      <c r="W33" s="52">
        <f t="shared" ref="W33" si="29">+K33-SUM(L33:V33)</f>
        <v>0</v>
      </c>
      <c r="X33" s="33">
        <f t="shared" ref="X33" si="30">IF(K33&gt;2250,K33*0.1,0)</f>
        <v>0</v>
      </c>
      <c r="Y33" s="52">
        <f t="shared" ref="Y33" si="31">+W33-X33</f>
        <v>0</v>
      </c>
      <c r="Z33" s="33"/>
      <c r="AA33" s="33"/>
      <c r="AB33" s="33"/>
      <c r="AC33" s="52"/>
      <c r="AD33" s="59"/>
      <c r="AE33" s="60"/>
      <c r="AF33" s="53"/>
      <c r="AG33" s="34">
        <v>2954141431</v>
      </c>
      <c r="AH33" s="36"/>
    </row>
    <row r="34" spans="1:34" s="18" customFormat="1">
      <c r="A34" s="34" t="s">
        <v>30</v>
      </c>
      <c r="B34" s="34" t="s">
        <v>161</v>
      </c>
      <c r="C34" s="34"/>
      <c r="D34" s="34"/>
      <c r="E34" s="34" t="s">
        <v>177</v>
      </c>
      <c r="F34" s="57">
        <v>42480</v>
      </c>
      <c r="G34" s="35"/>
      <c r="H34" s="35"/>
      <c r="I34" s="35"/>
      <c r="J34" s="51"/>
      <c r="K34" s="52">
        <f t="shared" ref="K34:K55" si="32">SUM(G34:I34)-J34</f>
        <v>0</v>
      </c>
      <c r="L34" s="35"/>
      <c r="M34" s="70"/>
      <c r="N34" s="35"/>
      <c r="O34" s="35">
        <v>0</v>
      </c>
      <c r="P34" s="71"/>
      <c r="Q34" s="71"/>
      <c r="R34" s="35"/>
      <c r="S34" s="33"/>
      <c r="T34" s="33"/>
      <c r="U34" s="34"/>
      <c r="V34" s="34">
        <v>0</v>
      </c>
      <c r="W34" s="52">
        <f t="shared" ref="W34:W53" si="33">+K34-SUM(L34:V34)</f>
        <v>0</v>
      </c>
      <c r="X34" s="33">
        <f t="shared" ref="X34:X53" si="34">IF(K34&gt;2250,K34*0.1,0)</f>
        <v>0</v>
      </c>
      <c r="Y34" s="52">
        <f t="shared" ref="Y34:Y53" si="35">+W34-X34</f>
        <v>0</v>
      </c>
      <c r="Z34" s="33">
        <f t="shared" ref="Z34:Z53" si="36">IF(K34&lt;2250,K34*0.1,0)</f>
        <v>0</v>
      </c>
      <c r="AA34" s="33">
        <v>17.23</v>
      </c>
      <c r="AB34" s="33">
        <f t="shared" ref="AB34:AB53" si="37">+P34</f>
        <v>0</v>
      </c>
      <c r="AC34" s="52">
        <f t="shared" ref="AC34:AC53" si="38">+K34+Z34+AA34+AB34</f>
        <v>17.23</v>
      </c>
      <c r="AD34" s="59"/>
      <c r="AE34" s="60"/>
      <c r="AF34" s="53">
        <f>+AD34+AE34-Y34</f>
        <v>0</v>
      </c>
      <c r="AG34" s="34">
        <v>1116618499</v>
      </c>
      <c r="AH34" s="36"/>
    </row>
    <row r="35" spans="1:34" s="18" customFormat="1">
      <c r="A35" s="34" t="s">
        <v>30</v>
      </c>
      <c r="B35" s="34" t="s">
        <v>123</v>
      </c>
      <c r="C35" s="34" t="s">
        <v>122</v>
      </c>
      <c r="D35" s="37"/>
      <c r="E35" s="34" t="s">
        <v>32</v>
      </c>
      <c r="F35" s="57">
        <v>42240</v>
      </c>
      <c r="G35" s="35">
        <v>1358.48</v>
      </c>
      <c r="H35" s="35"/>
      <c r="I35" s="35"/>
      <c r="J35" s="51"/>
      <c r="K35" s="52">
        <f t="shared" si="32"/>
        <v>1358.48</v>
      </c>
      <c r="L35" s="35"/>
      <c r="M35" s="70"/>
      <c r="N35" s="35">
        <v>33.049999999999997</v>
      </c>
      <c r="O35" s="35">
        <v>0</v>
      </c>
      <c r="P35" s="71"/>
      <c r="Q35" s="71"/>
      <c r="R35" s="35"/>
      <c r="S35" s="33"/>
      <c r="T35" s="33"/>
      <c r="U35" s="34"/>
      <c r="V35" s="34">
        <v>0</v>
      </c>
      <c r="W35" s="52">
        <f t="shared" si="33"/>
        <v>1325.43</v>
      </c>
      <c r="X35" s="33">
        <f t="shared" si="34"/>
        <v>0</v>
      </c>
      <c r="Y35" s="52">
        <f t="shared" si="35"/>
        <v>1325.43</v>
      </c>
      <c r="Z35" s="33">
        <f t="shared" si="36"/>
        <v>135.84800000000001</v>
      </c>
      <c r="AA35" s="33">
        <v>18.23</v>
      </c>
      <c r="AB35" s="33">
        <f t="shared" si="37"/>
        <v>0</v>
      </c>
      <c r="AC35" s="52">
        <f t="shared" si="38"/>
        <v>1512.558</v>
      </c>
      <c r="AD35" s="61"/>
      <c r="AE35" s="61"/>
      <c r="AF35" s="53">
        <f>+AD35+AE35-Y35</f>
        <v>-1325.43</v>
      </c>
      <c r="AG35" s="34"/>
      <c r="AH35" s="36"/>
    </row>
    <row r="36" spans="1:34" s="18" customFormat="1">
      <c r="A36" s="34" t="s">
        <v>30</v>
      </c>
      <c r="B36" s="34" t="s">
        <v>201</v>
      </c>
      <c r="C36" s="34"/>
      <c r="D36" s="37"/>
      <c r="E36" s="34" t="s">
        <v>32</v>
      </c>
      <c r="F36" s="57">
        <v>42415</v>
      </c>
      <c r="G36" s="35"/>
      <c r="H36" s="35"/>
      <c r="I36" s="35"/>
      <c r="J36" s="51"/>
      <c r="K36" s="52">
        <f t="shared" si="32"/>
        <v>0</v>
      </c>
      <c r="L36" s="35"/>
      <c r="M36" s="70"/>
      <c r="N36" s="35">
        <v>33.049999999999997</v>
      </c>
      <c r="O36" s="35"/>
      <c r="P36" s="71"/>
      <c r="Q36" s="71"/>
      <c r="R36" s="35"/>
      <c r="S36" s="33"/>
      <c r="T36" s="33"/>
      <c r="U36" s="34"/>
      <c r="V36" s="34"/>
      <c r="W36" s="52">
        <f t="shared" ref="W36" si="39">+K36-SUM(L36:V36)</f>
        <v>-33.049999999999997</v>
      </c>
      <c r="X36" s="33">
        <f t="shared" ref="X36" si="40">IF(K36&gt;2250,K36*0.1,0)</f>
        <v>0</v>
      </c>
      <c r="Y36" s="52">
        <f t="shared" ref="Y36" si="41">+W36-X36</f>
        <v>-33.049999999999997</v>
      </c>
      <c r="Z36" s="33"/>
      <c r="AA36" s="33"/>
      <c r="AB36" s="33"/>
      <c r="AC36" s="52"/>
      <c r="AD36" s="61"/>
      <c r="AE36" s="61"/>
      <c r="AF36" s="53"/>
      <c r="AG36" s="34"/>
      <c r="AH36" s="36"/>
    </row>
    <row r="37" spans="1:34" s="18" customFormat="1">
      <c r="A37" s="34" t="s">
        <v>30</v>
      </c>
      <c r="B37" s="34" t="s">
        <v>113</v>
      </c>
      <c r="C37" s="34" t="s">
        <v>124</v>
      </c>
      <c r="D37" s="34" t="s">
        <v>78</v>
      </c>
      <c r="E37" s="34" t="s">
        <v>32</v>
      </c>
      <c r="F37" s="57">
        <v>41463</v>
      </c>
      <c r="G37" s="35">
        <v>2500</v>
      </c>
      <c r="H37" s="35"/>
      <c r="I37" s="35"/>
      <c r="J37" s="51"/>
      <c r="K37" s="52">
        <f t="shared" si="32"/>
        <v>2500</v>
      </c>
      <c r="L37" s="35"/>
      <c r="M37" s="70"/>
      <c r="N37" s="35">
        <v>33.049999999999997</v>
      </c>
      <c r="O37" s="35">
        <v>0</v>
      </c>
      <c r="P37" s="71"/>
      <c r="Q37" s="71"/>
      <c r="R37" s="35"/>
      <c r="S37" s="33"/>
      <c r="T37" s="33"/>
      <c r="U37" s="34"/>
      <c r="V37" s="34">
        <v>0</v>
      </c>
      <c r="W37" s="52">
        <f t="shared" si="33"/>
        <v>2466.9499999999998</v>
      </c>
      <c r="X37" s="33">
        <f t="shared" si="34"/>
        <v>250</v>
      </c>
      <c r="Y37" s="52">
        <f t="shared" si="35"/>
        <v>2216.9499999999998</v>
      </c>
      <c r="Z37" s="33">
        <f t="shared" si="36"/>
        <v>0</v>
      </c>
      <c r="AA37" s="33">
        <v>20.23</v>
      </c>
      <c r="AB37" s="33">
        <f t="shared" si="37"/>
        <v>0</v>
      </c>
      <c r="AC37" s="52">
        <f t="shared" si="38"/>
        <v>2520.23</v>
      </c>
      <c r="AD37" s="59"/>
      <c r="AE37" s="60"/>
      <c r="AF37" s="53">
        <f>+AD37+AE37-Y37</f>
        <v>-2216.9499999999998</v>
      </c>
      <c r="AG37" s="34"/>
      <c r="AH37" s="34"/>
    </row>
    <row r="38" spans="1:34" s="18" customFormat="1">
      <c r="A38" s="34" t="s">
        <v>28</v>
      </c>
      <c r="B38" s="34" t="s">
        <v>163</v>
      </c>
      <c r="C38" s="34"/>
      <c r="D38" s="34" t="s">
        <v>164</v>
      </c>
      <c r="E38" s="34" t="s">
        <v>165</v>
      </c>
      <c r="F38" s="62">
        <v>40618</v>
      </c>
      <c r="G38" s="35">
        <v>5294.8</v>
      </c>
      <c r="H38" s="35"/>
      <c r="I38" s="35"/>
      <c r="J38" s="51"/>
      <c r="K38" s="52">
        <f t="shared" si="32"/>
        <v>5294.8</v>
      </c>
      <c r="L38" s="35"/>
      <c r="M38" s="70"/>
      <c r="N38" s="35"/>
      <c r="O38" s="35">
        <v>0</v>
      </c>
      <c r="P38" s="71"/>
      <c r="Q38" s="71"/>
      <c r="R38" s="35"/>
      <c r="S38" s="33"/>
      <c r="T38" s="33"/>
      <c r="U38" s="34"/>
      <c r="V38" s="34">
        <v>0</v>
      </c>
      <c r="W38" s="52">
        <f t="shared" si="33"/>
        <v>5294.8</v>
      </c>
      <c r="X38" s="33">
        <f t="shared" si="34"/>
        <v>529.48</v>
      </c>
      <c r="Y38" s="52">
        <f t="shared" si="35"/>
        <v>4765.32</v>
      </c>
      <c r="Z38" s="33">
        <f t="shared" si="36"/>
        <v>0</v>
      </c>
      <c r="AA38" s="33">
        <v>21.23</v>
      </c>
      <c r="AB38" s="33">
        <f t="shared" si="37"/>
        <v>0</v>
      </c>
      <c r="AC38" s="52">
        <f t="shared" si="38"/>
        <v>5316.03</v>
      </c>
      <c r="AD38" s="59"/>
      <c r="AE38" s="60"/>
      <c r="AF38" s="53"/>
      <c r="AG38" s="34">
        <v>2659973974</v>
      </c>
      <c r="AH38" s="36"/>
    </row>
    <row r="39" spans="1:34" s="18" customFormat="1">
      <c r="A39" s="34" t="s">
        <v>30</v>
      </c>
      <c r="B39" s="34" t="s">
        <v>154</v>
      </c>
      <c r="C39" s="34" t="s">
        <v>127</v>
      </c>
      <c r="D39" s="34" t="s">
        <v>79</v>
      </c>
      <c r="E39" s="34" t="s">
        <v>32</v>
      </c>
      <c r="F39" s="57">
        <v>42296</v>
      </c>
      <c r="G39" s="35">
        <v>2351.2800000000002</v>
      </c>
      <c r="H39" s="35"/>
      <c r="I39" s="35"/>
      <c r="J39" s="51"/>
      <c r="K39" s="52">
        <f t="shared" si="32"/>
        <v>2351.2800000000002</v>
      </c>
      <c r="L39" s="35"/>
      <c r="M39" s="70"/>
      <c r="N39" s="35">
        <v>33.049999999999997</v>
      </c>
      <c r="O39" s="35">
        <v>0</v>
      </c>
      <c r="P39" s="71"/>
      <c r="Q39" s="71"/>
      <c r="R39" s="35"/>
      <c r="S39" s="33"/>
      <c r="T39" s="33"/>
      <c r="U39" s="34"/>
      <c r="V39" s="34">
        <v>802.69</v>
      </c>
      <c r="W39" s="52">
        <f t="shared" si="33"/>
        <v>1515.5400000000002</v>
      </c>
      <c r="X39" s="33">
        <f t="shared" si="34"/>
        <v>235.12800000000004</v>
      </c>
      <c r="Y39" s="52">
        <f t="shared" si="35"/>
        <v>1280.4120000000003</v>
      </c>
      <c r="Z39" s="33">
        <f t="shared" si="36"/>
        <v>0</v>
      </c>
      <c r="AA39" s="33">
        <v>10.23</v>
      </c>
      <c r="AB39" s="33">
        <f t="shared" si="37"/>
        <v>0</v>
      </c>
      <c r="AC39" s="52">
        <f t="shared" si="38"/>
        <v>2361.5100000000002</v>
      </c>
      <c r="AD39" s="59"/>
      <c r="AE39" s="60"/>
      <c r="AF39" s="53">
        <f>+AD39+AE39-Y39</f>
        <v>-1280.4120000000003</v>
      </c>
      <c r="AG39" s="34"/>
      <c r="AH39" s="36"/>
    </row>
    <row r="40" spans="1:34" s="18" customFormat="1">
      <c r="A40" s="34" t="s">
        <v>29</v>
      </c>
      <c r="B40" s="34" t="s">
        <v>38</v>
      </c>
      <c r="C40" s="34" t="s">
        <v>143</v>
      </c>
      <c r="D40" s="34" t="s">
        <v>59</v>
      </c>
      <c r="E40" s="34" t="s">
        <v>89</v>
      </c>
      <c r="F40" s="57">
        <v>42199</v>
      </c>
      <c r="G40" s="35"/>
      <c r="H40" s="35"/>
      <c r="I40" s="35"/>
      <c r="J40" s="51"/>
      <c r="K40" s="52">
        <f t="shared" si="32"/>
        <v>0</v>
      </c>
      <c r="L40" s="35"/>
      <c r="M40" s="70"/>
      <c r="N40" s="35">
        <v>54.05</v>
      </c>
      <c r="O40" s="35">
        <v>0</v>
      </c>
      <c r="P40" s="71"/>
      <c r="Q40" s="71"/>
      <c r="R40" s="35"/>
      <c r="S40" s="33"/>
      <c r="T40" s="33"/>
      <c r="U40" s="34"/>
      <c r="V40" s="34">
        <v>0</v>
      </c>
      <c r="W40" s="52">
        <f t="shared" si="33"/>
        <v>-54.05</v>
      </c>
      <c r="X40" s="33">
        <f t="shared" si="34"/>
        <v>0</v>
      </c>
      <c r="Y40" s="52">
        <f t="shared" si="35"/>
        <v>-54.05</v>
      </c>
      <c r="Z40" s="33">
        <f t="shared" si="36"/>
        <v>0</v>
      </c>
      <c r="AA40" s="33">
        <v>10.23</v>
      </c>
      <c r="AB40" s="33">
        <f t="shared" si="37"/>
        <v>0</v>
      </c>
      <c r="AC40" s="52">
        <f t="shared" si="38"/>
        <v>10.23</v>
      </c>
      <c r="AD40" s="59"/>
      <c r="AE40" s="60"/>
      <c r="AF40" s="53">
        <f>+AD40+AE40-Y40</f>
        <v>54.05</v>
      </c>
      <c r="AG40" s="34"/>
      <c r="AH40" s="34"/>
    </row>
    <row r="41" spans="1:34" s="18" customFormat="1">
      <c r="A41" s="34" t="s">
        <v>30</v>
      </c>
      <c r="B41" s="34" t="s">
        <v>128</v>
      </c>
      <c r="C41" s="34" t="s">
        <v>127</v>
      </c>
      <c r="D41" s="34" t="s">
        <v>80</v>
      </c>
      <c r="E41" s="34" t="s">
        <v>32</v>
      </c>
      <c r="F41" s="57">
        <v>42304</v>
      </c>
      <c r="G41" s="35">
        <v>2685.46</v>
      </c>
      <c r="H41" s="35"/>
      <c r="I41" s="35"/>
      <c r="J41" s="51"/>
      <c r="K41" s="52">
        <f t="shared" si="32"/>
        <v>2685.46</v>
      </c>
      <c r="L41" s="35"/>
      <c r="M41" s="70"/>
      <c r="N41" s="35">
        <v>33.049999999999997</v>
      </c>
      <c r="O41" s="35">
        <v>0</v>
      </c>
      <c r="P41" s="71"/>
      <c r="Q41" s="71"/>
      <c r="R41" s="35"/>
      <c r="S41" s="33"/>
      <c r="T41" s="33"/>
      <c r="U41" s="34"/>
      <c r="V41" s="34">
        <v>0</v>
      </c>
      <c r="W41" s="52">
        <f t="shared" si="33"/>
        <v>2652.41</v>
      </c>
      <c r="X41" s="33">
        <f t="shared" si="34"/>
        <v>268.54599999999999</v>
      </c>
      <c r="Y41" s="52">
        <f t="shared" si="35"/>
        <v>2383.864</v>
      </c>
      <c r="Z41" s="33">
        <f t="shared" si="36"/>
        <v>0</v>
      </c>
      <c r="AA41" s="33">
        <v>10.23</v>
      </c>
      <c r="AB41" s="33">
        <f t="shared" si="37"/>
        <v>0</v>
      </c>
      <c r="AC41" s="52">
        <f t="shared" si="38"/>
        <v>2695.69</v>
      </c>
      <c r="AD41" s="53"/>
      <c r="AE41" s="53"/>
      <c r="AF41" s="53"/>
      <c r="AG41" s="34"/>
      <c r="AH41" s="36"/>
    </row>
    <row r="42" spans="1:34" s="18" customFormat="1">
      <c r="A42" s="34" t="s">
        <v>29</v>
      </c>
      <c r="B42" s="34" t="s">
        <v>172</v>
      </c>
      <c r="C42" s="34"/>
      <c r="D42" s="34"/>
      <c r="E42" s="34" t="s">
        <v>89</v>
      </c>
      <c r="F42" s="57">
        <v>42576</v>
      </c>
      <c r="G42" s="35">
        <v>4964.8</v>
      </c>
      <c r="H42" s="35"/>
      <c r="I42" s="35"/>
      <c r="J42" s="51"/>
      <c r="K42" s="52">
        <f t="shared" si="32"/>
        <v>4964.8</v>
      </c>
      <c r="L42" s="35"/>
      <c r="M42" s="70"/>
      <c r="N42" s="35"/>
      <c r="O42" s="35">
        <v>0</v>
      </c>
      <c r="P42" s="71"/>
      <c r="Q42" s="71"/>
      <c r="R42" s="35"/>
      <c r="S42" s="33"/>
      <c r="T42" s="33"/>
      <c r="U42" s="34"/>
      <c r="V42" s="34">
        <v>0</v>
      </c>
      <c r="W42" s="52">
        <f t="shared" si="33"/>
        <v>4964.8</v>
      </c>
      <c r="X42" s="33">
        <f t="shared" si="34"/>
        <v>496.48</v>
      </c>
      <c r="Y42" s="52">
        <f t="shared" si="35"/>
        <v>4468.32</v>
      </c>
      <c r="Z42" s="33">
        <f t="shared" si="36"/>
        <v>0</v>
      </c>
      <c r="AA42" s="33">
        <v>11.23</v>
      </c>
      <c r="AB42" s="33">
        <f t="shared" si="37"/>
        <v>0</v>
      </c>
      <c r="AC42" s="52">
        <f t="shared" si="38"/>
        <v>4976.03</v>
      </c>
      <c r="AD42" s="55"/>
      <c r="AE42" s="55"/>
      <c r="AF42" s="55"/>
      <c r="AG42" s="34">
        <v>2960710474</v>
      </c>
      <c r="AH42" s="36"/>
    </row>
    <row r="43" spans="1:34" s="104" customFormat="1">
      <c r="A43" s="93" t="s">
        <v>43</v>
      </c>
      <c r="B43" s="93" t="s">
        <v>100</v>
      </c>
      <c r="C43" s="93"/>
      <c r="D43" s="93"/>
      <c r="E43" s="93" t="s">
        <v>88</v>
      </c>
      <c r="F43" s="94">
        <v>42413</v>
      </c>
      <c r="G43" s="95"/>
      <c r="H43" s="96"/>
      <c r="I43" s="96"/>
      <c r="J43" s="97"/>
      <c r="K43" s="41">
        <f t="shared" si="32"/>
        <v>0</v>
      </c>
      <c r="L43" s="96"/>
      <c r="M43" s="98"/>
      <c r="N43" s="96"/>
      <c r="O43" s="96">
        <v>0</v>
      </c>
      <c r="P43" s="99"/>
      <c r="Q43" s="99"/>
      <c r="R43" s="96"/>
      <c r="S43" s="100"/>
      <c r="T43" s="100"/>
      <c r="U43" s="93"/>
      <c r="V43" s="93">
        <v>0</v>
      </c>
      <c r="W43" s="41">
        <f t="shared" si="33"/>
        <v>0</v>
      </c>
      <c r="X43" s="100">
        <f t="shared" si="34"/>
        <v>0</v>
      </c>
      <c r="Y43" s="41">
        <f t="shared" si="35"/>
        <v>0</v>
      </c>
      <c r="Z43" s="100">
        <f t="shared" si="36"/>
        <v>0</v>
      </c>
      <c r="AA43" s="100">
        <v>10.23</v>
      </c>
      <c r="AB43" s="100">
        <f t="shared" si="37"/>
        <v>0</v>
      </c>
      <c r="AC43" s="41">
        <f t="shared" si="38"/>
        <v>10.23</v>
      </c>
      <c r="AD43" s="101"/>
      <c r="AE43" s="102"/>
      <c r="AF43" s="103">
        <f t="shared" ref="AF43:AF46" si="42">+AD43+AE43-Y43</f>
        <v>0</v>
      </c>
      <c r="AG43" s="93"/>
      <c r="AH43" s="93"/>
    </row>
    <row r="44" spans="1:34" s="18" customFormat="1">
      <c r="A44" s="34" t="s">
        <v>30</v>
      </c>
      <c r="B44" s="34" t="s">
        <v>151</v>
      </c>
      <c r="C44" s="34" t="s">
        <v>127</v>
      </c>
      <c r="D44" s="34" t="s">
        <v>81</v>
      </c>
      <c r="E44" s="34" t="s">
        <v>32</v>
      </c>
      <c r="F44" s="57">
        <v>41622</v>
      </c>
      <c r="G44" s="35">
        <v>7383.73</v>
      </c>
      <c r="H44" s="35"/>
      <c r="I44" s="35"/>
      <c r="J44" s="51"/>
      <c r="K44" s="52">
        <f t="shared" si="32"/>
        <v>7383.73</v>
      </c>
      <c r="L44" s="35"/>
      <c r="M44" s="70"/>
      <c r="N44" s="35">
        <v>33.049999999999997</v>
      </c>
      <c r="O44" s="35">
        <v>0</v>
      </c>
      <c r="P44" s="71"/>
      <c r="Q44" s="71"/>
      <c r="R44" s="35"/>
      <c r="S44" s="33"/>
      <c r="T44" s="33"/>
      <c r="U44" s="34"/>
      <c r="V44" s="34">
        <v>0</v>
      </c>
      <c r="W44" s="52">
        <f t="shared" si="33"/>
        <v>7350.6799999999994</v>
      </c>
      <c r="X44" s="33">
        <f t="shared" si="34"/>
        <v>738.37300000000005</v>
      </c>
      <c r="Y44" s="52">
        <f t="shared" si="35"/>
        <v>6612.3069999999989</v>
      </c>
      <c r="Z44" s="33">
        <f t="shared" si="36"/>
        <v>0</v>
      </c>
      <c r="AA44" s="33">
        <v>10.23</v>
      </c>
      <c r="AB44" s="33">
        <f t="shared" si="37"/>
        <v>0</v>
      </c>
      <c r="AC44" s="52">
        <f t="shared" si="38"/>
        <v>7393.9599999999991</v>
      </c>
      <c r="AD44" s="59"/>
      <c r="AE44" s="59"/>
      <c r="AF44" s="53">
        <f t="shared" si="42"/>
        <v>-6612.3069999999989</v>
      </c>
      <c r="AG44" s="34"/>
      <c r="AH44" s="34"/>
    </row>
    <row r="45" spans="1:34" s="18" customFormat="1">
      <c r="A45" s="34" t="s">
        <v>30</v>
      </c>
      <c r="B45" s="34" t="s">
        <v>157</v>
      </c>
      <c r="C45" s="34" t="s">
        <v>124</v>
      </c>
      <c r="D45" s="34">
        <v>30</v>
      </c>
      <c r="E45" s="34" t="s">
        <v>32</v>
      </c>
      <c r="F45" s="57">
        <v>37834</v>
      </c>
      <c r="G45" s="35">
        <v>5156</v>
      </c>
      <c r="H45" s="35"/>
      <c r="I45" s="35"/>
      <c r="J45" s="51"/>
      <c r="K45" s="52">
        <f t="shared" si="32"/>
        <v>5156</v>
      </c>
      <c r="L45" s="35"/>
      <c r="M45" s="70"/>
      <c r="N45" s="35">
        <v>33.049999999999997</v>
      </c>
      <c r="O45" s="35">
        <v>0</v>
      </c>
      <c r="P45" s="71"/>
      <c r="Q45" s="71"/>
      <c r="R45" s="35"/>
      <c r="S45" s="33"/>
      <c r="T45" s="33"/>
      <c r="U45" s="34"/>
      <c r="V45" s="34">
        <v>0</v>
      </c>
      <c r="W45" s="52">
        <f t="shared" si="33"/>
        <v>5122.95</v>
      </c>
      <c r="X45" s="33">
        <f t="shared" si="34"/>
        <v>515.6</v>
      </c>
      <c r="Y45" s="52">
        <f t="shared" si="35"/>
        <v>4607.3499999999995</v>
      </c>
      <c r="Z45" s="33">
        <f t="shared" si="36"/>
        <v>0</v>
      </c>
      <c r="AA45" s="33">
        <v>10.23</v>
      </c>
      <c r="AB45" s="33">
        <f t="shared" si="37"/>
        <v>0</v>
      </c>
      <c r="AC45" s="52">
        <f t="shared" si="38"/>
        <v>5166.2299999999996</v>
      </c>
      <c r="AD45" s="59"/>
      <c r="AE45" s="60"/>
      <c r="AF45" s="53">
        <f t="shared" si="42"/>
        <v>-4607.3499999999995</v>
      </c>
      <c r="AG45" s="34"/>
      <c r="AH45" s="36"/>
    </row>
    <row r="46" spans="1:34" s="18" customFormat="1">
      <c r="A46" s="34" t="s">
        <v>30</v>
      </c>
      <c r="B46" s="34" t="s">
        <v>108</v>
      </c>
      <c r="C46" s="34" t="s">
        <v>122</v>
      </c>
      <c r="D46" s="34" t="s">
        <v>82</v>
      </c>
      <c r="E46" s="34" t="s">
        <v>32</v>
      </c>
      <c r="F46" s="57">
        <v>42394</v>
      </c>
      <c r="G46" s="35">
        <v>431.94</v>
      </c>
      <c r="H46" s="35"/>
      <c r="I46" s="35"/>
      <c r="J46" s="51"/>
      <c r="K46" s="52">
        <f t="shared" si="32"/>
        <v>431.94</v>
      </c>
      <c r="L46" s="35"/>
      <c r="M46" s="70"/>
      <c r="N46" s="35">
        <v>33.049999999999997</v>
      </c>
      <c r="O46" s="35">
        <v>0</v>
      </c>
      <c r="P46" s="71"/>
      <c r="Q46" s="71"/>
      <c r="R46" s="35"/>
      <c r="S46" s="33"/>
      <c r="T46" s="33"/>
      <c r="U46" s="54"/>
      <c r="V46" s="54">
        <v>859.62</v>
      </c>
      <c r="W46" s="52">
        <f t="shared" si="33"/>
        <v>-460.72999999999996</v>
      </c>
      <c r="X46" s="33">
        <f t="shared" si="34"/>
        <v>0</v>
      </c>
      <c r="Y46" s="52">
        <f t="shared" si="35"/>
        <v>-460.72999999999996</v>
      </c>
      <c r="Z46" s="33">
        <f t="shared" si="36"/>
        <v>43.194000000000003</v>
      </c>
      <c r="AA46" s="33">
        <v>10.23</v>
      </c>
      <c r="AB46" s="33">
        <f t="shared" si="37"/>
        <v>0</v>
      </c>
      <c r="AC46" s="52">
        <f t="shared" si="38"/>
        <v>485.36400000000003</v>
      </c>
      <c r="AD46" s="59"/>
      <c r="AE46" s="60"/>
      <c r="AF46" s="53">
        <f t="shared" si="42"/>
        <v>460.72999999999996</v>
      </c>
      <c r="AG46" s="34"/>
      <c r="AH46" s="36"/>
    </row>
    <row r="47" spans="1:34" s="18" customFormat="1">
      <c r="A47" s="34" t="s">
        <v>30</v>
      </c>
      <c r="B47" s="34" t="s">
        <v>193</v>
      </c>
      <c r="C47" s="34"/>
      <c r="D47" s="34"/>
      <c r="E47" s="34" t="s">
        <v>32</v>
      </c>
      <c r="F47" s="57">
        <v>42342</v>
      </c>
      <c r="G47" s="35">
        <v>4249.53</v>
      </c>
      <c r="H47" s="35"/>
      <c r="I47" s="35"/>
      <c r="J47" s="51"/>
      <c r="K47" s="52">
        <f t="shared" si="32"/>
        <v>4249.53</v>
      </c>
      <c r="L47" s="35"/>
      <c r="M47" s="70"/>
      <c r="N47" s="35">
        <v>26.44</v>
      </c>
      <c r="O47" s="35">
        <v>0</v>
      </c>
      <c r="P47" s="71"/>
      <c r="Q47" s="71"/>
      <c r="R47" s="35"/>
      <c r="S47" s="33">
        <v>257.3</v>
      </c>
      <c r="T47" s="33"/>
      <c r="U47" s="54"/>
      <c r="V47" s="54"/>
      <c r="W47" s="52">
        <f t="shared" ref="W47" si="43">+K47-SUM(L47:V47)</f>
        <v>3965.79</v>
      </c>
      <c r="X47" s="33">
        <f t="shared" ref="X47" si="44">IF(K47&gt;2250,K47*0.1,0)</f>
        <v>424.95299999999997</v>
      </c>
      <c r="Y47" s="52">
        <f t="shared" ref="Y47" si="45">+W47-X47</f>
        <v>3540.837</v>
      </c>
      <c r="Z47" s="33"/>
      <c r="AA47" s="33"/>
      <c r="AB47" s="33"/>
      <c r="AC47" s="52"/>
      <c r="AD47" s="59"/>
      <c r="AE47" s="60"/>
      <c r="AF47" s="53"/>
      <c r="AG47" s="34"/>
      <c r="AH47" s="36"/>
    </row>
    <row r="48" spans="1:34" s="18" customFormat="1">
      <c r="A48" s="34" t="s">
        <v>30</v>
      </c>
      <c r="B48" s="34" t="s">
        <v>196</v>
      </c>
      <c r="C48" s="34"/>
      <c r="D48" s="34"/>
      <c r="E48" s="34" t="s">
        <v>32</v>
      </c>
      <c r="F48" s="57">
        <v>42648</v>
      </c>
      <c r="G48" s="35"/>
      <c r="H48" s="35"/>
      <c r="I48" s="35"/>
      <c r="J48" s="51"/>
      <c r="K48" s="52">
        <f t="shared" si="32"/>
        <v>0</v>
      </c>
      <c r="L48" s="35"/>
      <c r="M48" s="70"/>
      <c r="N48" s="35">
        <v>33.049999999999997</v>
      </c>
      <c r="O48" s="35"/>
      <c r="P48" s="71"/>
      <c r="Q48" s="71"/>
      <c r="R48" s="35"/>
      <c r="S48" s="33"/>
      <c r="T48" s="33"/>
      <c r="U48" s="54"/>
      <c r="V48" s="54"/>
      <c r="W48" s="52">
        <f t="shared" ref="W48" si="46">+K48-SUM(L48:V48)</f>
        <v>-33.049999999999997</v>
      </c>
      <c r="X48" s="33">
        <f t="shared" ref="X48" si="47">IF(K48&gt;2250,K48*0.1,0)</f>
        <v>0</v>
      </c>
      <c r="Y48" s="52">
        <f t="shared" ref="Y48" si="48">+W48-X48</f>
        <v>-33.049999999999997</v>
      </c>
      <c r="Z48" s="33"/>
      <c r="AA48" s="33"/>
      <c r="AB48" s="33"/>
      <c r="AC48" s="52"/>
      <c r="AD48" s="59"/>
      <c r="AE48" s="60"/>
      <c r="AF48" s="53"/>
      <c r="AG48" s="34">
        <v>1128031436</v>
      </c>
      <c r="AH48" s="36"/>
    </row>
    <row r="49" spans="1:34" s="18" customFormat="1">
      <c r="A49" s="34" t="s">
        <v>29</v>
      </c>
      <c r="B49" s="34" t="s">
        <v>203</v>
      </c>
      <c r="C49" s="34"/>
      <c r="D49" s="34"/>
      <c r="E49" s="34" t="s">
        <v>89</v>
      </c>
      <c r="F49" s="57">
        <v>42644</v>
      </c>
      <c r="G49" s="35">
        <v>7120.8</v>
      </c>
      <c r="H49" s="35"/>
      <c r="I49" s="35"/>
      <c r="J49" s="51"/>
      <c r="K49" s="52">
        <f t="shared" si="32"/>
        <v>7120.8</v>
      </c>
      <c r="L49" s="35"/>
      <c r="M49" s="70"/>
      <c r="N49" s="35"/>
      <c r="O49" s="35"/>
      <c r="P49" s="71"/>
      <c r="Q49" s="71"/>
      <c r="R49" s="35"/>
      <c r="S49" s="33"/>
      <c r="T49" s="33"/>
      <c r="U49" s="54"/>
      <c r="V49" s="54"/>
      <c r="W49" s="52">
        <f t="shared" ref="W49" si="49">+K49-SUM(L49:V49)</f>
        <v>7120.8</v>
      </c>
      <c r="X49" s="33">
        <f t="shared" ref="X49" si="50">IF(K49&gt;2250,K49*0.1,0)</f>
        <v>712.08</v>
      </c>
      <c r="Y49" s="52">
        <f t="shared" ref="Y49" si="51">+W49-X49</f>
        <v>6408.72</v>
      </c>
      <c r="Z49" s="33"/>
      <c r="AA49" s="33"/>
      <c r="AB49" s="33"/>
      <c r="AC49" s="52"/>
      <c r="AD49" s="59"/>
      <c r="AE49" s="60"/>
      <c r="AF49" s="53"/>
      <c r="AG49" s="34">
        <v>2778034427</v>
      </c>
      <c r="AH49" s="36"/>
    </row>
    <row r="50" spans="1:34" s="18" customFormat="1">
      <c r="A50" s="34" t="s">
        <v>30</v>
      </c>
      <c r="B50" s="34" t="s">
        <v>217</v>
      </c>
      <c r="C50" s="34"/>
      <c r="D50" s="34"/>
      <c r="E50" s="34" t="s">
        <v>32</v>
      </c>
      <c r="F50" s="57">
        <v>42751</v>
      </c>
      <c r="G50" s="35">
        <v>895.72</v>
      </c>
      <c r="H50" s="35"/>
      <c r="I50" s="35"/>
      <c r="J50" s="51"/>
      <c r="K50" s="52">
        <f t="shared" si="32"/>
        <v>895.72</v>
      </c>
      <c r="L50" s="35"/>
      <c r="M50" s="70"/>
      <c r="N50" s="35"/>
      <c r="O50" s="35"/>
      <c r="P50" s="71"/>
      <c r="Q50" s="71"/>
      <c r="R50" s="35"/>
      <c r="S50" s="33"/>
      <c r="T50" s="33"/>
      <c r="U50" s="34"/>
      <c r="V50" s="34"/>
      <c r="W50" s="52">
        <f t="shared" ref="W50" si="52">+K50-SUM(L50:V50)</f>
        <v>895.72</v>
      </c>
      <c r="X50" s="33">
        <f t="shared" ref="X50" si="53">IF(K50&gt;2250,K50*0.1,0)</f>
        <v>0</v>
      </c>
      <c r="Y50" s="52">
        <f t="shared" ref="Y50" si="54">+W50-X50</f>
        <v>895.72</v>
      </c>
      <c r="Z50" s="33"/>
      <c r="AA50" s="33"/>
      <c r="AB50" s="33"/>
      <c r="AC50" s="52"/>
      <c r="AD50" s="59"/>
      <c r="AE50" s="60"/>
      <c r="AF50" s="53"/>
      <c r="AG50" s="34">
        <v>2866865712</v>
      </c>
      <c r="AH50" s="34"/>
    </row>
    <row r="51" spans="1:34" s="18" customFormat="1">
      <c r="A51" s="34" t="s">
        <v>43</v>
      </c>
      <c r="B51" s="34" t="s">
        <v>181</v>
      </c>
      <c r="C51" s="34"/>
      <c r="D51" s="34"/>
      <c r="E51" s="34" t="s">
        <v>88</v>
      </c>
      <c r="F51" s="57">
        <v>41709</v>
      </c>
      <c r="G51" s="78"/>
      <c r="H51" s="35"/>
      <c r="I51" s="35"/>
      <c r="J51" s="51"/>
      <c r="K51" s="52">
        <f t="shared" si="32"/>
        <v>0</v>
      </c>
      <c r="L51" s="35"/>
      <c r="M51" s="70"/>
      <c r="N51" s="35"/>
      <c r="O51" s="35"/>
      <c r="P51" s="71"/>
      <c r="Q51" s="71"/>
      <c r="R51" s="35"/>
      <c r="S51" s="33"/>
      <c r="T51" s="33"/>
      <c r="U51" s="34"/>
      <c r="V51" s="34">
        <v>0</v>
      </c>
      <c r="W51" s="52">
        <f t="shared" si="33"/>
        <v>0</v>
      </c>
      <c r="X51" s="33">
        <f t="shared" si="34"/>
        <v>0</v>
      </c>
      <c r="Y51" s="52">
        <f t="shared" si="35"/>
        <v>0</v>
      </c>
      <c r="Z51" s="33">
        <f t="shared" si="36"/>
        <v>0</v>
      </c>
      <c r="AA51" s="33">
        <v>11.23</v>
      </c>
      <c r="AB51" s="33">
        <f t="shared" si="37"/>
        <v>0</v>
      </c>
      <c r="AC51" s="52">
        <f t="shared" si="38"/>
        <v>11.23</v>
      </c>
      <c r="AD51" s="59"/>
      <c r="AE51" s="60"/>
      <c r="AF51" s="53"/>
      <c r="AG51" s="34">
        <v>2836126510</v>
      </c>
      <c r="AH51" s="34"/>
    </row>
    <row r="52" spans="1:34" s="18" customFormat="1">
      <c r="A52" s="34" t="s">
        <v>30</v>
      </c>
      <c r="B52" s="34" t="s">
        <v>138</v>
      </c>
      <c r="C52" s="34" t="s">
        <v>127</v>
      </c>
      <c r="D52" s="34" t="s">
        <v>83</v>
      </c>
      <c r="E52" s="34" t="s">
        <v>32</v>
      </c>
      <c r="F52" s="57">
        <v>42251</v>
      </c>
      <c r="G52" s="35">
        <v>4707.8900000000003</v>
      </c>
      <c r="H52" s="35"/>
      <c r="I52" s="35"/>
      <c r="J52" s="51"/>
      <c r="K52" s="52">
        <f t="shared" si="32"/>
        <v>4707.8900000000003</v>
      </c>
      <c r="L52" s="35"/>
      <c r="M52" s="70"/>
      <c r="N52" s="35">
        <v>33.049999999999997</v>
      </c>
      <c r="O52" s="35">
        <v>0</v>
      </c>
      <c r="P52" s="71"/>
      <c r="Q52" s="71"/>
      <c r="R52" s="35"/>
      <c r="S52" s="33"/>
      <c r="T52" s="33"/>
      <c r="U52" s="34"/>
      <c r="V52" s="34">
        <v>0</v>
      </c>
      <c r="W52" s="52">
        <f t="shared" si="33"/>
        <v>4674.84</v>
      </c>
      <c r="X52" s="33">
        <f t="shared" si="34"/>
        <v>470.78900000000004</v>
      </c>
      <c r="Y52" s="52">
        <f t="shared" si="35"/>
        <v>4204.0510000000004</v>
      </c>
      <c r="Z52" s="33">
        <f t="shared" si="36"/>
        <v>0</v>
      </c>
      <c r="AA52" s="33">
        <v>10.23</v>
      </c>
      <c r="AB52" s="33">
        <f t="shared" si="37"/>
        <v>0</v>
      </c>
      <c r="AC52" s="52">
        <f t="shared" si="38"/>
        <v>4718.12</v>
      </c>
      <c r="AD52" s="59"/>
      <c r="AE52" s="60"/>
      <c r="AF52" s="53">
        <f t="shared" ref="AF52:AF53" si="55">+AD52+AE52-Y52</f>
        <v>-4204.0510000000004</v>
      </c>
      <c r="AH52" s="34"/>
    </row>
    <row r="53" spans="1:34" s="18" customFormat="1">
      <c r="A53" s="34" t="s">
        <v>41</v>
      </c>
      <c r="B53" s="34" t="s">
        <v>160</v>
      </c>
      <c r="C53" s="34"/>
      <c r="D53" s="34"/>
      <c r="E53" s="34" t="s">
        <v>31</v>
      </c>
      <c r="F53" s="57">
        <v>42506</v>
      </c>
      <c r="G53" s="35">
        <v>2895.06</v>
      </c>
      <c r="H53" s="35"/>
      <c r="I53" s="35"/>
      <c r="J53" s="51"/>
      <c r="K53" s="52">
        <f t="shared" si="32"/>
        <v>2895.06</v>
      </c>
      <c r="L53" s="35"/>
      <c r="M53" s="70"/>
      <c r="N53" s="35"/>
      <c r="O53" s="35">
        <v>0</v>
      </c>
      <c r="P53" s="71"/>
      <c r="Q53" s="71"/>
      <c r="R53" s="35"/>
      <c r="S53" s="33"/>
      <c r="T53" s="33"/>
      <c r="U53" s="34"/>
      <c r="V53" s="34">
        <v>0</v>
      </c>
      <c r="W53" s="52">
        <f t="shared" si="33"/>
        <v>2895.06</v>
      </c>
      <c r="X53" s="33">
        <f t="shared" si="34"/>
        <v>289.50600000000003</v>
      </c>
      <c r="Y53" s="52">
        <f t="shared" si="35"/>
        <v>2605.5540000000001</v>
      </c>
      <c r="Z53" s="33">
        <f t="shared" si="36"/>
        <v>0</v>
      </c>
      <c r="AA53" s="33">
        <v>10.23</v>
      </c>
      <c r="AB53" s="33">
        <f t="shared" si="37"/>
        <v>0</v>
      </c>
      <c r="AC53" s="52">
        <f t="shared" si="38"/>
        <v>2905.29</v>
      </c>
      <c r="AD53" s="59"/>
      <c r="AE53" s="59"/>
      <c r="AF53" s="53">
        <f t="shared" si="55"/>
        <v>-2605.5540000000001</v>
      </c>
      <c r="AG53" s="45">
        <v>2928860106</v>
      </c>
      <c r="AH53" s="36"/>
    </row>
    <row r="54" spans="1:34" s="18" customFormat="1">
      <c r="A54" s="34" t="s">
        <v>29</v>
      </c>
      <c r="B54" s="34" t="s">
        <v>215</v>
      </c>
      <c r="C54" s="34"/>
      <c r="D54" s="34"/>
      <c r="E54" s="34" t="s">
        <v>89</v>
      </c>
      <c r="F54" s="57">
        <v>42739</v>
      </c>
      <c r="G54" s="35">
        <v>5645.75</v>
      </c>
      <c r="H54" s="35"/>
      <c r="I54" s="35"/>
      <c r="J54" s="51"/>
      <c r="K54" s="52">
        <f t="shared" si="32"/>
        <v>5645.75</v>
      </c>
      <c r="L54" s="35"/>
      <c r="M54" s="70"/>
      <c r="N54" s="35"/>
      <c r="O54" s="35"/>
      <c r="P54" s="71"/>
      <c r="Q54" s="71"/>
      <c r="R54" s="35"/>
      <c r="S54" s="33"/>
      <c r="T54" s="33"/>
      <c r="U54" s="34"/>
      <c r="V54" s="34"/>
      <c r="W54" s="52">
        <f t="shared" ref="W54" si="56">+K54-SUM(L54:V54)</f>
        <v>5645.75</v>
      </c>
      <c r="X54" s="33">
        <f t="shared" ref="X54" si="57">IF(K54&gt;2250,K54*0.1,0)</f>
        <v>564.57500000000005</v>
      </c>
      <c r="Y54" s="52">
        <f t="shared" ref="Y54" si="58">+W54-X54</f>
        <v>5081.1750000000002</v>
      </c>
      <c r="Z54" s="33"/>
      <c r="AA54" s="33"/>
      <c r="AB54" s="33"/>
      <c r="AC54" s="52"/>
      <c r="AD54" s="59"/>
      <c r="AE54" s="59"/>
      <c r="AF54" s="53"/>
      <c r="AG54" s="45"/>
      <c r="AH54" s="36"/>
    </row>
    <row r="55" spans="1:34" s="18" customFormat="1">
      <c r="A55" s="34" t="s">
        <v>30</v>
      </c>
      <c r="B55" s="34" t="s">
        <v>213</v>
      </c>
      <c r="C55" s="34"/>
      <c r="D55" s="34"/>
      <c r="E55" s="34" t="s">
        <v>32</v>
      </c>
      <c r="F55" s="57">
        <v>42730</v>
      </c>
      <c r="G55" s="35">
        <v>6750.41</v>
      </c>
      <c r="H55" s="35"/>
      <c r="I55" s="35"/>
      <c r="J55" s="51"/>
      <c r="K55" s="52">
        <f t="shared" si="32"/>
        <v>6750.41</v>
      </c>
      <c r="L55" s="35"/>
      <c r="M55" s="70"/>
      <c r="N55" s="35"/>
      <c r="O55" s="35"/>
      <c r="P55" s="71"/>
      <c r="Q55" s="71"/>
      <c r="R55" s="35"/>
      <c r="S55" s="33"/>
      <c r="T55" s="33"/>
      <c r="U55" s="34"/>
      <c r="V55" s="34"/>
      <c r="W55" s="52">
        <f t="shared" ref="W55" si="59">+K55-SUM(L55:V55)</f>
        <v>6750.41</v>
      </c>
      <c r="X55" s="33">
        <f t="shared" ref="X55" si="60">IF(K55&gt;2250,K55*0.1,0)</f>
        <v>675.04100000000005</v>
      </c>
      <c r="Y55" s="52">
        <f t="shared" ref="Y55" si="61">+W55-X55</f>
        <v>6075.3689999999997</v>
      </c>
      <c r="Z55" s="33"/>
      <c r="AA55" s="33"/>
      <c r="AB55" s="33"/>
      <c r="AC55" s="52"/>
      <c r="AD55" s="59"/>
      <c r="AE55" s="59"/>
      <c r="AF55" s="53"/>
      <c r="AG55" s="45"/>
      <c r="AH55" s="36" t="s">
        <v>224</v>
      </c>
    </row>
    <row r="56" spans="1:34" s="18" customFormat="1">
      <c r="A56" s="34" t="s">
        <v>30</v>
      </c>
      <c r="B56" s="34" t="s">
        <v>167</v>
      </c>
      <c r="C56" s="34"/>
      <c r="D56" s="34"/>
      <c r="E56" s="34" t="s">
        <v>32</v>
      </c>
      <c r="F56" s="57">
        <v>42522</v>
      </c>
      <c r="G56" s="35"/>
      <c r="H56" s="35"/>
      <c r="I56" s="35"/>
      <c r="J56" s="51"/>
      <c r="K56" s="52">
        <f t="shared" ref="K56:K72" si="62">SUM(G56:I56)-J56</f>
        <v>0</v>
      </c>
      <c r="L56" s="35"/>
      <c r="M56" s="70"/>
      <c r="N56" s="35">
        <v>33.049999999999997</v>
      </c>
      <c r="O56" s="35">
        <v>0</v>
      </c>
      <c r="P56" s="71"/>
      <c r="Q56" s="71"/>
      <c r="R56" s="35"/>
      <c r="S56" s="33"/>
      <c r="T56" s="33"/>
      <c r="U56" s="34"/>
      <c r="V56" s="34">
        <v>0</v>
      </c>
      <c r="W56" s="52">
        <f t="shared" ref="W56:W70" si="63">+K56-SUM(L56:V56)</f>
        <v>-33.049999999999997</v>
      </c>
      <c r="X56" s="33">
        <f t="shared" ref="X56:X61" si="64">IF(K56&gt;2250,K56*0.1,0)</f>
        <v>0</v>
      </c>
      <c r="Y56" s="52">
        <f t="shared" ref="Y56:Y70" si="65">+W56-X56</f>
        <v>-33.049999999999997</v>
      </c>
      <c r="Z56" s="33">
        <f t="shared" ref="Z56:Z68" si="66">IF(K56&lt;2250,K56*0.1,0)</f>
        <v>0</v>
      </c>
      <c r="AA56" s="33">
        <v>10.23</v>
      </c>
      <c r="AB56" s="33">
        <f t="shared" ref="AB56:AB68" si="67">+P56</f>
        <v>0</v>
      </c>
      <c r="AC56" s="52">
        <f t="shared" ref="AC56:AC68" si="68">+K56+Z56+AA56+AB56</f>
        <v>10.23</v>
      </c>
      <c r="AD56" s="59"/>
      <c r="AE56" s="59"/>
      <c r="AF56" s="53"/>
      <c r="AG56" s="34">
        <v>2952708604</v>
      </c>
      <c r="AH56" s="36"/>
    </row>
    <row r="57" spans="1:34" s="18" customFormat="1">
      <c r="A57" s="34" t="s">
        <v>30</v>
      </c>
      <c r="B57" s="34" t="s">
        <v>109</v>
      </c>
      <c r="C57" s="34" t="s">
        <v>124</v>
      </c>
      <c r="D57" s="37" t="s">
        <v>110</v>
      </c>
      <c r="E57" s="34" t="s">
        <v>32</v>
      </c>
      <c r="F57" s="57">
        <v>42396</v>
      </c>
      <c r="G57" s="35">
        <v>328.27</v>
      </c>
      <c r="H57" s="35"/>
      <c r="I57" s="35"/>
      <c r="J57" s="51"/>
      <c r="K57" s="52">
        <f t="shared" si="62"/>
        <v>328.27</v>
      </c>
      <c r="L57" s="35"/>
      <c r="M57" s="70">
        <v>1</v>
      </c>
      <c r="N57" s="35">
        <v>54.05</v>
      </c>
      <c r="O57" s="35">
        <v>0</v>
      </c>
      <c r="P57" s="71"/>
      <c r="Q57" s="71"/>
      <c r="R57" s="35"/>
      <c r="S57" s="33"/>
      <c r="T57" s="33"/>
      <c r="U57" s="34"/>
      <c r="V57" s="34">
        <v>390.57</v>
      </c>
      <c r="W57" s="52">
        <f t="shared" si="63"/>
        <v>-117.35000000000002</v>
      </c>
      <c r="X57" s="33">
        <f t="shared" si="64"/>
        <v>0</v>
      </c>
      <c r="Y57" s="52">
        <f t="shared" si="65"/>
        <v>-117.35000000000002</v>
      </c>
      <c r="Z57" s="33">
        <f t="shared" si="66"/>
        <v>32.826999999999998</v>
      </c>
      <c r="AA57" s="33">
        <v>10.23</v>
      </c>
      <c r="AB57" s="33">
        <f t="shared" si="67"/>
        <v>0</v>
      </c>
      <c r="AC57" s="52">
        <f t="shared" si="68"/>
        <v>371.327</v>
      </c>
      <c r="AD57" s="59"/>
      <c r="AE57" s="59"/>
      <c r="AF57" s="53">
        <f t="shared" ref="AF57:AF61" si="69">+AD57+AE57-Y57</f>
        <v>117.35000000000002</v>
      </c>
      <c r="AG57" s="34"/>
      <c r="AH57" s="36"/>
    </row>
    <row r="58" spans="1:34" s="18" customFormat="1">
      <c r="A58" s="34" t="s">
        <v>41</v>
      </c>
      <c r="B58" s="34" t="s">
        <v>119</v>
      </c>
      <c r="C58" s="34"/>
      <c r="D58" s="34" t="s">
        <v>56</v>
      </c>
      <c r="E58" s="34" t="s">
        <v>88</v>
      </c>
      <c r="F58" s="57">
        <v>42321</v>
      </c>
      <c r="G58" s="78"/>
      <c r="H58" s="35"/>
      <c r="I58" s="35"/>
      <c r="J58" s="51"/>
      <c r="K58" s="52">
        <f t="shared" si="62"/>
        <v>0</v>
      </c>
      <c r="L58" s="35"/>
      <c r="M58" s="70"/>
      <c r="N58" s="35"/>
      <c r="O58" s="35">
        <v>0</v>
      </c>
      <c r="P58" s="71"/>
      <c r="Q58" s="71"/>
      <c r="R58" s="35"/>
      <c r="S58" s="33"/>
      <c r="T58" s="33"/>
      <c r="U58" s="34"/>
      <c r="V58" s="34">
        <v>0</v>
      </c>
      <c r="W58" s="52">
        <f t="shared" si="63"/>
        <v>0</v>
      </c>
      <c r="X58" s="33">
        <f t="shared" si="64"/>
        <v>0</v>
      </c>
      <c r="Y58" s="52">
        <f t="shared" si="65"/>
        <v>0</v>
      </c>
      <c r="Z58" s="33">
        <f t="shared" si="66"/>
        <v>0</v>
      </c>
      <c r="AA58" s="33">
        <v>10.23</v>
      </c>
      <c r="AB58" s="33">
        <f t="shared" si="67"/>
        <v>0</v>
      </c>
      <c r="AC58" s="52">
        <f t="shared" si="68"/>
        <v>10.23</v>
      </c>
      <c r="AD58" s="59"/>
      <c r="AE58" s="60"/>
      <c r="AF58" s="53">
        <f t="shared" si="69"/>
        <v>0</v>
      </c>
      <c r="AG58" s="34"/>
      <c r="AH58" s="34"/>
    </row>
    <row r="59" spans="1:34" s="18" customFormat="1">
      <c r="A59" s="34" t="s">
        <v>41</v>
      </c>
      <c r="B59" s="34" t="s">
        <v>192</v>
      </c>
      <c r="C59" s="34"/>
      <c r="D59" s="34"/>
      <c r="E59" s="34" t="s">
        <v>31</v>
      </c>
      <c r="F59" s="57">
        <v>42646</v>
      </c>
      <c r="G59" s="35">
        <v>693</v>
      </c>
      <c r="H59" s="35"/>
      <c r="I59" s="35"/>
      <c r="J59" s="51"/>
      <c r="K59" s="52">
        <f t="shared" si="62"/>
        <v>693</v>
      </c>
      <c r="L59" s="35"/>
      <c r="M59" s="70">
        <v>1</v>
      </c>
      <c r="N59" s="35"/>
      <c r="O59" s="35">
        <v>0</v>
      </c>
      <c r="P59" s="71"/>
      <c r="Q59" s="71"/>
      <c r="R59" s="35"/>
      <c r="S59" s="33"/>
      <c r="T59" s="33"/>
      <c r="U59" s="34"/>
      <c r="V59" s="34"/>
      <c r="W59" s="52">
        <f t="shared" ref="W59" si="70">+K59-SUM(L59:V59)</f>
        <v>692</v>
      </c>
      <c r="X59" s="33">
        <f t="shared" ref="X59" si="71">IF(K59&gt;2250,K59*0.1,0)</f>
        <v>0</v>
      </c>
      <c r="Y59" s="52">
        <f t="shared" ref="Y59" si="72">+W59-X59</f>
        <v>692</v>
      </c>
      <c r="Z59" s="33"/>
      <c r="AA59" s="33"/>
      <c r="AB59" s="33"/>
      <c r="AC59" s="52"/>
      <c r="AD59" s="59"/>
      <c r="AE59" s="60"/>
      <c r="AF59" s="53"/>
      <c r="AG59" s="34">
        <v>1128532117</v>
      </c>
      <c r="AH59" s="36"/>
    </row>
    <row r="60" spans="1:34" s="18" customFormat="1">
      <c r="A60" s="34" t="s">
        <v>41</v>
      </c>
      <c r="B60" s="34" t="s">
        <v>118</v>
      </c>
      <c r="C60" s="34"/>
      <c r="D60" s="34" t="s">
        <v>46</v>
      </c>
      <c r="E60" s="34" t="s">
        <v>31</v>
      </c>
      <c r="F60" s="57">
        <v>42065</v>
      </c>
      <c r="G60" s="35">
        <v>224.33</v>
      </c>
      <c r="H60" s="35"/>
      <c r="I60" s="35"/>
      <c r="J60" s="51"/>
      <c r="K60" s="52">
        <f t="shared" si="62"/>
        <v>224.33</v>
      </c>
      <c r="L60" s="35"/>
      <c r="M60" s="70"/>
      <c r="N60" s="35"/>
      <c r="O60" s="35">
        <v>0</v>
      </c>
      <c r="P60" s="71"/>
      <c r="Q60" s="71"/>
      <c r="R60" s="35"/>
      <c r="S60" s="33"/>
      <c r="T60" s="33"/>
      <c r="U60" s="34"/>
      <c r="V60" s="34">
        <v>0</v>
      </c>
      <c r="W60" s="52">
        <f t="shared" si="63"/>
        <v>224.33</v>
      </c>
      <c r="X60" s="33">
        <f t="shared" si="64"/>
        <v>0</v>
      </c>
      <c r="Y60" s="52">
        <f t="shared" si="65"/>
        <v>224.33</v>
      </c>
      <c r="Z60" s="33">
        <f t="shared" si="66"/>
        <v>22.433000000000003</v>
      </c>
      <c r="AA60" s="33">
        <v>10.23</v>
      </c>
      <c r="AB60" s="33">
        <f t="shared" si="67"/>
        <v>0</v>
      </c>
      <c r="AC60" s="52">
        <f t="shared" si="68"/>
        <v>256.99299999999999</v>
      </c>
      <c r="AD60" s="59"/>
      <c r="AE60" s="60"/>
      <c r="AF60" s="53">
        <f t="shared" si="69"/>
        <v>-224.33</v>
      </c>
      <c r="AG60" s="34"/>
      <c r="AH60" s="36"/>
    </row>
    <row r="61" spans="1:34" s="18" customFormat="1">
      <c r="A61" s="34" t="s">
        <v>30</v>
      </c>
      <c r="B61" s="34" t="s">
        <v>40</v>
      </c>
      <c r="C61" s="34" t="s">
        <v>122</v>
      </c>
      <c r="D61" s="34" t="s">
        <v>84</v>
      </c>
      <c r="E61" s="34" t="s">
        <v>32</v>
      </c>
      <c r="F61" s="57">
        <v>41218</v>
      </c>
      <c r="G61" s="35">
        <v>2926.33</v>
      </c>
      <c r="H61" s="35"/>
      <c r="I61" s="35"/>
      <c r="J61" s="51"/>
      <c r="K61" s="52">
        <f t="shared" si="62"/>
        <v>2926.33</v>
      </c>
      <c r="L61" s="35"/>
      <c r="M61" s="70"/>
      <c r="N61" s="35">
        <v>40.049999999999997</v>
      </c>
      <c r="O61" s="35">
        <v>0</v>
      </c>
      <c r="P61" s="71"/>
      <c r="Q61" s="71"/>
      <c r="R61" s="35"/>
      <c r="S61" s="33"/>
      <c r="T61" s="33"/>
      <c r="U61" s="34"/>
      <c r="V61" s="34">
        <v>0</v>
      </c>
      <c r="W61" s="52">
        <f t="shared" si="63"/>
        <v>2886.2799999999997</v>
      </c>
      <c r="X61" s="33">
        <f t="shared" si="64"/>
        <v>292.63299999999998</v>
      </c>
      <c r="Y61" s="52">
        <f t="shared" si="65"/>
        <v>2593.6469999999999</v>
      </c>
      <c r="Z61" s="33">
        <f t="shared" si="66"/>
        <v>0</v>
      </c>
      <c r="AA61" s="33">
        <v>10.23</v>
      </c>
      <c r="AB61" s="33">
        <f t="shared" si="67"/>
        <v>0</v>
      </c>
      <c r="AC61" s="52">
        <f t="shared" si="68"/>
        <v>2936.56</v>
      </c>
      <c r="AD61" s="59"/>
      <c r="AE61" s="60"/>
      <c r="AF61" s="53">
        <f t="shared" si="69"/>
        <v>-2593.6469999999999</v>
      </c>
      <c r="AG61" s="34"/>
      <c r="AH61" s="34"/>
    </row>
    <row r="62" spans="1:34" s="18" customFormat="1">
      <c r="A62" s="34" t="s">
        <v>28</v>
      </c>
      <c r="B62" s="34" t="s">
        <v>189</v>
      </c>
      <c r="C62" s="34"/>
      <c r="D62" s="34"/>
      <c r="E62" s="34" t="s">
        <v>186</v>
      </c>
      <c r="F62" s="57">
        <v>42241</v>
      </c>
      <c r="G62" s="35"/>
      <c r="H62" s="35"/>
      <c r="I62" s="35"/>
      <c r="J62" s="51"/>
      <c r="K62" s="52">
        <f t="shared" si="62"/>
        <v>0</v>
      </c>
      <c r="L62" s="35"/>
      <c r="M62" s="70"/>
      <c r="N62" s="35">
        <v>54.05</v>
      </c>
      <c r="O62" s="35"/>
      <c r="P62" s="71"/>
      <c r="Q62" s="71"/>
      <c r="R62" s="35"/>
      <c r="S62" s="33"/>
      <c r="T62" s="33"/>
      <c r="U62" s="34"/>
      <c r="V62" s="34"/>
      <c r="W62" s="52">
        <f t="shared" ref="W62" si="73">+K62-SUM(L62:V62)</f>
        <v>-54.05</v>
      </c>
      <c r="X62" s="33">
        <f t="shared" ref="X62" si="74">IF(K62&gt;2250,K62*0.1,0)</f>
        <v>0</v>
      </c>
      <c r="Y62" s="52">
        <f t="shared" ref="Y62" si="75">+W62-X62</f>
        <v>-54.05</v>
      </c>
      <c r="Z62" s="33">
        <f t="shared" si="66"/>
        <v>0</v>
      </c>
      <c r="AA62" s="33"/>
      <c r="AB62" s="33"/>
      <c r="AC62" s="52"/>
      <c r="AD62" s="59"/>
      <c r="AE62" s="60"/>
      <c r="AF62" s="53"/>
      <c r="AG62" s="34">
        <v>2965106850</v>
      </c>
      <c r="AH62" s="36"/>
    </row>
    <row r="63" spans="1:34" s="18" customFormat="1">
      <c r="A63" s="34" t="s">
        <v>43</v>
      </c>
      <c r="B63" s="34" t="s">
        <v>145</v>
      </c>
      <c r="C63" s="34"/>
      <c r="D63" s="34" t="s">
        <v>57</v>
      </c>
      <c r="E63" s="34" t="s">
        <v>88</v>
      </c>
      <c r="F63" s="57">
        <v>42333</v>
      </c>
      <c r="G63" s="78"/>
      <c r="H63" s="35"/>
      <c r="I63" s="35"/>
      <c r="J63" s="51"/>
      <c r="K63" s="52">
        <f t="shared" si="62"/>
        <v>0</v>
      </c>
      <c r="L63" s="35"/>
      <c r="M63" s="70"/>
      <c r="N63" s="35"/>
      <c r="O63" s="35">
        <v>0</v>
      </c>
      <c r="P63" s="71"/>
      <c r="Q63" s="71"/>
      <c r="R63" s="35"/>
      <c r="S63" s="33"/>
      <c r="T63" s="33"/>
      <c r="U63" s="34"/>
      <c r="V63" s="34">
        <v>355.52</v>
      </c>
      <c r="W63" s="52">
        <f t="shared" si="63"/>
        <v>-355.52</v>
      </c>
      <c r="X63" s="33">
        <f t="shared" ref="X63:X70" si="76">IF(K63&gt;2250,K63*0.1,0)</f>
        <v>0</v>
      </c>
      <c r="Y63" s="52">
        <f t="shared" si="65"/>
        <v>-355.52</v>
      </c>
      <c r="Z63" s="33">
        <f t="shared" si="66"/>
        <v>0</v>
      </c>
      <c r="AA63" s="33">
        <v>10.23</v>
      </c>
      <c r="AB63" s="33">
        <f t="shared" si="67"/>
        <v>0</v>
      </c>
      <c r="AC63" s="52">
        <f t="shared" si="68"/>
        <v>10.23</v>
      </c>
      <c r="AD63" s="59"/>
      <c r="AE63" s="60"/>
      <c r="AF63" s="53">
        <f>+AD63+AE63-Y63</f>
        <v>355.52</v>
      </c>
      <c r="AG63" s="34"/>
      <c r="AH63" s="34"/>
    </row>
    <row r="64" spans="1:34" s="18" customFormat="1">
      <c r="A64" s="34" t="s">
        <v>30</v>
      </c>
      <c r="B64" s="34" t="s">
        <v>173</v>
      </c>
      <c r="C64" s="34"/>
      <c r="D64" s="34"/>
      <c r="E64" s="34" t="s">
        <v>32</v>
      </c>
      <c r="F64" s="57">
        <v>42459</v>
      </c>
      <c r="G64" s="35"/>
      <c r="H64" s="35"/>
      <c r="I64" s="35"/>
      <c r="J64" s="51"/>
      <c r="K64" s="52">
        <f t="shared" si="62"/>
        <v>0</v>
      </c>
      <c r="L64" s="35"/>
      <c r="M64" s="70"/>
      <c r="N64" s="35">
        <v>33.049999999999997</v>
      </c>
      <c r="O64" s="35">
        <v>0</v>
      </c>
      <c r="P64" s="71"/>
      <c r="Q64" s="71"/>
      <c r="R64" s="35"/>
      <c r="S64" s="33"/>
      <c r="T64" s="33"/>
      <c r="U64" s="34"/>
      <c r="V64" s="34"/>
      <c r="W64" s="52">
        <f t="shared" si="63"/>
        <v>-33.049999999999997</v>
      </c>
      <c r="X64" s="33">
        <f t="shared" si="76"/>
        <v>0</v>
      </c>
      <c r="Y64" s="52">
        <f t="shared" si="65"/>
        <v>-33.049999999999997</v>
      </c>
      <c r="Z64" s="33">
        <f t="shared" si="66"/>
        <v>0</v>
      </c>
      <c r="AA64" s="33">
        <v>10.23</v>
      </c>
      <c r="AB64" s="33">
        <f t="shared" si="67"/>
        <v>0</v>
      </c>
      <c r="AC64" s="52">
        <f t="shared" si="68"/>
        <v>10.23</v>
      </c>
      <c r="AD64" s="65"/>
      <c r="AE64" s="60"/>
      <c r="AF64" s="53">
        <f>+AD64+AE64-Y64</f>
        <v>33.049999999999997</v>
      </c>
      <c r="AG64" s="34"/>
      <c r="AH64" s="36"/>
    </row>
    <row r="65" spans="1:188" s="18" customFormat="1">
      <c r="A65" s="80" t="s">
        <v>28</v>
      </c>
      <c r="B65" s="80" t="s">
        <v>170</v>
      </c>
      <c r="C65" s="80"/>
      <c r="D65" s="80"/>
      <c r="E65" s="80" t="s">
        <v>87</v>
      </c>
      <c r="F65" s="83">
        <v>42566</v>
      </c>
      <c r="G65" s="91"/>
      <c r="H65" s="91"/>
      <c r="I65" s="91"/>
      <c r="J65" s="92"/>
      <c r="K65" s="52">
        <f t="shared" si="62"/>
        <v>0</v>
      </c>
      <c r="L65" s="35"/>
      <c r="M65" s="70"/>
      <c r="N65" s="35"/>
      <c r="O65" s="35"/>
      <c r="P65" s="71"/>
      <c r="Q65" s="71"/>
      <c r="R65" s="35"/>
      <c r="S65" s="33"/>
      <c r="T65" s="33"/>
      <c r="U65" s="34"/>
      <c r="V65" s="34"/>
      <c r="W65" s="52">
        <f t="shared" si="63"/>
        <v>0</v>
      </c>
      <c r="X65" s="33">
        <f t="shared" si="76"/>
        <v>0</v>
      </c>
      <c r="Y65" s="52">
        <f t="shared" si="65"/>
        <v>0</v>
      </c>
      <c r="Z65" s="33">
        <f t="shared" si="66"/>
        <v>0</v>
      </c>
      <c r="AA65" s="33">
        <v>21.23</v>
      </c>
      <c r="AB65" s="33">
        <f t="shared" si="67"/>
        <v>0</v>
      </c>
      <c r="AC65" s="52">
        <f t="shared" si="68"/>
        <v>21.23</v>
      </c>
      <c r="AD65" s="65"/>
      <c r="AE65" s="60"/>
      <c r="AF65" s="53"/>
      <c r="AG65" s="82">
        <v>2671903578</v>
      </c>
      <c r="AH65" s="82" t="s">
        <v>236</v>
      </c>
    </row>
    <row r="66" spans="1:188" s="18" customFormat="1">
      <c r="A66" s="34" t="s">
        <v>30</v>
      </c>
      <c r="B66" s="34" t="s">
        <v>147</v>
      </c>
      <c r="C66" s="34" t="s">
        <v>124</v>
      </c>
      <c r="D66" s="34" t="s">
        <v>85</v>
      </c>
      <c r="E66" s="34" t="s">
        <v>32</v>
      </c>
      <c r="F66" s="57">
        <v>42327</v>
      </c>
      <c r="G66" s="35">
        <v>1000</v>
      </c>
      <c r="H66" s="35"/>
      <c r="I66" s="35"/>
      <c r="J66" s="51"/>
      <c r="K66" s="52">
        <f t="shared" si="62"/>
        <v>1000</v>
      </c>
      <c r="L66" s="35"/>
      <c r="M66" s="70">
        <v>1</v>
      </c>
      <c r="N66" s="35">
        <v>33.049999999999997</v>
      </c>
      <c r="O66" s="35">
        <v>0</v>
      </c>
      <c r="P66" s="71"/>
      <c r="Q66" s="71"/>
      <c r="R66" s="35"/>
      <c r="S66" s="33"/>
      <c r="T66" s="33"/>
      <c r="U66" s="34"/>
      <c r="V66" s="68">
        <v>433.34</v>
      </c>
      <c r="W66" s="52">
        <f t="shared" si="63"/>
        <v>532.61</v>
      </c>
      <c r="X66" s="33">
        <f t="shared" si="76"/>
        <v>0</v>
      </c>
      <c r="Y66" s="52">
        <f t="shared" si="65"/>
        <v>532.61</v>
      </c>
      <c r="Z66" s="33">
        <f t="shared" si="66"/>
        <v>100</v>
      </c>
      <c r="AA66" s="33">
        <v>10.23</v>
      </c>
      <c r="AB66" s="33">
        <f t="shared" si="67"/>
        <v>0</v>
      </c>
      <c r="AC66" s="52">
        <f t="shared" si="68"/>
        <v>1110.23</v>
      </c>
      <c r="AD66" s="59"/>
      <c r="AE66" s="60"/>
      <c r="AF66" s="53">
        <f t="shared" ref="AF66:AF68" si="77">+AD66+AE66-Y66</f>
        <v>-532.61</v>
      </c>
      <c r="AG66" s="34"/>
      <c r="AH66" s="36"/>
    </row>
    <row r="67" spans="1:188" s="18" customFormat="1">
      <c r="A67" s="34" t="s">
        <v>29</v>
      </c>
      <c r="B67" s="34" t="s">
        <v>136</v>
      </c>
      <c r="C67" s="34" t="s">
        <v>125</v>
      </c>
      <c r="D67" s="34" t="s">
        <v>60</v>
      </c>
      <c r="E67" s="34" t="s">
        <v>144</v>
      </c>
      <c r="F67" s="57">
        <v>42173</v>
      </c>
      <c r="G67" s="35">
        <v>2292.8000000000002</v>
      </c>
      <c r="H67" s="35"/>
      <c r="I67" s="35"/>
      <c r="J67" s="51"/>
      <c r="K67" s="52">
        <f t="shared" si="62"/>
        <v>2292.8000000000002</v>
      </c>
      <c r="L67" s="35"/>
      <c r="M67" s="70"/>
      <c r="N67" s="35"/>
      <c r="O67" s="35">
        <v>0</v>
      </c>
      <c r="P67" s="71"/>
      <c r="Q67" s="71"/>
      <c r="R67" s="35"/>
      <c r="S67" s="33"/>
      <c r="T67" s="33"/>
      <c r="U67" s="34"/>
      <c r="V67" s="34">
        <v>0</v>
      </c>
      <c r="W67" s="52">
        <f t="shared" si="63"/>
        <v>2292.8000000000002</v>
      </c>
      <c r="X67" s="33">
        <f t="shared" si="76"/>
        <v>229.28000000000003</v>
      </c>
      <c r="Y67" s="52">
        <f t="shared" si="65"/>
        <v>2063.52</v>
      </c>
      <c r="Z67" s="33">
        <f t="shared" si="66"/>
        <v>0</v>
      </c>
      <c r="AA67" s="33">
        <v>10.23</v>
      </c>
      <c r="AB67" s="33">
        <f t="shared" si="67"/>
        <v>0</v>
      </c>
      <c r="AC67" s="52">
        <f t="shared" si="68"/>
        <v>2303.0300000000002</v>
      </c>
      <c r="AD67" s="65"/>
      <c r="AE67" s="66"/>
      <c r="AF67" s="53">
        <f t="shared" si="77"/>
        <v>-2063.52</v>
      </c>
      <c r="AH67" s="34"/>
    </row>
    <row r="68" spans="1:188" s="18" customFormat="1">
      <c r="A68" s="34" t="s">
        <v>30</v>
      </c>
      <c r="B68" s="34" t="s">
        <v>159</v>
      </c>
      <c r="C68" s="34" t="s">
        <v>122</v>
      </c>
      <c r="D68" s="34"/>
      <c r="E68" s="34" t="s">
        <v>32</v>
      </c>
      <c r="F68" s="57">
        <v>42506</v>
      </c>
      <c r="G68" s="35">
        <v>61.5</v>
      </c>
      <c r="H68" s="35"/>
      <c r="I68" s="35"/>
      <c r="J68" s="51"/>
      <c r="K68" s="52">
        <f t="shared" si="62"/>
        <v>61.5</v>
      </c>
      <c r="L68" s="35"/>
      <c r="M68" s="70"/>
      <c r="N68" s="35">
        <v>33.049999999999997</v>
      </c>
      <c r="O68" s="35">
        <v>0</v>
      </c>
      <c r="P68" s="71"/>
      <c r="Q68" s="71"/>
      <c r="R68" s="35"/>
      <c r="S68" s="33"/>
      <c r="T68" s="33"/>
      <c r="U68" s="34"/>
      <c r="V68" s="68">
        <v>208.65</v>
      </c>
      <c r="W68" s="52">
        <f t="shared" si="63"/>
        <v>-180.2</v>
      </c>
      <c r="X68" s="33">
        <f t="shared" si="76"/>
        <v>0</v>
      </c>
      <c r="Y68" s="52">
        <f t="shared" si="65"/>
        <v>-180.2</v>
      </c>
      <c r="Z68" s="33">
        <f t="shared" si="66"/>
        <v>6.15</v>
      </c>
      <c r="AA68" s="33">
        <v>10.23</v>
      </c>
      <c r="AB68" s="33">
        <f t="shared" si="67"/>
        <v>0</v>
      </c>
      <c r="AC68" s="52">
        <f t="shared" si="68"/>
        <v>77.88000000000001</v>
      </c>
      <c r="AD68" s="65"/>
      <c r="AE68" s="65"/>
      <c r="AF68" s="53">
        <f t="shared" si="77"/>
        <v>180.2</v>
      </c>
      <c r="AG68" s="45">
        <v>1179675078</v>
      </c>
      <c r="AH68" s="36"/>
    </row>
    <row r="69" spans="1:188" s="18" customFormat="1">
      <c r="A69" s="34" t="s">
        <v>30</v>
      </c>
      <c r="B69" s="34" t="s">
        <v>235</v>
      </c>
      <c r="C69" s="34"/>
      <c r="D69" s="34"/>
      <c r="E69" s="34" t="s">
        <v>186</v>
      </c>
      <c r="F69" s="57">
        <v>42762</v>
      </c>
      <c r="G69" s="35"/>
      <c r="H69" s="35"/>
      <c r="I69" s="35"/>
      <c r="J69" s="51"/>
      <c r="K69" s="52">
        <f t="shared" si="62"/>
        <v>0</v>
      </c>
      <c r="L69" s="35"/>
      <c r="M69" s="70"/>
      <c r="N69" s="35"/>
      <c r="O69" s="35"/>
      <c r="P69" s="71"/>
      <c r="Q69" s="71"/>
      <c r="R69" s="35"/>
      <c r="S69" s="33"/>
      <c r="T69" s="33"/>
      <c r="U69" s="34"/>
      <c r="V69" s="68"/>
      <c r="W69" s="52">
        <f t="shared" si="63"/>
        <v>0</v>
      </c>
      <c r="X69" s="33"/>
      <c r="Y69" s="52"/>
      <c r="Z69" s="33"/>
      <c r="AA69" s="33"/>
      <c r="AB69" s="33"/>
      <c r="AC69" s="52"/>
      <c r="AD69" s="65"/>
      <c r="AE69" s="65"/>
      <c r="AF69" s="53"/>
      <c r="AG69" s="45">
        <v>1172678020</v>
      </c>
      <c r="AH69" s="36"/>
    </row>
    <row r="70" spans="1:188" s="18" customFormat="1">
      <c r="A70" s="34" t="s">
        <v>28</v>
      </c>
      <c r="B70" s="34" t="s">
        <v>230</v>
      </c>
      <c r="C70" s="34"/>
      <c r="D70" s="34"/>
      <c r="E70" s="34" t="s">
        <v>87</v>
      </c>
      <c r="F70" s="57">
        <v>42597</v>
      </c>
      <c r="G70" s="35">
        <v>1830</v>
      </c>
      <c r="H70" s="35"/>
      <c r="I70" s="35"/>
      <c r="J70" s="51"/>
      <c r="K70" s="52">
        <f t="shared" si="62"/>
        <v>1830</v>
      </c>
      <c r="L70" s="35"/>
      <c r="M70" s="70"/>
      <c r="N70" s="35"/>
      <c r="O70" s="35"/>
      <c r="P70" s="71"/>
      <c r="Q70" s="71"/>
      <c r="R70" s="35"/>
      <c r="S70" s="33"/>
      <c r="T70" s="33"/>
      <c r="U70" s="34"/>
      <c r="V70" s="68">
        <v>0</v>
      </c>
      <c r="W70" s="52">
        <f t="shared" si="63"/>
        <v>1830</v>
      </c>
      <c r="X70" s="33">
        <f t="shared" si="76"/>
        <v>0</v>
      </c>
      <c r="Y70" s="52">
        <f t="shared" si="65"/>
        <v>1830</v>
      </c>
      <c r="Z70" s="33"/>
      <c r="AA70" s="33"/>
      <c r="AB70" s="33"/>
      <c r="AC70" s="52"/>
      <c r="AD70" s="65"/>
      <c r="AE70" s="65"/>
      <c r="AF70" s="53"/>
      <c r="AG70" s="45">
        <v>2983558908</v>
      </c>
      <c r="AH70" s="36"/>
    </row>
    <row r="71" spans="1:188" s="18" customFormat="1">
      <c r="A71" s="34" t="s">
        <v>41</v>
      </c>
      <c r="B71" s="34" t="s">
        <v>204</v>
      </c>
      <c r="C71" s="34"/>
      <c r="D71" s="34"/>
      <c r="E71" s="34" t="s">
        <v>31</v>
      </c>
      <c r="F71" s="57">
        <v>42696</v>
      </c>
      <c r="G71" s="35">
        <v>2282.12</v>
      </c>
      <c r="H71" s="35"/>
      <c r="I71" s="35"/>
      <c r="J71" s="51"/>
      <c r="K71" s="52">
        <f t="shared" si="62"/>
        <v>2282.12</v>
      </c>
      <c r="L71" s="35"/>
      <c r="M71" s="70"/>
      <c r="N71" s="35"/>
      <c r="O71" s="35"/>
      <c r="P71" s="71"/>
      <c r="Q71" s="71"/>
      <c r="R71" s="35"/>
      <c r="S71" s="33"/>
      <c r="T71" s="33"/>
      <c r="U71" s="34"/>
      <c r="V71" s="68"/>
      <c r="W71" s="52">
        <f t="shared" ref="W71" si="78">+K71-SUM(L71:V71)</f>
        <v>2282.12</v>
      </c>
      <c r="X71" s="33">
        <f t="shared" ref="X71" si="79">IF(K71&gt;2250,K71*0.1,0)</f>
        <v>228.21199999999999</v>
      </c>
      <c r="Y71" s="52">
        <f t="shared" ref="Y71" si="80">+W71-X71</f>
        <v>2053.9079999999999</v>
      </c>
      <c r="Z71" s="33"/>
      <c r="AA71" s="33"/>
      <c r="AB71" s="33"/>
      <c r="AC71" s="52"/>
      <c r="AD71" s="65"/>
      <c r="AE71" s="65"/>
      <c r="AF71" s="53"/>
      <c r="AG71" s="45">
        <v>1501548794</v>
      </c>
      <c r="AH71" s="36"/>
    </row>
    <row r="72" spans="1:188" s="18" customFormat="1">
      <c r="A72" s="34" t="s">
        <v>30</v>
      </c>
      <c r="B72" s="34" t="s">
        <v>207</v>
      </c>
      <c r="C72" s="34"/>
      <c r="D72" s="34"/>
      <c r="E72" s="34" t="s">
        <v>32</v>
      </c>
      <c r="F72" s="57">
        <v>42632</v>
      </c>
      <c r="G72" s="35">
        <v>13185.96</v>
      </c>
      <c r="H72" s="35"/>
      <c r="I72" s="35"/>
      <c r="J72" s="51"/>
      <c r="K72" s="52">
        <f t="shared" si="62"/>
        <v>13185.96</v>
      </c>
      <c r="L72" s="35"/>
      <c r="M72" s="70"/>
      <c r="N72" s="35"/>
      <c r="O72" s="35"/>
      <c r="P72" s="71"/>
      <c r="Q72" s="71"/>
      <c r="R72" s="35"/>
      <c r="S72" s="33"/>
      <c r="T72" s="33"/>
      <c r="U72" s="34"/>
      <c r="V72" s="68"/>
      <c r="W72" s="52">
        <f t="shared" ref="W72" si="81">+K72-SUM(L72:V72)</f>
        <v>13185.96</v>
      </c>
      <c r="X72" s="33">
        <f t="shared" ref="X72" si="82">IF(K72&gt;2250,K72*0.1,0)</f>
        <v>1318.596</v>
      </c>
      <c r="Y72" s="52">
        <f t="shared" ref="Y72" si="83">+W72-X72</f>
        <v>11867.364</v>
      </c>
      <c r="Z72" s="33"/>
      <c r="AA72" s="33"/>
      <c r="AB72" s="33"/>
      <c r="AC72" s="52"/>
      <c r="AD72" s="65"/>
      <c r="AE72" s="65"/>
      <c r="AF72" s="53"/>
      <c r="AG72" s="45">
        <v>2856562434</v>
      </c>
      <c r="AH72" s="36"/>
    </row>
    <row r="73" spans="1:188" s="18" customFormat="1">
      <c r="A73" s="25"/>
      <c r="B73" s="26"/>
      <c r="C73" s="26"/>
      <c r="D73" s="26"/>
      <c r="E73" s="26"/>
      <c r="F73" s="26"/>
      <c r="G73" s="27"/>
      <c r="H73" s="27"/>
      <c r="I73" s="27"/>
      <c r="J73" s="27"/>
      <c r="K73" s="28"/>
      <c r="L73" s="27"/>
      <c r="M73" s="27"/>
      <c r="N73" s="27"/>
      <c r="O73" s="27"/>
      <c r="P73" s="27"/>
      <c r="Q73" s="27"/>
      <c r="R73" s="27"/>
      <c r="S73" s="38"/>
      <c r="T73" s="38"/>
      <c r="U73" s="38"/>
      <c r="V73" s="38"/>
      <c r="W73" s="28"/>
      <c r="X73" s="38"/>
      <c r="Y73" s="28"/>
      <c r="Z73" s="38"/>
      <c r="AA73" s="38"/>
      <c r="AB73" s="38"/>
      <c r="AC73" s="28"/>
      <c r="AD73" s="48"/>
      <c r="AE73" s="48"/>
      <c r="AF73" s="23"/>
    </row>
    <row r="74" spans="1:188">
      <c r="B74" s="39" t="s">
        <v>1</v>
      </c>
      <c r="C74" s="39"/>
      <c r="D74" s="39"/>
      <c r="E74" s="39"/>
      <c r="F74" s="39"/>
      <c r="G74" s="40">
        <f>SUM(G7:G73)</f>
        <v>150506.01</v>
      </c>
      <c r="H74" s="40">
        <f t="shared" ref="H74:L74" si="84">SUM(H8:H73)</f>
        <v>0</v>
      </c>
      <c r="I74" s="40">
        <f t="shared" si="84"/>
        <v>0</v>
      </c>
      <c r="J74" s="40">
        <f t="shared" si="84"/>
        <v>0</v>
      </c>
      <c r="K74" s="40">
        <f t="shared" si="84"/>
        <v>142052.58000000002</v>
      </c>
      <c r="L74" s="40">
        <f t="shared" si="84"/>
        <v>0</v>
      </c>
      <c r="M74" s="40"/>
      <c r="N74" s="40">
        <f>SUM(N8:N73)</f>
        <v>1066.5699999999995</v>
      </c>
      <c r="O74" s="41">
        <f t="shared" ref="O74:AF74" si="85">SUM(O8:O73)</f>
        <v>1300</v>
      </c>
      <c r="P74" s="41">
        <f t="shared" si="85"/>
        <v>0</v>
      </c>
      <c r="Q74" s="41">
        <f t="shared" si="85"/>
        <v>0</v>
      </c>
      <c r="R74" s="41">
        <f t="shared" si="85"/>
        <v>0</v>
      </c>
      <c r="S74" s="40">
        <f t="shared" si="85"/>
        <v>257.3</v>
      </c>
      <c r="T74" s="40">
        <f t="shared" si="85"/>
        <v>0.6</v>
      </c>
      <c r="U74" s="40">
        <f t="shared" si="85"/>
        <v>0</v>
      </c>
      <c r="V74" s="40">
        <f t="shared" si="85"/>
        <v>8020.9599999999991</v>
      </c>
      <c r="W74" s="40">
        <f t="shared" si="85"/>
        <v>130092.22999999998</v>
      </c>
      <c r="X74" s="40">
        <f t="shared" si="85"/>
        <v>12340.591</v>
      </c>
      <c r="Y74" s="40">
        <f t="shared" si="85"/>
        <v>116232.909</v>
      </c>
      <c r="Z74" s="40">
        <f t="shared" si="85"/>
        <v>567.05100000000004</v>
      </c>
      <c r="AA74" s="40">
        <f t="shared" si="85"/>
        <v>479.43000000000035</v>
      </c>
      <c r="AB74" s="40">
        <f t="shared" si="85"/>
        <v>0</v>
      </c>
      <c r="AC74" s="40">
        <f t="shared" si="85"/>
        <v>86791.940999999977</v>
      </c>
      <c r="AD74" s="49">
        <f t="shared" si="85"/>
        <v>0</v>
      </c>
      <c r="AE74" s="49">
        <f t="shared" si="85"/>
        <v>0</v>
      </c>
      <c r="AF74" s="42">
        <f t="shared" si="85"/>
        <v>-56821.491000000002</v>
      </c>
      <c r="AG74" s="29"/>
      <c r="AH74" s="29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C75" s="14">
        <f>AC74*0.16</f>
        <v>13886.710559999996</v>
      </c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>
      <c r="A76" s="113" t="s">
        <v>139</v>
      </c>
      <c r="B76" s="113"/>
      <c r="C76" s="43"/>
      <c r="D76" s="29"/>
      <c r="E76" s="29"/>
      <c r="F76" s="29"/>
      <c r="G76" s="31"/>
      <c r="H76" s="31"/>
      <c r="I76" s="31"/>
      <c r="J76" s="31"/>
      <c r="K76" s="40"/>
      <c r="L76" s="31"/>
      <c r="M76" s="31"/>
      <c r="N76" s="31"/>
      <c r="O76" s="35"/>
      <c r="P76" s="35"/>
      <c r="Q76" s="35"/>
      <c r="R76" s="35"/>
      <c r="S76" s="31"/>
      <c r="T76" s="31"/>
      <c r="U76" s="31"/>
      <c r="V76" s="31"/>
      <c r="W76" s="40"/>
      <c r="X76" s="31"/>
      <c r="Y76" s="40"/>
      <c r="Z76" s="31"/>
      <c r="AA76" s="31"/>
      <c r="AB76" s="31"/>
      <c r="AC76" s="40">
        <f>+AC74+AC75</f>
        <v>100678.65155999997</v>
      </c>
      <c r="AD76" s="49"/>
      <c r="AE76" s="49"/>
      <c r="AF76" s="42"/>
      <c r="AG76" s="29"/>
      <c r="AH76" s="29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</row>
    <row r="77" spans="1:188">
      <c r="A77" s="34" t="s">
        <v>44</v>
      </c>
      <c r="B77" s="34" t="s">
        <v>140</v>
      </c>
      <c r="C77" s="30"/>
      <c r="D77" s="30"/>
      <c r="E77" s="30" t="s">
        <v>179</v>
      </c>
      <c r="F77" s="58">
        <v>41142</v>
      </c>
      <c r="G77" s="35">
        <f>1899.397+5.571</f>
        <v>1904.9679999999998</v>
      </c>
      <c r="H77" s="32"/>
      <c r="I77" s="32"/>
      <c r="J77" s="32"/>
      <c r="K77" s="52">
        <f>SUM(G77:J77)</f>
        <v>1904.9679999999998</v>
      </c>
      <c r="L77" s="35">
        <v>134.66999999999999</v>
      </c>
      <c r="M77" s="70"/>
      <c r="N77" s="35"/>
      <c r="O77" s="35"/>
      <c r="P77" s="71" t="s">
        <v>185</v>
      </c>
      <c r="Q77" s="71" t="s">
        <v>185</v>
      </c>
      <c r="R77" s="35"/>
      <c r="S77" s="33"/>
      <c r="T77" s="33"/>
      <c r="U77" s="34"/>
      <c r="V77" s="34"/>
      <c r="W77" s="52">
        <f>+K77-SUM(L77:V77)</f>
        <v>1770.2979999999998</v>
      </c>
      <c r="X77" s="33">
        <f>+W77*0.05</f>
        <v>88.514899999999997</v>
      </c>
      <c r="Y77" s="52">
        <f>+W77-S77-V77</f>
        <v>1770.2979999999998</v>
      </c>
      <c r="Z77" s="64">
        <f>IF(W77&lt;3000,W77*0.1,0)</f>
        <v>177.02979999999999</v>
      </c>
      <c r="AA77" s="64">
        <v>0</v>
      </c>
      <c r="AB77" s="64"/>
      <c r="AC77" s="63">
        <f>+W77+Z77+AA77</f>
        <v>1947.3277999999998</v>
      </c>
      <c r="AD77" s="50"/>
      <c r="AE77" s="50"/>
      <c r="AF77" s="44"/>
      <c r="AG77" s="29"/>
      <c r="AH77" s="36" t="s">
        <v>221</v>
      </c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</row>
    <row r="78" spans="1:188" s="18" customFormat="1">
      <c r="A78" s="34" t="s">
        <v>44</v>
      </c>
      <c r="B78" s="34" t="s">
        <v>97</v>
      </c>
      <c r="C78" s="34"/>
      <c r="D78" s="34" t="s">
        <v>61</v>
      </c>
      <c r="E78" s="34" t="s">
        <v>179</v>
      </c>
      <c r="F78" s="57">
        <v>41381</v>
      </c>
      <c r="G78" s="35">
        <f>5537.95+2.599+22.56</f>
        <v>5563.1090000000004</v>
      </c>
      <c r="H78" s="35"/>
      <c r="I78" s="35"/>
      <c r="J78" s="51"/>
      <c r="K78" s="52">
        <f t="shared" ref="K78:K119" si="86">SUM(G78:I78)-J78</f>
        <v>5563.1090000000004</v>
      </c>
      <c r="L78" s="35">
        <v>372.75</v>
      </c>
      <c r="M78" s="70"/>
      <c r="N78" s="35"/>
      <c r="O78" s="35">
        <v>0</v>
      </c>
      <c r="P78" s="71" t="s">
        <v>185</v>
      </c>
      <c r="Q78" s="71" t="s">
        <v>185</v>
      </c>
      <c r="R78" s="35"/>
      <c r="S78" s="33"/>
      <c r="T78" s="33"/>
      <c r="U78" s="34"/>
      <c r="V78" s="34">
        <v>0</v>
      </c>
      <c r="W78" s="52">
        <f t="shared" ref="W78:W97" si="87">+K78-SUM(L78:V78)</f>
        <v>5190.3590000000004</v>
      </c>
      <c r="X78" s="33">
        <f t="shared" ref="X78:X89" si="88">IF(K78&gt;2250,K78*0.1,0)</f>
        <v>556.31090000000006</v>
      </c>
      <c r="Y78" s="52">
        <f t="shared" ref="Y78:Y89" si="89">+W78-X78</f>
        <v>4634.0481</v>
      </c>
      <c r="Z78" s="33">
        <f t="shared" ref="Z78:Z89" si="90">IF(K78&lt;2250,K78*0.1,0)</f>
        <v>0</v>
      </c>
      <c r="AA78" s="33">
        <v>10.23</v>
      </c>
      <c r="AB78" s="33" t="str">
        <f t="shared" ref="AB78:AB89" si="91">+P78</f>
        <v>X</v>
      </c>
      <c r="AC78" s="52" t="e">
        <f t="shared" ref="AC78:AC89" si="92">+K78+Z78+AA78+AB78</f>
        <v>#VALUE!</v>
      </c>
      <c r="AD78" s="59"/>
      <c r="AE78" s="60"/>
      <c r="AF78" s="53">
        <f t="shared" ref="AF78:AF84" si="93">+AD78+AE78-Y78</f>
        <v>-4634.0481</v>
      </c>
      <c r="AG78" s="34"/>
      <c r="AH78" s="36" t="s">
        <v>221</v>
      </c>
    </row>
    <row r="79" spans="1:188" s="18" customFormat="1">
      <c r="A79" s="34" t="s">
        <v>42</v>
      </c>
      <c r="B79" s="34" t="s">
        <v>237</v>
      </c>
      <c r="C79" s="34"/>
      <c r="D79" s="34"/>
      <c r="E79" s="34" t="s">
        <v>86</v>
      </c>
      <c r="F79" s="57">
        <v>42793</v>
      </c>
      <c r="G79" s="35">
        <f>2403+7.428</f>
        <v>2410.4279999999999</v>
      </c>
      <c r="H79" s="35"/>
      <c r="I79" s="35"/>
      <c r="J79" s="51"/>
      <c r="K79" s="52">
        <f t="shared" si="86"/>
        <v>2410.4279999999999</v>
      </c>
      <c r="L79" s="35"/>
      <c r="M79" s="70"/>
      <c r="N79" s="35"/>
      <c r="O79" s="35"/>
      <c r="P79" s="71"/>
      <c r="Q79" s="71"/>
      <c r="R79" s="35"/>
      <c r="S79" s="33"/>
      <c r="T79" s="33"/>
      <c r="U79" s="34"/>
      <c r="V79" s="34"/>
      <c r="W79" s="52">
        <f t="shared" si="87"/>
        <v>2410.4279999999999</v>
      </c>
      <c r="X79" s="33"/>
      <c r="Y79" s="52"/>
      <c r="Z79" s="33"/>
      <c r="AA79" s="33"/>
      <c r="AB79" s="33"/>
      <c r="AC79" s="52"/>
      <c r="AD79" s="59"/>
      <c r="AE79" s="60"/>
      <c r="AF79" s="53"/>
      <c r="AG79" s="34">
        <v>1507783140</v>
      </c>
      <c r="AH79" s="36"/>
    </row>
    <row r="80" spans="1:188" s="18" customFormat="1">
      <c r="A80" s="34" t="s">
        <v>44</v>
      </c>
      <c r="B80" s="34" t="s">
        <v>153</v>
      </c>
      <c r="C80" s="34"/>
      <c r="D80" s="34" t="s">
        <v>62</v>
      </c>
      <c r="E80" s="34" t="s">
        <v>179</v>
      </c>
      <c r="F80" s="57">
        <v>41740</v>
      </c>
      <c r="G80" s="35">
        <f>165.024+2.599</f>
        <v>167.62299999999999</v>
      </c>
      <c r="H80" s="35"/>
      <c r="I80" s="35"/>
      <c r="J80" s="51"/>
      <c r="K80" s="52">
        <f t="shared" si="86"/>
        <v>167.62299999999999</v>
      </c>
      <c r="L80" s="35">
        <v>275.38</v>
      </c>
      <c r="M80" s="70">
        <v>3</v>
      </c>
      <c r="N80" s="35"/>
      <c r="O80" s="35">
        <v>300</v>
      </c>
      <c r="P80" s="71" t="s">
        <v>185</v>
      </c>
      <c r="Q80" s="71" t="s">
        <v>185</v>
      </c>
      <c r="R80" s="35"/>
      <c r="S80" s="33"/>
      <c r="T80" s="33"/>
      <c r="U80" s="34"/>
      <c r="V80" s="34">
        <v>0</v>
      </c>
      <c r="W80" s="52">
        <f t="shared" si="87"/>
        <v>-410.75700000000001</v>
      </c>
      <c r="X80" s="33">
        <f t="shared" si="88"/>
        <v>0</v>
      </c>
      <c r="Y80" s="52">
        <f t="shared" si="89"/>
        <v>-410.75700000000001</v>
      </c>
      <c r="Z80" s="33">
        <f t="shared" si="90"/>
        <v>16.7623</v>
      </c>
      <c r="AA80" s="33">
        <v>10.23</v>
      </c>
      <c r="AB80" s="33" t="str">
        <f t="shared" si="91"/>
        <v>X</v>
      </c>
      <c r="AC80" s="52" t="e">
        <f t="shared" si="92"/>
        <v>#VALUE!</v>
      </c>
      <c r="AD80" s="59"/>
      <c r="AE80" s="60"/>
      <c r="AF80" s="53">
        <f t="shared" si="93"/>
        <v>410.75700000000001</v>
      </c>
      <c r="AG80" s="34"/>
      <c r="AH80" s="36" t="s">
        <v>221</v>
      </c>
    </row>
    <row r="81" spans="1:34" s="18" customFormat="1">
      <c r="A81" s="34" t="s">
        <v>44</v>
      </c>
      <c r="B81" s="34" t="s">
        <v>231</v>
      </c>
      <c r="C81" s="34"/>
      <c r="D81" s="34"/>
      <c r="E81" s="34" t="s">
        <v>175</v>
      </c>
      <c r="F81" s="57">
        <v>42779</v>
      </c>
      <c r="G81" s="35">
        <v>682.44600000000003</v>
      </c>
      <c r="H81" s="35"/>
      <c r="I81" s="35"/>
      <c r="J81" s="51"/>
      <c r="K81" s="52">
        <f t="shared" si="86"/>
        <v>682.44600000000003</v>
      </c>
      <c r="L81" s="35"/>
      <c r="M81" s="70"/>
      <c r="N81" s="35"/>
      <c r="O81" s="35"/>
      <c r="P81" s="71"/>
      <c r="Q81" s="71"/>
      <c r="R81" s="35"/>
      <c r="S81" s="33"/>
      <c r="T81" s="33"/>
      <c r="U81" s="34"/>
      <c r="V81" s="34"/>
      <c r="W81" s="52">
        <f t="shared" si="87"/>
        <v>682.44600000000003</v>
      </c>
      <c r="X81" s="33"/>
      <c r="Y81" s="52"/>
      <c r="Z81" s="33"/>
      <c r="AA81" s="33"/>
      <c r="AB81" s="33"/>
      <c r="AC81" s="52"/>
      <c r="AD81" s="59"/>
      <c r="AE81" s="60"/>
      <c r="AF81" s="53"/>
      <c r="AG81" s="34" t="s">
        <v>232</v>
      </c>
      <c r="AH81" s="36"/>
    </row>
    <row r="82" spans="1:34" s="18" customFormat="1">
      <c r="A82" s="106" t="s">
        <v>44</v>
      </c>
      <c r="B82" s="106" t="s">
        <v>253</v>
      </c>
      <c r="C82" s="106"/>
      <c r="D82" s="106"/>
      <c r="E82" s="106" t="s">
        <v>175</v>
      </c>
      <c r="F82" s="107">
        <v>42804</v>
      </c>
      <c r="G82" s="108"/>
      <c r="H82" s="108"/>
      <c r="I82" s="108"/>
      <c r="J82" s="109"/>
      <c r="K82" s="52">
        <f t="shared" si="86"/>
        <v>0</v>
      </c>
      <c r="L82" s="35"/>
      <c r="M82" s="70"/>
      <c r="N82" s="35"/>
      <c r="O82" s="35"/>
      <c r="P82" s="71"/>
      <c r="Q82" s="71"/>
      <c r="R82" s="35"/>
      <c r="S82" s="33"/>
      <c r="T82" s="33"/>
      <c r="U82" s="54"/>
      <c r="V82" s="34"/>
      <c r="W82" s="52">
        <f t="shared" si="87"/>
        <v>0</v>
      </c>
      <c r="X82" s="33"/>
      <c r="Y82" s="52"/>
      <c r="Z82" s="33"/>
      <c r="AA82" s="33"/>
      <c r="AB82" s="33"/>
      <c r="AC82" s="52"/>
      <c r="AD82" s="59"/>
      <c r="AE82" s="60"/>
      <c r="AF82" s="53"/>
      <c r="AG82" s="111" t="s">
        <v>252</v>
      </c>
      <c r="AH82" s="110"/>
    </row>
    <row r="83" spans="1:34" s="18" customFormat="1">
      <c r="A83" s="34" t="s">
        <v>44</v>
      </c>
      <c r="B83" s="34" t="s">
        <v>98</v>
      </c>
      <c r="C83" s="34"/>
      <c r="D83" s="34" t="s">
        <v>63</v>
      </c>
      <c r="E83" s="34" t="s">
        <v>90</v>
      </c>
      <c r="F83" s="57">
        <v>41227</v>
      </c>
      <c r="G83" s="35">
        <f>3687.27+7.428</f>
        <v>3694.6979999999999</v>
      </c>
      <c r="H83" s="35"/>
      <c r="I83" s="35"/>
      <c r="J83" s="51"/>
      <c r="K83" s="52">
        <f t="shared" si="86"/>
        <v>3694.6979999999999</v>
      </c>
      <c r="L83" s="35"/>
      <c r="M83" s="70"/>
      <c r="N83" s="35"/>
      <c r="O83" s="35">
        <v>700</v>
      </c>
      <c r="P83" s="71" t="s">
        <v>185</v>
      </c>
      <c r="Q83" s="71" t="s">
        <v>185</v>
      </c>
      <c r="R83" s="35"/>
      <c r="S83" s="33"/>
      <c r="T83" s="33"/>
      <c r="U83" s="34"/>
      <c r="V83" s="34">
        <v>0</v>
      </c>
      <c r="W83" s="52">
        <f t="shared" si="87"/>
        <v>2994.6979999999999</v>
      </c>
      <c r="X83" s="33">
        <f t="shared" si="88"/>
        <v>369.46980000000002</v>
      </c>
      <c r="Y83" s="52">
        <f t="shared" si="89"/>
        <v>2625.2282</v>
      </c>
      <c r="Z83" s="33">
        <f t="shared" si="90"/>
        <v>0</v>
      </c>
      <c r="AA83" s="33">
        <v>10.23</v>
      </c>
      <c r="AB83" s="33" t="str">
        <f t="shared" si="91"/>
        <v>X</v>
      </c>
      <c r="AC83" s="52" t="e">
        <f t="shared" si="92"/>
        <v>#VALUE!</v>
      </c>
      <c r="AD83" s="59"/>
      <c r="AE83" s="59"/>
      <c r="AF83" s="53">
        <f t="shared" si="93"/>
        <v>-2625.2282</v>
      </c>
      <c r="AG83" s="34"/>
      <c r="AH83" s="36"/>
    </row>
    <row r="84" spans="1:34" s="18" customFormat="1">
      <c r="A84" s="34" t="s">
        <v>44</v>
      </c>
      <c r="B84" s="34" t="s">
        <v>134</v>
      </c>
      <c r="C84" s="34"/>
      <c r="D84" s="34" t="s">
        <v>64</v>
      </c>
      <c r="E84" s="34" t="s">
        <v>209</v>
      </c>
      <c r="F84" s="57">
        <v>42242</v>
      </c>
      <c r="G84" s="35">
        <f>372.974+2.599</f>
        <v>375.57299999999998</v>
      </c>
      <c r="H84" s="35"/>
      <c r="I84" s="35"/>
      <c r="J84" s="51"/>
      <c r="K84" s="52">
        <f t="shared" si="86"/>
        <v>375.57299999999998</v>
      </c>
      <c r="L84" s="35"/>
      <c r="M84" s="70"/>
      <c r="N84" s="35"/>
      <c r="O84" s="35">
        <v>0</v>
      </c>
      <c r="P84" s="71" t="s">
        <v>185</v>
      </c>
      <c r="Q84" s="71" t="s">
        <v>185</v>
      </c>
      <c r="R84" s="35"/>
      <c r="S84" s="33"/>
      <c r="T84" s="33"/>
      <c r="U84" s="34"/>
      <c r="V84" s="34">
        <v>0</v>
      </c>
      <c r="W84" s="52">
        <f t="shared" si="87"/>
        <v>375.57299999999998</v>
      </c>
      <c r="X84" s="33">
        <f t="shared" si="88"/>
        <v>0</v>
      </c>
      <c r="Y84" s="52">
        <f t="shared" si="89"/>
        <v>375.57299999999998</v>
      </c>
      <c r="Z84" s="33">
        <f t="shared" si="90"/>
        <v>37.557299999999998</v>
      </c>
      <c r="AA84" s="33">
        <v>10.23</v>
      </c>
      <c r="AB84" s="33" t="str">
        <f t="shared" si="91"/>
        <v>X</v>
      </c>
      <c r="AC84" s="52" t="e">
        <f t="shared" si="92"/>
        <v>#VALUE!</v>
      </c>
      <c r="AD84" s="59"/>
      <c r="AE84" s="60"/>
      <c r="AF84" s="53">
        <f t="shared" si="93"/>
        <v>-375.57299999999998</v>
      </c>
      <c r="AG84" s="34"/>
      <c r="AH84" s="34"/>
    </row>
    <row r="85" spans="1:34" s="18" customFormat="1" ht="15.75">
      <c r="A85" s="34" t="s">
        <v>42</v>
      </c>
      <c r="B85" s="34" t="s">
        <v>148</v>
      </c>
      <c r="C85" s="34"/>
      <c r="D85" s="34" t="s">
        <v>54</v>
      </c>
      <c r="E85" s="34" t="s">
        <v>175</v>
      </c>
      <c r="F85" s="57">
        <v>42338</v>
      </c>
      <c r="G85" s="35">
        <f>2605.92+7.428</f>
        <v>2613.348</v>
      </c>
      <c r="H85" s="35"/>
      <c r="I85" s="35"/>
      <c r="J85" s="51"/>
      <c r="K85" s="52">
        <f t="shared" si="86"/>
        <v>2613.348</v>
      </c>
      <c r="L85" s="35"/>
      <c r="M85" s="70"/>
      <c r="N85" s="35"/>
      <c r="O85" s="35">
        <v>0</v>
      </c>
      <c r="P85" s="71"/>
      <c r="Q85" s="71"/>
      <c r="R85" s="35"/>
      <c r="S85" s="33"/>
      <c r="T85" s="86"/>
      <c r="U85" s="34"/>
      <c r="V85" s="34">
        <v>0</v>
      </c>
      <c r="W85" s="52">
        <f t="shared" si="87"/>
        <v>2613.348</v>
      </c>
      <c r="X85" s="33">
        <f t="shared" si="88"/>
        <v>261.33480000000003</v>
      </c>
      <c r="Y85" s="52">
        <f t="shared" si="89"/>
        <v>2352.0131999999999</v>
      </c>
      <c r="Z85" s="33">
        <f t="shared" si="90"/>
        <v>0</v>
      </c>
      <c r="AA85" s="33">
        <v>10.23</v>
      </c>
      <c r="AB85" s="33">
        <f t="shared" si="91"/>
        <v>0</v>
      </c>
      <c r="AC85" s="52">
        <f t="shared" si="92"/>
        <v>2623.578</v>
      </c>
      <c r="AD85" s="59"/>
      <c r="AE85" s="60"/>
      <c r="AF85" s="53">
        <f>+AD85+AE85-Y85</f>
        <v>-2352.0131999999999</v>
      </c>
      <c r="AG85" s="34"/>
      <c r="AH85" s="36"/>
    </row>
    <row r="86" spans="1:34" s="18" customFormat="1">
      <c r="A86" s="106" t="s">
        <v>44</v>
      </c>
      <c r="B86" s="106" t="s">
        <v>250</v>
      </c>
      <c r="C86" s="106"/>
      <c r="D86" s="106"/>
      <c r="E86" s="106" t="s">
        <v>175</v>
      </c>
      <c r="F86" s="107">
        <v>42807</v>
      </c>
      <c r="G86" s="108"/>
      <c r="H86" s="108"/>
      <c r="I86" s="108"/>
      <c r="J86" s="109"/>
      <c r="K86" s="52">
        <f t="shared" si="86"/>
        <v>0</v>
      </c>
      <c r="L86" s="35"/>
      <c r="M86" s="70"/>
      <c r="N86" s="35"/>
      <c r="O86" s="35"/>
      <c r="P86" s="71"/>
      <c r="Q86" s="71"/>
      <c r="R86" s="35"/>
      <c r="S86" s="33"/>
      <c r="T86" s="33"/>
      <c r="U86" s="54"/>
      <c r="V86" s="34"/>
      <c r="W86" s="52">
        <f t="shared" si="87"/>
        <v>0</v>
      </c>
      <c r="X86" s="33"/>
      <c r="Y86" s="52"/>
      <c r="Z86" s="33"/>
      <c r="AA86" s="33"/>
      <c r="AB86" s="33"/>
      <c r="AC86" s="52"/>
      <c r="AD86" s="59"/>
      <c r="AE86" s="60"/>
      <c r="AF86" s="53"/>
      <c r="AG86" s="111" t="s">
        <v>251</v>
      </c>
      <c r="AH86" s="110"/>
    </row>
    <row r="87" spans="1:34" s="18" customFormat="1">
      <c r="A87" s="34" t="s">
        <v>42</v>
      </c>
      <c r="B87" s="34" t="s">
        <v>200</v>
      </c>
      <c r="C87" s="34"/>
      <c r="D87" s="34"/>
      <c r="E87" s="34" t="s">
        <v>86</v>
      </c>
      <c r="F87" s="57">
        <v>42681</v>
      </c>
      <c r="G87" s="35">
        <f>3697.656+13.099</f>
        <v>3710.7550000000001</v>
      </c>
      <c r="H87" s="35"/>
      <c r="I87" s="35"/>
      <c r="J87" s="51"/>
      <c r="K87" s="52">
        <f t="shared" si="86"/>
        <v>3710.7550000000001</v>
      </c>
      <c r="L87" s="35"/>
      <c r="M87" s="70">
        <v>1</v>
      </c>
      <c r="N87" s="35"/>
      <c r="O87" s="35"/>
      <c r="P87" s="71"/>
      <c r="Q87" s="71"/>
      <c r="R87" s="35"/>
      <c r="S87" s="33"/>
      <c r="T87" s="33"/>
      <c r="U87" s="34"/>
      <c r="V87" s="34"/>
      <c r="W87" s="52">
        <f t="shared" si="87"/>
        <v>3709.7550000000001</v>
      </c>
      <c r="X87" s="33">
        <f t="shared" ref="X87" si="94">IF(K87&gt;2250,K87*0.1,0)</f>
        <v>371.07550000000003</v>
      </c>
      <c r="Y87" s="52">
        <f t="shared" ref="Y87" si="95">+W87-X87</f>
        <v>3338.6795000000002</v>
      </c>
      <c r="Z87" s="33"/>
      <c r="AA87" s="33"/>
      <c r="AB87" s="33"/>
      <c r="AC87" s="52"/>
      <c r="AD87" s="59"/>
      <c r="AE87" s="60"/>
      <c r="AF87" s="53"/>
      <c r="AG87" s="34">
        <v>1500026042</v>
      </c>
      <c r="AH87" s="36"/>
    </row>
    <row r="88" spans="1:34" s="18" customFormat="1">
      <c r="A88" s="34" t="s">
        <v>44</v>
      </c>
      <c r="B88" s="34" t="s">
        <v>158</v>
      </c>
      <c r="C88" s="34"/>
      <c r="D88" s="34" t="s">
        <v>65</v>
      </c>
      <c r="E88" s="34" t="s">
        <v>179</v>
      </c>
      <c r="F88" s="57">
        <v>41227</v>
      </c>
      <c r="G88" s="35">
        <f>1483.876+5.571</f>
        <v>1489.4469999999999</v>
      </c>
      <c r="H88" s="35"/>
      <c r="I88" s="35"/>
      <c r="J88" s="51"/>
      <c r="K88" s="52">
        <f t="shared" si="86"/>
        <v>1489.4469999999999</v>
      </c>
      <c r="L88" s="35">
        <v>199.21</v>
      </c>
      <c r="M88" s="70"/>
      <c r="N88" s="35"/>
      <c r="O88" s="35">
        <v>500</v>
      </c>
      <c r="P88" s="71" t="s">
        <v>185</v>
      </c>
      <c r="Q88" s="71" t="s">
        <v>185</v>
      </c>
      <c r="R88" s="35"/>
      <c r="S88" s="33"/>
      <c r="T88" s="33"/>
      <c r="U88" s="34"/>
      <c r="V88" s="34">
        <v>0</v>
      </c>
      <c r="W88" s="52">
        <f t="shared" si="87"/>
        <v>790.23699999999985</v>
      </c>
      <c r="X88" s="33">
        <f t="shared" si="88"/>
        <v>0</v>
      </c>
      <c r="Y88" s="52">
        <f t="shared" si="89"/>
        <v>790.23699999999985</v>
      </c>
      <c r="Z88" s="33">
        <f t="shared" si="90"/>
        <v>148.94469999999998</v>
      </c>
      <c r="AA88" s="33">
        <v>10.23</v>
      </c>
      <c r="AB88" s="33" t="str">
        <f t="shared" si="91"/>
        <v>X</v>
      </c>
      <c r="AC88" s="52" t="e">
        <f t="shared" si="92"/>
        <v>#VALUE!</v>
      </c>
      <c r="AD88" s="59"/>
      <c r="AE88" s="59"/>
      <c r="AF88" s="53">
        <f>+AD88+AE88-Y88</f>
        <v>-790.23699999999985</v>
      </c>
      <c r="AG88" s="34"/>
      <c r="AH88" s="36" t="s">
        <v>221</v>
      </c>
    </row>
    <row r="89" spans="1:34" s="18" customFormat="1">
      <c r="A89" s="34" t="s">
        <v>44</v>
      </c>
      <c r="B89" s="34" t="s">
        <v>114</v>
      </c>
      <c r="C89" s="34"/>
      <c r="D89" s="34" t="s">
        <v>66</v>
      </c>
      <c r="E89" s="34" t="s">
        <v>179</v>
      </c>
      <c r="F89" s="57">
        <v>41227</v>
      </c>
      <c r="G89" s="35">
        <f>5084.214+2.972+500</f>
        <v>5587.1859999999997</v>
      </c>
      <c r="H89" s="35"/>
      <c r="I89" s="35"/>
      <c r="J89" s="51"/>
      <c r="K89" s="52">
        <f t="shared" si="86"/>
        <v>5587.1859999999997</v>
      </c>
      <c r="L89" s="35"/>
      <c r="M89" s="70"/>
      <c r="N89" s="35"/>
      <c r="O89" s="35">
        <v>700</v>
      </c>
      <c r="P89" s="71" t="s">
        <v>185</v>
      </c>
      <c r="Q89" s="71" t="s">
        <v>185</v>
      </c>
      <c r="R89" s="35"/>
      <c r="S89" s="33"/>
      <c r="T89" s="33"/>
      <c r="U89" s="54"/>
      <c r="V89" s="34">
        <v>0</v>
      </c>
      <c r="W89" s="52">
        <f t="shared" si="87"/>
        <v>4887.1859999999997</v>
      </c>
      <c r="X89" s="33">
        <f t="shared" si="88"/>
        <v>558.71860000000004</v>
      </c>
      <c r="Y89" s="52">
        <f t="shared" si="89"/>
        <v>4328.4673999999995</v>
      </c>
      <c r="Z89" s="33">
        <f t="shared" si="90"/>
        <v>0</v>
      </c>
      <c r="AA89" s="33">
        <v>10.23</v>
      </c>
      <c r="AB89" s="33" t="str">
        <f t="shared" si="91"/>
        <v>X</v>
      </c>
      <c r="AC89" s="52" t="e">
        <f t="shared" si="92"/>
        <v>#VALUE!</v>
      </c>
      <c r="AD89" s="59"/>
      <c r="AE89" s="60"/>
      <c r="AF89" s="53">
        <f>+AD89+AE89-Y89</f>
        <v>-4328.4673999999995</v>
      </c>
      <c r="AG89" s="34"/>
      <c r="AH89" s="36"/>
    </row>
    <row r="90" spans="1:34" s="18" customFormat="1">
      <c r="A90" s="106" t="s">
        <v>42</v>
      </c>
      <c r="B90" s="106" t="s">
        <v>254</v>
      </c>
      <c r="C90" s="106"/>
      <c r="D90" s="106"/>
      <c r="E90" s="106" t="s">
        <v>86</v>
      </c>
      <c r="F90" s="107">
        <v>42803</v>
      </c>
      <c r="G90" s="108"/>
      <c r="H90" s="108"/>
      <c r="I90" s="108"/>
      <c r="J90" s="109"/>
      <c r="K90" s="52">
        <f t="shared" si="86"/>
        <v>0</v>
      </c>
      <c r="L90" s="35"/>
      <c r="M90" s="70"/>
      <c r="N90" s="35"/>
      <c r="O90" s="35"/>
      <c r="P90" s="71"/>
      <c r="Q90" s="71"/>
      <c r="R90" s="35"/>
      <c r="S90" s="33"/>
      <c r="T90" s="33"/>
      <c r="U90" s="54"/>
      <c r="V90" s="34"/>
      <c r="W90" s="52">
        <f t="shared" si="87"/>
        <v>0</v>
      </c>
      <c r="X90" s="33"/>
      <c r="Y90" s="52"/>
      <c r="Z90" s="33"/>
      <c r="AA90" s="33"/>
      <c r="AB90" s="33"/>
      <c r="AC90" s="52"/>
      <c r="AD90" s="59"/>
      <c r="AE90" s="60"/>
      <c r="AF90" s="53"/>
      <c r="AG90" s="110">
        <v>2861228129</v>
      </c>
      <c r="AH90" s="110" t="s">
        <v>245</v>
      </c>
    </row>
    <row r="91" spans="1:34" s="18" customFormat="1">
      <c r="A91" s="34" t="s">
        <v>42</v>
      </c>
      <c r="B91" s="34" t="s">
        <v>183</v>
      </c>
      <c r="C91" s="34"/>
      <c r="D91" s="34"/>
      <c r="E91" s="34" t="s">
        <v>209</v>
      </c>
      <c r="F91" s="57">
        <v>42604</v>
      </c>
      <c r="G91" s="35">
        <v>492.154</v>
      </c>
      <c r="H91" s="35"/>
      <c r="I91" s="35"/>
      <c r="J91" s="51"/>
      <c r="K91" s="52">
        <f t="shared" si="86"/>
        <v>492.154</v>
      </c>
      <c r="L91" s="35"/>
      <c r="M91" s="70"/>
      <c r="N91" s="35"/>
      <c r="O91" s="35"/>
      <c r="P91" s="71"/>
      <c r="Q91" s="71"/>
      <c r="R91" s="35"/>
      <c r="S91" s="33"/>
      <c r="T91" s="33"/>
      <c r="U91" s="34"/>
      <c r="V91" s="34"/>
      <c r="W91" s="52">
        <f t="shared" si="87"/>
        <v>492.154</v>
      </c>
      <c r="X91" s="33">
        <f t="shared" ref="X91" si="96">IF(K91&gt;2250,K91*0.1,0)</f>
        <v>0</v>
      </c>
      <c r="Y91" s="52">
        <f t="shared" ref="Y91" si="97">+W91-X91</f>
        <v>492.154</v>
      </c>
      <c r="Z91" s="33"/>
      <c r="AA91" s="33"/>
      <c r="AB91" s="33"/>
      <c r="AC91" s="52"/>
      <c r="AD91" s="59"/>
      <c r="AE91" s="60"/>
      <c r="AF91" s="53"/>
      <c r="AG91" s="34">
        <v>1258728658</v>
      </c>
      <c r="AH91" s="36"/>
    </row>
    <row r="92" spans="1:34" s="18" customFormat="1">
      <c r="A92" s="34" t="s">
        <v>42</v>
      </c>
      <c r="B92" s="34" t="s">
        <v>115</v>
      </c>
      <c r="C92" s="34"/>
      <c r="D92" s="34" t="s">
        <v>47</v>
      </c>
      <c r="E92" s="34" t="s">
        <v>86</v>
      </c>
      <c r="F92" s="57">
        <v>42319</v>
      </c>
      <c r="G92" s="35">
        <f>3876.416+13.099</f>
        <v>3889.5150000000003</v>
      </c>
      <c r="H92" s="35"/>
      <c r="I92" s="35"/>
      <c r="J92" s="51"/>
      <c r="K92" s="52">
        <f t="shared" si="86"/>
        <v>3889.5150000000003</v>
      </c>
      <c r="L92" s="35"/>
      <c r="M92" s="70">
        <v>1</v>
      </c>
      <c r="N92" s="35"/>
      <c r="O92" s="35">
        <v>0</v>
      </c>
      <c r="P92" s="71"/>
      <c r="Q92" s="71"/>
      <c r="R92" s="35"/>
      <c r="S92" s="33"/>
      <c r="T92" s="33"/>
      <c r="U92" s="34"/>
      <c r="V92" s="34">
        <v>0</v>
      </c>
      <c r="W92" s="52">
        <f t="shared" si="87"/>
        <v>3888.5150000000003</v>
      </c>
      <c r="X92" s="33">
        <f t="shared" ref="X92:X116" si="98">IF(K92&gt;2250,K92*0.1,0)</f>
        <v>388.95150000000007</v>
      </c>
      <c r="Y92" s="52">
        <f t="shared" ref="Y92:Y116" si="99">+W92-X92</f>
        <v>3499.5635000000002</v>
      </c>
      <c r="Z92" s="33">
        <f t="shared" ref="Z92:Z116" si="100">IF(K92&lt;2250,K92*0.1,0)</f>
        <v>0</v>
      </c>
      <c r="AA92" s="33">
        <v>19.23</v>
      </c>
      <c r="AB92" s="33">
        <f t="shared" ref="AB92:AB116" si="101">+P92</f>
        <v>0</v>
      </c>
      <c r="AC92" s="52">
        <f t="shared" ref="AC92:AC116" si="102">+K92+Z92+AA92+AB92</f>
        <v>3908.7450000000003</v>
      </c>
      <c r="AD92" s="59"/>
      <c r="AE92" s="60"/>
      <c r="AF92" s="53">
        <f>+AD92+AE92-Y92</f>
        <v>-3499.5635000000002</v>
      </c>
      <c r="AG92" s="34"/>
      <c r="AH92" s="36"/>
    </row>
    <row r="93" spans="1:34" s="18" customFormat="1">
      <c r="A93" s="106" t="s">
        <v>42</v>
      </c>
      <c r="B93" s="106" t="s">
        <v>246</v>
      </c>
      <c r="C93" s="106"/>
      <c r="D93" s="106"/>
      <c r="E93" s="106" t="s">
        <v>86</v>
      </c>
      <c r="F93" s="107">
        <v>42803</v>
      </c>
      <c r="G93" s="108"/>
      <c r="H93" s="108"/>
      <c r="I93" s="108"/>
      <c r="J93" s="109"/>
      <c r="K93" s="52">
        <f t="shared" si="86"/>
        <v>0</v>
      </c>
      <c r="L93" s="35"/>
      <c r="M93" s="70"/>
      <c r="N93" s="35"/>
      <c r="O93" s="35"/>
      <c r="P93" s="71"/>
      <c r="Q93" s="71"/>
      <c r="R93" s="35"/>
      <c r="S93" s="33"/>
      <c r="T93" s="33"/>
      <c r="U93" s="54"/>
      <c r="V93" s="34"/>
      <c r="W93" s="52">
        <f t="shared" si="87"/>
        <v>0</v>
      </c>
      <c r="X93" s="33"/>
      <c r="Y93" s="52"/>
      <c r="Z93" s="33"/>
      <c r="AA93" s="33"/>
      <c r="AB93" s="33"/>
      <c r="AC93" s="52"/>
      <c r="AD93" s="59"/>
      <c r="AE93" s="60"/>
      <c r="AF93" s="53"/>
      <c r="AG93" s="110">
        <v>1205413206</v>
      </c>
      <c r="AH93" s="110" t="s">
        <v>245</v>
      </c>
    </row>
    <row r="94" spans="1:34" s="18" customFormat="1">
      <c r="A94" s="34" t="s">
        <v>44</v>
      </c>
      <c r="B94" s="34" t="s">
        <v>94</v>
      </c>
      <c r="C94" s="34"/>
      <c r="D94" s="34" t="s">
        <v>67</v>
      </c>
      <c r="E94" s="34" t="s">
        <v>209</v>
      </c>
      <c r="F94" s="57">
        <v>41981</v>
      </c>
      <c r="G94" s="35">
        <f>991.867+3.736</f>
        <v>995.60299999999995</v>
      </c>
      <c r="H94" s="35"/>
      <c r="I94" s="35"/>
      <c r="J94" s="51"/>
      <c r="K94" s="52">
        <f t="shared" si="86"/>
        <v>995.60299999999995</v>
      </c>
      <c r="L94" s="35"/>
      <c r="M94" s="70"/>
      <c r="N94" s="35"/>
      <c r="O94" s="35">
        <v>300</v>
      </c>
      <c r="P94" s="71" t="s">
        <v>185</v>
      </c>
      <c r="Q94" s="71" t="s">
        <v>185</v>
      </c>
      <c r="R94" s="35"/>
      <c r="S94" s="33"/>
      <c r="T94" s="33"/>
      <c r="U94" s="34"/>
      <c r="V94" s="34">
        <v>0</v>
      </c>
      <c r="W94" s="52">
        <f t="shared" si="87"/>
        <v>695.60299999999995</v>
      </c>
      <c r="X94" s="33">
        <f t="shared" si="98"/>
        <v>0</v>
      </c>
      <c r="Y94" s="52">
        <f t="shared" si="99"/>
        <v>695.60299999999995</v>
      </c>
      <c r="Z94" s="33">
        <f t="shared" si="100"/>
        <v>99.560299999999998</v>
      </c>
      <c r="AA94" s="33">
        <v>10.23</v>
      </c>
      <c r="AB94" s="33" t="str">
        <f t="shared" si="101"/>
        <v>X</v>
      </c>
      <c r="AC94" s="52" t="e">
        <f t="shared" si="102"/>
        <v>#VALUE!</v>
      </c>
      <c r="AD94" s="59"/>
      <c r="AE94" s="59"/>
      <c r="AF94" s="53">
        <f t="shared" ref="AF94:AF116" si="103">+AD94+AE94-Y94</f>
        <v>-695.60299999999995</v>
      </c>
      <c r="AG94" s="34"/>
      <c r="AH94" s="34"/>
    </row>
    <row r="95" spans="1:34" s="18" customFormat="1">
      <c r="A95" s="34" t="s">
        <v>44</v>
      </c>
      <c r="B95" s="34" t="s">
        <v>131</v>
      </c>
      <c r="C95" s="34"/>
      <c r="D95" s="34" t="s">
        <v>132</v>
      </c>
      <c r="E95" s="34" t="s">
        <v>179</v>
      </c>
      <c r="F95" s="56">
        <v>41284</v>
      </c>
      <c r="G95" s="35">
        <f>3707.675+2.599</f>
        <v>3710.2740000000003</v>
      </c>
      <c r="H95" s="35"/>
      <c r="I95" s="35"/>
      <c r="J95" s="51"/>
      <c r="K95" s="52">
        <f t="shared" si="86"/>
        <v>3710.2740000000003</v>
      </c>
      <c r="L95" s="35">
        <v>246.63</v>
      </c>
      <c r="M95" s="70"/>
      <c r="N95" s="35"/>
      <c r="O95" s="35">
        <v>0</v>
      </c>
      <c r="P95" s="71" t="s">
        <v>185</v>
      </c>
      <c r="Q95" s="71" t="s">
        <v>185</v>
      </c>
      <c r="R95" s="35"/>
      <c r="S95" s="33"/>
      <c r="T95" s="33"/>
      <c r="U95" s="34"/>
      <c r="V95" s="34">
        <v>0</v>
      </c>
      <c r="W95" s="52">
        <f t="shared" si="87"/>
        <v>3463.6440000000002</v>
      </c>
      <c r="X95" s="33">
        <f t="shared" si="98"/>
        <v>371.02740000000006</v>
      </c>
      <c r="Y95" s="52">
        <f t="shared" si="99"/>
        <v>3092.6166000000003</v>
      </c>
      <c r="Z95" s="33">
        <f t="shared" si="100"/>
        <v>0</v>
      </c>
      <c r="AA95" s="33">
        <v>10.23</v>
      </c>
      <c r="AB95" s="33" t="str">
        <f t="shared" si="101"/>
        <v>X</v>
      </c>
      <c r="AC95" s="52" t="e">
        <f t="shared" si="102"/>
        <v>#VALUE!</v>
      </c>
      <c r="AD95" s="59"/>
      <c r="AE95" s="60"/>
      <c r="AF95" s="53">
        <f t="shared" si="103"/>
        <v>-3092.6166000000003</v>
      </c>
      <c r="AG95" s="34">
        <v>2948910731</v>
      </c>
      <c r="AH95" s="36" t="s">
        <v>221</v>
      </c>
    </row>
    <row r="96" spans="1:34" s="18" customFormat="1">
      <c r="A96" s="34" t="s">
        <v>44</v>
      </c>
      <c r="B96" s="34" t="s">
        <v>96</v>
      </c>
      <c r="C96" s="34"/>
      <c r="D96" s="34" t="s">
        <v>68</v>
      </c>
      <c r="E96" s="34" t="s">
        <v>179</v>
      </c>
      <c r="F96" s="56">
        <v>41227</v>
      </c>
      <c r="G96" s="35">
        <f>3394.967+2.972+21.74</f>
        <v>3419.6790000000001</v>
      </c>
      <c r="H96" s="35"/>
      <c r="I96" s="35"/>
      <c r="J96" s="51"/>
      <c r="K96" s="52">
        <f t="shared" si="86"/>
        <v>3419.6790000000001</v>
      </c>
      <c r="L96" s="35">
        <v>307.93</v>
      </c>
      <c r="M96" s="70"/>
      <c r="N96" s="35"/>
      <c r="O96" s="35">
        <v>0</v>
      </c>
      <c r="P96" s="71" t="s">
        <v>185</v>
      </c>
      <c r="Q96" s="71" t="s">
        <v>185</v>
      </c>
      <c r="R96" s="35"/>
      <c r="S96" s="33"/>
      <c r="T96" s="33"/>
      <c r="U96" s="34"/>
      <c r="V96" s="34">
        <v>0</v>
      </c>
      <c r="W96" s="52">
        <f t="shared" si="87"/>
        <v>3111.7490000000003</v>
      </c>
      <c r="X96" s="33">
        <f t="shared" si="98"/>
        <v>341.96790000000004</v>
      </c>
      <c r="Y96" s="52">
        <f t="shared" si="99"/>
        <v>2769.7811000000002</v>
      </c>
      <c r="Z96" s="33">
        <f t="shared" si="100"/>
        <v>0</v>
      </c>
      <c r="AA96" s="33">
        <v>10.23</v>
      </c>
      <c r="AB96" s="33" t="str">
        <f t="shared" si="101"/>
        <v>X</v>
      </c>
      <c r="AC96" s="52" t="e">
        <f t="shared" si="102"/>
        <v>#VALUE!</v>
      </c>
      <c r="AD96" s="59"/>
      <c r="AE96" s="59"/>
      <c r="AF96" s="53">
        <f t="shared" si="103"/>
        <v>-2769.7811000000002</v>
      </c>
      <c r="AG96" s="34"/>
      <c r="AH96" s="36" t="s">
        <v>221</v>
      </c>
    </row>
    <row r="97" spans="1:188" s="18" customFormat="1">
      <c r="A97" s="34" t="s">
        <v>42</v>
      </c>
      <c r="B97" s="34" t="s">
        <v>116</v>
      </c>
      <c r="C97" s="34"/>
      <c r="D97" s="34" t="s">
        <v>48</v>
      </c>
      <c r="E97" s="34" t="s">
        <v>86</v>
      </c>
      <c r="F97" s="56">
        <v>41493</v>
      </c>
      <c r="G97" s="35">
        <f>4664.14+13.099</f>
        <v>4677.2390000000005</v>
      </c>
      <c r="H97" s="35"/>
      <c r="I97" s="35"/>
      <c r="J97" s="51"/>
      <c r="K97" s="52">
        <f t="shared" si="86"/>
        <v>4677.2390000000005</v>
      </c>
      <c r="L97" s="35"/>
      <c r="M97" s="70"/>
      <c r="N97" s="35"/>
      <c r="O97" s="35">
        <v>0</v>
      </c>
      <c r="P97" s="71"/>
      <c r="Q97" s="71"/>
      <c r="R97" s="35"/>
      <c r="S97" s="33"/>
      <c r="T97" s="33"/>
      <c r="U97" s="34"/>
      <c r="V97" s="34">
        <v>0</v>
      </c>
      <c r="W97" s="52">
        <f t="shared" si="87"/>
        <v>4677.2390000000005</v>
      </c>
      <c r="X97" s="33">
        <f t="shared" si="98"/>
        <v>467.72390000000007</v>
      </c>
      <c r="Y97" s="52">
        <f t="shared" si="99"/>
        <v>4209.5151000000005</v>
      </c>
      <c r="Z97" s="33">
        <f t="shared" si="100"/>
        <v>0</v>
      </c>
      <c r="AA97" s="33">
        <v>10.23</v>
      </c>
      <c r="AB97" s="33">
        <f t="shared" si="101"/>
        <v>0</v>
      </c>
      <c r="AC97" s="52">
        <f t="shared" si="102"/>
        <v>4687.4690000000001</v>
      </c>
      <c r="AD97" s="59"/>
      <c r="AE97" s="60"/>
      <c r="AF97" s="53">
        <f t="shared" si="103"/>
        <v>-4209.5151000000005</v>
      </c>
      <c r="AG97" s="34"/>
      <c r="AH97" s="36"/>
    </row>
    <row r="98" spans="1:188" s="18" customFormat="1">
      <c r="A98" s="34" t="s">
        <v>44</v>
      </c>
      <c r="B98" s="34" t="s">
        <v>171</v>
      </c>
      <c r="C98" s="34"/>
      <c r="D98" s="34"/>
      <c r="E98" s="34" t="s">
        <v>209</v>
      </c>
      <c r="F98" s="57">
        <v>42493</v>
      </c>
      <c r="G98" s="35">
        <f>1265.289+5.571</f>
        <v>1270.8599999999999</v>
      </c>
      <c r="H98" s="35"/>
      <c r="I98" s="35"/>
      <c r="J98" s="51"/>
      <c r="K98" s="52">
        <f t="shared" si="86"/>
        <v>1270.8599999999999</v>
      </c>
      <c r="L98" s="35"/>
      <c r="M98" s="70"/>
      <c r="N98" s="35"/>
      <c r="O98" s="35">
        <v>0</v>
      </c>
      <c r="P98" s="71" t="s">
        <v>185</v>
      </c>
      <c r="Q98" s="71" t="s">
        <v>185</v>
      </c>
      <c r="R98" s="35"/>
      <c r="S98" s="33"/>
      <c r="T98" s="33"/>
      <c r="U98" s="34"/>
      <c r="V98" s="34">
        <v>0</v>
      </c>
      <c r="W98" s="52">
        <f t="shared" ref="W98:W116" si="104">+K98-SUM(L98:V98)</f>
        <v>1270.8599999999999</v>
      </c>
      <c r="X98" s="33">
        <f t="shared" si="98"/>
        <v>0</v>
      </c>
      <c r="Y98" s="52">
        <f t="shared" si="99"/>
        <v>1270.8599999999999</v>
      </c>
      <c r="Z98" s="33">
        <f t="shared" si="100"/>
        <v>127.086</v>
      </c>
      <c r="AA98" s="33">
        <v>10.23</v>
      </c>
      <c r="AB98" s="33" t="str">
        <f t="shared" si="101"/>
        <v>X</v>
      </c>
      <c r="AC98" s="52" t="e">
        <f t="shared" si="102"/>
        <v>#VALUE!</v>
      </c>
      <c r="AD98" s="59"/>
      <c r="AE98" s="59"/>
      <c r="AF98" s="53">
        <f t="shared" si="103"/>
        <v>-1270.8599999999999</v>
      </c>
      <c r="AG98" s="34"/>
      <c r="AH98" s="36"/>
    </row>
    <row r="99" spans="1:188">
      <c r="A99" s="29" t="s">
        <v>30</v>
      </c>
      <c r="B99" s="34" t="s">
        <v>142</v>
      </c>
      <c r="C99" s="29"/>
      <c r="D99" s="29"/>
      <c r="E99" s="29" t="s">
        <v>88</v>
      </c>
      <c r="F99" s="69">
        <v>40813</v>
      </c>
      <c r="G99" s="79">
        <v>400</v>
      </c>
      <c r="H99" s="31"/>
      <c r="I99" s="31"/>
      <c r="J99" s="31"/>
      <c r="K99" s="52">
        <f>SUM(G99:J99)</f>
        <v>400</v>
      </c>
      <c r="L99" s="35"/>
      <c r="M99" s="70"/>
      <c r="N99" s="35"/>
      <c r="O99" s="35"/>
      <c r="P99" s="71"/>
      <c r="Q99" s="71"/>
      <c r="R99" s="35"/>
      <c r="S99" s="33"/>
      <c r="T99" s="33"/>
      <c r="U99" s="34"/>
      <c r="V99" s="34"/>
      <c r="W99" s="52">
        <f t="shared" si="104"/>
        <v>400</v>
      </c>
      <c r="X99" s="33">
        <f t="shared" ref="X99" si="105">+W99*0.05</f>
        <v>20</v>
      </c>
      <c r="Y99" s="52">
        <f t="shared" ref="Y99" si="106">+W99-S99-V99</f>
        <v>400</v>
      </c>
      <c r="Z99" s="64">
        <f t="shared" ref="Z99" si="107">IF(W99&lt;3000,W99*0.1,0)</f>
        <v>40</v>
      </c>
      <c r="AA99" s="64"/>
      <c r="AB99" s="64"/>
      <c r="AC99" s="63">
        <f t="shared" ref="AC99" si="108">+W99+Z99+AA99</f>
        <v>440</v>
      </c>
      <c r="AD99" s="49"/>
      <c r="AE99" s="49"/>
      <c r="AF99" s="42"/>
      <c r="AG99" s="29"/>
      <c r="AH99" s="36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</row>
    <row r="100" spans="1:188" s="18" customFormat="1">
      <c r="A100" s="34" t="s">
        <v>42</v>
      </c>
      <c r="B100" s="34" t="s">
        <v>208</v>
      </c>
      <c r="C100" s="34"/>
      <c r="D100" s="34"/>
      <c r="E100" s="34" t="s">
        <v>175</v>
      </c>
      <c r="F100" s="57">
        <v>42716</v>
      </c>
      <c r="G100" s="35">
        <v>0</v>
      </c>
      <c r="H100" s="35"/>
      <c r="I100" s="35"/>
      <c r="J100" s="51"/>
      <c r="K100" s="52">
        <f t="shared" si="86"/>
        <v>0</v>
      </c>
      <c r="L100" s="35"/>
      <c r="M100" s="70"/>
      <c r="N100" s="35"/>
      <c r="O100" s="35"/>
      <c r="P100" s="71"/>
      <c r="Q100" s="71"/>
      <c r="R100" s="35"/>
      <c r="S100" s="33"/>
      <c r="T100" s="33"/>
      <c r="U100" s="34"/>
      <c r="V100" s="68">
        <v>301.08999999999997</v>
      </c>
      <c r="W100" s="52">
        <f t="shared" ref="W100" si="109">+K100-SUM(L100:V100)</f>
        <v>-301.08999999999997</v>
      </c>
      <c r="X100" s="33">
        <f t="shared" ref="X100" si="110">IF(K100&gt;2250,K100*0.1,0)</f>
        <v>0</v>
      </c>
      <c r="Y100" s="52">
        <f t="shared" ref="Y100" si="111">+W100-X100</f>
        <v>-301.08999999999997</v>
      </c>
      <c r="Z100" s="33"/>
      <c r="AA100" s="33"/>
      <c r="AB100" s="33"/>
      <c r="AC100" s="52"/>
      <c r="AD100" s="59"/>
      <c r="AE100" s="59"/>
      <c r="AF100" s="53"/>
      <c r="AG100" s="36">
        <v>1275625157</v>
      </c>
      <c r="AH100" s="36"/>
    </row>
    <row r="101" spans="1:188" s="18" customFormat="1">
      <c r="A101" s="34" t="s">
        <v>42</v>
      </c>
      <c r="B101" s="34" t="s">
        <v>149</v>
      </c>
      <c r="C101" s="34"/>
      <c r="D101" s="34" t="s">
        <v>49</v>
      </c>
      <c r="E101" s="34" t="s">
        <v>86</v>
      </c>
      <c r="F101" s="57">
        <v>42170</v>
      </c>
      <c r="G101" s="35">
        <f>2422.76+13.099</f>
        <v>2435.8590000000004</v>
      </c>
      <c r="H101" s="35"/>
      <c r="I101" s="35"/>
      <c r="J101" s="51"/>
      <c r="K101" s="52">
        <f t="shared" si="86"/>
        <v>2435.8590000000004</v>
      </c>
      <c r="L101" s="70"/>
      <c r="M101" s="70"/>
      <c r="N101" s="35"/>
      <c r="O101" s="35">
        <v>0</v>
      </c>
      <c r="P101" s="71"/>
      <c r="Q101" s="71"/>
      <c r="R101" s="35"/>
      <c r="S101" s="33"/>
      <c r="T101" s="33"/>
      <c r="U101" s="34"/>
      <c r="V101" s="34">
        <v>0</v>
      </c>
      <c r="W101" s="52">
        <f t="shared" si="104"/>
        <v>2435.8590000000004</v>
      </c>
      <c r="X101" s="33">
        <f t="shared" si="98"/>
        <v>243.58590000000004</v>
      </c>
      <c r="Y101" s="52">
        <f t="shared" si="99"/>
        <v>2192.2731000000003</v>
      </c>
      <c r="Z101" s="33">
        <f t="shared" si="100"/>
        <v>0</v>
      </c>
      <c r="AA101" s="33">
        <v>10.23</v>
      </c>
      <c r="AB101" s="33">
        <f t="shared" si="101"/>
        <v>0</v>
      </c>
      <c r="AC101" s="52">
        <f t="shared" si="102"/>
        <v>2446.0890000000004</v>
      </c>
      <c r="AD101" s="59"/>
      <c r="AE101" s="60"/>
      <c r="AF101" s="53">
        <f t="shared" si="103"/>
        <v>-2192.2731000000003</v>
      </c>
      <c r="AG101" s="34"/>
      <c r="AH101" s="36"/>
    </row>
    <row r="102" spans="1:188" s="18" customFormat="1">
      <c r="A102" s="34" t="s">
        <v>44</v>
      </c>
      <c r="B102" s="34" t="s">
        <v>103</v>
      </c>
      <c r="C102" s="34"/>
      <c r="D102" s="34" t="s">
        <v>69</v>
      </c>
      <c r="E102" s="34" t="s">
        <v>178</v>
      </c>
      <c r="F102" s="57">
        <v>36868</v>
      </c>
      <c r="G102" s="35">
        <f>3080.481+3.714</f>
        <v>3084.1950000000002</v>
      </c>
      <c r="H102" s="35"/>
      <c r="I102" s="35"/>
      <c r="J102" s="51"/>
      <c r="K102" s="52">
        <f t="shared" si="86"/>
        <v>3084.1950000000002</v>
      </c>
      <c r="L102" s="35">
        <v>236.31</v>
      </c>
      <c r="M102" s="70"/>
      <c r="N102" s="35"/>
      <c r="O102" s="35">
        <v>0</v>
      </c>
      <c r="P102" s="71" t="s">
        <v>185</v>
      </c>
      <c r="Q102" s="71" t="s">
        <v>185</v>
      </c>
      <c r="R102" s="35"/>
      <c r="S102" s="33"/>
      <c r="T102" s="33"/>
      <c r="U102" s="34"/>
      <c r="V102" s="34">
        <v>0</v>
      </c>
      <c r="W102" s="52">
        <f t="shared" si="104"/>
        <v>2847.8850000000002</v>
      </c>
      <c r="X102" s="33">
        <f t="shared" si="98"/>
        <v>308.41950000000003</v>
      </c>
      <c r="Y102" s="52">
        <f t="shared" si="99"/>
        <v>2539.4655000000002</v>
      </c>
      <c r="Z102" s="33">
        <f t="shared" si="100"/>
        <v>0</v>
      </c>
      <c r="AA102" s="33">
        <v>10.23</v>
      </c>
      <c r="AB102" s="33" t="str">
        <f t="shared" si="101"/>
        <v>X</v>
      </c>
      <c r="AC102" s="52" t="e">
        <f t="shared" si="102"/>
        <v>#VALUE!</v>
      </c>
      <c r="AD102" s="59"/>
      <c r="AE102" s="59"/>
      <c r="AF102" s="53">
        <f t="shared" si="103"/>
        <v>-2539.4655000000002</v>
      </c>
      <c r="AG102" s="34"/>
      <c r="AH102" s="36" t="s">
        <v>221</v>
      </c>
    </row>
    <row r="103" spans="1:188" s="18" customFormat="1">
      <c r="A103" s="34" t="s">
        <v>44</v>
      </c>
      <c r="B103" s="34" t="s">
        <v>99</v>
      </c>
      <c r="C103" s="34"/>
      <c r="D103" s="34" t="s">
        <v>70</v>
      </c>
      <c r="E103" s="34" t="s">
        <v>176</v>
      </c>
      <c r="F103" s="57">
        <v>41949</v>
      </c>
      <c r="G103" s="35">
        <f>2750.1+7.428</f>
        <v>2757.5279999999998</v>
      </c>
      <c r="H103" s="35"/>
      <c r="I103" s="35"/>
      <c r="J103" s="51"/>
      <c r="K103" s="52">
        <f t="shared" si="86"/>
        <v>2757.5279999999998</v>
      </c>
      <c r="L103" s="35"/>
      <c r="M103" s="70"/>
      <c r="N103" s="35"/>
      <c r="O103" s="35">
        <v>250</v>
      </c>
      <c r="P103" s="71" t="s">
        <v>185</v>
      </c>
      <c r="Q103" s="71" t="s">
        <v>185</v>
      </c>
      <c r="R103" s="35"/>
      <c r="S103" s="33"/>
      <c r="T103" s="33"/>
      <c r="U103" s="34"/>
      <c r="V103" s="34">
        <v>0</v>
      </c>
      <c r="W103" s="52">
        <f t="shared" si="104"/>
        <v>2507.5279999999998</v>
      </c>
      <c r="X103" s="33">
        <f t="shared" si="98"/>
        <v>275.75279999999998</v>
      </c>
      <c r="Y103" s="52">
        <f t="shared" si="99"/>
        <v>2231.7752</v>
      </c>
      <c r="Z103" s="33">
        <f t="shared" si="100"/>
        <v>0</v>
      </c>
      <c r="AA103" s="33">
        <v>10.23</v>
      </c>
      <c r="AB103" s="33" t="str">
        <f t="shared" si="101"/>
        <v>X</v>
      </c>
      <c r="AC103" s="52" t="e">
        <f t="shared" si="102"/>
        <v>#VALUE!</v>
      </c>
      <c r="AD103" s="59"/>
      <c r="AE103" s="60"/>
      <c r="AF103" s="53">
        <f t="shared" si="103"/>
        <v>-2231.7752</v>
      </c>
      <c r="AG103" s="34"/>
      <c r="AH103" s="34"/>
    </row>
    <row r="104" spans="1:188" s="18" customFormat="1">
      <c r="A104" s="34" t="s">
        <v>42</v>
      </c>
      <c r="B104" s="34" t="s">
        <v>223</v>
      </c>
      <c r="C104" s="34"/>
      <c r="D104" s="34"/>
      <c r="E104" s="34" t="s">
        <v>175</v>
      </c>
      <c r="F104" s="57">
        <v>42756</v>
      </c>
      <c r="G104" s="35">
        <v>200</v>
      </c>
      <c r="H104" s="35"/>
      <c r="I104" s="35"/>
      <c r="J104" s="51"/>
      <c r="K104" s="52">
        <f t="shared" si="86"/>
        <v>200</v>
      </c>
      <c r="L104" s="35"/>
      <c r="M104" s="70"/>
      <c r="N104" s="35"/>
      <c r="O104" s="35"/>
      <c r="P104" s="71"/>
      <c r="Q104" s="71"/>
      <c r="R104" s="35"/>
      <c r="S104" s="33"/>
      <c r="T104" s="33"/>
      <c r="U104" s="34"/>
      <c r="V104" s="34"/>
      <c r="W104" s="52">
        <f t="shared" ref="W104:W105" si="112">+K104-SUM(L104:V104)</f>
        <v>200</v>
      </c>
      <c r="X104" s="33">
        <f t="shared" ref="X104:X105" si="113">IF(K104&gt;2250,K104*0.1,0)</f>
        <v>0</v>
      </c>
      <c r="Y104" s="52">
        <f t="shared" ref="Y104:Y105" si="114">+W104-X104</f>
        <v>200</v>
      </c>
      <c r="Z104" s="33"/>
      <c r="AA104" s="33"/>
      <c r="AB104" s="33"/>
      <c r="AC104" s="52"/>
      <c r="AD104" s="59"/>
      <c r="AE104" s="60"/>
      <c r="AF104" s="53"/>
      <c r="AG104" s="34">
        <v>2694658981</v>
      </c>
      <c r="AH104" s="34"/>
    </row>
    <row r="105" spans="1:188" s="18" customFormat="1">
      <c r="A105" s="34" t="s">
        <v>42</v>
      </c>
      <c r="B105" s="34" t="s">
        <v>36</v>
      </c>
      <c r="C105" s="34"/>
      <c r="D105" s="34" t="s">
        <v>50</v>
      </c>
      <c r="E105" s="34" t="s">
        <v>86</v>
      </c>
      <c r="F105" s="57">
        <v>42129</v>
      </c>
      <c r="G105" s="35">
        <f>4616.34+13.099</f>
        <v>4629.4390000000003</v>
      </c>
      <c r="H105" s="35"/>
      <c r="I105" s="35"/>
      <c r="J105" s="51"/>
      <c r="K105" s="52">
        <f t="shared" si="86"/>
        <v>4629.4390000000003</v>
      </c>
      <c r="L105" s="35"/>
      <c r="M105" s="70"/>
      <c r="N105" s="35"/>
      <c r="O105" s="35">
        <v>0</v>
      </c>
      <c r="P105" s="71"/>
      <c r="Q105" s="71"/>
      <c r="R105" s="35"/>
      <c r="S105" s="33"/>
      <c r="T105" s="33"/>
      <c r="U105" s="34"/>
      <c r="V105" s="34">
        <v>0</v>
      </c>
      <c r="W105" s="52">
        <f t="shared" si="112"/>
        <v>4629.4390000000003</v>
      </c>
      <c r="X105" s="33">
        <f t="shared" si="113"/>
        <v>462.94390000000004</v>
      </c>
      <c r="Y105" s="52">
        <f t="shared" si="114"/>
        <v>4166.4951000000001</v>
      </c>
      <c r="Z105" s="33">
        <f t="shared" si="100"/>
        <v>0</v>
      </c>
      <c r="AA105" s="33">
        <v>10.23</v>
      </c>
      <c r="AB105" s="33">
        <f t="shared" si="101"/>
        <v>0</v>
      </c>
      <c r="AC105" s="52">
        <f t="shared" si="102"/>
        <v>4639.6689999999999</v>
      </c>
      <c r="AD105" s="59"/>
      <c r="AE105" s="60"/>
      <c r="AF105" s="53">
        <f t="shared" si="103"/>
        <v>-4166.4951000000001</v>
      </c>
      <c r="AG105" s="34"/>
      <c r="AH105" s="36"/>
    </row>
    <row r="106" spans="1:188" s="18" customFormat="1">
      <c r="A106" s="34" t="s">
        <v>42</v>
      </c>
      <c r="B106" s="34" t="s">
        <v>135</v>
      </c>
      <c r="C106" s="34"/>
      <c r="D106" s="34"/>
      <c r="E106" s="34" t="s">
        <v>175</v>
      </c>
      <c r="F106" s="57">
        <v>42422</v>
      </c>
      <c r="G106" s="35">
        <f>3005.532+13.099</f>
        <v>3018.6310000000003</v>
      </c>
      <c r="H106" s="35"/>
      <c r="I106" s="35"/>
      <c r="J106" s="51"/>
      <c r="K106" s="52">
        <f t="shared" si="86"/>
        <v>3018.6310000000003</v>
      </c>
      <c r="L106" s="35"/>
      <c r="M106" s="70"/>
      <c r="N106" s="35"/>
      <c r="O106" s="35">
        <v>0</v>
      </c>
      <c r="P106" s="71"/>
      <c r="Q106" s="71"/>
      <c r="R106" s="35"/>
      <c r="S106" s="33"/>
      <c r="T106" s="33"/>
      <c r="U106" s="34"/>
      <c r="V106" s="34">
        <v>0</v>
      </c>
      <c r="W106" s="52">
        <f t="shared" ref="W106" si="115">+K106-SUM(L106:V106)</f>
        <v>3018.6310000000003</v>
      </c>
      <c r="X106" s="33">
        <f t="shared" ref="X106" si="116">IF(K106&gt;2250,K106*0.1,0)</f>
        <v>301.86310000000003</v>
      </c>
      <c r="Y106" s="52">
        <f t="shared" ref="Y106" si="117">+W106-X106</f>
        <v>2716.7679000000003</v>
      </c>
      <c r="Z106" s="33">
        <f t="shared" si="100"/>
        <v>0</v>
      </c>
      <c r="AA106" s="33">
        <v>10.23</v>
      </c>
      <c r="AB106" s="33">
        <f t="shared" si="101"/>
        <v>0</v>
      </c>
      <c r="AC106" s="52">
        <f t="shared" si="102"/>
        <v>3028.8610000000003</v>
      </c>
      <c r="AD106" s="59"/>
      <c r="AE106" s="60"/>
      <c r="AF106" s="53">
        <f t="shared" si="103"/>
        <v>-2716.7679000000003</v>
      </c>
      <c r="AG106" s="34"/>
      <c r="AH106" s="36"/>
    </row>
    <row r="107" spans="1:188" s="18" customFormat="1">
      <c r="A107" s="34" t="s">
        <v>44</v>
      </c>
      <c r="B107" s="34" t="s">
        <v>150</v>
      </c>
      <c r="C107" s="34"/>
      <c r="D107" s="34" t="s">
        <v>71</v>
      </c>
      <c r="E107" s="34" t="s">
        <v>179</v>
      </c>
      <c r="F107" s="57">
        <v>41227</v>
      </c>
      <c r="G107" s="35">
        <f>2606.447+2.599+23.76</f>
        <v>2632.8060000000005</v>
      </c>
      <c r="H107" s="35"/>
      <c r="I107" s="35"/>
      <c r="J107" s="51"/>
      <c r="K107" s="52">
        <f t="shared" si="86"/>
        <v>2632.8060000000005</v>
      </c>
      <c r="L107" s="35">
        <f>209.76+1216.5</f>
        <v>1426.26</v>
      </c>
      <c r="M107" s="70"/>
      <c r="N107" s="35"/>
      <c r="O107" s="35">
        <v>400</v>
      </c>
      <c r="P107" s="71" t="s">
        <v>185</v>
      </c>
      <c r="Q107" s="71" t="s">
        <v>185</v>
      </c>
      <c r="R107" s="35">
        <v>343.11</v>
      </c>
      <c r="S107" s="33"/>
      <c r="T107" s="33"/>
      <c r="U107" s="34"/>
      <c r="V107" s="34">
        <v>0</v>
      </c>
      <c r="W107" s="52">
        <f t="shared" si="104"/>
        <v>463.4360000000006</v>
      </c>
      <c r="X107" s="33">
        <f t="shared" si="98"/>
        <v>263.28060000000005</v>
      </c>
      <c r="Y107" s="52">
        <f t="shared" si="99"/>
        <v>200.15540000000055</v>
      </c>
      <c r="Z107" s="33">
        <f t="shared" si="100"/>
        <v>0</v>
      </c>
      <c r="AA107" s="33">
        <v>10.23</v>
      </c>
      <c r="AB107" s="33" t="str">
        <f t="shared" si="101"/>
        <v>X</v>
      </c>
      <c r="AC107" s="52" t="e">
        <f t="shared" si="102"/>
        <v>#VALUE!</v>
      </c>
      <c r="AD107" s="59"/>
      <c r="AE107" s="59"/>
      <c r="AF107" s="53">
        <f t="shared" si="103"/>
        <v>-200.15540000000055</v>
      </c>
      <c r="AG107" s="34"/>
      <c r="AH107" s="36" t="s">
        <v>221</v>
      </c>
    </row>
    <row r="108" spans="1:188" s="18" customFormat="1">
      <c r="A108" s="34" t="s">
        <v>44</v>
      </c>
      <c r="B108" s="34" t="s">
        <v>216</v>
      </c>
      <c r="C108" s="34"/>
      <c r="D108" s="34"/>
      <c r="E108" s="34" t="s">
        <v>175</v>
      </c>
      <c r="F108" s="57">
        <v>42746</v>
      </c>
      <c r="G108" s="35">
        <v>623.53099999999995</v>
      </c>
      <c r="H108" s="35"/>
      <c r="I108" s="35"/>
      <c r="J108" s="51"/>
      <c r="K108" s="52">
        <f t="shared" si="86"/>
        <v>623.53099999999995</v>
      </c>
      <c r="L108" s="35"/>
      <c r="M108" s="70"/>
      <c r="N108" s="35"/>
      <c r="O108" s="35"/>
      <c r="P108" s="71"/>
      <c r="Q108" s="71"/>
      <c r="R108" s="35"/>
      <c r="S108" s="33"/>
      <c r="T108" s="33"/>
      <c r="U108" s="34"/>
      <c r="V108" s="34"/>
      <c r="W108" s="52">
        <f t="shared" ref="W108" si="118">+K108-SUM(L108:V108)</f>
        <v>623.53099999999995</v>
      </c>
      <c r="X108" s="33">
        <f t="shared" ref="X108" si="119">IF(K108&gt;2250,K108*0.1,0)</f>
        <v>0</v>
      </c>
      <c r="Y108" s="52">
        <f t="shared" ref="Y108" si="120">+W108-X108</f>
        <v>623.53099999999995</v>
      </c>
      <c r="Z108" s="33"/>
      <c r="AA108" s="33"/>
      <c r="AB108" s="33"/>
      <c r="AC108" s="52"/>
      <c r="AD108" s="59"/>
      <c r="AE108" s="60"/>
      <c r="AF108" s="53"/>
      <c r="AG108" s="36">
        <v>1505830788</v>
      </c>
      <c r="AH108" s="34"/>
    </row>
    <row r="109" spans="1:188" s="104" customFormat="1">
      <c r="A109" s="93" t="s">
        <v>44</v>
      </c>
      <c r="B109" s="93" t="s">
        <v>205</v>
      </c>
      <c r="C109" s="93"/>
      <c r="D109" s="93"/>
      <c r="E109" s="93" t="s">
        <v>175</v>
      </c>
      <c r="F109" s="94">
        <v>42699</v>
      </c>
      <c r="G109" s="96">
        <v>562.60799999999995</v>
      </c>
      <c r="H109" s="96"/>
      <c r="I109" s="96"/>
      <c r="J109" s="97"/>
      <c r="K109" s="41">
        <f t="shared" si="86"/>
        <v>562.60799999999995</v>
      </c>
      <c r="L109" s="96"/>
      <c r="M109" s="98"/>
      <c r="N109" s="96"/>
      <c r="O109" s="96"/>
      <c r="P109" s="99"/>
      <c r="Q109" s="99"/>
      <c r="R109" s="96"/>
      <c r="S109" s="100"/>
      <c r="T109" s="100"/>
      <c r="U109" s="93"/>
      <c r="V109" s="93"/>
      <c r="W109" s="41">
        <f t="shared" ref="W109" si="121">+K109-SUM(L109:V109)</f>
        <v>562.60799999999995</v>
      </c>
      <c r="X109" s="100">
        <f t="shared" ref="X109" si="122">IF(K109&gt;2250,K109*0.1,0)</f>
        <v>0</v>
      </c>
      <c r="Y109" s="41">
        <f t="shared" ref="Y109" si="123">+W109-X109</f>
        <v>562.60799999999995</v>
      </c>
      <c r="Z109" s="100"/>
      <c r="AA109" s="100"/>
      <c r="AB109" s="100"/>
      <c r="AC109" s="41"/>
      <c r="AD109" s="101"/>
      <c r="AE109" s="102"/>
      <c r="AF109" s="103"/>
      <c r="AG109" s="105">
        <v>1504068599</v>
      </c>
      <c r="AH109" s="93"/>
    </row>
    <row r="110" spans="1:188" s="18" customFormat="1">
      <c r="A110" s="34" t="s">
        <v>44</v>
      </c>
      <c r="B110" s="34" t="s">
        <v>191</v>
      </c>
      <c r="C110" s="34"/>
      <c r="D110" s="34"/>
      <c r="E110" s="34" t="s">
        <v>175</v>
      </c>
      <c r="F110" s="57">
        <v>42635</v>
      </c>
      <c r="G110" s="35">
        <v>772.1</v>
      </c>
      <c r="H110" s="35"/>
      <c r="I110" s="35"/>
      <c r="J110" s="51"/>
      <c r="K110" s="52">
        <f t="shared" si="86"/>
        <v>772.1</v>
      </c>
      <c r="L110" s="35"/>
      <c r="M110" s="70"/>
      <c r="N110" s="35"/>
      <c r="O110" s="35"/>
      <c r="P110" s="71"/>
      <c r="Q110" s="71"/>
      <c r="R110" s="35"/>
      <c r="S110" s="33"/>
      <c r="T110" s="33"/>
      <c r="U110" s="34"/>
      <c r="V110" s="34"/>
      <c r="W110" s="52">
        <f t="shared" ref="W110" si="124">+K110-SUM(L110:V110)</f>
        <v>772.1</v>
      </c>
      <c r="X110" s="33">
        <f t="shared" ref="X110" si="125">IF(K110&gt;2250,K110*0.1,0)</f>
        <v>0</v>
      </c>
      <c r="Y110" s="52">
        <f t="shared" ref="Y110" si="126">+W110-X110</f>
        <v>772.1</v>
      </c>
      <c r="Z110" s="33"/>
      <c r="AA110" s="33"/>
      <c r="AB110" s="33"/>
      <c r="AC110" s="52"/>
      <c r="AD110" s="59"/>
      <c r="AE110" s="59"/>
      <c r="AF110" s="53"/>
      <c r="AG110" s="34">
        <v>1133340031</v>
      </c>
      <c r="AH110" s="34"/>
    </row>
    <row r="111" spans="1:188" s="18" customFormat="1">
      <c r="A111" s="34" t="s">
        <v>44</v>
      </c>
      <c r="B111" s="34" t="s">
        <v>152</v>
      </c>
      <c r="C111" s="34"/>
      <c r="D111" s="34" t="s">
        <v>72</v>
      </c>
      <c r="E111" s="34" t="s">
        <v>179</v>
      </c>
      <c r="F111" s="57">
        <v>41703</v>
      </c>
      <c r="G111" s="35">
        <v>1150.723</v>
      </c>
      <c r="H111" s="35"/>
      <c r="I111" s="35"/>
      <c r="J111" s="51"/>
      <c r="K111" s="52">
        <f t="shared" si="86"/>
        <v>1150.723</v>
      </c>
      <c r="L111" s="35"/>
      <c r="M111" s="70"/>
      <c r="N111" s="35"/>
      <c r="O111" s="35">
        <v>0</v>
      </c>
      <c r="P111" s="71" t="s">
        <v>185</v>
      </c>
      <c r="Q111" s="71" t="s">
        <v>185</v>
      </c>
      <c r="R111" s="35"/>
      <c r="S111" s="33"/>
      <c r="T111" s="33"/>
      <c r="U111" s="34"/>
      <c r="V111" s="34">
        <v>0</v>
      </c>
      <c r="W111" s="52">
        <f t="shared" si="104"/>
        <v>1150.723</v>
      </c>
      <c r="X111" s="33">
        <f t="shared" si="98"/>
        <v>0</v>
      </c>
      <c r="Y111" s="52">
        <f t="shared" si="99"/>
        <v>1150.723</v>
      </c>
      <c r="Z111" s="33">
        <f t="shared" si="100"/>
        <v>115.0723</v>
      </c>
      <c r="AA111" s="33">
        <v>10.23</v>
      </c>
      <c r="AB111" s="33" t="str">
        <f t="shared" si="101"/>
        <v>X</v>
      </c>
      <c r="AC111" s="52" t="e">
        <f t="shared" si="102"/>
        <v>#VALUE!</v>
      </c>
      <c r="AD111" s="59"/>
      <c r="AE111" s="59"/>
      <c r="AF111" s="53">
        <f t="shared" si="103"/>
        <v>-1150.723</v>
      </c>
      <c r="AG111" s="34"/>
      <c r="AH111" s="34"/>
    </row>
    <row r="112" spans="1:188" s="18" customFormat="1">
      <c r="A112" s="106" t="s">
        <v>44</v>
      </c>
      <c r="B112" s="106" t="s">
        <v>247</v>
      </c>
      <c r="C112" s="106"/>
      <c r="D112" s="106"/>
      <c r="E112" s="106" t="s">
        <v>209</v>
      </c>
      <c r="F112" s="107">
        <v>42804</v>
      </c>
      <c r="G112" s="108">
        <f>720.36+2242.8+7.428</f>
        <v>2970.5880000000002</v>
      </c>
      <c r="H112" s="108"/>
      <c r="I112" s="108"/>
      <c r="J112" s="109"/>
      <c r="K112" s="52">
        <f t="shared" si="86"/>
        <v>2970.5880000000002</v>
      </c>
      <c r="L112" s="35"/>
      <c r="M112" s="70"/>
      <c r="N112" s="35"/>
      <c r="O112" s="35"/>
      <c r="P112" s="71"/>
      <c r="Q112" s="71"/>
      <c r="R112" s="35"/>
      <c r="S112" s="33"/>
      <c r="T112" s="33"/>
      <c r="U112" s="54"/>
      <c r="V112" s="34"/>
      <c r="W112" s="52">
        <f t="shared" si="104"/>
        <v>2970.5880000000002</v>
      </c>
      <c r="X112" s="33"/>
      <c r="Y112" s="52"/>
      <c r="Z112" s="33"/>
      <c r="AA112" s="33"/>
      <c r="AB112" s="33"/>
      <c r="AC112" s="52"/>
      <c r="AD112" s="59"/>
      <c r="AE112" s="60"/>
      <c r="AF112" s="53"/>
      <c r="AG112" s="110">
        <v>2703067645</v>
      </c>
      <c r="AH112" s="110" t="s">
        <v>248</v>
      </c>
    </row>
    <row r="113" spans="1:188" s="18" customFormat="1">
      <c r="A113" s="34" t="s">
        <v>44</v>
      </c>
      <c r="B113" s="34" t="s">
        <v>95</v>
      </c>
      <c r="C113" s="34"/>
      <c r="D113" s="34" t="s">
        <v>73</v>
      </c>
      <c r="E113" s="34" t="s">
        <v>179</v>
      </c>
      <c r="F113" s="57">
        <v>41291</v>
      </c>
      <c r="G113" s="35">
        <f>3232.533+3.736+86</f>
        <v>3322.2689999999998</v>
      </c>
      <c r="H113" s="35"/>
      <c r="I113" s="35"/>
      <c r="J113" s="51"/>
      <c r="K113" s="52">
        <f t="shared" si="86"/>
        <v>3322.2689999999998</v>
      </c>
      <c r="L113" s="35">
        <v>216.71</v>
      </c>
      <c r="M113" s="70"/>
      <c r="N113" s="35"/>
      <c r="O113" s="35">
        <v>200</v>
      </c>
      <c r="P113" s="71" t="s">
        <v>185</v>
      </c>
      <c r="Q113" s="71" t="s">
        <v>185</v>
      </c>
      <c r="R113" s="35">
        <v>343.11</v>
      </c>
      <c r="S113" s="33"/>
      <c r="T113" s="33"/>
      <c r="U113" s="34"/>
      <c r="V113" s="34">
        <v>0</v>
      </c>
      <c r="W113" s="52">
        <f t="shared" si="104"/>
        <v>2562.4489999999996</v>
      </c>
      <c r="X113" s="33">
        <f t="shared" si="98"/>
        <v>332.2269</v>
      </c>
      <c r="Y113" s="52">
        <f t="shared" si="99"/>
        <v>2230.2220999999995</v>
      </c>
      <c r="Z113" s="33">
        <f t="shared" si="100"/>
        <v>0</v>
      </c>
      <c r="AA113" s="33">
        <v>10.23</v>
      </c>
      <c r="AB113" s="33" t="str">
        <f t="shared" si="101"/>
        <v>X</v>
      </c>
      <c r="AC113" s="52" t="e">
        <f t="shared" si="102"/>
        <v>#VALUE!</v>
      </c>
      <c r="AD113" s="59"/>
      <c r="AE113" s="59"/>
      <c r="AF113" s="53">
        <f t="shared" si="103"/>
        <v>-2230.2220999999995</v>
      </c>
      <c r="AG113" s="34"/>
      <c r="AH113" s="36" t="s">
        <v>221</v>
      </c>
    </row>
    <row r="114" spans="1:188" s="18" customFormat="1">
      <c r="A114" s="34" t="s">
        <v>42</v>
      </c>
      <c r="B114" s="34" t="s">
        <v>105</v>
      </c>
      <c r="C114" s="34"/>
      <c r="D114" s="34" t="s">
        <v>51</v>
      </c>
      <c r="E114" s="34" t="s">
        <v>86</v>
      </c>
      <c r="F114" s="57">
        <v>41666</v>
      </c>
      <c r="G114" s="35">
        <f>3337.5+7.428</f>
        <v>3344.9279999999999</v>
      </c>
      <c r="H114" s="35"/>
      <c r="I114" s="35"/>
      <c r="J114" s="51"/>
      <c r="K114" s="52">
        <f t="shared" si="86"/>
        <v>3344.9279999999999</v>
      </c>
      <c r="L114" s="35"/>
      <c r="M114" s="70"/>
      <c r="N114" s="35"/>
      <c r="O114" s="35">
        <v>200</v>
      </c>
      <c r="P114" s="71"/>
      <c r="Q114" s="71"/>
      <c r="R114" s="35"/>
      <c r="S114" s="33"/>
      <c r="T114" s="33"/>
      <c r="U114" s="34"/>
      <c r="V114" s="34">
        <v>0</v>
      </c>
      <c r="W114" s="52">
        <f t="shared" si="104"/>
        <v>3144.9279999999999</v>
      </c>
      <c r="X114" s="33">
        <f t="shared" si="98"/>
        <v>334.49279999999999</v>
      </c>
      <c r="Y114" s="52">
        <f t="shared" si="99"/>
        <v>2810.4351999999999</v>
      </c>
      <c r="Z114" s="33">
        <f t="shared" si="100"/>
        <v>0</v>
      </c>
      <c r="AA114" s="33">
        <v>10.23</v>
      </c>
      <c r="AB114" s="33">
        <f t="shared" si="101"/>
        <v>0</v>
      </c>
      <c r="AC114" s="52">
        <f t="shared" si="102"/>
        <v>3355.1579999999999</v>
      </c>
      <c r="AD114" s="59"/>
      <c r="AE114" s="60"/>
      <c r="AF114" s="53">
        <f t="shared" si="103"/>
        <v>-2810.4351999999999</v>
      </c>
      <c r="AG114" s="34"/>
      <c r="AH114" s="34"/>
    </row>
    <row r="115" spans="1:188" s="18" customFormat="1">
      <c r="A115" s="34" t="s">
        <v>44</v>
      </c>
      <c r="B115" s="34" t="s">
        <v>218</v>
      </c>
      <c r="C115" s="34"/>
      <c r="D115" s="34"/>
      <c r="E115" s="34" t="s">
        <v>175</v>
      </c>
      <c r="F115" s="57">
        <v>42752</v>
      </c>
      <c r="G115" s="35">
        <v>523.93100000000004</v>
      </c>
      <c r="H115" s="35"/>
      <c r="I115" s="35"/>
      <c r="J115" s="51"/>
      <c r="K115" s="52">
        <f t="shared" si="86"/>
        <v>523.93100000000004</v>
      </c>
      <c r="L115" s="35"/>
      <c r="M115" s="70"/>
      <c r="N115" s="35"/>
      <c r="O115" s="35"/>
      <c r="P115" s="71"/>
      <c r="Q115" s="71"/>
      <c r="R115" s="35"/>
      <c r="S115" s="33"/>
      <c r="T115" s="33"/>
      <c r="U115" s="34"/>
      <c r="V115" s="34"/>
      <c r="W115" s="52">
        <f t="shared" ref="W115" si="127">+K115-SUM(L115:V115)</f>
        <v>523.93100000000004</v>
      </c>
      <c r="X115" s="33">
        <f t="shared" ref="X115" si="128">IF(K115&gt;2250,K115*0.1,0)</f>
        <v>0</v>
      </c>
      <c r="Y115" s="52">
        <f t="shared" ref="Y115" si="129">+W115-X115</f>
        <v>523.93100000000004</v>
      </c>
      <c r="Z115" s="33"/>
      <c r="AA115" s="33"/>
      <c r="AB115" s="33"/>
      <c r="AC115" s="52"/>
      <c r="AD115" s="59"/>
      <c r="AE115" s="60"/>
      <c r="AF115" s="53"/>
      <c r="AG115" s="36">
        <v>1506665861</v>
      </c>
      <c r="AH115" s="36"/>
    </row>
    <row r="116" spans="1:188" s="18" customFormat="1">
      <c r="A116" s="34" t="s">
        <v>44</v>
      </c>
      <c r="B116" s="34" t="s">
        <v>174</v>
      </c>
      <c r="C116" s="34"/>
      <c r="D116" s="34" t="s">
        <v>74</v>
      </c>
      <c r="E116" s="34" t="s">
        <v>178</v>
      </c>
      <c r="F116" s="57">
        <v>29733</v>
      </c>
      <c r="G116" s="35">
        <f>3982.695+3.714</f>
        <v>3986.4090000000001</v>
      </c>
      <c r="H116" s="35"/>
      <c r="I116" s="35"/>
      <c r="J116" s="51"/>
      <c r="K116" s="52">
        <f t="shared" si="86"/>
        <v>3986.4090000000001</v>
      </c>
      <c r="L116" s="35">
        <v>470.2</v>
      </c>
      <c r="M116" s="70"/>
      <c r="N116" s="35"/>
      <c r="O116" s="35">
        <v>50</v>
      </c>
      <c r="P116" s="71" t="s">
        <v>185</v>
      </c>
      <c r="Q116" s="71" t="s">
        <v>185</v>
      </c>
      <c r="R116" s="35"/>
      <c r="S116" s="33"/>
      <c r="T116" s="33"/>
      <c r="U116" s="34"/>
      <c r="V116" s="34">
        <v>0</v>
      </c>
      <c r="W116" s="52">
        <f t="shared" si="104"/>
        <v>3466.2089999999998</v>
      </c>
      <c r="X116" s="33">
        <f t="shared" si="98"/>
        <v>398.64090000000004</v>
      </c>
      <c r="Y116" s="52">
        <f t="shared" si="99"/>
        <v>3067.5681</v>
      </c>
      <c r="Z116" s="33">
        <f t="shared" si="100"/>
        <v>0</v>
      </c>
      <c r="AA116" s="33">
        <v>10.23</v>
      </c>
      <c r="AB116" s="33" t="str">
        <f t="shared" si="101"/>
        <v>X</v>
      </c>
      <c r="AC116" s="52" t="e">
        <f t="shared" si="102"/>
        <v>#VALUE!</v>
      </c>
      <c r="AD116" s="59"/>
      <c r="AE116" s="60"/>
      <c r="AF116" s="53">
        <f t="shared" si="103"/>
        <v>-3067.5681</v>
      </c>
      <c r="AG116" s="34"/>
      <c r="AH116" s="36" t="s">
        <v>221</v>
      </c>
    </row>
    <row r="117" spans="1:188" s="18" customFormat="1">
      <c r="A117" s="34" t="s">
        <v>42</v>
      </c>
      <c r="B117" s="34" t="s">
        <v>184</v>
      </c>
      <c r="C117" s="34"/>
      <c r="D117" s="34"/>
      <c r="E117" s="34" t="s">
        <v>209</v>
      </c>
      <c r="F117" s="57">
        <v>42604</v>
      </c>
      <c r="G117" s="35">
        <v>364.93099999999998</v>
      </c>
      <c r="H117" s="35"/>
      <c r="I117" s="35"/>
      <c r="J117" s="51"/>
      <c r="K117" s="52">
        <f t="shared" si="86"/>
        <v>364.93099999999998</v>
      </c>
      <c r="L117" s="35"/>
      <c r="M117" s="70"/>
      <c r="N117" s="35"/>
      <c r="O117" s="35"/>
      <c r="P117" s="71"/>
      <c r="Q117" s="71"/>
      <c r="R117" s="35"/>
      <c r="S117" s="33"/>
      <c r="T117" s="33"/>
      <c r="U117" s="34"/>
      <c r="V117" s="34"/>
      <c r="W117" s="52">
        <f t="shared" ref="W117" si="130">+K117-SUM(L117:V117)</f>
        <v>364.93099999999998</v>
      </c>
      <c r="X117" s="33">
        <f t="shared" ref="X117" si="131">IF(K117&gt;2250,K117*0.1,0)</f>
        <v>0</v>
      </c>
      <c r="Y117" s="52">
        <f t="shared" ref="Y117" si="132">+W117-X117</f>
        <v>364.93099999999998</v>
      </c>
      <c r="Z117" s="33"/>
      <c r="AA117" s="33"/>
      <c r="AB117" s="33"/>
      <c r="AC117" s="52"/>
      <c r="AD117" s="59"/>
      <c r="AE117" s="66"/>
      <c r="AF117" s="53"/>
      <c r="AG117" s="34">
        <v>1258728771</v>
      </c>
      <c r="AH117" s="34"/>
    </row>
    <row r="118" spans="1:188" s="18" customFormat="1">
      <c r="A118" s="34" t="s">
        <v>42</v>
      </c>
      <c r="B118" s="34" t="s">
        <v>37</v>
      </c>
      <c r="C118" s="34"/>
      <c r="D118" s="34" t="s">
        <v>53</v>
      </c>
      <c r="E118" s="34" t="s">
        <v>86</v>
      </c>
      <c r="F118" s="57">
        <v>42361</v>
      </c>
      <c r="G118" s="35">
        <f>3483.282+7.428</f>
        <v>3490.71</v>
      </c>
      <c r="H118" s="35"/>
      <c r="I118" s="35"/>
      <c r="J118" s="51"/>
      <c r="K118" s="52">
        <f t="shared" si="86"/>
        <v>3490.71</v>
      </c>
      <c r="L118" s="35"/>
      <c r="M118" s="70"/>
      <c r="N118" s="35"/>
      <c r="O118" s="35">
        <v>0</v>
      </c>
      <c r="P118" s="71"/>
      <c r="Q118" s="71"/>
      <c r="R118" s="35"/>
      <c r="S118" s="33"/>
      <c r="T118" s="33"/>
      <c r="U118" s="34"/>
      <c r="V118" s="34">
        <v>0</v>
      </c>
      <c r="W118" s="52">
        <f>+K118-SUM(L118:V118)</f>
        <v>3490.71</v>
      </c>
      <c r="X118" s="33">
        <f>IF(K118&gt;2250,K118*0.1,0)</f>
        <v>349.07100000000003</v>
      </c>
      <c r="Y118" s="52">
        <f>+W118-X118</f>
        <v>3141.6390000000001</v>
      </c>
      <c r="Z118" s="33">
        <f>IF(K118&lt;2250,K118*0.1,0)</f>
        <v>0</v>
      </c>
      <c r="AA118" s="33">
        <v>10.23</v>
      </c>
      <c r="AB118" s="33">
        <f>+P118</f>
        <v>0</v>
      </c>
      <c r="AC118" s="52">
        <f>+K118+Z118+AA118+AB118</f>
        <v>3500.94</v>
      </c>
      <c r="AD118" s="59"/>
      <c r="AE118" s="65"/>
      <c r="AF118" s="53">
        <f>+AD118+AE118-Y118</f>
        <v>-3141.6390000000001</v>
      </c>
      <c r="AG118" s="34"/>
      <c r="AH118" s="36"/>
    </row>
    <row r="119" spans="1:188" s="18" customFormat="1">
      <c r="A119" s="34" t="s">
        <v>42</v>
      </c>
      <c r="B119" s="34" t="s">
        <v>104</v>
      </c>
      <c r="C119" s="34"/>
      <c r="D119" s="34" t="s">
        <v>52</v>
      </c>
      <c r="E119" s="34" t="s">
        <v>86</v>
      </c>
      <c r="F119" s="57">
        <v>41549</v>
      </c>
      <c r="G119" s="35">
        <f>5597.885+13.099</f>
        <v>5610.9840000000004</v>
      </c>
      <c r="H119" s="35"/>
      <c r="I119" s="35"/>
      <c r="J119" s="51"/>
      <c r="K119" s="52">
        <f t="shared" si="86"/>
        <v>5610.9840000000004</v>
      </c>
      <c r="L119" s="35"/>
      <c r="M119" s="70"/>
      <c r="N119" s="35"/>
      <c r="O119" s="35">
        <v>500</v>
      </c>
      <c r="P119" s="71"/>
      <c r="Q119" s="71"/>
      <c r="R119" s="35"/>
      <c r="S119" s="33"/>
      <c r="T119" s="33"/>
      <c r="U119" s="34"/>
      <c r="V119" s="34">
        <v>0</v>
      </c>
      <c r="W119" s="52">
        <f>+K119-SUM(L119:V119)</f>
        <v>5110.9840000000004</v>
      </c>
      <c r="X119" s="33">
        <f>IF(K119&gt;2250,K119*0.1,0)</f>
        <v>561.09840000000008</v>
      </c>
      <c r="Y119" s="52">
        <f>+W119-X119</f>
        <v>4549.8856000000005</v>
      </c>
      <c r="Z119" s="33">
        <f>IF(K119&lt;2250,K119*0.1,0)</f>
        <v>0</v>
      </c>
      <c r="AA119" s="33">
        <v>10.23</v>
      </c>
      <c r="AB119" s="33">
        <f>+P119</f>
        <v>0</v>
      </c>
      <c r="AC119" s="52">
        <f>+K119+Z119+AA119+AB119</f>
        <v>5621.2139999999999</v>
      </c>
      <c r="AD119" s="59"/>
      <c r="AE119" s="60"/>
      <c r="AF119" s="53">
        <f>+AD119+AE119-Y119</f>
        <v>-4549.8856000000005</v>
      </c>
      <c r="AG119" s="34"/>
      <c r="AH119" s="36"/>
    </row>
    <row r="120" spans="1:188">
      <c r="A120" s="29"/>
      <c r="B120" s="34"/>
      <c r="C120" s="29"/>
      <c r="D120" s="29"/>
      <c r="E120" s="29"/>
      <c r="F120" s="69"/>
      <c r="G120" s="31"/>
      <c r="H120" s="31"/>
      <c r="I120" s="31"/>
      <c r="J120" s="31"/>
      <c r="K120" s="52"/>
      <c r="L120" s="35"/>
      <c r="M120" s="35"/>
      <c r="N120" s="35"/>
      <c r="O120" s="35"/>
      <c r="P120" s="35"/>
      <c r="Q120" s="35"/>
      <c r="R120" s="35"/>
      <c r="S120" s="33"/>
      <c r="T120" s="33"/>
      <c r="U120" s="33"/>
      <c r="V120" s="33"/>
      <c r="W120" s="52"/>
      <c r="X120" s="33"/>
      <c r="Y120" s="52"/>
      <c r="Z120" s="64"/>
      <c r="AA120" s="64"/>
      <c r="AB120" s="64"/>
      <c r="AC120" s="63"/>
      <c r="AD120" s="49"/>
      <c r="AE120" s="49"/>
      <c r="AF120" s="42"/>
      <c r="AG120" s="29"/>
      <c r="AH120" s="29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121" s="29"/>
      <c r="B121" s="36" t="s">
        <v>229</v>
      </c>
      <c r="C121" s="29"/>
      <c r="D121" s="29"/>
      <c r="E121" s="29"/>
      <c r="F121" s="69"/>
      <c r="G121" s="40">
        <f>SUM(G77:G119)</f>
        <v>92537.074999999997</v>
      </c>
      <c r="H121" s="40">
        <f t="shared" ref="H121:Y121" si="133">SUM(H77:H119)</f>
        <v>0</v>
      </c>
      <c r="I121" s="40">
        <f t="shared" si="133"/>
        <v>0</v>
      </c>
      <c r="J121" s="40">
        <f t="shared" si="133"/>
        <v>0</v>
      </c>
      <c r="K121" s="40">
        <f t="shared" si="133"/>
        <v>92537.074999999997</v>
      </c>
      <c r="L121" s="40">
        <f t="shared" si="133"/>
        <v>3886.0499999999997</v>
      </c>
      <c r="M121" s="40">
        <f t="shared" si="133"/>
        <v>5</v>
      </c>
      <c r="N121" s="40">
        <f t="shared" si="133"/>
        <v>0</v>
      </c>
      <c r="O121" s="40">
        <f t="shared" si="133"/>
        <v>4100</v>
      </c>
      <c r="P121" s="40">
        <f t="shared" si="133"/>
        <v>0</v>
      </c>
      <c r="Q121" s="40">
        <f t="shared" si="133"/>
        <v>0</v>
      </c>
      <c r="R121" s="40">
        <f t="shared" si="133"/>
        <v>686.22</v>
      </c>
      <c r="S121" s="40">
        <f t="shared" si="133"/>
        <v>0</v>
      </c>
      <c r="T121" s="40">
        <f t="shared" si="133"/>
        <v>0</v>
      </c>
      <c r="U121" s="40">
        <f t="shared" si="133"/>
        <v>0</v>
      </c>
      <c r="V121" s="40">
        <f t="shared" si="133"/>
        <v>301.08999999999997</v>
      </c>
      <c r="W121" s="40">
        <f t="shared" si="133"/>
        <v>83558.715000000011</v>
      </c>
      <c r="X121" s="40">
        <f t="shared" si="133"/>
        <v>7626.4710000000005</v>
      </c>
      <c r="Y121" s="40">
        <f t="shared" si="133"/>
        <v>69977.296899999987</v>
      </c>
      <c r="Z121" s="64"/>
      <c r="AA121" s="64"/>
      <c r="AB121" s="64"/>
      <c r="AC121" s="63"/>
      <c r="AD121" s="49"/>
      <c r="AE121" s="49"/>
      <c r="AF121" s="42"/>
      <c r="AG121" s="29"/>
      <c r="AH121" s="29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B122" s="20"/>
      <c r="C122" s="20"/>
      <c r="D122" s="20"/>
      <c r="AC122" s="14" t="e">
        <f>+#REF!*0.16</f>
        <v>#REF!</v>
      </c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 ht="23.25">
      <c r="A126" s="124" t="s">
        <v>27</v>
      </c>
      <c r="B126" s="124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 s="18" customFormat="1" ht="15" customHeight="1">
      <c r="A127" s="80" t="s">
        <v>30</v>
      </c>
      <c r="B127" s="80" t="s">
        <v>198</v>
      </c>
      <c r="C127" s="80"/>
      <c r="D127" s="80"/>
      <c r="E127" s="80" t="s">
        <v>32</v>
      </c>
      <c r="F127" s="83">
        <v>42668</v>
      </c>
      <c r="G127" s="35"/>
      <c r="H127" s="35"/>
      <c r="I127" s="35"/>
      <c r="J127" s="51"/>
      <c r="K127" s="52">
        <v>0</v>
      </c>
      <c r="L127" s="35"/>
      <c r="M127" s="70"/>
      <c r="N127" s="35"/>
      <c r="O127" s="35"/>
      <c r="P127" s="71"/>
      <c r="Q127" s="71"/>
      <c r="R127" s="35"/>
      <c r="S127" s="33"/>
      <c r="T127" s="77"/>
      <c r="U127" s="34"/>
      <c r="V127" s="67"/>
      <c r="W127" s="52">
        <v>2737.24</v>
      </c>
      <c r="X127" s="33">
        <v>273.72399999999999</v>
      </c>
      <c r="Y127" s="52">
        <v>2463.5159999999996</v>
      </c>
      <c r="Z127" s="33"/>
      <c r="AA127" s="33"/>
      <c r="AB127" s="33"/>
      <c r="AC127" s="52"/>
      <c r="AD127" s="61"/>
      <c r="AE127" s="59"/>
      <c r="AF127" s="53"/>
      <c r="AG127" s="34">
        <v>1196048064</v>
      </c>
      <c r="AH127" s="82" t="s">
        <v>239</v>
      </c>
    </row>
    <row r="128" spans="1:188" s="18" customFormat="1" ht="15" customHeight="1">
      <c r="A128" s="80" t="s">
        <v>43</v>
      </c>
      <c r="B128" s="80" t="s">
        <v>180</v>
      </c>
      <c r="C128" s="80"/>
      <c r="D128" s="80"/>
      <c r="E128" s="80" t="s">
        <v>88</v>
      </c>
      <c r="F128" s="83">
        <v>32540</v>
      </c>
      <c r="G128" s="35"/>
      <c r="H128" s="35"/>
      <c r="I128" s="35"/>
      <c r="J128" s="51"/>
      <c r="K128" s="52">
        <v>0</v>
      </c>
      <c r="L128" s="35"/>
      <c r="M128" s="70"/>
      <c r="N128" s="35"/>
      <c r="O128" s="35"/>
      <c r="P128" s="71"/>
      <c r="Q128" s="71"/>
      <c r="R128" s="35"/>
      <c r="S128" s="33"/>
      <c r="T128" s="77"/>
      <c r="U128" s="34"/>
      <c r="V128" s="67"/>
      <c r="W128" s="52">
        <v>0</v>
      </c>
      <c r="X128" s="33">
        <v>0</v>
      </c>
      <c r="Y128" s="52">
        <v>0</v>
      </c>
      <c r="Z128" s="33">
        <v>0</v>
      </c>
      <c r="AA128" s="33">
        <v>11.23</v>
      </c>
      <c r="AB128" s="33">
        <v>0</v>
      </c>
      <c r="AC128" s="52">
        <v>11.23</v>
      </c>
      <c r="AD128" s="61"/>
      <c r="AE128" s="59"/>
      <c r="AF128" s="53"/>
      <c r="AG128" s="34">
        <v>1461266403</v>
      </c>
      <c r="AH128" s="82" t="s">
        <v>238</v>
      </c>
    </row>
    <row r="129" spans="1:188" s="18" customFormat="1" ht="15.75">
      <c r="A129" s="80" t="s">
        <v>43</v>
      </c>
      <c r="B129" s="80" t="s">
        <v>199</v>
      </c>
      <c r="C129" s="80"/>
      <c r="D129" s="80"/>
      <c r="E129" s="80" t="s">
        <v>88</v>
      </c>
      <c r="F129" s="83"/>
      <c r="G129" s="35"/>
      <c r="H129" s="35"/>
      <c r="I129" s="35"/>
      <c r="J129" s="51"/>
      <c r="K129" s="52">
        <v>0</v>
      </c>
      <c r="L129" s="35"/>
      <c r="M129" s="70"/>
      <c r="N129" s="35"/>
      <c r="O129" s="35">
        <v>150</v>
      </c>
      <c r="P129" s="71"/>
      <c r="Q129" s="71"/>
      <c r="R129" s="35"/>
      <c r="S129" s="33"/>
      <c r="T129" s="77"/>
      <c r="U129" s="34"/>
      <c r="V129" s="67"/>
      <c r="W129" s="52">
        <v>-150</v>
      </c>
      <c r="X129" s="33">
        <v>0</v>
      </c>
      <c r="Y129" s="52">
        <v>-150</v>
      </c>
      <c r="Z129" s="33"/>
      <c r="AA129" s="33"/>
      <c r="AB129" s="33"/>
      <c r="AC129" s="52"/>
      <c r="AD129" s="61"/>
      <c r="AE129" s="59"/>
      <c r="AF129" s="53"/>
      <c r="AG129" s="34"/>
      <c r="AH129" s="85" t="s">
        <v>240</v>
      </c>
    </row>
    <row r="130" spans="1:188">
      <c r="A130" s="80" t="s">
        <v>41</v>
      </c>
      <c r="B130" s="80" t="s">
        <v>182</v>
      </c>
      <c r="C130" s="80"/>
      <c r="D130" s="80"/>
      <c r="E130" s="80" t="s">
        <v>88</v>
      </c>
      <c r="F130" s="81">
        <v>34275</v>
      </c>
      <c r="G130" s="35"/>
      <c r="H130" s="35"/>
      <c r="I130" s="35"/>
      <c r="J130" s="31"/>
      <c r="K130" s="52">
        <v>0</v>
      </c>
      <c r="L130" s="35"/>
      <c r="M130" s="70"/>
      <c r="N130" s="35"/>
      <c r="O130" s="35"/>
      <c r="P130" s="71"/>
      <c r="Q130" s="71"/>
      <c r="R130" s="35"/>
      <c r="S130" s="33"/>
      <c r="T130" s="33"/>
      <c r="U130" s="34"/>
      <c r="V130" s="34"/>
      <c r="W130" s="52">
        <v>0</v>
      </c>
      <c r="X130" s="33">
        <v>0</v>
      </c>
      <c r="Y130" s="52">
        <v>0</v>
      </c>
      <c r="Z130" s="64"/>
      <c r="AA130" s="64"/>
      <c r="AB130" s="64"/>
      <c r="AC130" s="63"/>
      <c r="AD130" s="49"/>
      <c r="AE130" s="49"/>
      <c r="AF130" s="42"/>
      <c r="AG130" s="29"/>
      <c r="AH130" s="85" t="s">
        <v>220</v>
      </c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131" s="80" t="s">
        <v>43</v>
      </c>
      <c r="B131" s="80" t="s">
        <v>225</v>
      </c>
      <c r="C131" s="80"/>
      <c r="D131" s="80"/>
      <c r="E131" s="80" t="s">
        <v>226</v>
      </c>
      <c r="F131" s="81">
        <v>38825</v>
      </c>
      <c r="G131" s="35">
        <v>750</v>
      </c>
      <c r="H131" s="35"/>
      <c r="I131" s="35"/>
      <c r="J131" s="31"/>
      <c r="K131" s="52"/>
      <c r="L131" s="35"/>
      <c r="M131" s="70"/>
      <c r="N131" s="35"/>
      <c r="O131" s="35"/>
      <c r="P131" s="71"/>
      <c r="Q131" s="71"/>
      <c r="R131" s="35"/>
      <c r="S131" s="33"/>
      <c r="T131" s="33"/>
      <c r="U131" s="34"/>
      <c r="V131" s="34"/>
      <c r="W131" s="52"/>
      <c r="X131" s="33"/>
      <c r="Y131" s="52"/>
      <c r="Z131" s="64"/>
      <c r="AA131" s="64"/>
      <c r="AB131" s="64"/>
      <c r="AC131" s="63"/>
      <c r="AD131" s="49"/>
      <c r="AE131" s="49"/>
      <c r="AF131" s="42"/>
      <c r="AG131" s="29" t="s">
        <v>227</v>
      </c>
      <c r="AH131" s="85" t="s">
        <v>228</v>
      </c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 s="18" customFormat="1">
      <c r="A132" s="106" t="s">
        <v>44</v>
      </c>
      <c r="B132" s="106" t="s">
        <v>249</v>
      </c>
      <c r="C132" s="106"/>
      <c r="D132" s="106"/>
      <c r="E132" s="106" t="s">
        <v>175</v>
      </c>
      <c r="F132" s="107">
        <v>42807</v>
      </c>
      <c r="G132" s="108"/>
      <c r="H132" s="108"/>
      <c r="I132" s="108"/>
      <c r="J132" s="109"/>
      <c r="K132" s="52">
        <f t="shared" ref="K132" si="134">SUM(G132:I132)-J132</f>
        <v>0</v>
      </c>
      <c r="L132" s="35"/>
      <c r="M132" s="70"/>
      <c r="N132" s="35"/>
      <c r="O132" s="35"/>
      <c r="P132" s="71"/>
      <c r="Q132" s="71"/>
      <c r="R132" s="35"/>
      <c r="S132" s="33"/>
      <c r="T132" s="33"/>
      <c r="U132" s="54"/>
      <c r="V132" s="34"/>
      <c r="W132" s="52">
        <f t="shared" ref="W132" si="135">+K132-SUM(L132:V132)</f>
        <v>0</v>
      </c>
      <c r="X132" s="33"/>
      <c r="Y132" s="52"/>
      <c r="Z132" s="33"/>
      <c r="AA132" s="33"/>
      <c r="AB132" s="33"/>
      <c r="AC132" s="52"/>
      <c r="AD132" s="59"/>
      <c r="AE132" s="60"/>
      <c r="AF132" s="53"/>
      <c r="AG132" s="110" t="s">
        <v>211</v>
      </c>
      <c r="AH132" s="110" t="s">
        <v>255</v>
      </c>
    </row>
    <row r="133" spans="1:188"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6" spans="1:188"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</row>
    <row r="137" spans="1:188"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</row>
    <row r="138" spans="1:188">
      <c r="A138" s="19" t="s">
        <v>18</v>
      </c>
      <c r="B138" s="13"/>
      <c r="C138" s="13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</row>
    <row r="139" spans="1:188">
      <c r="A139" s="19" t="s">
        <v>19</v>
      </c>
      <c r="B139" s="13"/>
      <c r="C139" s="13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</row>
    <row r="140" spans="1:188">
      <c r="A140" s="19" t="s">
        <v>20</v>
      </c>
      <c r="B140" s="13"/>
      <c r="C140" s="13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</row>
    <row r="141" spans="1:188">
      <c r="A141" s="19" t="s">
        <v>21</v>
      </c>
      <c r="B141" s="13"/>
      <c r="C141" s="13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</row>
    <row r="142" spans="1:188">
      <c r="A142" s="19" t="s">
        <v>22</v>
      </c>
      <c r="B142" s="13"/>
      <c r="C142" s="13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</row>
    <row r="143" spans="1:188">
      <c r="A143" s="19" t="s">
        <v>23</v>
      </c>
      <c r="B143" s="13"/>
      <c r="C143" s="13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</row>
    <row r="144" spans="1:188"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</row>
    <row r="145" spans="2:188"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</row>
    <row r="147" spans="2:188">
      <c r="B147" s="17"/>
      <c r="C147" s="21"/>
    </row>
    <row r="148" spans="2:188">
      <c r="B148" s="17"/>
      <c r="C148" s="21"/>
    </row>
    <row r="149" spans="2:188">
      <c r="B149" s="17"/>
      <c r="C149" s="21"/>
    </row>
  </sheetData>
  <sheetProtection selectLockedCells="1" selectUnlockedCells="1"/>
  <autoFilter ref="A5:AH72">
    <filterColumn colId="29" showButton="0"/>
    <sortState ref="A8:AH99">
      <sortCondition ref="B5:B99"/>
    </sortState>
  </autoFilter>
  <mergeCells count="34">
    <mergeCell ref="A126:B126"/>
    <mergeCell ref="G5:G6"/>
    <mergeCell ref="A5:A6"/>
    <mergeCell ref="B5:B6"/>
    <mergeCell ref="C5:C6"/>
    <mergeCell ref="D5:D6"/>
    <mergeCell ref="E5:E6"/>
    <mergeCell ref="F5:F6"/>
    <mergeCell ref="T5:T6"/>
    <mergeCell ref="U5:U6"/>
    <mergeCell ref="H5:H6"/>
    <mergeCell ref="I5:I6"/>
    <mergeCell ref="J5:J6"/>
    <mergeCell ref="K5:K6"/>
    <mergeCell ref="L5:L6"/>
    <mergeCell ref="O5:O6"/>
    <mergeCell ref="M5:M6"/>
    <mergeCell ref="N5:N6"/>
    <mergeCell ref="AH5:AH6"/>
    <mergeCell ref="A76:B76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2017-03-17T19:49:26Z</dcterms:modified>
</cp:coreProperties>
</file>