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descuentos" sheetId="2" r:id="rId2"/>
    <sheet name="INFONAVIT" sheetId="3" r:id="rId3"/>
    <sheet name="COMPLEMENTO" sheetId="5" r:id="rId4"/>
  </sheets>
  <definedNames>
    <definedName name="_xlnm._FilterDatabase" localSheetId="3" hidden="1">COMPLEMENTO!$A$5:$AN$6</definedName>
    <definedName name="_xlnm._FilterDatabase" localSheetId="0" hidden="1">'FORMATO NOMINA'!$A$5:$AN$102</definedName>
  </definedNames>
  <calcPr calcId="124519"/>
</workbook>
</file>

<file path=xl/calcChain.xml><?xml version="1.0" encoding="utf-8"?>
<calcChain xmlns="http://schemas.openxmlformats.org/spreadsheetml/2006/main">
  <c r="L34" i="4"/>
  <c r="AH72"/>
  <c r="AH43"/>
  <c r="AH19"/>
  <c r="K72" l="1"/>
  <c r="Q72" s="1"/>
  <c r="K43"/>
  <c r="Q43" s="1"/>
  <c r="K19"/>
  <c r="Q19" s="1"/>
  <c r="L14"/>
  <c r="L26"/>
  <c r="L71"/>
  <c r="L68"/>
  <c r="L75"/>
  <c r="L64"/>
  <c r="L77"/>
  <c r="L28"/>
  <c r="L56"/>
  <c r="L101"/>
  <c r="L25"/>
  <c r="L92"/>
  <c r="L88"/>
  <c r="L93"/>
  <c r="L32"/>
  <c r="L44"/>
  <c r="L11"/>
  <c r="L78"/>
  <c r="L18"/>
  <c r="L99"/>
  <c r="L70"/>
  <c r="L83"/>
  <c r="L20"/>
  <c r="L98"/>
  <c r="L69"/>
  <c r="L22"/>
  <c r="L86"/>
  <c r="L9"/>
  <c r="L55"/>
  <c r="L87"/>
  <c r="L54"/>
  <c r="L107"/>
  <c r="L80"/>
  <c r="L79"/>
  <c r="L12"/>
  <c r="AD72" l="1"/>
  <c r="AC72"/>
  <c r="AE72" s="1"/>
  <c r="AF72"/>
  <c r="AI72" s="1"/>
  <c r="AD43"/>
  <c r="AC43"/>
  <c r="AE43" s="1"/>
  <c r="AF43"/>
  <c r="AI43" s="1"/>
  <c r="AC19"/>
  <c r="AD19"/>
  <c r="AF19"/>
  <c r="AI19" s="1"/>
  <c r="K26"/>
  <c r="K51"/>
  <c r="AE19" l="1"/>
  <c r="Q51"/>
  <c r="AF51" s="1"/>
  <c r="AH51"/>
  <c r="AH26"/>
  <c r="Q26"/>
  <c r="AF26" s="1"/>
  <c r="K91"/>
  <c r="Q91" s="1"/>
  <c r="AC91" s="1"/>
  <c r="K92"/>
  <c r="K93"/>
  <c r="K94"/>
  <c r="K95"/>
  <c r="K96"/>
  <c r="K97"/>
  <c r="K98"/>
  <c r="K99"/>
  <c r="K100"/>
  <c r="K101"/>
  <c r="K77"/>
  <c r="K78"/>
  <c r="K79"/>
  <c r="K80"/>
  <c r="K81"/>
  <c r="K82"/>
  <c r="K68"/>
  <c r="K64"/>
  <c r="K35"/>
  <c r="K36"/>
  <c r="K37"/>
  <c r="K38"/>
  <c r="K32"/>
  <c r="K25"/>
  <c r="K8"/>
  <c r="K9"/>
  <c r="K10"/>
  <c r="K11"/>
  <c r="K12"/>
  <c r="K13"/>
  <c r="K14"/>
  <c r="K15"/>
  <c r="K16"/>
  <c r="K17"/>
  <c r="K18"/>
  <c r="K20"/>
  <c r="K21"/>
  <c r="K22"/>
  <c r="K23"/>
  <c r="K24"/>
  <c r="K27"/>
  <c r="K28"/>
  <c r="AH91"/>
  <c r="AI51" l="1"/>
  <c r="AC51"/>
  <c r="AD51"/>
  <c r="AI26"/>
  <c r="AC26"/>
  <c r="AD26"/>
  <c r="AF91"/>
  <c r="AI91" s="1"/>
  <c r="AD91"/>
  <c r="AE91" s="1"/>
  <c r="AH37"/>
  <c r="Q37"/>
  <c r="Q109"/>
  <c r="AC109" s="1"/>
  <c r="AE26" l="1"/>
  <c r="AE51"/>
  <c r="AF37"/>
  <c r="AI37" s="1"/>
  <c r="AC37"/>
  <c r="AD37"/>
  <c r="AE109"/>
  <c r="AF109"/>
  <c r="AI109" s="1"/>
  <c r="AD109"/>
  <c r="AE37" l="1"/>
  <c r="AL37" s="1"/>
  <c r="K50"/>
  <c r="Q50" s="1"/>
  <c r="V50" l="1"/>
  <c r="AH50" s="1"/>
  <c r="W50"/>
  <c r="AD50"/>
  <c r="AF50"/>
  <c r="K30"/>
  <c r="AI50" l="1"/>
  <c r="AC50"/>
  <c r="AE50" s="1"/>
  <c r="K29" l="1"/>
  <c r="AH79" l="1"/>
  <c r="Q79"/>
  <c r="AC79" s="1"/>
  <c r="AF79" l="1"/>
  <c r="AI79" s="1"/>
  <c r="AD79"/>
  <c r="AE79" s="1"/>
  <c r="K56" l="1"/>
  <c r="AH35"/>
  <c r="AH36"/>
  <c r="AH38"/>
  <c r="AH39"/>
  <c r="AH40"/>
  <c r="AH41"/>
  <c r="AH42"/>
  <c r="AH44"/>
  <c r="AH45"/>
  <c r="AH46"/>
  <c r="Q35"/>
  <c r="AC35" s="1"/>
  <c r="Q38"/>
  <c r="AD38" s="1"/>
  <c r="AC38" l="1"/>
  <c r="AE38" s="1"/>
  <c r="AF35"/>
  <c r="AI35" s="1"/>
  <c r="AF38"/>
  <c r="AI38" s="1"/>
  <c r="AD35"/>
  <c r="AE35" s="1"/>
  <c r="K65"/>
  <c r="K66"/>
  <c r="K46" l="1"/>
  <c r="Q46" s="1"/>
  <c r="K74"/>
  <c r="AF46" l="1"/>
  <c r="AI46" s="1"/>
  <c r="AC46"/>
  <c r="AD46"/>
  <c r="K70"/>
  <c r="AE46" l="1"/>
  <c r="K55"/>
  <c r="K54"/>
  <c r="K44"/>
  <c r="Q44" s="1"/>
  <c r="K40"/>
  <c r="Q40" s="1"/>
  <c r="AC44" l="1"/>
  <c r="AD44"/>
  <c r="AF44"/>
  <c r="AI44" s="1"/>
  <c r="AC40"/>
  <c r="AD40"/>
  <c r="AF40"/>
  <c r="AI40" s="1"/>
  <c r="K34"/>
  <c r="AE44" l="1"/>
  <c r="AE40"/>
  <c r="AH97" l="1"/>
  <c r="Q97"/>
  <c r="K41"/>
  <c r="Q41" s="1"/>
  <c r="AH33"/>
  <c r="K33"/>
  <c r="Q33" s="1"/>
  <c r="AF33" s="1"/>
  <c r="AH74"/>
  <c r="Q74"/>
  <c r="Q18"/>
  <c r="AF41" l="1"/>
  <c r="AI41" s="1"/>
  <c r="AC41"/>
  <c r="AD41"/>
  <c r="AC18"/>
  <c r="AF18"/>
  <c r="AC97"/>
  <c r="AF97"/>
  <c r="AI97" s="1"/>
  <c r="AD74"/>
  <c r="AF74"/>
  <c r="AI74" s="1"/>
  <c r="AD97"/>
  <c r="AD33"/>
  <c r="AC33"/>
  <c r="AI33"/>
  <c r="AC74"/>
  <c r="AH82"/>
  <c r="Q82"/>
  <c r="AF82" s="1"/>
  <c r="AE41" l="1"/>
  <c r="AL41" s="1"/>
  <c r="AE97"/>
  <c r="AE74"/>
  <c r="AE33"/>
  <c r="AI82"/>
  <c r="AC82"/>
  <c r="AD82"/>
  <c r="AE82" l="1"/>
  <c r="AH18"/>
  <c r="AI18" s="1"/>
  <c r="AL40" l="1"/>
  <c r="AD18"/>
  <c r="AE18" s="1"/>
  <c r="AL18" s="1"/>
  <c r="AL97"/>
  <c r="AL33" l="1"/>
  <c r="AL74"/>
  <c r="AH89"/>
  <c r="K58"/>
  <c r="K87"/>
  <c r="K75"/>
  <c r="K69"/>
  <c r="K57"/>
  <c r="AH71"/>
  <c r="K71"/>
  <c r="Q71" s="1"/>
  <c r="AF71" s="1"/>
  <c r="Q58" l="1"/>
  <c r="W58" s="1"/>
  <c r="Q64"/>
  <c r="AD71"/>
  <c r="AC71"/>
  <c r="AI71"/>
  <c r="AD58" l="1"/>
  <c r="AF58"/>
  <c r="V58"/>
  <c r="AH58" s="1"/>
  <c r="AH64"/>
  <c r="AF64"/>
  <c r="AD64"/>
  <c r="AE71"/>
  <c r="AL71" s="1"/>
  <c r="AI58" l="1"/>
  <c r="AC58"/>
  <c r="AE58" s="1"/>
  <c r="AL58" s="1"/>
  <c r="AC64"/>
  <c r="AE64" s="1"/>
  <c r="AL64" s="1"/>
  <c r="AI64"/>
  <c r="AH31" l="1"/>
  <c r="K31"/>
  <c r="Q31" s="1"/>
  <c r="AC31" l="1"/>
  <c r="AF31"/>
  <c r="AI31" s="1"/>
  <c r="AD31"/>
  <c r="AE31" l="1"/>
  <c r="AL31" l="1"/>
  <c r="AH16" l="1"/>
  <c r="AH80"/>
  <c r="Q16" l="1"/>
  <c r="AF16" s="1"/>
  <c r="AH76"/>
  <c r="K76"/>
  <c r="Q76" s="1"/>
  <c r="AF76" s="1"/>
  <c r="AC76" l="1"/>
  <c r="AI76"/>
  <c r="AI16"/>
  <c r="AC16"/>
  <c r="AD16"/>
  <c r="AD76"/>
  <c r="AE16" l="1"/>
  <c r="AL16" s="1"/>
  <c r="AE76"/>
  <c r="AL76" s="1"/>
  <c r="AL112" l="1"/>
  <c r="K42"/>
  <c r="Q42" s="1"/>
  <c r="AD42" l="1"/>
  <c r="AF42"/>
  <c r="AI42" s="1"/>
  <c r="AC42"/>
  <c r="AH90"/>
  <c r="K90"/>
  <c r="Q90" l="1"/>
  <c r="AF90" s="1"/>
  <c r="AE42"/>
  <c r="AD90" l="1"/>
  <c r="AC90"/>
  <c r="AI90"/>
  <c r="AE90" l="1"/>
  <c r="AL90" s="1"/>
  <c r="AL102"/>
  <c r="Q9" i="5" l="1"/>
  <c r="V9" s="1"/>
  <c r="U9" l="1"/>
  <c r="AB9"/>
  <c r="AE9" l="1"/>
  <c r="AH9" s="1"/>
  <c r="AH10" s="1"/>
  <c r="AC9"/>
  <c r="AD9"/>
  <c r="AH11" l="1"/>
  <c r="AH12" s="1"/>
  <c r="AH7" l="1"/>
  <c r="AH8" s="1"/>
  <c r="AH14" s="1"/>
  <c r="Q102" i="4" l="1"/>
  <c r="AD102" s="1"/>
  <c r="K63"/>
  <c r="Q63" s="1"/>
  <c r="AF63" l="1"/>
  <c r="V63"/>
  <c r="AH63" s="1"/>
  <c r="W63"/>
  <c r="AD63"/>
  <c r="AI63" l="1"/>
  <c r="AC63"/>
  <c r="AE63" s="1"/>
  <c r="AL63" s="1"/>
  <c r="AH24"/>
  <c r="Q78" l="1"/>
  <c r="AD78" l="1"/>
  <c r="AF78"/>
  <c r="Q24"/>
  <c r="AH102"/>
  <c r="AH65"/>
  <c r="AH94"/>
  <c r="AH101"/>
  <c r="AH100"/>
  <c r="AH99"/>
  <c r="AH96"/>
  <c r="AH95"/>
  <c r="AH93"/>
  <c r="AH92"/>
  <c r="AH88"/>
  <c r="AH85"/>
  <c r="AH84"/>
  <c r="AH77"/>
  <c r="AH75"/>
  <c r="AH73"/>
  <c r="AH68"/>
  <c r="AH66"/>
  <c r="AH62"/>
  <c r="AH61"/>
  <c r="AH60"/>
  <c r="AH59"/>
  <c r="AH56"/>
  <c r="AH57"/>
  <c r="AH52"/>
  <c r="AH49"/>
  <c r="AH48"/>
  <c r="AH47"/>
  <c r="AH30"/>
  <c r="AH29"/>
  <c r="AH28"/>
  <c r="AH27"/>
  <c r="AH25"/>
  <c r="AH23"/>
  <c r="AH21"/>
  <c r="AH17"/>
  <c r="AH15"/>
  <c r="AH12"/>
  <c r="AH13"/>
  <c r="AH11"/>
  <c r="AH10"/>
  <c r="AH8"/>
  <c r="AH7"/>
  <c r="AD24" l="1"/>
  <c r="AF24"/>
  <c r="AI24" s="1"/>
  <c r="AC24"/>
  <c r="V78"/>
  <c r="AH78" s="1"/>
  <c r="W78"/>
  <c r="Q65"/>
  <c r="AD65" l="1"/>
  <c r="AF65"/>
  <c r="AI65" s="1"/>
  <c r="AE24"/>
  <c r="AL24" s="1"/>
  <c r="AI78"/>
  <c r="AC78"/>
  <c r="AE78" s="1"/>
  <c r="AL78" s="1"/>
  <c r="AC65"/>
  <c r="AF102"/>
  <c r="AI102" s="1"/>
  <c r="Q77"/>
  <c r="AD77" l="1"/>
  <c r="AF77"/>
  <c r="AI77" s="1"/>
  <c r="AE65"/>
  <c r="AL65" s="1"/>
  <c r="AG104"/>
  <c r="AC77"/>
  <c r="Q108"/>
  <c r="AC108" s="1"/>
  <c r="Q107"/>
  <c r="AK104"/>
  <c r="AJ104"/>
  <c r="Y104"/>
  <c r="X104"/>
  <c r="R104"/>
  <c r="P104"/>
  <c r="O104"/>
  <c r="N104"/>
  <c r="Q94"/>
  <c r="Q80"/>
  <c r="Q101"/>
  <c r="Q99"/>
  <c r="Q98"/>
  <c r="Q96"/>
  <c r="Q93"/>
  <c r="Q92"/>
  <c r="K89"/>
  <c r="Q89" s="1"/>
  <c r="AF89" s="1"/>
  <c r="K88"/>
  <c r="Q88" s="1"/>
  <c r="Q87"/>
  <c r="K86"/>
  <c r="Q86" s="1"/>
  <c r="K85"/>
  <c r="Q85" s="1"/>
  <c r="K84"/>
  <c r="Q84" s="1"/>
  <c r="K83"/>
  <c r="Q83" s="1"/>
  <c r="Q81"/>
  <c r="Q75"/>
  <c r="K73"/>
  <c r="Q73" s="1"/>
  <c r="Q70"/>
  <c r="Q69"/>
  <c r="Q68"/>
  <c r="K67"/>
  <c r="Q67" s="1"/>
  <c r="Q66"/>
  <c r="Q62"/>
  <c r="K61"/>
  <c r="Q61" s="1"/>
  <c r="K60"/>
  <c r="Q60" s="1"/>
  <c r="K59"/>
  <c r="Q59" s="1"/>
  <c r="Q56"/>
  <c r="Q55"/>
  <c r="Q54"/>
  <c r="K53"/>
  <c r="Q53" s="1"/>
  <c r="Q57"/>
  <c r="K52"/>
  <c r="Q52" s="1"/>
  <c r="K49"/>
  <c r="Q49" s="1"/>
  <c r="K48"/>
  <c r="Q48" s="1"/>
  <c r="K47"/>
  <c r="Q47" s="1"/>
  <c r="K45"/>
  <c r="Q45" s="1"/>
  <c r="K39"/>
  <c r="Q39" s="1"/>
  <c r="Q34"/>
  <c r="Q32"/>
  <c r="Q29"/>
  <c r="Q28"/>
  <c r="Q27"/>
  <c r="Q23"/>
  <c r="Q22"/>
  <c r="W22" s="1"/>
  <c r="Q21"/>
  <c r="Q20"/>
  <c r="Q15"/>
  <c r="Q14"/>
  <c r="Q13"/>
  <c r="Q11"/>
  <c r="Q10"/>
  <c r="Q9"/>
  <c r="Q8"/>
  <c r="K7"/>
  <c r="K104" l="1"/>
  <c r="AD108"/>
  <c r="AF108"/>
  <c r="AI108" s="1"/>
  <c r="AE108"/>
  <c r="V67"/>
  <c r="AH67" s="1"/>
  <c r="W67"/>
  <c r="V83"/>
  <c r="AH83" s="1"/>
  <c r="W83"/>
  <c r="Q36"/>
  <c r="AC39"/>
  <c r="AD39"/>
  <c r="AF39"/>
  <c r="AI39" s="1"/>
  <c r="AC45"/>
  <c r="AD45"/>
  <c r="AF45"/>
  <c r="AI45" s="1"/>
  <c r="AD73"/>
  <c r="AF73"/>
  <c r="AI73" s="1"/>
  <c r="AD57"/>
  <c r="AF57"/>
  <c r="AI57" s="1"/>
  <c r="AD48"/>
  <c r="AF48"/>
  <c r="AI48" s="1"/>
  <c r="AD49"/>
  <c r="AF49"/>
  <c r="AD61"/>
  <c r="AF61"/>
  <c r="AI61" s="1"/>
  <c r="AD66"/>
  <c r="AF66"/>
  <c r="AI66" s="1"/>
  <c r="AD23"/>
  <c r="AF23"/>
  <c r="AD62"/>
  <c r="AF62"/>
  <c r="AI62" s="1"/>
  <c r="AD47"/>
  <c r="AF47"/>
  <c r="AD52"/>
  <c r="AF52"/>
  <c r="AD59"/>
  <c r="AF59"/>
  <c r="AI59" s="1"/>
  <c r="AD60"/>
  <c r="AF60"/>
  <c r="AD27"/>
  <c r="AF27"/>
  <c r="AI27" s="1"/>
  <c r="AD13"/>
  <c r="AF13"/>
  <c r="AI13" s="1"/>
  <c r="AD8"/>
  <c r="AF8"/>
  <c r="AI8" s="1"/>
  <c r="AD10"/>
  <c r="AF10"/>
  <c r="AI10" s="1"/>
  <c r="AD21"/>
  <c r="AF21"/>
  <c r="AI21" s="1"/>
  <c r="AD14"/>
  <c r="AF14"/>
  <c r="AD75"/>
  <c r="AF75"/>
  <c r="AI75" s="1"/>
  <c r="AD28"/>
  <c r="AF28"/>
  <c r="AI28" s="1"/>
  <c r="AD11"/>
  <c r="AF11"/>
  <c r="AI11" s="1"/>
  <c r="AD20"/>
  <c r="AF20"/>
  <c r="AD69"/>
  <c r="AF69"/>
  <c r="AD67"/>
  <c r="AF67"/>
  <c r="AD22"/>
  <c r="AF22"/>
  <c r="AD9"/>
  <c r="AF9"/>
  <c r="AD53"/>
  <c r="AF53"/>
  <c r="AD32"/>
  <c r="AF32"/>
  <c r="AD68"/>
  <c r="AF68"/>
  <c r="AI68" s="1"/>
  <c r="AD56"/>
  <c r="AF56"/>
  <c r="AI56" s="1"/>
  <c r="AD15"/>
  <c r="AF15"/>
  <c r="AI15" s="1"/>
  <c r="AD29"/>
  <c r="AF29"/>
  <c r="AI29" s="1"/>
  <c r="AD81"/>
  <c r="AF81"/>
  <c r="AD85"/>
  <c r="AF85"/>
  <c r="AD98"/>
  <c r="AF98"/>
  <c r="AD88"/>
  <c r="AF88"/>
  <c r="AI88" s="1"/>
  <c r="AD96"/>
  <c r="AF96"/>
  <c r="AI96" s="1"/>
  <c r="AD101"/>
  <c r="AF101"/>
  <c r="AI101" s="1"/>
  <c r="AD84"/>
  <c r="AF84"/>
  <c r="AI84" s="1"/>
  <c r="AD87"/>
  <c r="AF87"/>
  <c r="AD93"/>
  <c r="AF93"/>
  <c r="AI93" s="1"/>
  <c r="AD83"/>
  <c r="AF83"/>
  <c r="AD86"/>
  <c r="AF86"/>
  <c r="AD92"/>
  <c r="AF92"/>
  <c r="AI92" s="1"/>
  <c r="AD94"/>
  <c r="AF94"/>
  <c r="AI94" s="1"/>
  <c r="AD99"/>
  <c r="AF99"/>
  <c r="AI99" s="1"/>
  <c r="AC80"/>
  <c r="AF80"/>
  <c r="AI80" s="1"/>
  <c r="AD70"/>
  <c r="AF70"/>
  <c r="AD55"/>
  <c r="AF55"/>
  <c r="AD54"/>
  <c r="AF54"/>
  <c r="AD34"/>
  <c r="AF34"/>
  <c r="AD89"/>
  <c r="AD80"/>
  <c r="Q17"/>
  <c r="AF17" s="1"/>
  <c r="Q95"/>
  <c r="Q100"/>
  <c r="Q12"/>
  <c r="W107"/>
  <c r="V107"/>
  <c r="Z104"/>
  <c r="Q30"/>
  <c r="AE77"/>
  <c r="AL77" s="1"/>
  <c r="W54"/>
  <c r="V54"/>
  <c r="AH54" s="1"/>
  <c r="AI89"/>
  <c r="AC75"/>
  <c r="V32"/>
  <c r="AH32" s="1"/>
  <c r="W87"/>
  <c r="W55"/>
  <c r="AA104"/>
  <c r="AC11"/>
  <c r="AC57"/>
  <c r="V20"/>
  <c r="AH20" s="1"/>
  <c r="AC61"/>
  <c r="W20"/>
  <c r="AC68"/>
  <c r="AL42"/>
  <c r="AC10"/>
  <c r="W53"/>
  <c r="AC62"/>
  <c r="AC88"/>
  <c r="AC96"/>
  <c r="AC21"/>
  <c r="V55"/>
  <c r="AH55" s="1"/>
  <c r="AC99"/>
  <c r="L104"/>
  <c r="V53"/>
  <c r="AH53" s="1"/>
  <c r="AC8"/>
  <c r="AC15"/>
  <c r="AC56"/>
  <c r="Q7"/>
  <c r="W9"/>
  <c r="W14"/>
  <c r="V14"/>
  <c r="AH14" s="1"/>
  <c r="AC27"/>
  <c r="V34"/>
  <c r="AH34" s="1"/>
  <c r="W34"/>
  <c r="V81"/>
  <c r="AH81" s="1"/>
  <c r="W81"/>
  <c r="AC92"/>
  <c r="AC94"/>
  <c r="V9"/>
  <c r="AH9" s="1"/>
  <c r="AC13"/>
  <c r="AC93"/>
  <c r="V22"/>
  <c r="AH22" s="1"/>
  <c r="AC66"/>
  <c r="AL82"/>
  <c r="W69"/>
  <c r="AC28"/>
  <c r="AC59"/>
  <c r="V69"/>
  <c r="AH69" s="1"/>
  <c r="W70"/>
  <c r="V70"/>
  <c r="AH70" s="1"/>
  <c r="V98"/>
  <c r="AH98" s="1"/>
  <c r="AC29"/>
  <c r="W32"/>
  <c r="AC48"/>
  <c r="AC84"/>
  <c r="V86"/>
  <c r="AH86" s="1"/>
  <c r="W86"/>
  <c r="V87"/>
  <c r="AH87" s="1"/>
  <c r="W98"/>
  <c r="AC73"/>
  <c r="AC89"/>
  <c r="AC101"/>
  <c r="AC36" l="1"/>
  <c r="AF36"/>
  <c r="AI36" s="1"/>
  <c r="AD36"/>
  <c r="AE45"/>
  <c r="AE39"/>
  <c r="AE13"/>
  <c r="AL13" s="1"/>
  <c r="AE96"/>
  <c r="AL96" s="1"/>
  <c r="AE101"/>
  <c r="AL101" s="1"/>
  <c r="AE15"/>
  <c r="AL15" s="1"/>
  <c r="AE73"/>
  <c r="AL73" s="1"/>
  <c r="AE48"/>
  <c r="AL48" s="1"/>
  <c r="AE56"/>
  <c r="AL56" s="1"/>
  <c r="AE66"/>
  <c r="AL66" s="1"/>
  <c r="AE57"/>
  <c r="AL57" s="1"/>
  <c r="AD30"/>
  <c r="AF30"/>
  <c r="AI30" s="1"/>
  <c r="AF12"/>
  <c r="AI12" s="1"/>
  <c r="AD7"/>
  <c r="AF7"/>
  <c r="AI7" s="1"/>
  <c r="AE29"/>
  <c r="AL29" s="1"/>
  <c r="AD100"/>
  <c r="AF100"/>
  <c r="AI100" s="1"/>
  <c r="AE99"/>
  <c r="AL99" s="1"/>
  <c r="AD95"/>
  <c r="AF95"/>
  <c r="AI95" s="1"/>
  <c r="AD17"/>
  <c r="AC17"/>
  <c r="AC107"/>
  <c r="AD107" s="1"/>
  <c r="AE80"/>
  <c r="AL80" s="1"/>
  <c r="AC12"/>
  <c r="AD12"/>
  <c r="AC95"/>
  <c r="AI17"/>
  <c r="AC100"/>
  <c r="AC30"/>
  <c r="AE94"/>
  <c r="AL94" s="1"/>
  <c r="AL44"/>
  <c r="AE68"/>
  <c r="AL68" s="1"/>
  <c r="AE59"/>
  <c r="AL59" s="1"/>
  <c r="AE62"/>
  <c r="AL62" s="1"/>
  <c r="AE21"/>
  <c r="AL21" s="1"/>
  <c r="AE8"/>
  <c r="AL8" s="1"/>
  <c r="AE75"/>
  <c r="AL75" s="1"/>
  <c r="AE27"/>
  <c r="AL27" s="1"/>
  <c r="AE92"/>
  <c r="AL92" s="1"/>
  <c r="AE61"/>
  <c r="AL61" s="1"/>
  <c r="AE28"/>
  <c r="AL28" s="1"/>
  <c r="AE88"/>
  <c r="AL88" s="1"/>
  <c r="AE93"/>
  <c r="AL93" s="1"/>
  <c r="AE84"/>
  <c r="AL84" s="1"/>
  <c r="AE10"/>
  <c r="AL10" s="1"/>
  <c r="AE11"/>
  <c r="AL11" s="1"/>
  <c r="AE89"/>
  <c r="AL89" s="1"/>
  <c r="AI34"/>
  <c r="AI98"/>
  <c r="AI87"/>
  <c r="AI54"/>
  <c r="AI53"/>
  <c r="AI67"/>
  <c r="AI55"/>
  <c r="AI81"/>
  <c r="AI20"/>
  <c r="AI9"/>
  <c r="AI69"/>
  <c r="AI22"/>
  <c r="AI32"/>
  <c r="AI14"/>
  <c r="AI70"/>
  <c r="AI86"/>
  <c r="AH104"/>
  <c r="AC54"/>
  <c r="AE54" s="1"/>
  <c r="AL54" s="1"/>
  <c r="AC55"/>
  <c r="AE55" s="1"/>
  <c r="AL55" s="1"/>
  <c r="AC87"/>
  <c r="AE87" s="1"/>
  <c r="AL87" s="1"/>
  <c r="AC32"/>
  <c r="AE32" s="1"/>
  <c r="AL32" s="1"/>
  <c r="AC47"/>
  <c r="AI47"/>
  <c r="AI23"/>
  <c r="AI85"/>
  <c r="AC52"/>
  <c r="AI52"/>
  <c r="AC49"/>
  <c r="AI49"/>
  <c r="AC60"/>
  <c r="AI60"/>
  <c r="AC83"/>
  <c r="AI83"/>
  <c r="AC20"/>
  <c r="AE20" s="1"/>
  <c r="AL20" s="1"/>
  <c r="AC23"/>
  <c r="AC69"/>
  <c r="AE69" s="1"/>
  <c r="AL69" s="1"/>
  <c r="AC70"/>
  <c r="AE70" s="1"/>
  <c r="AL70" s="1"/>
  <c r="AC53"/>
  <c r="AE53" s="1"/>
  <c r="AL53" s="1"/>
  <c r="AC34"/>
  <c r="AE34" s="1"/>
  <c r="AL34" s="1"/>
  <c r="AC14"/>
  <c r="AE14" s="1"/>
  <c r="AL14" s="1"/>
  <c r="U104"/>
  <c r="AC67"/>
  <c r="AE67" s="1"/>
  <c r="AL67" s="1"/>
  <c r="AC81"/>
  <c r="AE81" s="1"/>
  <c r="AL81" s="1"/>
  <c r="AC98"/>
  <c r="AE98" s="1"/>
  <c r="AL98" s="1"/>
  <c r="V104"/>
  <c r="W104"/>
  <c r="AC7"/>
  <c r="AC85"/>
  <c r="AC22"/>
  <c r="AE22" s="1"/>
  <c r="AL22" s="1"/>
  <c r="AC9"/>
  <c r="AE9" s="1"/>
  <c r="AL9" s="1"/>
  <c r="AC86"/>
  <c r="AE86" s="1"/>
  <c r="AL86" s="1"/>
  <c r="AE36" l="1"/>
  <c r="AL36" s="1"/>
  <c r="AE100"/>
  <c r="AL100" s="1"/>
  <c r="AE30"/>
  <c r="AL30" s="1"/>
  <c r="AL39"/>
  <c r="AE17"/>
  <c r="AL17" s="1"/>
  <c r="AE95"/>
  <c r="AL95" s="1"/>
  <c r="AE107"/>
  <c r="AF107"/>
  <c r="AI107" s="1"/>
  <c r="AI110" s="1"/>
  <c r="AI111" s="1"/>
  <c r="AE12"/>
  <c r="AL12" s="1"/>
  <c r="AL45"/>
  <c r="AE23"/>
  <c r="AL23" s="1"/>
  <c r="AE49"/>
  <c r="AE47"/>
  <c r="AL47" s="1"/>
  <c r="AE85"/>
  <c r="AL85" s="1"/>
  <c r="AE52"/>
  <c r="AL52" s="1"/>
  <c r="AE60"/>
  <c r="AL60" s="1"/>
  <c r="AE83"/>
  <c r="AL83" s="1"/>
  <c r="AB104"/>
  <c r="AE7"/>
  <c r="AL7" s="1"/>
  <c r="D21" i="3" l="1"/>
  <c r="E21" s="1"/>
  <c r="G21" s="1"/>
  <c r="D20"/>
  <c r="E20" s="1"/>
  <c r="G20" s="1"/>
  <c r="D13"/>
  <c r="E13" s="1"/>
  <c r="G13" s="1"/>
  <c r="D12"/>
  <c r="E12" s="1"/>
  <c r="G12" s="1"/>
  <c r="D8"/>
  <c r="E8" s="1"/>
  <c r="G8" s="1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 s="1"/>
  <c r="G17" s="1"/>
  <c r="D16"/>
  <c r="E16" s="1"/>
  <c r="G16" s="1"/>
  <c r="D15"/>
  <c r="E15" s="1"/>
  <c r="G15" s="1"/>
  <c r="D14"/>
  <c r="E14" s="1"/>
  <c r="G14" s="1"/>
  <c r="D11"/>
  <c r="E11" s="1"/>
  <c r="G11" s="1"/>
  <c r="D10"/>
  <c r="E10" s="1"/>
  <c r="G10" s="1"/>
  <c r="D9"/>
  <c r="E9" s="1"/>
  <c r="G9" s="1"/>
  <c r="D7"/>
  <c r="E7" s="1"/>
  <c r="G7" s="1"/>
  <c r="C9" i="2"/>
  <c r="C8"/>
  <c r="D28" i="3" l="1"/>
  <c r="G28"/>
  <c r="Q25" i="4"/>
  <c r="Q104" l="1"/>
  <c r="AF25"/>
  <c r="AF104" s="1"/>
  <c r="AD25"/>
  <c r="AD104" s="1"/>
  <c r="AC25"/>
  <c r="AC104" l="1"/>
  <c r="AE25"/>
  <c r="AI25"/>
  <c r="AI104" s="1"/>
  <c r="AE104" l="1"/>
  <c r="AL25"/>
  <c r="AL104" s="1"/>
  <c r="AI105"/>
  <c r="AI106" s="1"/>
</calcChain>
</file>

<file path=xl/sharedStrings.xml><?xml version="1.0" encoding="utf-8"?>
<sst xmlns="http://schemas.openxmlformats.org/spreadsheetml/2006/main" count="543" uniqueCount="283">
  <si>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</si>
  <si>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</si>
  <si>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</si>
  <si>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</si>
  <si>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</si>
  <si>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</si>
  <si>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</si>
  <si>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</si>
  <si>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</si>
  <si>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</si>
  <si>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</si>
  <si>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</si>
  <si>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</si>
  <si>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</si>
  <si>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</si>
  <si>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</si>
  <si>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</si>
  <si>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</si>
  <si>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</si>
  <si>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</si>
  <si>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</si>
  <si>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</si>
  <si>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</si>
  <si>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</si>
  <si>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</si>
  <si>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</si>
  <si>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</si>
  <si>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</si>
  <si>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</si>
  <si>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</si>
  <si>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</si>
  <si>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</si>
  <si>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</si>
  <si>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</si>
  <si>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</si>
  <si>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</si>
  <si>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</si>
  <si>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</si>
  <si>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</si>
  <si>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</si>
  <si>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</si>
  <si>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</si>
  <si>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</si>
  <si>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</si>
  <si>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</si>
  <si>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</si>
  <si>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</si>
  <si>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</si>
  <si>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</si>
  <si>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</si>
  <si>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</si>
  <si>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</si>
  <si>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</si>
  <si>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</si>
  <si>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</si>
  <si>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</si>
  <si>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</si>
  <si>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</si>
  <si>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</si>
  <si>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</si>
  <si>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</si>
  <si>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</si>
  <si>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sub   S/N</t>
  </si>
  <si>
    <t>CONSULTORES</t>
  </si>
  <si>
    <t>FIJO / VARIABLE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</si>
  <si>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</si>
  <si>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</si>
  <si>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</si>
  <si>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</si>
  <si>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</si>
  <si>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</si>
  <si>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</si>
  <si>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</si>
  <si>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</si>
  <si>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</si>
  <si>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</si>
  <si>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</si>
  <si>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</si>
  <si>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</si>
  <si>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</si>
  <si>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</si>
  <si>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</si>
  <si>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</si>
  <si>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</si>
  <si>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</si>
  <si>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</si>
  <si>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</si>
  <si>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CHG</t>
  </si>
  <si>
    <t>HS11</t>
  </si>
  <si>
    <t>ML23</t>
  </si>
  <si>
    <t>OB15</t>
  </si>
  <si>
    <t>PP05</t>
  </si>
  <si>
    <t>SL08</t>
  </si>
  <si>
    <t>SR27</t>
  </si>
  <si>
    <t>TG06</t>
  </si>
  <si>
    <t>VM21</t>
  </si>
  <si>
    <t>VR23</t>
  </si>
  <si>
    <t>BC22</t>
  </si>
  <si>
    <t>CO16</t>
  </si>
  <si>
    <t>CO02</t>
  </si>
  <si>
    <t>DC20</t>
  </si>
  <si>
    <t>RA13</t>
  </si>
  <si>
    <t>SC25</t>
  </si>
  <si>
    <t>CM22</t>
  </si>
  <si>
    <t>CO24</t>
  </si>
  <si>
    <t>LO14</t>
  </si>
  <si>
    <t>MPJ04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</si>
  <si>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</si>
  <si>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</si>
  <si>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</si>
  <si>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</si>
  <si>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</si>
  <si>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</si>
  <si>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</si>
  <si>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</si>
  <si>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</si>
  <si>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</si>
  <si>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</si>
  <si>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</si>
  <si>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</si>
  <si>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RG12</t>
  </si>
  <si>
    <t>RH14</t>
  </si>
  <si>
    <t>SG05</t>
  </si>
  <si>
    <t>SH17</t>
  </si>
  <si>
    <t>VM14</t>
  </si>
  <si>
    <t>AG07</t>
  </si>
  <si>
    <t>AZ14</t>
  </si>
  <si>
    <t>BL011</t>
  </si>
  <si>
    <t>GO01</t>
  </si>
  <si>
    <t>HS08</t>
  </si>
  <si>
    <t>JH19</t>
  </si>
  <si>
    <t>LR05</t>
  </si>
  <si>
    <t>MC14</t>
  </si>
  <si>
    <t>MH09</t>
  </si>
  <si>
    <t>MH25</t>
  </si>
  <si>
    <t>NB02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</si>
  <si>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</si>
  <si>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</si>
  <si>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</si>
  <si>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</si>
  <si>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</si>
  <si>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</si>
  <si>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</si>
  <si>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</si>
  <si>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</si>
  <si>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</si>
  <si>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</si>
  <si>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DISPERCION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</si>
  <si>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</si>
  <si>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</si>
  <si>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</si>
  <si>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</si>
  <si>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</si>
  <si>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</si>
  <si>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</si>
  <si>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</si>
  <si>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</si>
  <si>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</si>
  <si>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</si>
  <si>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</si>
  <si>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</si>
  <si>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</si>
  <si>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</si>
  <si>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</si>
  <si>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</si>
  <si>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</si>
  <si>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</si>
  <si>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</si>
  <si>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</si>
  <si>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</si>
  <si>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</si>
  <si>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</si>
  <si>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MIRANDA PEON JULIO CESAR</t>
  </si>
  <si>
    <t>CRUZ ORTIZ JUAN ANTONIO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</si>
  <si>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</si>
  <si>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</si>
  <si>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</si>
  <si>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</si>
  <si>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</si>
  <si>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TINOCO LOPEZ ALFREDO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</si>
  <si>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</si>
  <si>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</si>
  <si>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</si>
  <si>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</si>
  <si>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</si>
  <si>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</si>
  <si>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</si>
  <si>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</si>
  <si>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</si>
  <si>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</si>
  <si>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</si>
  <si>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</si>
  <si>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</si>
  <si>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</si>
  <si>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MALDONADO HERNANDEZ ERICK</t>
  </si>
  <si>
    <t>NORIA BADILLO JUAN JOSE</t>
  </si>
  <si>
    <t>MARTINEZ GALLEGOS LUIS FERNANDO</t>
  </si>
  <si>
    <t>MG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</si>
  <si>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</si>
  <si>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</si>
  <si>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</si>
  <si>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</si>
  <si>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</si>
  <si>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</si>
  <si>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TORIBIO DEL ANGEL OSCAR</t>
  </si>
  <si>
    <t>UNIFORMES</t>
  </si>
  <si>
    <t>PALETA GUADARRAMA RICARDO</t>
  </si>
  <si>
    <t>Subsidio</t>
  </si>
  <si>
    <t>NM01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</si>
  <si>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</si>
  <si>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</si>
  <si>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</si>
  <si>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</si>
  <si>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</si>
  <si>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</si>
  <si>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</si>
  <si>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MONTES DE OCA JUAREZ JOSE ANTONIO</t>
  </si>
  <si>
    <t>NIETO MEDINA PEDRO EMMANUEL</t>
  </si>
  <si>
    <t>23/03/2016 AL 29/03/2016</t>
  </si>
  <si>
    <t>Periodo Semana 13</t>
  </si>
  <si>
    <t>Num. Cuenta</t>
  </si>
  <si>
    <t>DISPERSION</t>
  </si>
  <si>
    <t>INCAPACIDADES</t>
  </si>
  <si>
    <t>HUGO RANGEL ZUÑIGA</t>
  </si>
  <si>
    <t>QUILLO ARRIAGA OSIEL JONATHAN</t>
  </si>
  <si>
    <t>BARRAGAN SERRANO HECTOR TONATIUH</t>
  </si>
  <si>
    <t>CORTES MIRANDA CARLOS ARMANDO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</si>
  <si>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</si>
  <si>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</si>
  <si>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</si>
  <si>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</si>
  <si>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</si>
  <si>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</si>
  <si>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</si>
  <si>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GUTIERREZ OLVERA MARIHURI</t>
  </si>
  <si>
    <t>JIMENEZ HERNANDEZ JULIO CESAR</t>
  </si>
  <si>
    <t>GRANADOS PEREZ BRENDA LAURA</t>
  </si>
  <si>
    <t>DOMINGUEZ ALCANTARA MIGUEL ANGEL</t>
  </si>
  <si>
    <t>MELENDEZ PADILLA CLAUDIA CRISTINA</t>
  </si>
  <si>
    <t>Sueldo Semanal</t>
  </si>
  <si>
    <t>OLVERA TAPIA SERGIO ANIRAK</t>
  </si>
  <si>
    <t>ENRIQUEZ RUBIO FERNANDO</t>
  </si>
  <si>
    <t>BLANCO SALOMON RACIEL</t>
  </si>
  <si>
    <t>FEREGRINO RAMIREZ JUAN MANUEL</t>
  </si>
  <si>
    <t>TRONCOSO PEÑA GERARDO</t>
  </si>
  <si>
    <t>PATIÑO NAVARRO OSCAR MARTIN</t>
  </si>
  <si>
    <t>HEREDIA HERNANDEZ ANDREA</t>
  </si>
  <si>
    <t>HERNANDEZ ARREOLA RODOLFO MAYOLO</t>
  </si>
  <si>
    <t>MORALES ROSAS ISRAEL</t>
  </si>
  <si>
    <t>GUTIERREZ OLVERA ARMANDO</t>
  </si>
  <si>
    <t>HURTADO PAJARO JOSE</t>
  </si>
  <si>
    <t>HP16</t>
  </si>
  <si>
    <t>JEFE DE TALLER</t>
  </si>
  <si>
    <t>VALUADOR</t>
  </si>
  <si>
    <t>GALLEGOS RAMIREZ JOSE</t>
  </si>
  <si>
    <t>REYES ARMADILLO JORGE ANDRES</t>
  </si>
  <si>
    <t>FALTAS</t>
  </si>
  <si>
    <t>GUERRERO GOMEZ MARVIN NOE</t>
  </si>
  <si>
    <t>NUMERO DE CUENTA BANCOMER: 1171646753</t>
  </si>
  <si>
    <t>SOLORZANO LUNA MARIANA</t>
  </si>
  <si>
    <t>NUEVO INGRESO, FECHA 15/07/2016 CTA 2671903578</t>
  </si>
  <si>
    <t>DESCUENTO CTA 254 POR CONCEPTO DE PRESTAMO</t>
  </si>
  <si>
    <t>BARCENAS COLMENERO JORGE ALEJANDRO</t>
  </si>
  <si>
    <t>LOPEZ MIRELES ERIC</t>
  </si>
  <si>
    <t>MATILDE SANTIAGO URIEL</t>
  </si>
  <si>
    <t>CORTES ORTIZ JOSE DAVID</t>
  </si>
  <si>
    <t>NUEVO INGRESO 20/07/2016 CTA 1158901600</t>
  </si>
  <si>
    <t>LUPERCIO ESPINO ALAN JAIRO</t>
  </si>
  <si>
    <t>NUEVO INGRESO 25/07/2016 CTA 2960710474</t>
  </si>
  <si>
    <t>SIFONTES SARDUA DAYAN JESUS</t>
  </si>
  <si>
    <t>VALDEZ MARTINEZ MARTIN</t>
  </si>
  <si>
    <t>AYUDANTE</t>
  </si>
  <si>
    <t>ESTETICAS AYUDANTE</t>
  </si>
  <si>
    <t>MANTENIMIENTO</t>
  </si>
  <si>
    <t>TECNICO A</t>
  </si>
  <si>
    <t>TECNICO B</t>
  </si>
  <si>
    <t>Periodo Semana 31</t>
  </si>
  <si>
    <t>27/07/2016 AL 02/08/2016</t>
  </si>
  <si>
    <t>CAMACHO HERNANDEZ LEOPOLDO</t>
  </si>
  <si>
    <t>PASA DE NOMINA QUINCENAL A SEMANAL</t>
  </si>
  <si>
    <t>HERNANDEZ HERRERA J HECTOR</t>
  </si>
  <si>
    <t>PADILLA RUIZ JOSE ANTONIO</t>
  </si>
  <si>
    <t>DESCUENTO CTA 254 POR CONCEPTO DE OPTICA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</si>
</sst>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  <xf numFmtId="0" fontId="1" fillId="0" borderId="0"/>
  </cellStyleXfs>
  <cellXfs count="155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"/>
    </xf>
    <xf numFmtId="15" fontId="10" fillId="0" borderId="0" xfId="3" applyNumberFormat="1" applyFont="1" applyFill="1" applyAlignment="1" applyProtection="1">
      <alignment horizontal="left"/>
    </xf>
    <xf numFmtId="15" fontId="10" fillId="0" borderId="0" xfId="3" applyNumberFormat="1" applyFont="1" applyFill="1" applyAlignment="1" applyProtection="1">
      <alignment horizontal="center"/>
    </xf>
    <xf numFmtId="0" fontId="12" fillId="0" borderId="0" xfId="0" applyFont="1"/>
    <xf numFmtId="43" fontId="11" fillId="0" borderId="0" xfId="2" applyFont="1"/>
    <xf numFmtId="43" fontId="12" fillId="0" borderId="0" xfId="2" applyFont="1"/>
    <xf numFmtId="43" fontId="11" fillId="0" borderId="0" xfId="2" applyFont="1" applyFill="1"/>
    <xf numFmtId="0" fontId="12" fillId="0" borderId="0" xfId="0" applyFont="1" applyFill="1"/>
    <xf numFmtId="0" fontId="11" fillId="0" borderId="1" xfId="0" applyFont="1" applyBorder="1"/>
    <xf numFmtId="0" fontId="11" fillId="0" borderId="0" xfId="0" applyFont="1" applyFill="1"/>
    <xf numFmtId="0" fontId="11" fillId="0" borderId="0" xfId="0" applyFont="1"/>
    <xf numFmtId="0" fontId="14" fillId="0" borderId="0" xfId="0" applyFont="1"/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Border="1"/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" fillId="0" borderId="0" xfId="2" applyProtection="1"/>
    <xf numFmtId="43" fontId="1" fillId="0" borderId="0" xfId="2" applyFill="1"/>
    <xf numFmtId="43" fontId="12" fillId="8" borderId="1" xfId="2" applyFont="1" applyFill="1" applyBorder="1" applyAlignment="1">
      <alignment horizontal="center" wrapText="1"/>
    </xf>
    <xf numFmtId="43" fontId="12" fillId="8" borderId="8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wrapText="1"/>
    </xf>
    <xf numFmtId="43" fontId="1" fillId="8" borderId="2" xfId="2" applyFill="1" applyBorder="1" applyAlignment="1">
      <alignment horizontal="center" vertical="center" wrapText="1"/>
    </xf>
    <xf numFmtId="0" fontId="12" fillId="0" borderId="6" xfId="0" applyFont="1" applyFill="1" applyBorder="1"/>
    <xf numFmtId="0" fontId="11" fillId="0" borderId="8" xfId="0" applyFont="1" applyFill="1" applyBorder="1"/>
    <xf numFmtId="43" fontId="11" fillId="0" borderId="8" xfId="2" applyFont="1" applyFill="1" applyBorder="1"/>
    <xf numFmtId="43" fontId="12" fillId="0" borderId="8" xfId="2" applyFont="1" applyFill="1" applyBorder="1"/>
    <xf numFmtId="0" fontId="11" fillId="0" borderId="7" xfId="0" applyFont="1" applyBorder="1"/>
    <xf numFmtId="0" fontId="11" fillId="2" borderId="7" xfId="0" applyFont="1" applyFill="1" applyBorder="1"/>
    <xf numFmtId="43" fontId="11" fillId="0" borderId="7" xfId="2" applyFont="1" applyBorder="1"/>
    <xf numFmtId="43" fontId="11" fillId="2" borderId="7" xfId="2" applyFont="1" applyFill="1" applyBorder="1"/>
    <xf numFmtId="43" fontId="12" fillId="3" borderId="7" xfId="2" applyFont="1" applyFill="1" applyBorder="1"/>
    <xf numFmtId="43" fontId="11" fillId="4" borderId="7" xfId="2" applyFont="1" applyFill="1" applyBorder="1"/>
    <xf numFmtId="43" fontId="11" fillId="0" borderId="7" xfId="2" applyFont="1" applyFill="1" applyBorder="1" applyAlignment="1">
      <alignment horizontal="center"/>
    </xf>
    <xf numFmtId="43" fontId="11" fillId="6" borderId="7" xfId="2" applyFont="1" applyFill="1" applyBorder="1" applyAlignment="1">
      <alignment horizontal="center"/>
    </xf>
    <xf numFmtId="43" fontId="1" fillId="0" borderId="7" xfId="2" applyFill="1" applyBorder="1"/>
    <xf numFmtId="0" fontId="11" fillId="0" borderId="7" xfId="0" applyFont="1" applyFill="1" applyBorder="1"/>
    <xf numFmtId="43" fontId="11" fillId="11" borderId="7" xfId="2" applyFont="1" applyFill="1" applyBorder="1"/>
    <xf numFmtId="14" fontId="11" fillId="0" borderId="7" xfId="0" applyNumberFormat="1" applyFont="1" applyFill="1" applyBorder="1"/>
    <xf numFmtId="43" fontId="11" fillId="0" borderId="7" xfId="2" applyFont="1" applyFill="1" applyBorder="1"/>
    <xf numFmtId="0" fontId="12" fillId="0" borderId="7" xfId="0" applyFont="1" applyFill="1" applyBorder="1"/>
    <xf numFmtId="12" fontId="11" fillId="0" borderId="7" xfId="2" applyNumberFormat="1" applyFont="1" applyFill="1" applyBorder="1"/>
    <xf numFmtId="0" fontId="11" fillId="0" borderId="7" xfId="0" applyFont="1" applyFill="1" applyBorder="1" applyAlignment="1">
      <alignment horizontal="right"/>
    </xf>
    <xf numFmtId="43" fontId="11" fillId="0" borderId="8" xfId="2" applyFont="1" applyFill="1" applyBorder="1" applyAlignment="1">
      <alignment horizontal="center"/>
    </xf>
    <xf numFmtId="0" fontId="12" fillId="0" borderId="7" xfId="0" applyFont="1" applyBorder="1"/>
    <xf numFmtId="43" fontId="12" fillId="0" borderId="7" xfId="2" applyFont="1" applyBorder="1"/>
    <xf numFmtId="43" fontId="12" fillId="12" borderId="7" xfId="2" applyFont="1" applyFill="1" applyBorder="1"/>
    <xf numFmtId="43" fontId="1" fillId="0" borderId="7" xfId="2" applyBorder="1"/>
    <xf numFmtId="0" fontId="12" fillId="7" borderId="7" xfId="0" applyFont="1" applyFill="1" applyBorder="1" applyAlignment="1">
      <alignment horizontal="center"/>
    </xf>
    <xf numFmtId="43" fontId="11" fillId="5" borderId="7" xfId="2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0" fontId="12" fillId="7" borderId="5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43" fontId="11" fillId="10" borderId="7" xfId="2" applyFont="1" applyFill="1" applyBorder="1"/>
    <xf numFmtId="43" fontId="15" fillId="8" borderId="2" xfId="2" applyFont="1" applyFill="1" applyBorder="1" applyAlignment="1">
      <alignment horizontal="center" vertical="center" wrapText="1"/>
    </xf>
    <xf numFmtId="43" fontId="16" fillId="0" borderId="0" xfId="2" applyFont="1" applyProtection="1"/>
    <xf numFmtId="43" fontId="16" fillId="0" borderId="0" xfId="2" applyFont="1"/>
    <xf numFmtId="43" fontId="16" fillId="0" borderId="0" xfId="2" applyFont="1" applyFill="1"/>
    <xf numFmtId="43" fontId="16" fillId="0" borderId="7" xfId="2" applyFont="1" applyBorder="1"/>
    <xf numFmtId="43" fontId="16" fillId="3" borderId="7" xfId="2" applyFont="1" applyFill="1" applyBorder="1"/>
    <xf numFmtId="0" fontId="17" fillId="0" borderId="7" xfId="0" applyFont="1" applyFill="1" applyBorder="1"/>
    <xf numFmtId="4" fontId="17" fillId="0" borderId="7" xfId="0" applyNumberFormat="1" applyFont="1" applyFill="1" applyBorder="1"/>
    <xf numFmtId="0" fontId="12" fillId="13" borderId="7" xfId="0" applyFont="1" applyFill="1" applyBorder="1"/>
    <xf numFmtId="43" fontId="9" fillId="0" borderId="7" xfId="2" applyFont="1" applyFill="1" applyBorder="1"/>
    <xf numFmtId="0" fontId="10" fillId="0" borderId="0" xfId="3" applyFont="1" applyFill="1" applyAlignment="1" applyProtection="1">
      <alignment horizontal="center" vertical="center"/>
    </xf>
    <xf numFmtId="0" fontId="13" fillId="0" borderId="0" xfId="3" applyFont="1" applyFill="1" applyAlignment="1" applyProtection="1">
      <alignment horizontal="center" vertical="center"/>
    </xf>
    <xf numFmtId="15" fontId="10" fillId="0" borderId="0" xfId="3" applyNumberFormat="1" applyFont="1" applyFill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2" fillId="0" borderId="7" xfId="2" applyFont="1" applyFill="1" applyBorder="1"/>
    <xf numFmtId="43" fontId="18" fillId="0" borderId="7" xfId="2" applyFont="1" applyFill="1" applyBorder="1"/>
    <xf numFmtId="2" fontId="11" fillId="0" borderId="7" xfId="0" applyNumberFormat="1" applyFont="1" applyFill="1" applyBorder="1"/>
    <xf numFmtId="43" fontId="18" fillId="11" borderId="7" xfId="2" applyFont="1" applyFill="1" applyBorder="1"/>
    <xf numFmtId="0" fontId="0" fillId="0" borderId="0" xfId="0" applyFill="1"/>
    <xf numFmtId="14" fontId="18" fillId="0" borderId="7" xfId="0" applyNumberFormat="1" applyFont="1" applyFill="1" applyBorder="1"/>
    <xf numFmtId="165" fontId="18" fillId="0" borderId="7" xfId="0" applyNumberFormat="1" applyFont="1" applyFill="1" applyBorder="1"/>
    <xf numFmtId="14" fontId="11" fillId="0" borderId="7" xfId="0" applyNumberFormat="1" applyFont="1" applyFill="1" applyBorder="1" applyAlignment="1"/>
    <xf numFmtId="0" fontId="12" fillId="14" borderId="7" xfId="0" applyFont="1" applyFill="1" applyBorder="1"/>
    <xf numFmtId="0" fontId="11" fillId="10" borderId="7" xfId="0" applyFont="1" applyFill="1" applyBorder="1"/>
    <xf numFmtId="0" fontId="18" fillId="0" borderId="7" xfId="0" applyFont="1" applyFill="1" applyBorder="1" applyAlignment="1">
      <alignment wrapText="1"/>
    </xf>
    <xf numFmtId="4" fontId="18" fillId="0" borderId="7" xfId="0" applyNumberFormat="1" applyFont="1" applyFill="1" applyBorder="1" applyAlignment="1">
      <alignment wrapText="1"/>
    </xf>
    <xf numFmtId="0" fontId="19" fillId="0" borderId="7" xfId="0" applyFont="1" applyFill="1" applyBorder="1"/>
    <xf numFmtId="165" fontId="18" fillId="0" borderId="7" xfId="0" applyNumberFormat="1" applyFont="1" applyFill="1" applyBorder="1" applyAlignment="1">
      <alignment horizontal="right" vertical="center"/>
    </xf>
    <xf numFmtId="43" fontId="1" fillId="0" borderId="7" xfId="2" applyFill="1" applyBorder="1" applyAlignment="1">
      <alignment horizontal="center" vertical="center"/>
    </xf>
    <xf numFmtId="43" fontId="12" fillId="10" borderId="7" xfId="2" applyFont="1" applyFill="1" applyBorder="1"/>
    <xf numFmtId="43" fontId="11" fillId="10" borderId="7" xfId="2" applyFont="1" applyFill="1" applyBorder="1" applyAlignment="1">
      <alignment horizontal="center"/>
    </xf>
    <xf numFmtId="0" fontId="18" fillId="0" borderId="0" xfId="0" applyFont="1" applyFill="1"/>
    <xf numFmtId="0" fontId="18" fillId="0" borderId="7" xfId="0" applyFont="1" applyFill="1" applyBorder="1"/>
    <xf numFmtId="4" fontId="18" fillId="0" borderId="7" xfId="0" applyNumberFormat="1" applyFont="1" applyFill="1" applyBorder="1"/>
    <xf numFmtId="4" fontId="11" fillId="0" borderId="7" xfId="0" applyNumberFormat="1" applyFont="1" applyFill="1" applyBorder="1"/>
    <xf numFmtId="43" fontId="11" fillId="0" borderId="7" xfId="0" applyNumberFormat="1" applyFont="1" applyFill="1" applyBorder="1"/>
    <xf numFmtId="43" fontId="12" fillId="8" borderId="2" xfId="2" applyFont="1" applyFill="1" applyBorder="1" applyAlignment="1">
      <alignment horizontal="center" wrapText="1"/>
    </xf>
    <xf numFmtId="14" fontId="11" fillId="0" borderId="7" xfId="0" applyNumberFormat="1" applyFont="1" applyBorder="1"/>
    <xf numFmtId="0" fontId="0" fillId="12" borderId="7" xfId="0" applyFill="1" applyBorder="1"/>
    <xf numFmtId="0" fontId="11" fillId="12" borderId="7" xfId="0" applyFont="1" applyFill="1" applyBorder="1"/>
    <xf numFmtId="165" fontId="18" fillId="12" borderId="7" xfId="0" applyNumberFormat="1" applyFont="1" applyFill="1" applyBorder="1"/>
    <xf numFmtId="43" fontId="11" fillId="12" borderId="7" xfId="2" applyFont="1" applyFill="1" applyBorder="1"/>
    <xf numFmtId="43" fontId="9" fillId="12" borderId="7" xfId="2" applyFont="1" applyFill="1" applyBorder="1"/>
    <xf numFmtId="43" fontId="11" fillId="12" borderId="7" xfId="2" applyFont="1" applyFill="1" applyBorder="1" applyAlignment="1">
      <alignment horizontal="center"/>
    </xf>
    <xf numFmtId="0" fontId="18" fillId="12" borderId="7" xfId="0" applyFont="1" applyFill="1" applyBorder="1" applyAlignment="1">
      <alignment wrapText="1"/>
    </xf>
    <xf numFmtId="4" fontId="18" fillId="12" borderId="7" xfId="0" applyNumberFormat="1" applyFont="1" applyFill="1" applyBorder="1" applyAlignment="1">
      <alignment wrapText="1"/>
    </xf>
    <xf numFmtId="43" fontId="18" fillId="12" borderId="7" xfId="2" applyFont="1" applyFill="1" applyBorder="1"/>
    <xf numFmtId="0" fontId="12" fillId="12" borderId="7" xfId="0" applyFont="1" applyFill="1" applyBorder="1"/>
    <xf numFmtId="0" fontId="11" fillId="12" borderId="0" xfId="0" applyFont="1" applyFill="1"/>
    <xf numFmtId="4" fontId="18" fillId="12" borderId="7" xfId="0" applyNumberFormat="1" applyFont="1" applyFill="1" applyBorder="1"/>
    <xf numFmtId="0" fontId="0" fillId="12" borderId="0" xfId="0" applyFill="1"/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3" fontId="12" fillId="8" borderId="1" xfId="0" applyNumberFormat="1" applyFont="1" applyFill="1" applyBorder="1"/>
    <xf numFmtId="3" fontId="12" fillId="8" borderId="2" xfId="0" applyNumberFormat="1" applyFont="1" applyFill="1" applyBorder="1"/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1" fillId="8" borderId="2" xfId="2" applyFont="1" applyFill="1" applyBorder="1" applyAlignment="1">
      <alignment horizontal="center" vertical="center" wrapText="1"/>
    </xf>
    <xf numFmtId="43" fontId="11" fillId="8" borderId="8" xfId="2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43" fontId="15" fillId="8" borderId="3" xfId="2" applyFont="1" applyFill="1" applyBorder="1" applyAlignment="1">
      <alignment horizontal="center" wrapText="1"/>
    </xf>
    <xf numFmtId="43" fontId="15" fillId="8" borderId="4" xfId="2" applyFont="1" applyFill="1" applyBorder="1" applyAlignment="1">
      <alignment horizontal="center" wrapText="1"/>
    </xf>
    <xf numFmtId="43" fontId="1" fillId="7" borderId="5" xfId="2" applyFill="1" applyBorder="1" applyAlignment="1">
      <alignment horizontal="center"/>
    </xf>
    <xf numFmtId="43" fontId="1" fillId="8" borderId="3" xfId="2" applyFill="1" applyBorder="1" applyAlignment="1">
      <alignment horizontal="center" wrapText="1"/>
    </xf>
    <xf numFmtId="43" fontId="1" fillId="8" borderId="4" xfId="2" applyFill="1" applyBorder="1" applyAlignment="1">
      <alignment horizontal="center" wrapText="1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4B082"/>
      <color rgb="FFFF00FF"/>
      <color rgb="FF9999FF"/>
      <color rgb="FFBCD6EE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L130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"/>
  <cols>
    <col min="1" max="1" width="28.7109375" style="29" customWidth="1"/>
    <col min="2" max="2" width="39.140625" style="29" customWidth="1"/>
    <col min="3" max="3" width="8.140625" style="29" customWidth="1"/>
    <col min="4" max="4" width="8.85546875" style="29" customWidth="1"/>
    <col min="5" max="5" width="31.5703125" style="29" customWidth="1"/>
    <col min="6" max="6" width="20.140625" style="29" customWidth="1"/>
    <col min="7" max="7" width="13" style="29" customWidth="1"/>
    <col min="8" max="8" width="11.7109375" style="29" customWidth="1"/>
    <col min="9" max="9" width="17.140625" style="23" customWidth="1"/>
    <col min="10" max="10" width="11.7109375" style="97" customWidth="1"/>
    <col min="11" max="13" width="13.85546875" style="23" customWidth="1"/>
    <col min="14" max="16" width="13.5703125" style="23" customWidth="1"/>
    <col min="17" max="17" width="17" style="24" customWidth="1"/>
    <col min="18" max="20" width="13.5703125" style="23" customWidth="1"/>
    <col min="21" max="21" width="13.5703125" style="25" customWidth="1"/>
    <col min="22" max="22" width="19.28515625" style="25" customWidth="1"/>
    <col min="23" max="23" width="16.85546875" style="25" customWidth="1"/>
    <col min="24" max="24" width="16.140625" style="25" customWidth="1"/>
    <col min="25" max="28" width="13.5703125" style="23" customWidth="1"/>
    <col min="29" max="29" width="16.7109375" style="24" customWidth="1"/>
    <col min="30" max="30" width="16.7109375" style="23" customWidth="1"/>
    <col min="31" max="31" width="15.42578125" style="24" customWidth="1"/>
    <col min="32" max="34" width="13.5703125" style="23" customWidth="1"/>
    <col min="35" max="35" width="15.42578125" style="24" customWidth="1"/>
    <col min="36" max="36" width="15.28515625" style="80" hidden="1" customWidth="1"/>
    <col min="37" max="37" width="12.7109375" style="80" hidden="1" customWidth="1"/>
    <col min="38" max="38" width="11.5703125" style="4" hidden="1" customWidth="1"/>
    <col min="39" max="39" width="13.28515625" style="29" bestFit="1" customWidth="1"/>
    <col min="40" max="40" width="101.7109375" style="29" bestFit="1" customWidth="1"/>
    <col min="41" max="54" width="11.5703125" style="28"/>
    <col min="55" max="16384" width="11.5703125" style="29"/>
  </cols>
  <sheetData>
    <row r="1" spans="1:54" s="17" customFormat="1">
      <c r="A1" s="12" t="s">
        <v>22</v>
      </c>
      <c r="B1" s="12"/>
      <c r="C1" s="12"/>
      <c r="D1" s="12"/>
      <c r="E1" s="13"/>
      <c r="F1" s="13"/>
      <c r="G1" s="13"/>
      <c r="H1" s="13"/>
      <c r="I1" s="14"/>
      <c r="J1" s="88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5"/>
      <c r="AD1" s="14"/>
      <c r="AE1" s="15"/>
      <c r="AF1" s="14"/>
      <c r="AG1" s="14"/>
      <c r="AH1" s="14"/>
      <c r="AI1" s="15"/>
      <c r="AJ1" s="79"/>
      <c r="AK1" s="79"/>
      <c r="AL1" s="3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54" s="17" customFormat="1">
      <c r="A2" s="18" t="s">
        <v>73</v>
      </c>
      <c r="B2" s="18"/>
      <c r="C2" s="18"/>
      <c r="D2" s="18"/>
      <c r="E2" s="19"/>
      <c r="F2" s="19"/>
      <c r="G2" s="19"/>
      <c r="H2" s="19"/>
      <c r="I2" s="14"/>
      <c r="J2" s="8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5"/>
      <c r="AD2" s="14"/>
      <c r="AE2" s="15"/>
      <c r="AF2" s="14"/>
      <c r="AG2" s="14"/>
      <c r="AH2" s="14"/>
      <c r="AI2" s="15"/>
      <c r="AJ2" s="79"/>
      <c r="AK2" s="79"/>
      <c r="AL2" s="3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54" s="17" customFormat="1">
      <c r="A3" s="20" t="s">
        <v>276</v>
      </c>
      <c r="B3" s="20"/>
      <c r="C3" s="20"/>
      <c r="D3" s="20"/>
      <c r="E3" s="21"/>
      <c r="F3" s="21"/>
      <c r="G3" s="21"/>
      <c r="H3" s="21"/>
      <c r="I3" s="14"/>
      <c r="J3" s="90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5"/>
      <c r="AD3" s="14"/>
      <c r="AE3" s="15"/>
      <c r="AF3" s="14"/>
      <c r="AG3" s="14"/>
      <c r="AH3" s="14"/>
      <c r="AI3" s="15"/>
      <c r="AJ3" s="79"/>
      <c r="AK3" s="79"/>
      <c r="AL3" s="3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s="22" customFormat="1">
      <c r="A4" s="22" t="s">
        <v>277</v>
      </c>
      <c r="I4" s="23"/>
      <c r="J4" s="91"/>
      <c r="K4" s="23"/>
      <c r="L4" s="23"/>
      <c r="M4" s="23"/>
      <c r="N4" s="23"/>
      <c r="O4" s="23"/>
      <c r="P4" s="23"/>
      <c r="Q4" s="24"/>
      <c r="R4" s="23"/>
      <c r="S4" s="23"/>
      <c r="T4" s="23"/>
      <c r="U4" s="25"/>
      <c r="V4" s="25"/>
      <c r="W4" s="25"/>
      <c r="X4" s="25"/>
      <c r="Y4" s="23"/>
      <c r="Z4" s="23"/>
      <c r="AA4" s="23"/>
      <c r="AB4" s="23"/>
      <c r="AC4" s="24"/>
      <c r="AD4" s="23"/>
      <c r="AE4" s="24"/>
      <c r="AF4" s="23"/>
      <c r="AG4" s="23"/>
      <c r="AH4" s="23"/>
      <c r="AI4" s="24"/>
      <c r="AJ4" s="80"/>
      <c r="AK4" s="80"/>
      <c r="AL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54" s="22" customFormat="1" ht="28.5" customHeight="1">
      <c r="A5" s="137" t="s">
        <v>36</v>
      </c>
      <c r="B5" s="139" t="s">
        <v>37</v>
      </c>
      <c r="C5" s="137" t="s">
        <v>187</v>
      </c>
      <c r="D5" s="139" t="s">
        <v>38</v>
      </c>
      <c r="E5" s="139" t="s">
        <v>0</v>
      </c>
      <c r="F5" s="137" t="s">
        <v>183</v>
      </c>
      <c r="G5" s="141" t="s">
        <v>64</v>
      </c>
      <c r="H5" s="141" t="s">
        <v>62</v>
      </c>
      <c r="I5" s="143" t="s">
        <v>63</v>
      </c>
      <c r="J5" s="135"/>
      <c r="K5" s="141" t="s">
        <v>239</v>
      </c>
      <c r="L5" s="135" t="s">
        <v>72</v>
      </c>
      <c r="M5" s="35"/>
      <c r="N5" s="141" t="s">
        <v>32</v>
      </c>
      <c r="O5" s="141" t="s">
        <v>33</v>
      </c>
      <c r="P5" s="141" t="s">
        <v>60</v>
      </c>
      <c r="Q5" s="141" t="s">
        <v>34</v>
      </c>
      <c r="R5" s="141" t="s">
        <v>35</v>
      </c>
      <c r="S5" s="120"/>
      <c r="T5" s="34"/>
      <c r="U5" s="145" t="s">
        <v>145</v>
      </c>
      <c r="V5" s="145" t="s">
        <v>164</v>
      </c>
      <c r="W5" s="145" t="s">
        <v>163</v>
      </c>
      <c r="X5" s="145" t="s">
        <v>146</v>
      </c>
      <c r="Y5" s="141" t="s">
        <v>28</v>
      </c>
      <c r="Z5" s="141" t="s">
        <v>53</v>
      </c>
      <c r="AA5" s="141" t="s">
        <v>52</v>
      </c>
      <c r="AB5" s="141" t="s">
        <v>30</v>
      </c>
      <c r="AC5" s="141" t="s">
        <v>61</v>
      </c>
      <c r="AD5" s="141" t="s">
        <v>25</v>
      </c>
      <c r="AE5" s="141" t="s">
        <v>29</v>
      </c>
      <c r="AF5" s="141" t="s">
        <v>24</v>
      </c>
      <c r="AG5" s="141" t="s">
        <v>26</v>
      </c>
      <c r="AH5" s="38"/>
      <c r="AI5" s="141" t="s">
        <v>27</v>
      </c>
      <c r="AJ5" s="150" t="s">
        <v>221</v>
      </c>
      <c r="AK5" s="151"/>
      <c r="AL5" s="152" t="s">
        <v>148</v>
      </c>
      <c r="AM5" s="148" t="s">
        <v>191</v>
      </c>
      <c r="AN5" s="148" t="s">
        <v>192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s="32" customFormat="1" ht="39" customHeight="1">
      <c r="A6" s="138"/>
      <c r="B6" s="140"/>
      <c r="C6" s="138"/>
      <c r="D6" s="140"/>
      <c r="E6" s="140"/>
      <c r="F6" s="138"/>
      <c r="G6" s="142"/>
      <c r="H6" s="142"/>
      <c r="I6" s="144"/>
      <c r="J6" s="136"/>
      <c r="K6" s="142"/>
      <c r="L6" s="136"/>
      <c r="M6" s="39" t="s">
        <v>207</v>
      </c>
      <c r="N6" s="142"/>
      <c r="O6" s="142"/>
      <c r="P6" s="142"/>
      <c r="Q6" s="142"/>
      <c r="R6" s="142"/>
      <c r="S6" s="40" t="s">
        <v>256</v>
      </c>
      <c r="T6" s="40" t="s">
        <v>205</v>
      </c>
      <c r="U6" s="146"/>
      <c r="V6" s="146"/>
      <c r="W6" s="146"/>
      <c r="X6" s="146"/>
      <c r="Y6" s="142"/>
      <c r="Z6" s="142"/>
      <c r="AA6" s="142"/>
      <c r="AB6" s="142"/>
      <c r="AC6" s="142"/>
      <c r="AD6" s="142"/>
      <c r="AE6" s="142"/>
      <c r="AF6" s="142"/>
      <c r="AG6" s="142"/>
      <c r="AH6" s="34"/>
      <c r="AI6" s="142"/>
      <c r="AJ6" s="78" t="s">
        <v>63</v>
      </c>
      <c r="AK6" s="78" t="s">
        <v>65</v>
      </c>
      <c r="AL6" s="152"/>
      <c r="AM6" s="148"/>
      <c r="AN6" s="148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</row>
    <row r="7" spans="1:54" s="28" customFormat="1">
      <c r="A7" s="55" t="s">
        <v>81</v>
      </c>
      <c r="B7" s="55" t="s">
        <v>177</v>
      </c>
      <c r="C7" s="55"/>
      <c r="D7" s="55" t="s">
        <v>85</v>
      </c>
      <c r="E7" s="55" t="s">
        <v>69</v>
      </c>
      <c r="F7" s="104">
        <v>42062</v>
      </c>
      <c r="G7" s="55"/>
      <c r="H7" s="55"/>
      <c r="I7" s="58">
        <v>511.28</v>
      </c>
      <c r="J7" s="58">
        <v>654.98</v>
      </c>
      <c r="K7" s="58">
        <f t="shared" ref="K7:K34" si="0">+I7+J7</f>
        <v>1166.26</v>
      </c>
      <c r="L7" s="58">
        <v>1336.32</v>
      </c>
      <c r="M7" s="58"/>
      <c r="N7" s="58"/>
      <c r="O7" s="58"/>
      <c r="P7" s="87"/>
      <c r="Q7" s="98">
        <f t="shared" ref="Q7:Q40" si="1">SUM(K7:O7)-P7</f>
        <v>2502.58</v>
      </c>
      <c r="R7" s="58"/>
      <c r="S7" s="58"/>
      <c r="T7" s="58"/>
      <c r="U7" s="58">
        <v>0</v>
      </c>
      <c r="V7" s="58"/>
      <c r="W7" s="58"/>
      <c r="X7" s="58"/>
      <c r="Y7" s="52"/>
      <c r="Z7" s="52"/>
      <c r="AA7" s="55"/>
      <c r="AB7" s="55">
        <v>0</v>
      </c>
      <c r="AC7" s="98">
        <f t="shared" ref="AC7:AC40" si="2">+Q7-SUM(R7:AB7)</f>
        <v>2502.58</v>
      </c>
      <c r="AD7" s="52">
        <f t="shared" ref="AD7:AD40" si="3">IF(Q7&gt;2250,Q7*0.1,0)</f>
        <v>250.25800000000001</v>
      </c>
      <c r="AE7" s="98">
        <f t="shared" ref="AE7:AE40" si="4">+AC7-AD7</f>
        <v>2252.3220000000001</v>
      </c>
      <c r="AF7" s="52">
        <f t="shared" ref="AF7:AF40" si="5">IF(Q7&lt;2250,Q7*0.1,0)</f>
        <v>0</v>
      </c>
      <c r="AG7" s="52">
        <v>10.23</v>
      </c>
      <c r="AH7" s="52">
        <f t="shared" ref="AH7:AH40" si="6">+V7</f>
        <v>0</v>
      </c>
      <c r="AI7" s="98">
        <f t="shared" ref="AI7:AI40" si="7">+Q7+AF7+AG7+AH7</f>
        <v>2512.81</v>
      </c>
      <c r="AJ7" s="108"/>
      <c r="AK7" s="109"/>
      <c r="AL7" s="99">
        <f t="shared" ref="AL7:AL34" si="8">+AJ7+AK7-AE7</f>
        <v>-2252.3220000000001</v>
      </c>
      <c r="AM7" s="55"/>
      <c r="AN7" s="55"/>
    </row>
    <row r="8" spans="1:54" s="28" customFormat="1">
      <c r="A8" s="55" t="s">
        <v>68</v>
      </c>
      <c r="B8" s="55" t="s">
        <v>169</v>
      </c>
      <c r="C8" s="55" t="s">
        <v>187</v>
      </c>
      <c r="D8" s="55" t="s">
        <v>125</v>
      </c>
      <c r="E8" s="55" t="s">
        <v>71</v>
      </c>
      <c r="F8" s="104">
        <v>41797</v>
      </c>
      <c r="G8" s="55"/>
      <c r="H8" s="55"/>
      <c r="I8" s="58">
        <v>511.28</v>
      </c>
      <c r="J8" s="58">
        <v>4155.3866666666663</v>
      </c>
      <c r="K8" s="58">
        <f t="shared" si="0"/>
        <v>4666.6666666666661</v>
      </c>
      <c r="L8" s="58"/>
      <c r="M8" s="58"/>
      <c r="N8" s="58"/>
      <c r="O8" s="58"/>
      <c r="P8" s="87"/>
      <c r="Q8" s="98">
        <f t="shared" si="1"/>
        <v>4666.6666666666661</v>
      </c>
      <c r="R8" s="58"/>
      <c r="S8" s="58"/>
      <c r="T8" s="115"/>
      <c r="U8" s="58">
        <v>0</v>
      </c>
      <c r="V8" s="58"/>
      <c r="W8" s="58"/>
      <c r="X8" s="58"/>
      <c r="Y8" s="52"/>
      <c r="Z8" s="52"/>
      <c r="AA8" s="55"/>
      <c r="AB8" s="55">
        <v>0</v>
      </c>
      <c r="AC8" s="98">
        <f t="shared" si="2"/>
        <v>4666.6666666666661</v>
      </c>
      <c r="AD8" s="52">
        <f t="shared" si="3"/>
        <v>466.66666666666663</v>
      </c>
      <c r="AE8" s="98">
        <f t="shared" si="4"/>
        <v>4199.9999999999991</v>
      </c>
      <c r="AF8" s="52">
        <f t="shared" si="5"/>
        <v>0</v>
      </c>
      <c r="AG8" s="52">
        <v>10.23</v>
      </c>
      <c r="AH8" s="52">
        <f t="shared" si="6"/>
        <v>0</v>
      </c>
      <c r="AI8" s="98">
        <f t="shared" si="7"/>
        <v>4676.8966666666656</v>
      </c>
      <c r="AJ8" s="108"/>
      <c r="AK8" s="109"/>
      <c r="AL8" s="99">
        <f t="shared" si="8"/>
        <v>-4199.9999999999991</v>
      </c>
      <c r="AM8" s="55"/>
      <c r="AN8" s="55"/>
    </row>
    <row r="9" spans="1:54" s="28" customFormat="1">
      <c r="A9" s="55" t="s">
        <v>84</v>
      </c>
      <c r="B9" s="55" t="s">
        <v>153</v>
      </c>
      <c r="C9" s="55"/>
      <c r="D9" s="55" t="s">
        <v>108</v>
      </c>
      <c r="E9" s="55" t="s">
        <v>275</v>
      </c>
      <c r="F9" s="104">
        <v>41381</v>
      </c>
      <c r="G9" s="55"/>
      <c r="H9" s="55"/>
      <c r="I9" s="58">
        <v>511.28</v>
      </c>
      <c r="J9" s="58">
        <v>112.08000000000015</v>
      </c>
      <c r="K9" s="58">
        <f t="shared" si="0"/>
        <v>623.36000000000013</v>
      </c>
      <c r="L9" s="58">
        <f>5650.032+2.599</f>
        <v>5652.6310000000003</v>
      </c>
      <c r="M9" s="58"/>
      <c r="N9" s="58"/>
      <c r="O9" s="58"/>
      <c r="P9" s="87"/>
      <c r="Q9" s="98">
        <f t="shared" si="1"/>
        <v>6275.991</v>
      </c>
      <c r="R9" s="58"/>
      <c r="S9" s="58"/>
      <c r="T9" s="58"/>
      <c r="U9" s="58">
        <v>0</v>
      </c>
      <c r="V9" s="58">
        <f>Q9*4.9%</f>
        <v>307.52355900000003</v>
      </c>
      <c r="W9" s="58">
        <f>Q9*1%</f>
        <v>62.759909999999998</v>
      </c>
      <c r="X9" s="58"/>
      <c r="Y9" s="52"/>
      <c r="Z9" s="52"/>
      <c r="AA9" s="55"/>
      <c r="AB9" s="55">
        <v>0</v>
      </c>
      <c r="AC9" s="98">
        <f t="shared" si="2"/>
        <v>5905.707531</v>
      </c>
      <c r="AD9" s="52">
        <f t="shared" si="3"/>
        <v>627.59910000000002</v>
      </c>
      <c r="AE9" s="98">
        <f t="shared" si="4"/>
        <v>5278.1084309999997</v>
      </c>
      <c r="AF9" s="52">
        <f t="shared" si="5"/>
        <v>0</v>
      </c>
      <c r="AG9" s="52">
        <v>10.23</v>
      </c>
      <c r="AH9" s="52">
        <f t="shared" si="6"/>
        <v>307.52355900000003</v>
      </c>
      <c r="AI9" s="98">
        <f t="shared" si="7"/>
        <v>6593.7445589999998</v>
      </c>
      <c r="AJ9" s="108"/>
      <c r="AK9" s="109"/>
      <c r="AL9" s="99">
        <f t="shared" si="8"/>
        <v>-5278.1084309999997</v>
      </c>
      <c r="AM9" s="55"/>
      <c r="AN9" s="55"/>
    </row>
    <row r="10" spans="1:54" s="28" customFormat="1">
      <c r="A10" s="55" t="s">
        <v>68</v>
      </c>
      <c r="B10" s="55" t="s">
        <v>78</v>
      </c>
      <c r="C10" s="55" t="s">
        <v>187</v>
      </c>
      <c r="D10" s="55">
        <v>16</v>
      </c>
      <c r="E10" s="55" t="s">
        <v>71</v>
      </c>
      <c r="F10" s="104">
        <v>39508</v>
      </c>
      <c r="G10" s="55"/>
      <c r="H10" s="55"/>
      <c r="I10" s="58">
        <v>511.28</v>
      </c>
      <c r="J10" s="58">
        <v>4155.3866666666663</v>
      </c>
      <c r="K10" s="58">
        <f t="shared" si="0"/>
        <v>4666.6666666666661</v>
      </c>
      <c r="L10" s="58"/>
      <c r="M10" s="58"/>
      <c r="N10" s="58"/>
      <c r="O10" s="58"/>
      <c r="P10" s="87"/>
      <c r="Q10" s="98">
        <f t="shared" si="1"/>
        <v>4666.6666666666661</v>
      </c>
      <c r="R10" s="58"/>
      <c r="S10" s="58"/>
      <c r="T10" s="58"/>
      <c r="U10" s="58">
        <v>0</v>
      </c>
      <c r="V10" s="58"/>
      <c r="W10" s="58"/>
      <c r="X10" s="58"/>
      <c r="Y10" s="52"/>
      <c r="Z10" s="52"/>
      <c r="AA10" s="55"/>
      <c r="AB10" s="55">
        <v>0</v>
      </c>
      <c r="AC10" s="98">
        <f t="shared" si="2"/>
        <v>4666.6666666666661</v>
      </c>
      <c r="AD10" s="52">
        <f t="shared" si="3"/>
        <v>466.66666666666663</v>
      </c>
      <c r="AE10" s="98">
        <f t="shared" si="4"/>
        <v>4199.9999999999991</v>
      </c>
      <c r="AF10" s="52">
        <f t="shared" si="5"/>
        <v>0</v>
      </c>
      <c r="AG10" s="52">
        <v>10.23</v>
      </c>
      <c r="AH10" s="52">
        <f t="shared" si="6"/>
        <v>0</v>
      </c>
      <c r="AI10" s="98">
        <f t="shared" si="7"/>
        <v>4676.8966666666656</v>
      </c>
      <c r="AJ10" s="108"/>
      <c r="AK10" s="109"/>
      <c r="AL10" s="99">
        <f t="shared" si="8"/>
        <v>-4199.9999999999991</v>
      </c>
      <c r="AM10" s="55"/>
      <c r="AN10" s="55"/>
    </row>
    <row r="11" spans="1:54" s="28" customFormat="1">
      <c r="A11" s="55" t="s">
        <v>81</v>
      </c>
      <c r="B11" s="55" t="s">
        <v>200</v>
      </c>
      <c r="C11" s="55"/>
      <c r="D11" s="55"/>
      <c r="E11" s="55" t="s">
        <v>201</v>
      </c>
      <c r="F11" s="104">
        <v>42422</v>
      </c>
      <c r="G11" s="55"/>
      <c r="H11" s="55"/>
      <c r="I11" s="58">
        <v>511.28</v>
      </c>
      <c r="J11" s="58">
        <v>227.95000000000005</v>
      </c>
      <c r="K11" s="58">
        <f t="shared" si="0"/>
        <v>739.23</v>
      </c>
      <c r="L11" s="58">
        <f>699.54+2.972</f>
        <v>702.51199999999994</v>
      </c>
      <c r="M11" s="58"/>
      <c r="N11" s="58"/>
      <c r="O11" s="58"/>
      <c r="P11" s="87"/>
      <c r="Q11" s="98">
        <f t="shared" si="1"/>
        <v>1441.742</v>
      </c>
      <c r="R11" s="58"/>
      <c r="S11" s="58"/>
      <c r="T11" s="58"/>
      <c r="U11" s="58">
        <v>0</v>
      </c>
      <c r="V11" s="58"/>
      <c r="W11" s="58"/>
      <c r="X11" s="58"/>
      <c r="Y11" s="52"/>
      <c r="Z11" s="52"/>
      <c r="AA11" s="55"/>
      <c r="AB11" s="55">
        <v>0</v>
      </c>
      <c r="AC11" s="98">
        <f t="shared" si="2"/>
        <v>1441.742</v>
      </c>
      <c r="AD11" s="52">
        <f t="shared" si="3"/>
        <v>0</v>
      </c>
      <c r="AE11" s="98">
        <f t="shared" si="4"/>
        <v>1441.742</v>
      </c>
      <c r="AF11" s="52">
        <f t="shared" si="5"/>
        <v>144.17420000000001</v>
      </c>
      <c r="AG11" s="52">
        <v>10.23</v>
      </c>
      <c r="AH11" s="52">
        <f t="shared" si="6"/>
        <v>0</v>
      </c>
      <c r="AI11" s="98">
        <f t="shared" si="7"/>
        <v>1596.1461999999999</v>
      </c>
      <c r="AJ11" s="108"/>
      <c r="AK11" s="109"/>
      <c r="AL11" s="99">
        <f t="shared" si="8"/>
        <v>-1441.742</v>
      </c>
      <c r="AM11" s="55">
        <v>1456104819</v>
      </c>
      <c r="AN11" s="59"/>
    </row>
    <row r="12" spans="1:54" s="28" customFormat="1">
      <c r="A12" s="55" t="s">
        <v>68</v>
      </c>
      <c r="B12" s="55" t="s">
        <v>170</v>
      </c>
      <c r="C12" s="55" t="s">
        <v>184</v>
      </c>
      <c r="D12" s="55" t="s">
        <v>126</v>
      </c>
      <c r="E12" s="55" t="s">
        <v>70</v>
      </c>
      <c r="F12" s="104">
        <v>42383</v>
      </c>
      <c r="G12" s="55"/>
      <c r="H12" s="55"/>
      <c r="I12" s="58">
        <v>511.28</v>
      </c>
      <c r="J12" s="58">
        <v>515.38000000000011</v>
      </c>
      <c r="K12" s="58">
        <f t="shared" si="0"/>
        <v>1026.6600000000001</v>
      </c>
      <c r="L12" s="58">
        <f>4884.06+1000</f>
        <v>5884.06</v>
      </c>
      <c r="M12" s="58"/>
      <c r="N12" s="58"/>
      <c r="O12" s="58"/>
      <c r="P12" s="87"/>
      <c r="Q12" s="98">
        <f t="shared" si="1"/>
        <v>6910.72</v>
      </c>
      <c r="R12" s="58"/>
      <c r="S12" s="58"/>
      <c r="T12" s="58"/>
      <c r="U12" s="58">
        <v>0</v>
      </c>
      <c r="V12" s="58"/>
      <c r="W12" s="58"/>
      <c r="X12" s="58"/>
      <c r="Y12" s="52"/>
      <c r="Z12" s="52"/>
      <c r="AA12" s="55"/>
      <c r="AB12" s="55">
        <v>368.35</v>
      </c>
      <c r="AC12" s="98">
        <f t="shared" si="2"/>
        <v>6542.37</v>
      </c>
      <c r="AD12" s="52">
        <f t="shared" si="3"/>
        <v>691.07200000000012</v>
      </c>
      <c r="AE12" s="98">
        <f t="shared" si="4"/>
        <v>5851.2979999999998</v>
      </c>
      <c r="AF12" s="52">
        <f t="shared" si="5"/>
        <v>0</v>
      </c>
      <c r="AG12" s="52">
        <v>10.23</v>
      </c>
      <c r="AH12" s="52">
        <f t="shared" si="6"/>
        <v>0</v>
      </c>
      <c r="AI12" s="98">
        <f t="shared" si="7"/>
        <v>6920.95</v>
      </c>
      <c r="AJ12" s="108"/>
      <c r="AK12" s="109"/>
      <c r="AL12" s="99">
        <f t="shared" si="8"/>
        <v>-5851.2979999999998</v>
      </c>
      <c r="AM12" s="55"/>
      <c r="AN12" s="55"/>
    </row>
    <row r="13" spans="1:54" s="28" customFormat="1">
      <c r="A13" s="55" t="s">
        <v>67</v>
      </c>
      <c r="B13" s="55" t="s">
        <v>157</v>
      </c>
      <c r="C13" s="55" t="s">
        <v>213</v>
      </c>
      <c r="D13" s="55"/>
      <c r="E13" s="55" t="s">
        <v>143</v>
      </c>
      <c r="F13" s="104">
        <v>42416</v>
      </c>
      <c r="G13" s="55"/>
      <c r="H13" s="55"/>
      <c r="I13" s="58">
        <v>511.28</v>
      </c>
      <c r="J13" s="58">
        <v>515.38000000000011</v>
      </c>
      <c r="K13" s="58">
        <f t="shared" si="0"/>
        <v>1026.6600000000001</v>
      </c>
      <c r="L13" s="58">
        <v>1352.88</v>
      </c>
      <c r="M13" s="58"/>
      <c r="N13" s="58"/>
      <c r="O13" s="58"/>
      <c r="P13" s="87"/>
      <c r="Q13" s="98">
        <f t="shared" si="1"/>
        <v>2379.54</v>
      </c>
      <c r="R13" s="58"/>
      <c r="S13" s="58"/>
      <c r="T13" s="58"/>
      <c r="U13" s="58">
        <v>0</v>
      </c>
      <c r="V13" s="58"/>
      <c r="W13" s="58"/>
      <c r="X13" s="58"/>
      <c r="Y13" s="52">
        <v>114.82</v>
      </c>
      <c r="Z13" s="52"/>
      <c r="AA13" s="55"/>
      <c r="AB13" s="55">
        <v>300</v>
      </c>
      <c r="AC13" s="98">
        <f t="shared" si="2"/>
        <v>1964.72</v>
      </c>
      <c r="AD13" s="52">
        <f t="shared" si="3"/>
        <v>237.95400000000001</v>
      </c>
      <c r="AE13" s="98">
        <f t="shared" si="4"/>
        <v>1726.7660000000001</v>
      </c>
      <c r="AF13" s="52">
        <f t="shared" si="5"/>
        <v>0</v>
      </c>
      <c r="AG13" s="52">
        <v>10.23</v>
      </c>
      <c r="AH13" s="52">
        <f t="shared" si="6"/>
        <v>0</v>
      </c>
      <c r="AI13" s="98">
        <f t="shared" si="7"/>
        <v>2389.77</v>
      </c>
      <c r="AJ13" s="108"/>
      <c r="AK13" s="109"/>
      <c r="AL13" s="99">
        <f t="shared" si="8"/>
        <v>-1726.7660000000001</v>
      </c>
      <c r="AM13" s="55"/>
      <c r="AN13" s="55"/>
    </row>
    <row r="14" spans="1:54" s="28" customFormat="1">
      <c r="A14" s="55" t="s">
        <v>84</v>
      </c>
      <c r="B14" s="55" t="s">
        <v>233</v>
      </c>
      <c r="C14" s="55"/>
      <c r="D14" s="55" t="s">
        <v>109</v>
      </c>
      <c r="E14" s="55" t="s">
        <v>275</v>
      </c>
      <c r="F14" s="104">
        <v>41740</v>
      </c>
      <c r="G14" s="55"/>
      <c r="H14" s="55"/>
      <c r="I14" s="58">
        <v>511.28</v>
      </c>
      <c r="J14" s="58">
        <v>112.08000000000015</v>
      </c>
      <c r="K14" s="58">
        <f t="shared" si="0"/>
        <v>623.36000000000013</v>
      </c>
      <c r="L14" s="58">
        <f>2388.824+5.571</f>
        <v>2394.395</v>
      </c>
      <c r="M14" s="58"/>
      <c r="N14" s="58"/>
      <c r="O14" s="58"/>
      <c r="P14" s="87"/>
      <c r="Q14" s="98">
        <f t="shared" si="1"/>
        <v>3017.7550000000001</v>
      </c>
      <c r="R14" s="58"/>
      <c r="S14" s="58"/>
      <c r="T14" s="58"/>
      <c r="U14" s="58">
        <v>250</v>
      </c>
      <c r="V14" s="58">
        <f>Q14*4.9%</f>
        <v>147.86999500000002</v>
      </c>
      <c r="W14" s="58">
        <f>Q14*1%</f>
        <v>30.17755</v>
      </c>
      <c r="X14" s="58"/>
      <c r="Y14" s="52"/>
      <c r="Z14" s="52"/>
      <c r="AA14" s="55"/>
      <c r="AB14" s="55">
        <v>0</v>
      </c>
      <c r="AC14" s="98">
        <f t="shared" si="2"/>
        <v>2589.7074550000002</v>
      </c>
      <c r="AD14" s="52">
        <f t="shared" si="3"/>
        <v>301.77550000000002</v>
      </c>
      <c r="AE14" s="98">
        <f t="shared" si="4"/>
        <v>2287.931955</v>
      </c>
      <c r="AF14" s="52">
        <f t="shared" si="5"/>
        <v>0</v>
      </c>
      <c r="AG14" s="52">
        <v>10.23</v>
      </c>
      <c r="AH14" s="52">
        <f t="shared" si="6"/>
        <v>147.86999500000002</v>
      </c>
      <c r="AI14" s="98">
        <f t="shared" si="7"/>
        <v>3175.8549950000001</v>
      </c>
      <c r="AJ14" s="108"/>
      <c r="AK14" s="109"/>
      <c r="AL14" s="99">
        <f t="shared" si="8"/>
        <v>-2287.931955</v>
      </c>
      <c r="AM14" s="55"/>
      <c r="AN14" s="59"/>
    </row>
    <row r="15" spans="1:54" s="28" customFormat="1">
      <c r="A15" s="55" t="s">
        <v>66</v>
      </c>
      <c r="B15" s="55" t="s">
        <v>262</v>
      </c>
      <c r="C15" s="55"/>
      <c r="D15" s="55" t="s">
        <v>97</v>
      </c>
      <c r="E15" s="55" t="s">
        <v>141</v>
      </c>
      <c r="F15" s="104">
        <v>42116</v>
      </c>
      <c r="G15" s="55"/>
      <c r="H15" s="55"/>
      <c r="I15" s="58">
        <v>511.28</v>
      </c>
      <c r="J15" s="58">
        <v>422.04999999999995</v>
      </c>
      <c r="K15" s="58">
        <f t="shared" si="0"/>
        <v>933.32999999999993</v>
      </c>
      <c r="L15" s="58">
        <v>700</v>
      </c>
      <c r="M15" s="58"/>
      <c r="N15" s="58"/>
      <c r="O15" s="58"/>
      <c r="P15" s="87"/>
      <c r="Q15" s="98">
        <f t="shared" si="1"/>
        <v>1633.33</v>
      </c>
      <c r="R15" s="58"/>
      <c r="S15" s="58"/>
      <c r="T15" s="58"/>
      <c r="U15" s="58">
        <v>0</v>
      </c>
      <c r="V15" s="58"/>
      <c r="W15" s="58"/>
      <c r="X15" s="58"/>
      <c r="Y15" s="52"/>
      <c r="Z15" s="52"/>
      <c r="AA15" s="100"/>
      <c r="AB15" s="55">
        <v>0</v>
      </c>
      <c r="AC15" s="98">
        <f t="shared" si="2"/>
        <v>1633.33</v>
      </c>
      <c r="AD15" s="52">
        <f t="shared" si="3"/>
        <v>0</v>
      </c>
      <c r="AE15" s="98">
        <f t="shared" si="4"/>
        <v>1633.33</v>
      </c>
      <c r="AF15" s="52">
        <f t="shared" si="5"/>
        <v>163.333</v>
      </c>
      <c r="AG15" s="52">
        <v>10.23</v>
      </c>
      <c r="AH15" s="52">
        <f t="shared" si="6"/>
        <v>0</v>
      </c>
      <c r="AI15" s="98">
        <f t="shared" si="7"/>
        <v>1806.893</v>
      </c>
      <c r="AJ15" s="116"/>
      <c r="AK15" s="116"/>
      <c r="AL15" s="99">
        <f t="shared" si="8"/>
        <v>-1633.33</v>
      </c>
      <c r="AM15" s="55"/>
      <c r="AN15" s="55"/>
    </row>
    <row r="16" spans="1:54" s="28" customFormat="1">
      <c r="A16" s="55" t="s">
        <v>68</v>
      </c>
      <c r="B16" s="55" t="s">
        <v>225</v>
      </c>
      <c r="C16" s="55"/>
      <c r="D16" s="55"/>
      <c r="E16" s="55" t="s">
        <v>70</v>
      </c>
      <c r="F16" s="104">
        <v>42472</v>
      </c>
      <c r="G16" s="55"/>
      <c r="H16" s="55"/>
      <c r="I16" s="58">
        <v>511.28</v>
      </c>
      <c r="J16" s="58">
        <v>515.38000000000011</v>
      </c>
      <c r="K16" s="58">
        <f t="shared" si="0"/>
        <v>1026.6600000000001</v>
      </c>
      <c r="L16" s="58"/>
      <c r="M16" s="58"/>
      <c r="N16" s="58"/>
      <c r="O16" s="58"/>
      <c r="P16" s="87"/>
      <c r="Q16" s="98">
        <f t="shared" si="1"/>
        <v>1026.6600000000001</v>
      </c>
      <c r="R16" s="58"/>
      <c r="S16" s="58"/>
      <c r="T16" s="58"/>
      <c r="U16" s="58">
        <v>0</v>
      </c>
      <c r="V16" s="58"/>
      <c r="W16" s="58"/>
      <c r="X16" s="58"/>
      <c r="Y16" s="52"/>
      <c r="Z16" s="52"/>
      <c r="AA16" s="55"/>
      <c r="AB16" s="55">
        <v>0</v>
      </c>
      <c r="AC16" s="98">
        <f t="shared" si="2"/>
        <v>1026.6600000000001</v>
      </c>
      <c r="AD16" s="52">
        <f t="shared" si="3"/>
        <v>0</v>
      </c>
      <c r="AE16" s="98">
        <f t="shared" si="4"/>
        <v>1026.6600000000001</v>
      </c>
      <c r="AF16" s="52">
        <f t="shared" si="5"/>
        <v>102.66600000000001</v>
      </c>
      <c r="AG16" s="52">
        <v>10.23</v>
      </c>
      <c r="AH16" s="52">
        <f t="shared" si="6"/>
        <v>0</v>
      </c>
      <c r="AI16" s="98">
        <f t="shared" si="7"/>
        <v>1139.556</v>
      </c>
      <c r="AJ16" s="116"/>
      <c r="AK16" s="117"/>
      <c r="AL16" s="99">
        <f t="shared" si="8"/>
        <v>-1026.6600000000001</v>
      </c>
      <c r="AM16" s="55">
        <v>2899146091</v>
      </c>
      <c r="AN16" s="59"/>
    </row>
    <row r="17" spans="1:40" s="28" customFormat="1" ht="15" customHeight="1">
      <c r="A17" s="55" t="s">
        <v>68</v>
      </c>
      <c r="B17" s="55" t="s">
        <v>193</v>
      </c>
      <c r="C17" s="55" t="s">
        <v>186</v>
      </c>
      <c r="D17" s="55" t="s">
        <v>127</v>
      </c>
      <c r="E17" s="55" t="s">
        <v>70</v>
      </c>
      <c r="F17" s="104">
        <v>41831</v>
      </c>
      <c r="G17" s="55"/>
      <c r="H17" s="55"/>
      <c r="I17" s="58">
        <v>511.28</v>
      </c>
      <c r="J17" s="58">
        <v>515.38000000000011</v>
      </c>
      <c r="K17" s="58">
        <f t="shared" si="0"/>
        <v>1026.6600000000001</v>
      </c>
      <c r="L17" s="58">
        <v>7840.18</v>
      </c>
      <c r="M17" s="58"/>
      <c r="N17" s="58"/>
      <c r="O17" s="58"/>
      <c r="P17" s="87"/>
      <c r="Q17" s="98">
        <f t="shared" si="1"/>
        <v>8866.84</v>
      </c>
      <c r="R17" s="58"/>
      <c r="S17" s="58"/>
      <c r="T17" s="58"/>
      <c r="U17" s="58">
        <v>500</v>
      </c>
      <c r="V17" s="58"/>
      <c r="W17" s="58"/>
      <c r="X17" s="58"/>
      <c r="Y17" s="52"/>
      <c r="Z17" s="52">
        <v>167.44</v>
      </c>
      <c r="AA17" s="55"/>
      <c r="AB17" s="118">
        <v>1000</v>
      </c>
      <c r="AC17" s="98">
        <f t="shared" si="2"/>
        <v>7199.4</v>
      </c>
      <c r="AD17" s="52">
        <f t="shared" si="3"/>
        <v>886.68400000000008</v>
      </c>
      <c r="AE17" s="98">
        <f t="shared" si="4"/>
        <v>6312.7159999999994</v>
      </c>
      <c r="AF17" s="52">
        <f t="shared" si="5"/>
        <v>0</v>
      </c>
      <c r="AG17" s="52">
        <v>10.23</v>
      </c>
      <c r="AH17" s="52">
        <f t="shared" si="6"/>
        <v>0</v>
      </c>
      <c r="AI17" s="98">
        <f t="shared" si="7"/>
        <v>8877.07</v>
      </c>
      <c r="AJ17" s="110"/>
      <c r="AK17" s="108"/>
      <c r="AL17" s="99">
        <f t="shared" si="8"/>
        <v>-6312.7159999999994</v>
      </c>
      <c r="AM17" s="55"/>
      <c r="AN17" s="59"/>
    </row>
    <row r="18" spans="1:40" s="28" customFormat="1" ht="15" customHeight="1">
      <c r="A18" s="55" t="s">
        <v>84</v>
      </c>
      <c r="B18" s="55" t="s">
        <v>242</v>
      </c>
      <c r="C18" s="55"/>
      <c r="D18" s="55"/>
      <c r="E18" s="55" t="s">
        <v>201</v>
      </c>
      <c r="F18" s="104">
        <v>42506</v>
      </c>
      <c r="G18" s="55"/>
      <c r="H18" s="55"/>
      <c r="I18" s="58">
        <v>511.28</v>
      </c>
      <c r="J18" s="58">
        <v>227.95000000000005</v>
      </c>
      <c r="K18" s="58">
        <f t="shared" si="0"/>
        <v>739.23</v>
      </c>
      <c r="L18" s="58">
        <f>998.046+2.972</f>
        <v>1001.018</v>
      </c>
      <c r="M18" s="58"/>
      <c r="N18" s="58"/>
      <c r="O18" s="58"/>
      <c r="P18" s="87"/>
      <c r="Q18" s="98">
        <f t="shared" si="1"/>
        <v>1740.248</v>
      </c>
      <c r="R18" s="58"/>
      <c r="S18" s="58"/>
      <c r="T18" s="58"/>
      <c r="U18" s="58">
        <v>0</v>
      </c>
      <c r="V18" s="58"/>
      <c r="W18" s="58"/>
      <c r="X18" s="58"/>
      <c r="Y18" s="52"/>
      <c r="Z18" s="52"/>
      <c r="AA18" s="55"/>
      <c r="AB18" s="118"/>
      <c r="AC18" s="98">
        <f t="shared" si="2"/>
        <v>1740.248</v>
      </c>
      <c r="AD18" s="52">
        <f t="shared" si="3"/>
        <v>0</v>
      </c>
      <c r="AE18" s="98">
        <f t="shared" si="4"/>
        <v>1740.248</v>
      </c>
      <c r="AF18" s="52">
        <f t="shared" si="5"/>
        <v>174.02480000000003</v>
      </c>
      <c r="AG18" s="52">
        <v>10.23</v>
      </c>
      <c r="AH18" s="52">
        <f t="shared" si="6"/>
        <v>0</v>
      </c>
      <c r="AI18" s="98">
        <f t="shared" si="7"/>
        <v>1924.5028000000002</v>
      </c>
      <c r="AJ18" s="108"/>
      <c r="AK18" s="108"/>
      <c r="AL18" s="99">
        <f t="shared" si="8"/>
        <v>-1740.248</v>
      </c>
      <c r="AM18" s="102">
        <v>14058709719</v>
      </c>
      <c r="AN18" s="59"/>
    </row>
    <row r="19" spans="1:40" s="28" customFormat="1" ht="15" customHeight="1">
      <c r="A19" s="55" t="s">
        <v>83</v>
      </c>
      <c r="B19" s="107" t="s">
        <v>278</v>
      </c>
      <c r="C19" s="55"/>
      <c r="D19" s="55"/>
      <c r="E19" s="55" t="s">
        <v>142</v>
      </c>
      <c r="F19" s="104">
        <v>41548</v>
      </c>
      <c r="G19" s="55"/>
      <c r="H19" s="55"/>
      <c r="I19" s="58">
        <v>511.28</v>
      </c>
      <c r="J19" s="58">
        <v>1005.3900000000001</v>
      </c>
      <c r="K19" s="58">
        <f t="shared" si="0"/>
        <v>1516.67</v>
      </c>
      <c r="L19" s="58"/>
      <c r="M19" s="58"/>
      <c r="N19" s="58"/>
      <c r="O19" s="58"/>
      <c r="P19" s="87"/>
      <c r="Q19" s="98">
        <f t="shared" si="1"/>
        <v>1516.67</v>
      </c>
      <c r="R19" s="58"/>
      <c r="S19" s="58"/>
      <c r="T19" s="58"/>
      <c r="U19" s="58"/>
      <c r="V19" s="58"/>
      <c r="W19" s="58"/>
      <c r="X19" s="58"/>
      <c r="Y19" s="52"/>
      <c r="Z19" s="52"/>
      <c r="AA19" s="55"/>
      <c r="AB19" s="118">
        <v>0</v>
      </c>
      <c r="AC19" s="98">
        <f t="shared" ref="AC19" si="9">+Q19-SUM(R19:AB19)</f>
        <v>1516.67</v>
      </c>
      <c r="AD19" s="52">
        <f t="shared" ref="AD19" si="10">IF(Q19&gt;2250,Q19*0.1,0)</f>
        <v>0</v>
      </c>
      <c r="AE19" s="98">
        <f t="shared" ref="AE19" si="11">+AC19-AD19</f>
        <v>1516.67</v>
      </c>
      <c r="AF19" s="52">
        <f t="shared" ref="AF19" si="12">IF(Q19&lt;2250,Q19*0.1,0)</f>
        <v>151.667</v>
      </c>
      <c r="AG19" s="52">
        <v>11.23</v>
      </c>
      <c r="AH19" s="52">
        <f t="shared" ref="AH19" si="13">+V19</f>
        <v>0</v>
      </c>
      <c r="AI19" s="98">
        <f t="shared" ref="AI19" si="14">+Q19+AF19+AG19+AH19</f>
        <v>1679.567</v>
      </c>
      <c r="AJ19" s="108"/>
      <c r="AK19" s="108"/>
      <c r="AL19" s="99"/>
      <c r="AM19" s="102">
        <v>1461266403</v>
      </c>
      <c r="AN19" s="59" t="s">
        <v>279</v>
      </c>
    </row>
    <row r="20" spans="1:40" s="28" customFormat="1">
      <c r="A20" s="55" t="s">
        <v>84</v>
      </c>
      <c r="B20" s="55" t="s">
        <v>154</v>
      </c>
      <c r="C20" s="55"/>
      <c r="D20" s="55" t="s">
        <v>110</v>
      </c>
      <c r="E20" s="55" t="s">
        <v>144</v>
      </c>
      <c r="F20" s="104">
        <v>41227</v>
      </c>
      <c r="G20" s="55"/>
      <c r="H20" s="55"/>
      <c r="I20" s="58">
        <v>511.28</v>
      </c>
      <c r="J20" s="58"/>
      <c r="K20" s="58">
        <f t="shared" si="0"/>
        <v>511.28</v>
      </c>
      <c r="L20" s="58">
        <f>4218.6+7.428</f>
        <v>4226.0280000000002</v>
      </c>
      <c r="M20" s="58"/>
      <c r="N20" s="58"/>
      <c r="O20" s="58"/>
      <c r="P20" s="87"/>
      <c r="Q20" s="98">
        <f t="shared" si="1"/>
        <v>4737.308</v>
      </c>
      <c r="R20" s="58"/>
      <c r="S20" s="58"/>
      <c r="T20" s="58"/>
      <c r="U20" s="58">
        <v>700</v>
      </c>
      <c r="V20" s="58">
        <f>Q20*4.9%</f>
        <v>232.12809200000001</v>
      </c>
      <c r="W20" s="58">
        <f>Q20*1%</f>
        <v>47.373080000000002</v>
      </c>
      <c r="X20" s="58"/>
      <c r="Y20" s="52"/>
      <c r="Z20" s="52"/>
      <c r="AA20" s="55"/>
      <c r="AB20" s="55">
        <v>0</v>
      </c>
      <c r="AC20" s="98">
        <f t="shared" si="2"/>
        <v>3757.8068279999998</v>
      </c>
      <c r="AD20" s="52">
        <f t="shared" si="3"/>
        <v>473.73080000000004</v>
      </c>
      <c r="AE20" s="98">
        <f t="shared" si="4"/>
        <v>3284.0760279999995</v>
      </c>
      <c r="AF20" s="52">
        <f t="shared" si="5"/>
        <v>0</v>
      </c>
      <c r="AG20" s="52">
        <v>10.23</v>
      </c>
      <c r="AH20" s="52">
        <f t="shared" si="6"/>
        <v>232.12809200000001</v>
      </c>
      <c r="AI20" s="98">
        <f t="shared" si="7"/>
        <v>4979.6660919999995</v>
      </c>
      <c r="AJ20" s="108"/>
      <c r="AK20" s="108"/>
      <c r="AL20" s="99">
        <f t="shared" si="8"/>
        <v>-3284.0760279999995</v>
      </c>
      <c r="AM20" s="55"/>
      <c r="AN20" s="55"/>
    </row>
    <row r="21" spans="1:40" s="28" customFormat="1">
      <c r="A21" s="55" t="s">
        <v>68</v>
      </c>
      <c r="B21" s="55" t="s">
        <v>198</v>
      </c>
      <c r="C21" s="55" t="s">
        <v>187</v>
      </c>
      <c r="D21" s="55">
        <v>18</v>
      </c>
      <c r="E21" s="55" t="s">
        <v>71</v>
      </c>
      <c r="F21" s="104">
        <v>39699</v>
      </c>
      <c r="G21" s="55"/>
      <c r="H21" s="55"/>
      <c r="I21" s="58">
        <v>511.28</v>
      </c>
      <c r="J21" s="58">
        <v>4155.3866666666663</v>
      </c>
      <c r="K21" s="58">
        <f t="shared" si="0"/>
        <v>4666.6666666666661</v>
      </c>
      <c r="L21" s="58"/>
      <c r="M21" s="58"/>
      <c r="N21" s="58"/>
      <c r="O21" s="58"/>
      <c r="P21" s="87"/>
      <c r="Q21" s="98">
        <f t="shared" si="1"/>
        <v>4666.6666666666661</v>
      </c>
      <c r="R21" s="58"/>
      <c r="S21" s="58"/>
      <c r="T21" s="58"/>
      <c r="U21" s="58">
        <v>700</v>
      </c>
      <c r="V21" s="58"/>
      <c r="W21" s="58"/>
      <c r="X21" s="58"/>
      <c r="Y21" s="52"/>
      <c r="Z21" s="52"/>
      <c r="AA21" s="55">
        <v>205.7</v>
      </c>
      <c r="AB21" s="55">
        <v>0</v>
      </c>
      <c r="AC21" s="98">
        <f t="shared" si="2"/>
        <v>3760.9666666666662</v>
      </c>
      <c r="AD21" s="52">
        <f t="shared" si="3"/>
        <v>466.66666666666663</v>
      </c>
      <c r="AE21" s="98">
        <f t="shared" si="4"/>
        <v>3294.2999999999997</v>
      </c>
      <c r="AF21" s="52">
        <f t="shared" si="5"/>
        <v>0</v>
      </c>
      <c r="AG21" s="52">
        <v>10.23</v>
      </c>
      <c r="AH21" s="52">
        <f t="shared" si="6"/>
        <v>0</v>
      </c>
      <c r="AI21" s="98">
        <f t="shared" si="7"/>
        <v>4676.8966666666656</v>
      </c>
      <c r="AJ21" s="108"/>
      <c r="AK21" s="109"/>
      <c r="AL21" s="99">
        <f t="shared" si="8"/>
        <v>-3294.2999999999997</v>
      </c>
      <c r="AM21" s="55"/>
      <c r="AN21" s="55"/>
    </row>
    <row r="22" spans="1:40" s="28" customFormat="1">
      <c r="A22" s="55" t="s">
        <v>84</v>
      </c>
      <c r="B22" s="55" t="s">
        <v>199</v>
      </c>
      <c r="C22" s="55"/>
      <c r="D22" s="55" t="s">
        <v>111</v>
      </c>
      <c r="E22" s="55" t="s">
        <v>271</v>
      </c>
      <c r="F22" s="104">
        <v>42242</v>
      </c>
      <c r="G22" s="55"/>
      <c r="H22" s="55"/>
      <c r="I22" s="58">
        <v>511.28</v>
      </c>
      <c r="J22" s="58">
        <v>45.5</v>
      </c>
      <c r="K22" s="58">
        <f t="shared" si="0"/>
        <v>556.78</v>
      </c>
      <c r="L22" s="58">
        <f>648</f>
        <v>648</v>
      </c>
      <c r="M22" s="58"/>
      <c r="N22" s="58"/>
      <c r="O22" s="58"/>
      <c r="P22" s="87"/>
      <c r="Q22" s="98">
        <f t="shared" si="1"/>
        <v>1204.78</v>
      </c>
      <c r="R22" s="58"/>
      <c r="S22" s="58"/>
      <c r="T22" s="58"/>
      <c r="U22" s="58">
        <v>0</v>
      </c>
      <c r="V22" s="58">
        <f>+Q22*4.9%</f>
        <v>59.034219999999998</v>
      </c>
      <c r="W22" s="58">
        <f>Q22*1%</f>
        <v>12.047800000000001</v>
      </c>
      <c r="X22" s="58"/>
      <c r="Y22" s="52"/>
      <c r="Z22" s="52"/>
      <c r="AA22" s="55"/>
      <c r="AB22" s="55">
        <v>0</v>
      </c>
      <c r="AC22" s="98">
        <f t="shared" si="2"/>
        <v>1133.6979799999999</v>
      </c>
      <c r="AD22" s="52">
        <f t="shared" si="3"/>
        <v>0</v>
      </c>
      <c r="AE22" s="98">
        <f t="shared" si="4"/>
        <v>1133.6979799999999</v>
      </c>
      <c r="AF22" s="52">
        <f t="shared" si="5"/>
        <v>120.47800000000001</v>
      </c>
      <c r="AG22" s="52">
        <v>10.23</v>
      </c>
      <c r="AH22" s="52">
        <f t="shared" si="6"/>
        <v>59.034219999999998</v>
      </c>
      <c r="AI22" s="98">
        <f t="shared" si="7"/>
        <v>1394.5222200000001</v>
      </c>
      <c r="AJ22" s="108"/>
      <c r="AK22" s="109"/>
      <c r="AL22" s="99">
        <f t="shared" si="8"/>
        <v>-1133.6979799999999</v>
      </c>
      <c r="AM22" s="55"/>
      <c r="AN22" s="55"/>
    </row>
    <row r="23" spans="1:40" s="28" customFormat="1">
      <c r="A23" s="55" t="s">
        <v>67</v>
      </c>
      <c r="B23" s="55" t="s">
        <v>182</v>
      </c>
      <c r="C23" s="55" t="s">
        <v>213</v>
      </c>
      <c r="D23" s="55" t="s">
        <v>104</v>
      </c>
      <c r="E23" s="55" t="s">
        <v>143</v>
      </c>
      <c r="F23" s="104">
        <v>42332</v>
      </c>
      <c r="G23" s="55"/>
      <c r="H23" s="55"/>
      <c r="I23" s="58">
        <v>511.28</v>
      </c>
      <c r="J23" s="58">
        <v>515.38000000000011</v>
      </c>
      <c r="K23" s="58">
        <f t="shared" si="0"/>
        <v>1026.6600000000001</v>
      </c>
      <c r="L23" s="58">
        <v>1500</v>
      </c>
      <c r="M23" s="58"/>
      <c r="N23" s="58"/>
      <c r="O23" s="58"/>
      <c r="P23" s="87"/>
      <c r="Q23" s="98">
        <f t="shared" si="1"/>
        <v>2526.66</v>
      </c>
      <c r="R23" s="58"/>
      <c r="S23" s="58"/>
      <c r="T23" s="58"/>
      <c r="U23" s="58">
        <v>0</v>
      </c>
      <c r="V23" s="58"/>
      <c r="W23" s="58"/>
      <c r="X23" s="58"/>
      <c r="Y23" s="52"/>
      <c r="Z23" s="52"/>
      <c r="AA23" s="55"/>
      <c r="AB23" s="55">
        <v>0</v>
      </c>
      <c r="AC23" s="98">
        <f t="shared" si="2"/>
        <v>2526.66</v>
      </c>
      <c r="AD23" s="52">
        <f t="shared" si="3"/>
        <v>252.666</v>
      </c>
      <c r="AE23" s="98">
        <f t="shared" si="4"/>
        <v>2273.9939999999997</v>
      </c>
      <c r="AF23" s="52">
        <f t="shared" si="5"/>
        <v>0</v>
      </c>
      <c r="AG23" s="52">
        <v>10.23</v>
      </c>
      <c r="AH23" s="52">
        <f t="shared" si="6"/>
        <v>0</v>
      </c>
      <c r="AI23" s="98">
        <f t="shared" si="7"/>
        <v>2536.89</v>
      </c>
      <c r="AJ23" s="108"/>
      <c r="AK23" s="109"/>
      <c r="AL23" s="99">
        <f t="shared" si="8"/>
        <v>-2273.9939999999997</v>
      </c>
      <c r="AM23" s="55"/>
      <c r="AN23" s="55"/>
    </row>
    <row r="24" spans="1:40" s="28" customFormat="1">
      <c r="A24" s="55" t="s">
        <v>68</v>
      </c>
      <c r="B24" s="55" t="s">
        <v>211</v>
      </c>
      <c r="C24" s="55" t="s">
        <v>189</v>
      </c>
      <c r="D24" s="55"/>
      <c r="E24" s="55" t="s">
        <v>70</v>
      </c>
      <c r="F24" s="104">
        <v>42437</v>
      </c>
      <c r="G24" s="55"/>
      <c r="H24" s="55"/>
      <c r="I24" s="58">
        <v>511.28</v>
      </c>
      <c r="J24" s="58">
        <v>515.38000000000011</v>
      </c>
      <c r="K24" s="58">
        <f t="shared" si="0"/>
        <v>1026.6600000000001</v>
      </c>
      <c r="L24" s="58">
        <v>3853.67</v>
      </c>
      <c r="M24" s="58"/>
      <c r="N24" s="58"/>
      <c r="O24" s="58"/>
      <c r="P24" s="87"/>
      <c r="Q24" s="98">
        <f t="shared" si="1"/>
        <v>4880.33</v>
      </c>
      <c r="R24" s="58"/>
      <c r="S24" s="58"/>
      <c r="T24" s="58"/>
      <c r="U24" s="58">
        <v>0</v>
      </c>
      <c r="V24" s="58"/>
      <c r="W24" s="58"/>
      <c r="X24" s="58"/>
      <c r="Y24" s="52"/>
      <c r="Z24" s="52"/>
      <c r="AA24" s="55"/>
      <c r="AB24" s="55">
        <v>0</v>
      </c>
      <c r="AC24" s="98">
        <f t="shared" si="2"/>
        <v>4880.33</v>
      </c>
      <c r="AD24" s="52">
        <f t="shared" si="3"/>
        <v>488.03300000000002</v>
      </c>
      <c r="AE24" s="98">
        <f t="shared" si="4"/>
        <v>4392.2969999999996</v>
      </c>
      <c r="AF24" s="52">
        <f t="shared" si="5"/>
        <v>0</v>
      </c>
      <c r="AG24" s="52">
        <v>10.23</v>
      </c>
      <c r="AH24" s="52">
        <f t="shared" si="6"/>
        <v>0</v>
      </c>
      <c r="AI24" s="98">
        <f t="shared" si="7"/>
        <v>4890.5599999999995</v>
      </c>
      <c r="AJ24" s="108"/>
      <c r="AK24" s="109"/>
      <c r="AL24" s="99">
        <f t="shared" si="8"/>
        <v>-4392.2969999999996</v>
      </c>
      <c r="AM24" s="55"/>
      <c r="AN24" s="59"/>
    </row>
    <row r="25" spans="1:40" s="28" customFormat="1">
      <c r="A25" s="55" t="s">
        <v>82</v>
      </c>
      <c r="B25" s="55" t="s">
        <v>160</v>
      </c>
      <c r="C25" s="55"/>
      <c r="D25" s="55" t="s">
        <v>87</v>
      </c>
      <c r="E25" s="55" t="s">
        <v>140</v>
      </c>
      <c r="F25" s="104">
        <v>41885</v>
      </c>
      <c r="G25" s="55"/>
      <c r="H25" s="55"/>
      <c r="I25" s="58">
        <v>511.28</v>
      </c>
      <c r="J25" s="58">
        <v>227.95000000000005</v>
      </c>
      <c r="K25" s="58">
        <f t="shared" si="0"/>
        <v>739.23</v>
      </c>
      <c r="L25" s="58">
        <f>3037.617+13.099</f>
        <v>3050.7160000000003</v>
      </c>
      <c r="M25" s="58"/>
      <c r="N25" s="58"/>
      <c r="O25" s="58"/>
      <c r="P25" s="87"/>
      <c r="Q25" s="98">
        <f t="shared" si="1"/>
        <v>3789.9460000000004</v>
      </c>
      <c r="R25" s="58"/>
      <c r="S25" s="58"/>
      <c r="T25" s="58"/>
      <c r="U25" s="58">
        <v>0</v>
      </c>
      <c r="V25" s="58"/>
      <c r="W25" s="58"/>
      <c r="X25" s="58"/>
      <c r="Y25" s="52"/>
      <c r="Z25" s="52"/>
      <c r="AA25" s="55"/>
      <c r="AB25" s="55">
        <v>0</v>
      </c>
      <c r="AC25" s="98">
        <f t="shared" si="2"/>
        <v>3789.9460000000004</v>
      </c>
      <c r="AD25" s="52">
        <f t="shared" si="3"/>
        <v>378.99460000000005</v>
      </c>
      <c r="AE25" s="98">
        <f t="shared" si="4"/>
        <v>3410.9514000000004</v>
      </c>
      <c r="AF25" s="52">
        <f t="shared" si="5"/>
        <v>0</v>
      </c>
      <c r="AG25" s="52">
        <v>10.23</v>
      </c>
      <c r="AH25" s="52">
        <f t="shared" si="6"/>
        <v>0</v>
      </c>
      <c r="AI25" s="98">
        <f t="shared" si="7"/>
        <v>3800.1760000000004</v>
      </c>
      <c r="AJ25" s="108"/>
      <c r="AK25" s="109"/>
      <c r="AL25" s="99">
        <f t="shared" si="8"/>
        <v>-3410.9514000000004</v>
      </c>
      <c r="AM25" s="55"/>
      <c r="AN25" s="59"/>
    </row>
    <row r="26" spans="1:40" s="28" customFormat="1">
      <c r="A26" s="55" t="s">
        <v>82</v>
      </c>
      <c r="B26" s="55" t="s">
        <v>265</v>
      </c>
      <c r="C26" s="55"/>
      <c r="D26" s="55"/>
      <c r="E26" s="55" t="s">
        <v>140</v>
      </c>
      <c r="F26" s="104">
        <v>42571</v>
      </c>
      <c r="G26" s="55"/>
      <c r="H26" s="55"/>
      <c r="I26" s="58">
        <v>511.28</v>
      </c>
      <c r="J26" s="58">
        <v>280.75</v>
      </c>
      <c r="K26" s="58">
        <f>I26+J26</f>
        <v>792.03</v>
      </c>
      <c r="L26" s="58">
        <f>2071.386+7.428</f>
        <v>2078.8139999999999</v>
      </c>
      <c r="M26" s="58"/>
      <c r="N26" s="58"/>
      <c r="O26" s="58"/>
      <c r="P26" s="87"/>
      <c r="Q26" s="98">
        <f t="shared" si="1"/>
        <v>2870.8440000000001</v>
      </c>
      <c r="R26" s="58"/>
      <c r="S26" s="58"/>
      <c r="T26" s="58"/>
      <c r="U26" s="58">
        <v>0</v>
      </c>
      <c r="V26" s="58"/>
      <c r="W26" s="58"/>
      <c r="X26" s="58"/>
      <c r="Y26" s="52"/>
      <c r="Z26" s="52"/>
      <c r="AA26" s="55"/>
      <c r="AB26" s="55">
        <v>0</v>
      </c>
      <c r="AC26" s="98">
        <f t="shared" si="2"/>
        <v>2870.8440000000001</v>
      </c>
      <c r="AD26" s="52">
        <f t="shared" si="3"/>
        <v>287.08440000000002</v>
      </c>
      <c r="AE26" s="98">
        <f t="shared" si="4"/>
        <v>2583.7595999999999</v>
      </c>
      <c r="AF26" s="52">
        <f t="shared" si="5"/>
        <v>0</v>
      </c>
      <c r="AG26" s="52">
        <v>10.23</v>
      </c>
      <c r="AH26" s="52">
        <f t="shared" si="6"/>
        <v>0</v>
      </c>
      <c r="AI26" s="98">
        <f t="shared" si="7"/>
        <v>2881.0740000000001</v>
      </c>
      <c r="AJ26" s="108"/>
      <c r="AK26" s="109"/>
      <c r="AL26" s="99"/>
      <c r="AM26" s="55">
        <v>1158901600</v>
      </c>
      <c r="AN26" s="59" t="s">
        <v>266</v>
      </c>
    </row>
    <row r="27" spans="1:40" s="28" customFormat="1">
      <c r="A27" s="55" t="s">
        <v>67</v>
      </c>
      <c r="B27" s="55" t="s">
        <v>226</v>
      </c>
      <c r="C27" s="55" t="s">
        <v>213</v>
      </c>
      <c r="D27" s="55" t="s">
        <v>103</v>
      </c>
      <c r="E27" s="55" t="s">
        <v>143</v>
      </c>
      <c r="F27" s="104">
        <v>42304</v>
      </c>
      <c r="G27" s="55"/>
      <c r="H27" s="55"/>
      <c r="I27" s="58">
        <v>511.28</v>
      </c>
      <c r="J27" s="58">
        <v>515.38000000000011</v>
      </c>
      <c r="K27" s="58">
        <f t="shared" si="0"/>
        <v>1026.6600000000001</v>
      </c>
      <c r="L27" s="58"/>
      <c r="M27" s="58"/>
      <c r="N27" s="58"/>
      <c r="O27" s="58"/>
      <c r="P27" s="87"/>
      <c r="Q27" s="98">
        <f t="shared" si="1"/>
        <v>1026.6600000000001</v>
      </c>
      <c r="R27" s="58"/>
      <c r="S27" s="58"/>
      <c r="T27" s="58"/>
      <c r="U27" s="58">
        <v>0</v>
      </c>
      <c r="V27" s="58"/>
      <c r="W27" s="58"/>
      <c r="X27" s="58"/>
      <c r="Y27" s="52"/>
      <c r="Z27" s="52"/>
      <c r="AA27" s="55"/>
      <c r="AB27" s="55">
        <v>0</v>
      </c>
      <c r="AC27" s="98">
        <f t="shared" si="2"/>
        <v>1026.6600000000001</v>
      </c>
      <c r="AD27" s="52">
        <f t="shared" si="3"/>
        <v>0</v>
      </c>
      <c r="AE27" s="98">
        <f t="shared" si="4"/>
        <v>1026.6600000000001</v>
      </c>
      <c r="AF27" s="52">
        <f t="shared" si="5"/>
        <v>102.66600000000001</v>
      </c>
      <c r="AG27" s="52">
        <v>10.23</v>
      </c>
      <c r="AH27" s="52">
        <f t="shared" si="6"/>
        <v>0</v>
      </c>
      <c r="AI27" s="98">
        <f t="shared" si="7"/>
        <v>1139.556</v>
      </c>
      <c r="AJ27" s="108"/>
      <c r="AK27" s="108"/>
      <c r="AL27" s="99">
        <f t="shared" si="8"/>
        <v>-1026.6600000000001</v>
      </c>
      <c r="AM27" s="55"/>
      <c r="AN27" s="55"/>
    </row>
    <row r="28" spans="1:40" s="28" customFormat="1">
      <c r="A28" s="55" t="s">
        <v>82</v>
      </c>
      <c r="B28" s="55" t="s">
        <v>228</v>
      </c>
      <c r="C28" s="55"/>
      <c r="D28" s="55" t="s">
        <v>99</v>
      </c>
      <c r="E28" s="55" t="s">
        <v>271</v>
      </c>
      <c r="F28" s="104">
        <v>42338</v>
      </c>
      <c r="G28" s="55"/>
      <c r="H28" s="55"/>
      <c r="I28" s="58">
        <v>511.28</v>
      </c>
      <c r="J28" s="58">
        <v>227.95000000000005</v>
      </c>
      <c r="K28" s="58">
        <f t="shared" si="0"/>
        <v>739.23</v>
      </c>
      <c r="L28" s="58">
        <f>1462.626+7.428</f>
        <v>1470.0540000000001</v>
      </c>
      <c r="M28" s="58"/>
      <c r="N28" s="58"/>
      <c r="O28" s="58"/>
      <c r="P28" s="87"/>
      <c r="Q28" s="98">
        <f t="shared" si="1"/>
        <v>2209.2840000000001</v>
      </c>
      <c r="R28" s="58"/>
      <c r="S28" s="58">
        <v>113.14</v>
      </c>
      <c r="T28" s="58"/>
      <c r="U28" s="58">
        <v>0</v>
      </c>
      <c r="V28" s="58"/>
      <c r="W28" s="58"/>
      <c r="X28" s="58"/>
      <c r="Y28" s="52"/>
      <c r="Z28" s="52"/>
      <c r="AA28" s="55"/>
      <c r="AB28" s="55">
        <v>0</v>
      </c>
      <c r="AC28" s="98">
        <f t="shared" si="2"/>
        <v>2096.1440000000002</v>
      </c>
      <c r="AD28" s="52">
        <f t="shared" si="3"/>
        <v>0</v>
      </c>
      <c r="AE28" s="98">
        <f t="shared" si="4"/>
        <v>2096.1440000000002</v>
      </c>
      <c r="AF28" s="52">
        <f t="shared" si="5"/>
        <v>220.92840000000001</v>
      </c>
      <c r="AG28" s="52">
        <v>10.23</v>
      </c>
      <c r="AH28" s="52">
        <f t="shared" si="6"/>
        <v>0</v>
      </c>
      <c r="AI28" s="98">
        <f t="shared" si="7"/>
        <v>2440.4424000000004</v>
      </c>
      <c r="AJ28" s="108"/>
      <c r="AK28" s="109"/>
      <c r="AL28" s="99">
        <f t="shared" si="8"/>
        <v>-2096.1440000000002</v>
      </c>
      <c r="AM28" s="55"/>
      <c r="AN28" s="59"/>
    </row>
    <row r="29" spans="1:40" s="132" customFormat="1">
      <c r="A29" s="123" t="s">
        <v>66</v>
      </c>
      <c r="B29" s="123" t="s">
        <v>173</v>
      </c>
      <c r="C29" s="123"/>
      <c r="D29" s="123" t="s">
        <v>98</v>
      </c>
      <c r="E29" s="123" t="s">
        <v>141</v>
      </c>
      <c r="F29" s="124">
        <v>42110</v>
      </c>
      <c r="G29" s="123"/>
      <c r="H29" s="123"/>
      <c r="I29" s="125">
        <v>511.28</v>
      </c>
      <c r="J29" s="125">
        <v>422.04999999999995</v>
      </c>
      <c r="K29" s="125">
        <f t="shared" si="0"/>
        <v>933.32999999999993</v>
      </c>
      <c r="L29" s="125">
        <v>700</v>
      </c>
      <c r="M29" s="125"/>
      <c r="N29" s="125"/>
      <c r="O29" s="125"/>
      <c r="P29" s="126"/>
      <c r="Q29" s="65">
        <f t="shared" si="1"/>
        <v>1633.33</v>
      </c>
      <c r="R29" s="125"/>
      <c r="S29" s="125"/>
      <c r="T29" s="125"/>
      <c r="U29" s="125">
        <v>0</v>
      </c>
      <c r="V29" s="125"/>
      <c r="W29" s="125"/>
      <c r="X29" s="125"/>
      <c r="Y29" s="127"/>
      <c r="Z29" s="127"/>
      <c r="AA29" s="123"/>
      <c r="AB29" s="123">
        <v>0</v>
      </c>
      <c r="AC29" s="65">
        <f t="shared" si="2"/>
        <v>1633.33</v>
      </c>
      <c r="AD29" s="127">
        <f t="shared" si="3"/>
        <v>0</v>
      </c>
      <c r="AE29" s="65">
        <f t="shared" si="4"/>
        <v>1633.33</v>
      </c>
      <c r="AF29" s="127">
        <f t="shared" si="5"/>
        <v>163.333</v>
      </c>
      <c r="AG29" s="127">
        <v>10.23</v>
      </c>
      <c r="AH29" s="127">
        <f t="shared" si="6"/>
        <v>0</v>
      </c>
      <c r="AI29" s="65">
        <f t="shared" si="7"/>
        <v>1806.893</v>
      </c>
      <c r="AJ29" s="128"/>
      <c r="AK29" s="128"/>
      <c r="AL29" s="130">
        <f t="shared" si="8"/>
        <v>-1633.33</v>
      </c>
      <c r="AM29" s="123"/>
      <c r="AN29" s="131" t="s">
        <v>51</v>
      </c>
    </row>
    <row r="30" spans="1:40" s="28" customFormat="1">
      <c r="A30" s="55" t="s">
        <v>188</v>
      </c>
      <c r="B30" s="55" t="s">
        <v>158</v>
      </c>
      <c r="C30" s="55"/>
      <c r="D30" s="55" t="s">
        <v>100</v>
      </c>
      <c r="E30" s="55" t="s">
        <v>142</v>
      </c>
      <c r="F30" s="104">
        <v>42205</v>
      </c>
      <c r="G30" s="55"/>
      <c r="H30" s="100"/>
      <c r="I30" s="58">
        <v>511.28</v>
      </c>
      <c r="J30" s="58">
        <v>1005.3900000000001</v>
      </c>
      <c r="K30" s="58">
        <f t="shared" si="0"/>
        <v>1516.67</v>
      </c>
      <c r="L30" s="58"/>
      <c r="M30" s="58"/>
      <c r="N30" s="58"/>
      <c r="O30" s="58"/>
      <c r="P30" s="87"/>
      <c r="Q30" s="98">
        <f t="shared" si="1"/>
        <v>1516.67</v>
      </c>
      <c r="R30" s="58"/>
      <c r="S30" s="58"/>
      <c r="T30" s="58"/>
      <c r="U30" s="58">
        <v>200</v>
      </c>
      <c r="V30" s="58"/>
      <c r="W30" s="58"/>
      <c r="X30" s="58"/>
      <c r="Y30" s="52"/>
      <c r="Z30" s="52">
        <v>168.06</v>
      </c>
      <c r="AA30" s="55"/>
      <c r="AB30" s="55">
        <v>0</v>
      </c>
      <c r="AC30" s="98">
        <f t="shared" si="2"/>
        <v>1148.6100000000001</v>
      </c>
      <c r="AD30" s="52">
        <f t="shared" si="3"/>
        <v>0</v>
      </c>
      <c r="AE30" s="98">
        <f t="shared" si="4"/>
        <v>1148.6100000000001</v>
      </c>
      <c r="AF30" s="52">
        <f t="shared" si="5"/>
        <v>151.667</v>
      </c>
      <c r="AG30" s="52">
        <v>10.23</v>
      </c>
      <c r="AH30" s="52">
        <f t="shared" si="6"/>
        <v>0</v>
      </c>
      <c r="AI30" s="98">
        <f t="shared" si="7"/>
        <v>1678.567</v>
      </c>
      <c r="AJ30" s="108"/>
      <c r="AK30" s="108"/>
      <c r="AL30" s="99">
        <f t="shared" si="8"/>
        <v>-1148.6100000000001</v>
      </c>
      <c r="AM30" s="55"/>
      <c r="AN30" s="55"/>
    </row>
    <row r="31" spans="1:40" s="28" customFormat="1">
      <c r="A31" s="55" t="s">
        <v>188</v>
      </c>
      <c r="B31" s="55" t="s">
        <v>237</v>
      </c>
      <c r="C31" s="55"/>
      <c r="D31" s="55"/>
      <c r="E31" s="55" t="s">
        <v>142</v>
      </c>
      <c r="F31" s="104">
        <v>42476</v>
      </c>
      <c r="G31" s="55"/>
      <c r="H31" s="100"/>
      <c r="I31" s="58">
        <v>511.28</v>
      </c>
      <c r="J31" s="58">
        <v>1005.3900000000001</v>
      </c>
      <c r="K31" s="58">
        <f t="shared" si="0"/>
        <v>1516.67</v>
      </c>
      <c r="L31" s="58">
        <v>480</v>
      </c>
      <c r="M31" s="58"/>
      <c r="N31" s="58"/>
      <c r="O31" s="58"/>
      <c r="P31" s="87"/>
      <c r="Q31" s="98">
        <f t="shared" si="1"/>
        <v>1996.67</v>
      </c>
      <c r="R31" s="58"/>
      <c r="S31" s="58"/>
      <c r="T31" s="58"/>
      <c r="U31" s="58">
        <v>0</v>
      </c>
      <c r="V31" s="58"/>
      <c r="W31" s="58"/>
      <c r="X31" s="58"/>
      <c r="Y31" s="52"/>
      <c r="Z31" s="52"/>
      <c r="AA31" s="55"/>
      <c r="AB31" s="55">
        <v>0</v>
      </c>
      <c r="AC31" s="98">
        <f t="shared" si="2"/>
        <v>1996.67</v>
      </c>
      <c r="AD31" s="52">
        <f t="shared" si="3"/>
        <v>0</v>
      </c>
      <c r="AE31" s="98">
        <f t="shared" si="4"/>
        <v>1996.67</v>
      </c>
      <c r="AF31" s="52">
        <f t="shared" si="5"/>
        <v>199.66700000000003</v>
      </c>
      <c r="AG31" s="52">
        <v>10.23</v>
      </c>
      <c r="AH31" s="52">
        <f t="shared" si="6"/>
        <v>0</v>
      </c>
      <c r="AI31" s="98">
        <f t="shared" si="7"/>
        <v>2206.567</v>
      </c>
      <c r="AJ31" s="108"/>
      <c r="AK31" s="108"/>
      <c r="AL31" s="99">
        <f t="shared" si="8"/>
        <v>-1996.67</v>
      </c>
      <c r="AM31" s="55">
        <v>2919685839</v>
      </c>
      <c r="AN31" s="59"/>
    </row>
    <row r="32" spans="1:40" s="28" customFormat="1">
      <c r="A32" s="55" t="s">
        <v>84</v>
      </c>
      <c r="B32" s="55" t="s">
        <v>241</v>
      </c>
      <c r="C32" s="55"/>
      <c r="D32" s="55" t="s">
        <v>112</v>
      </c>
      <c r="E32" s="55" t="s">
        <v>275</v>
      </c>
      <c r="F32" s="104">
        <v>41227</v>
      </c>
      <c r="G32" s="55"/>
      <c r="H32" s="55"/>
      <c r="I32" s="58">
        <v>511.28</v>
      </c>
      <c r="J32" s="58">
        <v>112.08000000000015</v>
      </c>
      <c r="K32" s="58">
        <f t="shared" si="0"/>
        <v>623.36000000000013</v>
      </c>
      <c r="L32" s="58">
        <f>1508.454+2.599</f>
        <v>1511.0529999999999</v>
      </c>
      <c r="M32" s="58"/>
      <c r="N32" s="58"/>
      <c r="O32" s="58"/>
      <c r="P32" s="87"/>
      <c r="Q32" s="98">
        <f t="shared" si="1"/>
        <v>2134.413</v>
      </c>
      <c r="R32" s="58"/>
      <c r="S32" s="58"/>
      <c r="T32" s="58"/>
      <c r="U32" s="58">
        <v>500</v>
      </c>
      <c r="V32" s="58">
        <f>Q32*4.9%</f>
        <v>104.58623700000001</v>
      </c>
      <c r="W32" s="58">
        <f>Q32*1%</f>
        <v>21.34413</v>
      </c>
      <c r="X32" s="58"/>
      <c r="Y32" s="52"/>
      <c r="Z32" s="52"/>
      <c r="AA32" s="55"/>
      <c r="AB32" s="55">
        <v>0</v>
      </c>
      <c r="AC32" s="98">
        <f t="shared" si="2"/>
        <v>1508.4826330000001</v>
      </c>
      <c r="AD32" s="52">
        <f t="shared" si="3"/>
        <v>0</v>
      </c>
      <c r="AE32" s="98">
        <f t="shared" si="4"/>
        <v>1508.4826330000001</v>
      </c>
      <c r="AF32" s="52">
        <f t="shared" si="5"/>
        <v>213.44130000000001</v>
      </c>
      <c r="AG32" s="52">
        <v>10.23</v>
      </c>
      <c r="AH32" s="52">
        <f t="shared" si="6"/>
        <v>104.58623700000001</v>
      </c>
      <c r="AI32" s="98">
        <f t="shared" si="7"/>
        <v>2462.670537</v>
      </c>
      <c r="AJ32" s="108"/>
      <c r="AK32" s="108"/>
      <c r="AL32" s="99">
        <f t="shared" si="8"/>
        <v>-1508.4826330000001</v>
      </c>
      <c r="AM32" s="55"/>
      <c r="AN32" s="59"/>
    </row>
    <row r="33" spans="1:40" s="28" customFormat="1">
      <c r="A33" s="55" t="s">
        <v>81</v>
      </c>
      <c r="B33" s="55" t="s">
        <v>243</v>
      </c>
      <c r="C33" s="55"/>
      <c r="D33" s="55"/>
      <c r="E33" s="55" t="s">
        <v>69</v>
      </c>
      <c r="F33" s="104">
        <v>42507</v>
      </c>
      <c r="G33" s="55"/>
      <c r="H33" s="55"/>
      <c r="I33" s="58">
        <v>511.28</v>
      </c>
      <c r="J33" s="58">
        <v>654.98</v>
      </c>
      <c r="K33" s="58">
        <f t="shared" si="0"/>
        <v>1166.26</v>
      </c>
      <c r="L33" s="58">
        <v>1105.4100000000001</v>
      </c>
      <c r="M33" s="58"/>
      <c r="N33" s="58"/>
      <c r="O33" s="58"/>
      <c r="P33" s="87"/>
      <c r="Q33" s="98">
        <f t="shared" si="1"/>
        <v>2271.67</v>
      </c>
      <c r="R33" s="58"/>
      <c r="S33" s="58"/>
      <c r="T33" s="58"/>
      <c r="U33" s="58">
        <v>0</v>
      </c>
      <c r="V33" s="58"/>
      <c r="W33" s="58"/>
      <c r="X33" s="58"/>
      <c r="Y33" s="52"/>
      <c r="Z33" s="52"/>
      <c r="AA33" s="55"/>
      <c r="AB33" s="55"/>
      <c r="AC33" s="98">
        <f t="shared" si="2"/>
        <v>2271.67</v>
      </c>
      <c r="AD33" s="52">
        <f t="shared" si="3"/>
        <v>227.16700000000003</v>
      </c>
      <c r="AE33" s="98">
        <f t="shared" si="4"/>
        <v>2044.5030000000002</v>
      </c>
      <c r="AF33" s="52">
        <f t="shared" si="5"/>
        <v>0</v>
      </c>
      <c r="AG33" s="52">
        <v>10.23</v>
      </c>
      <c r="AH33" s="52">
        <f t="shared" si="6"/>
        <v>0</v>
      </c>
      <c r="AI33" s="98">
        <f t="shared" si="7"/>
        <v>2281.9</v>
      </c>
      <c r="AJ33" s="108"/>
      <c r="AK33" s="108"/>
      <c r="AL33" s="99">
        <f t="shared" si="8"/>
        <v>-2044.5030000000002</v>
      </c>
      <c r="AM33" s="102">
        <v>2791168061</v>
      </c>
      <c r="AN33" s="59"/>
    </row>
    <row r="34" spans="1:40" s="28" customFormat="1">
      <c r="A34" s="55" t="s">
        <v>84</v>
      </c>
      <c r="B34" s="55" t="s">
        <v>174</v>
      </c>
      <c r="C34" s="55"/>
      <c r="D34" s="55" t="s">
        <v>113</v>
      </c>
      <c r="E34" s="55" t="s">
        <v>275</v>
      </c>
      <c r="F34" s="104">
        <v>41227</v>
      </c>
      <c r="G34" s="55"/>
      <c r="H34" s="55"/>
      <c r="I34" s="58">
        <v>511.28</v>
      </c>
      <c r="J34" s="58">
        <v>112.08000000000015</v>
      </c>
      <c r="K34" s="58">
        <f t="shared" si="0"/>
        <v>623.36000000000013</v>
      </c>
      <c r="L34" s="58">
        <f>4378.266+2.972+3500</f>
        <v>7881.2379999999994</v>
      </c>
      <c r="M34" s="58"/>
      <c r="N34" s="58"/>
      <c r="O34" s="58"/>
      <c r="P34" s="87"/>
      <c r="Q34" s="98">
        <f t="shared" si="1"/>
        <v>8504.598</v>
      </c>
      <c r="R34" s="58"/>
      <c r="S34" s="58"/>
      <c r="T34" s="58"/>
      <c r="U34" s="58">
        <v>0</v>
      </c>
      <c r="V34" s="58">
        <f>Q34*4.9%</f>
        <v>416.725302</v>
      </c>
      <c r="W34" s="58">
        <f>Q34*1%</f>
        <v>85.04598</v>
      </c>
      <c r="X34" s="58"/>
      <c r="Y34" s="52"/>
      <c r="Z34" s="52"/>
      <c r="AA34" s="100"/>
      <c r="AB34" s="55">
        <v>0</v>
      </c>
      <c r="AC34" s="98">
        <f t="shared" si="2"/>
        <v>8002.8267180000003</v>
      </c>
      <c r="AD34" s="52">
        <f t="shared" si="3"/>
        <v>850.45980000000009</v>
      </c>
      <c r="AE34" s="98">
        <f t="shared" si="4"/>
        <v>7152.3669179999997</v>
      </c>
      <c r="AF34" s="52">
        <f t="shared" si="5"/>
        <v>0</v>
      </c>
      <c r="AG34" s="52">
        <v>10.23</v>
      </c>
      <c r="AH34" s="52">
        <f t="shared" si="6"/>
        <v>416.725302</v>
      </c>
      <c r="AI34" s="98">
        <f t="shared" si="7"/>
        <v>8931.5533020000003</v>
      </c>
      <c r="AJ34" s="108"/>
      <c r="AK34" s="109"/>
      <c r="AL34" s="99">
        <f t="shared" si="8"/>
        <v>-7152.3669179999997</v>
      </c>
      <c r="AM34" s="55"/>
      <c r="AN34" s="59"/>
    </row>
    <row r="35" spans="1:40" s="28" customFormat="1">
      <c r="A35" s="55" t="s">
        <v>81</v>
      </c>
      <c r="B35" s="55" t="s">
        <v>254</v>
      </c>
      <c r="C35" s="55"/>
      <c r="D35" s="55"/>
      <c r="E35" s="55" t="s">
        <v>69</v>
      </c>
      <c r="F35" s="104">
        <v>42514</v>
      </c>
      <c r="G35" s="55"/>
      <c r="H35" s="55"/>
      <c r="I35" s="58">
        <v>511.28</v>
      </c>
      <c r="J35" s="58">
        <v>654.98</v>
      </c>
      <c r="K35" s="58">
        <f t="shared" ref="K35:K38" si="15">+I35+J35</f>
        <v>1166.26</v>
      </c>
      <c r="L35" s="58">
        <v>959.1</v>
      </c>
      <c r="M35" s="58"/>
      <c r="N35" s="58"/>
      <c r="O35" s="58"/>
      <c r="P35" s="87"/>
      <c r="Q35" s="98">
        <f t="shared" si="1"/>
        <v>2125.36</v>
      </c>
      <c r="R35" s="58"/>
      <c r="S35" s="58"/>
      <c r="T35" s="58"/>
      <c r="U35" s="58">
        <v>0</v>
      </c>
      <c r="V35" s="58"/>
      <c r="W35" s="58"/>
      <c r="X35" s="58"/>
      <c r="Y35" s="52"/>
      <c r="Z35" s="52"/>
      <c r="AA35" s="55"/>
      <c r="AB35" s="55">
        <v>0</v>
      </c>
      <c r="AC35" s="98">
        <f t="shared" si="2"/>
        <v>2125.36</v>
      </c>
      <c r="AD35" s="52">
        <f t="shared" si="3"/>
        <v>0</v>
      </c>
      <c r="AE35" s="98">
        <f t="shared" si="4"/>
        <v>2125.36</v>
      </c>
      <c r="AF35" s="52">
        <f t="shared" si="5"/>
        <v>212.53600000000003</v>
      </c>
      <c r="AG35" s="52">
        <v>11.23</v>
      </c>
      <c r="AH35" s="52">
        <f t="shared" si="6"/>
        <v>0</v>
      </c>
      <c r="AI35" s="98">
        <f t="shared" si="7"/>
        <v>2349.1260000000002</v>
      </c>
      <c r="AJ35" s="108"/>
      <c r="AK35" s="109"/>
      <c r="AL35" s="99"/>
      <c r="AM35" s="55">
        <v>2747910657</v>
      </c>
      <c r="AN35" s="59"/>
    </row>
    <row r="36" spans="1:40" s="28" customFormat="1">
      <c r="A36" s="55" t="s">
        <v>68</v>
      </c>
      <c r="B36" s="55" t="s">
        <v>236</v>
      </c>
      <c r="C36" s="55" t="s">
        <v>184</v>
      </c>
      <c r="D36" s="55"/>
      <c r="E36" s="55" t="s">
        <v>70</v>
      </c>
      <c r="F36" s="104">
        <v>42413</v>
      </c>
      <c r="G36" s="55"/>
      <c r="H36" s="55"/>
      <c r="I36" s="58">
        <v>511.28</v>
      </c>
      <c r="J36" s="58">
        <v>515.38000000000011</v>
      </c>
      <c r="K36" s="58">
        <f t="shared" si="15"/>
        <v>1026.6600000000001</v>
      </c>
      <c r="L36" s="58">
        <v>36.270000000000003</v>
      </c>
      <c r="M36" s="58"/>
      <c r="N36" s="58"/>
      <c r="O36" s="58"/>
      <c r="P36" s="87"/>
      <c r="Q36" s="98">
        <f t="shared" si="1"/>
        <v>1062.93</v>
      </c>
      <c r="R36" s="58">
        <v>375</v>
      </c>
      <c r="S36" s="58"/>
      <c r="T36" s="58"/>
      <c r="U36" s="58">
        <v>0</v>
      </c>
      <c r="V36" s="58"/>
      <c r="W36" s="58"/>
      <c r="X36" s="58"/>
      <c r="Y36" s="52"/>
      <c r="Z36" s="52"/>
      <c r="AA36" s="55"/>
      <c r="AB36" s="55">
        <v>0</v>
      </c>
      <c r="AC36" s="98">
        <f t="shared" si="2"/>
        <v>687.93000000000006</v>
      </c>
      <c r="AD36" s="52">
        <f t="shared" si="3"/>
        <v>0</v>
      </c>
      <c r="AE36" s="98">
        <f t="shared" si="4"/>
        <v>687.93000000000006</v>
      </c>
      <c r="AF36" s="52">
        <f t="shared" si="5"/>
        <v>106.29300000000001</v>
      </c>
      <c r="AG36" s="52">
        <v>13.23</v>
      </c>
      <c r="AH36" s="52">
        <f t="shared" si="6"/>
        <v>0</v>
      </c>
      <c r="AI36" s="98">
        <f t="shared" si="7"/>
        <v>1182.453</v>
      </c>
      <c r="AJ36" s="108"/>
      <c r="AK36" s="109"/>
      <c r="AL36" s="99">
        <f>+AJ36+AK36-AE36</f>
        <v>-687.93000000000006</v>
      </c>
      <c r="AM36" s="55"/>
      <c r="AN36" s="59" t="s">
        <v>282</v>
      </c>
    </row>
    <row r="37" spans="1:40" s="28" customFormat="1">
      <c r="A37" s="55" t="s">
        <v>68</v>
      </c>
      <c r="B37" s="55" t="s">
        <v>257</v>
      </c>
      <c r="C37" s="55"/>
      <c r="D37" s="55"/>
      <c r="E37" s="55" t="s">
        <v>70</v>
      </c>
      <c r="F37" s="104">
        <v>42532</v>
      </c>
      <c r="G37" s="55"/>
      <c r="H37" s="55"/>
      <c r="I37" s="58">
        <v>511.28</v>
      </c>
      <c r="J37" s="58">
        <v>515.38000000000011</v>
      </c>
      <c r="K37" s="58">
        <f t="shared" si="15"/>
        <v>1026.6600000000001</v>
      </c>
      <c r="L37" s="58"/>
      <c r="M37" s="58"/>
      <c r="N37" s="58"/>
      <c r="O37" s="58"/>
      <c r="P37" s="87"/>
      <c r="Q37" s="98">
        <f t="shared" si="1"/>
        <v>1026.6600000000001</v>
      </c>
      <c r="R37" s="58"/>
      <c r="S37" s="58"/>
      <c r="T37" s="58"/>
      <c r="U37" s="58">
        <v>0</v>
      </c>
      <c r="V37" s="58"/>
      <c r="W37" s="58"/>
      <c r="X37" s="58"/>
      <c r="Y37" s="52"/>
      <c r="Z37" s="52"/>
      <c r="AA37" s="55">
        <v>406.94</v>
      </c>
      <c r="AB37" s="55">
        <v>0</v>
      </c>
      <c r="AC37" s="98">
        <f t="shared" si="2"/>
        <v>619.72</v>
      </c>
      <c r="AD37" s="52">
        <f t="shared" si="3"/>
        <v>0</v>
      </c>
      <c r="AE37" s="98">
        <f t="shared" si="4"/>
        <v>619.72</v>
      </c>
      <c r="AF37" s="52">
        <f t="shared" si="5"/>
        <v>102.66600000000001</v>
      </c>
      <c r="AG37" s="52">
        <v>13.23</v>
      </c>
      <c r="AH37" s="52">
        <f t="shared" si="6"/>
        <v>0</v>
      </c>
      <c r="AI37" s="98">
        <f t="shared" si="7"/>
        <v>1142.556</v>
      </c>
      <c r="AJ37" s="108"/>
      <c r="AK37" s="109"/>
      <c r="AL37" s="99">
        <f>+AJ37+AK37-AE37</f>
        <v>-619.72</v>
      </c>
      <c r="AM37" s="55"/>
      <c r="AN37" s="55" t="s">
        <v>258</v>
      </c>
    </row>
    <row r="38" spans="1:40" s="28" customFormat="1">
      <c r="A38" s="55" t="s">
        <v>68</v>
      </c>
      <c r="B38" s="55" t="s">
        <v>249</v>
      </c>
      <c r="C38" s="55"/>
      <c r="D38" s="55"/>
      <c r="E38" s="55" t="s">
        <v>70</v>
      </c>
      <c r="F38" s="104">
        <v>42520</v>
      </c>
      <c r="G38" s="55"/>
      <c r="H38" s="55"/>
      <c r="I38" s="58">
        <v>511.28</v>
      </c>
      <c r="J38" s="58">
        <v>515.38000000000011</v>
      </c>
      <c r="K38" s="58">
        <f t="shared" si="15"/>
        <v>1026.6600000000001</v>
      </c>
      <c r="L38" s="58"/>
      <c r="M38" s="58"/>
      <c r="N38" s="58"/>
      <c r="O38" s="58"/>
      <c r="P38" s="87"/>
      <c r="Q38" s="98">
        <f t="shared" si="1"/>
        <v>1026.6600000000001</v>
      </c>
      <c r="R38" s="58"/>
      <c r="S38" s="58"/>
      <c r="T38" s="58"/>
      <c r="U38" s="58">
        <v>0</v>
      </c>
      <c r="V38" s="58"/>
      <c r="W38" s="58"/>
      <c r="X38" s="58"/>
      <c r="Y38" s="52"/>
      <c r="Z38" s="52"/>
      <c r="AA38" s="55"/>
      <c r="AB38" s="55">
        <v>0</v>
      </c>
      <c r="AC38" s="98">
        <f t="shared" si="2"/>
        <v>1026.6600000000001</v>
      </c>
      <c r="AD38" s="52">
        <f t="shared" si="3"/>
        <v>0</v>
      </c>
      <c r="AE38" s="98">
        <f t="shared" si="4"/>
        <v>1026.6600000000001</v>
      </c>
      <c r="AF38" s="52">
        <f t="shared" si="5"/>
        <v>102.66600000000001</v>
      </c>
      <c r="AG38" s="52">
        <v>14.23</v>
      </c>
      <c r="AH38" s="52">
        <f t="shared" si="6"/>
        <v>0</v>
      </c>
      <c r="AI38" s="98">
        <f t="shared" si="7"/>
        <v>1143.556</v>
      </c>
      <c r="AJ38" s="108"/>
      <c r="AK38" s="109"/>
      <c r="AL38" s="99"/>
      <c r="AM38" s="55">
        <v>1175437504</v>
      </c>
      <c r="AN38" s="59"/>
    </row>
    <row r="39" spans="1:40" s="28" customFormat="1">
      <c r="A39" s="55" t="s">
        <v>68</v>
      </c>
      <c r="B39" s="55" t="s">
        <v>234</v>
      </c>
      <c r="C39" s="55" t="s">
        <v>184</v>
      </c>
      <c r="D39" s="55" t="s">
        <v>128</v>
      </c>
      <c r="E39" s="55" t="s">
        <v>70</v>
      </c>
      <c r="F39" s="104">
        <v>41906</v>
      </c>
      <c r="G39" s="55"/>
      <c r="H39" s="55"/>
      <c r="I39" s="58">
        <v>511.28</v>
      </c>
      <c r="J39" s="58">
        <v>515.38000000000011</v>
      </c>
      <c r="K39" s="58">
        <f t="shared" ref="K39:K76" si="16">+I39+J39</f>
        <v>1026.6600000000001</v>
      </c>
      <c r="L39" s="58"/>
      <c r="M39" s="58"/>
      <c r="N39" s="58"/>
      <c r="O39" s="58"/>
      <c r="P39" s="87"/>
      <c r="Q39" s="98">
        <f t="shared" si="1"/>
        <v>1026.6600000000001</v>
      </c>
      <c r="R39" s="58"/>
      <c r="S39" s="58"/>
      <c r="T39" s="58"/>
      <c r="U39" s="58">
        <v>0</v>
      </c>
      <c r="V39" s="58"/>
      <c r="W39" s="58"/>
      <c r="X39" s="58"/>
      <c r="Y39" s="52"/>
      <c r="Z39" s="52"/>
      <c r="AA39" s="55"/>
      <c r="AB39" s="55">
        <v>349.07</v>
      </c>
      <c r="AC39" s="98">
        <f t="shared" si="2"/>
        <v>677.59000000000015</v>
      </c>
      <c r="AD39" s="52">
        <f t="shared" si="3"/>
        <v>0</v>
      </c>
      <c r="AE39" s="98">
        <f t="shared" si="4"/>
        <v>677.59000000000015</v>
      </c>
      <c r="AF39" s="52">
        <f t="shared" si="5"/>
        <v>102.66600000000001</v>
      </c>
      <c r="AG39" s="52">
        <v>15.23</v>
      </c>
      <c r="AH39" s="52">
        <f t="shared" si="6"/>
        <v>0</v>
      </c>
      <c r="AI39" s="98">
        <f t="shared" si="7"/>
        <v>1144.556</v>
      </c>
      <c r="AJ39" s="108"/>
      <c r="AK39" s="109"/>
      <c r="AL39" s="99">
        <f t="shared" ref="AL39:AL45" si="17">+AJ39+AK39-AE39</f>
        <v>-677.59000000000015</v>
      </c>
      <c r="AM39" s="55"/>
      <c r="AN39" s="55"/>
    </row>
    <row r="40" spans="1:40" s="132" customFormat="1">
      <c r="A40" s="123" t="s">
        <v>81</v>
      </c>
      <c r="B40" s="123" t="s">
        <v>246</v>
      </c>
      <c r="C40" s="123"/>
      <c r="D40" s="123"/>
      <c r="E40" s="123" t="s">
        <v>141</v>
      </c>
      <c r="F40" s="124">
        <v>42506</v>
      </c>
      <c r="G40" s="123"/>
      <c r="H40" s="123"/>
      <c r="I40" s="125">
        <v>511.28</v>
      </c>
      <c r="J40" s="125">
        <v>422.04999999999995</v>
      </c>
      <c r="K40" s="125">
        <f t="shared" si="16"/>
        <v>933.32999999999993</v>
      </c>
      <c r="L40" s="125">
        <v>700</v>
      </c>
      <c r="M40" s="125"/>
      <c r="N40" s="125"/>
      <c r="O40" s="125"/>
      <c r="P40" s="126"/>
      <c r="Q40" s="65">
        <f t="shared" si="1"/>
        <v>1633.33</v>
      </c>
      <c r="R40" s="125"/>
      <c r="S40" s="125">
        <v>285.70999999999998</v>
      </c>
      <c r="T40" s="125"/>
      <c r="U40" s="125">
        <v>0</v>
      </c>
      <c r="V40" s="125"/>
      <c r="W40" s="125"/>
      <c r="X40" s="125"/>
      <c r="Y40" s="127"/>
      <c r="Z40" s="127"/>
      <c r="AA40" s="123"/>
      <c r="AB40" s="123">
        <v>0</v>
      </c>
      <c r="AC40" s="65">
        <f t="shared" si="2"/>
        <v>1347.62</v>
      </c>
      <c r="AD40" s="127">
        <f t="shared" si="3"/>
        <v>0</v>
      </c>
      <c r="AE40" s="65">
        <f t="shared" si="4"/>
        <v>1347.62</v>
      </c>
      <c r="AF40" s="127">
        <f t="shared" si="5"/>
        <v>163.333</v>
      </c>
      <c r="AG40" s="127">
        <v>16.23</v>
      </c>
      <c r="AH40" s="127">
        <f t="shared" si="6"/>
        <v>0</v>
      </c>
      <c r="AI40" s="65">
        <f t="shared" si="7"/>
        <v>1812.893</v>
      </c>
      <c r="AJ40" s="128"/>
      <c r="AK40" s="133"/>
      <c r="AL40" s="130">
        <f t="shared" si="17"/>
        <v>-1347.62</v>
      </c>
      <c r="AM40" s="134">
        <v>1180560405</v>
      </c>
      <c r="AN40" s="131" t="s">
        <v>51</v>
      </c>
    </row>
    <row r="41" spans="1:40" s="28" customFormat="1">
      <c r="A41" s="55" t="s">
        <v>68</v>
      </c>
      <c r="B41" s="55" t="s">
        <v>247</v>
      </c>
      <c r="C41" s="55"/>
      <c r="D41" s="55"/>
      <c r="E41" s="55" t="s">
        <v>273</v>
      </c>
      <c r="F41" s="104">
        <v>42480</v>
      </c>
      <c r="G41" s="55"/>
      <c r="H41" s="55"/>
      <c r="I41" s="58">
        <v>511.28</v>
      </c>
      <c r="J41" s="58">
        <v>1472.0499999999997</v>
      </c>
      <c r="K41" s="58">
        <f t="shared" si="16"/>
        <v>1983.3299999999997</v>
      </c>
      <c r="L41" s="58"/>
      <c r="M41" s="58"/>
      <c r="N41" s="58"/>
      <c r="O41" s="58"/>
      <c r="P41" s="87"/>
      <c r="Q41" s="98">
        <f t="shared" ref="Q41:Q75" si="18">SUM(K41:O41)-P41</f>
        <v>1983.3299999999997</v>
      </c>
      <c r="R41" s="58">
        <v>250</v>
      </c>
      <c r="S41" s="58"/>
      <c r="T41" s="58"/>
      <c r="U41" s="58">
        <v>0</v>
      </c>
      <c r="V41" s="58"/>
      <c r="W41" s="58"/>
      <c r="X41" s="58"/>
      <c r="Y41" s="52"/>
      <c r="Z41" s="52"/>
      <c r="AA41" s="55"/>
      <c r="AB41" s="55">
        <v>0</v>
      </c>
      <c r="AC41" s="98">
        <f t="shared" ref="AC41:AC75" si="19">+Q41-SUM(R41:AB41)</f>
        <v>1733.3299999999997</v>
      </c>
      <c r="AD41" s="52">
        <f t="shared" ref="AD41:AD75" si="20">IF(Q41&gt;2250,Q41*0.1,0)</f>
        <v>0</v>
      </c>
      <c r="AE41" s="98">
        <f t="shared" ref="AE41:AE75" si="21">+AC41-AD41</f>
        <v>1733.3299999999997</v>
      </c>
      <c r="AF41" s="52">
        <f t="shared" ref="AF41:AF75" si="22">IF(Q41&lt;2250,Q41*0.1,0)</f>
        <v>198.33299999999997</v>
      </c>
      <c r="AG41" s="52">
        <v>17.23</v>
      </c>
      <c r="AH41" s="52">
        <f t="shared" ref="AH41:AH75" si="23">+V41</f>
        <v>0</v>
      </c>
      <c r="AI41" s="98">
        <f t="shared" ref="AI41:AI75" si="24">+Q41+AF41+AG41+AH41</f>
        <v>2198.8929999999996</v>
      </c>
      <c r="AJ41" s="116"/>
      <c r="AK41" s="117"/>
      <c r="AL41" s="99">
        <f t="shared" si="17"/>
        <v>-1733.3299999999997</v>
      </c>
      <c r="AM41" s="55">
        <v>1116618499</v>
      </c>
      <c r="AN41" s="59" t="s">
        <v>261</v>
      </c>
    </row>
    <row r="42" spans="1:40" s="28" customFormat="1">
      <c r="A42" s="55" t="s">
        <v>68</v>
      </c>
      <c r="B42" s="55" t="s">
        <v>185</v>
      </c>
      <c r="C42" s="55" t="s">
        <v>184</v>
      </c>
      <c r="D42" s="61"/>
      <c r="E42" s="55" t="s">
        <v>70</v>
      </c>
      <c r="F42" s="104">
        <v>42240</v>
      </c>
      <c r="G42" s="55"/>
      <c r="H42" s="55"/>
      <c r="I42" s="58">
        <v>511.28</v>
      </c>
      <c r="J42" s="58">
        <v>515.38000000000011</v>
      </c>
      <c r="K42" s="58">
        <f t="shared" si="16"/>
        <v>1026.6600000000001</v>
      </c>
      <c r="L42" s="58">
        <v>201.96</v>
      </c>
      <c r="M42" s="58"/>
      <c r="N42" s="58"/>
      <c r="O42" s="58"/>
      <c r="P42" s="87"/>
      <c r="Q42" s="98">
        <f t="shared" si="18"/>
        <v>1228.6200000000001</v>
      </c>
      <c r="R42" s="58"/>
      <c r="S42" s="58"/>
      <c r="T42" s="58"/>
      <c r="U42" s="58">
        <v>0</v>
      </c>
      <c r="V42" s="58"/>
      <c r="W42" s="58"/>
      <c r="X42" s="58"/>
      <c r="Y42" s="52"/>
      <c r="Z42" s="52"/>
      <c r="AA42" s="55"/>
      <c r="AB42" s="55">
        <v>0</v>
      </c>
      <c r="AC42" s="98">
        <f t="shared" si="19"/>
        <v>1228.6200000000001</v>
      </c>
      <c r="AD42" s="52">
        <f t="shared" si="20"/>
        <v>0</v>
      </c>
      <c r="AE42" s="98">
        <f t="shared" si="21"/>
        <v>1228.6200000000001</v>
      </c>
      <c r="AF42" s="52">
        <f t="shared" si="22"/>
        <v>122.86200000000002</v>
      </c>
      <c r="AG42" s="52">
        <v>18.23</v>
      </c>
      <c r="AH42" s="52">
        <f t="shared" si="23"/>
        <v>0</v>
      </c>
      <c r="AI42" s="98">
        <f t="shared" si="24"/>
        <v>1369.7120000000002</v>
      </c>
      <c r="AJ42" s="110"/>
      <c r="AK42" s="110"/>
      <c r="AL42" s="99">
        <f t="shared" si="17"/>
        <v>-1228.6200000000001</v>
      </c>
      <c r="AM42" s="55"/>
      <c r="AN42" s="59"/>
    </row>
    <row r="43" spans="1:40" s="28" customFormat="1">
      <c r="A43" s="55" t="s">
        <v>83</v>
      </c>
      <c r="B43" s="107" t="s">
        <v>280</v>
      </c>
      <c r="C43" s="55"/>
      <c r="D43" s="61"/>
      <c r="E43" s="55" t="s">
        <v>142</v>
      </c>
      <c r="F43" s="104">
        <v>42042</v>
      </c>
      <c r="G43" s="55"/>
      <c r="H43" s="55"/>
      <c r="I43" s="58">
        <v>511.28</v>
      </c>
      <c r="J43" s="58">
        <v>1005.3900000000001</v>
      </c>
      <c r="K43" s="58">
        <f t="shared" si="16"/>
        <v>1516.67</v>
      </c>
      <c r="L43" s="58"/>
      <c r="M43" s="58"/>
      <c r="N43" s="58"/>
      <c r="O43" s="58"/>
      <c r="P43" s="87"/>
      <c r="Q43" s="98">
        <f t="shared" si="18"/>
        <v>1516.67</v>
      </c>
      <c r="R43" s="58"/>
      <c r="S43" s="58"/>
      <c r="T43" s="58"/>
      <c r="U43" s="58"/>
      <c r="V43" s="58"/>
      <c r="W43" s="58"/>
      <c r="X43" s="58"/>
      <c r="Y43" s="52"/>
      <c r="Z43" s="52"/>
      <c r="AA43" s="55"/>
      <c r="AB43" s="55">
        <v>0</v>
      </c>
      <c r="AC43" s="98">
        <f t="shared" ref="AC43" si="25">+Q43-SUM(R43:AB43)</f>
        <v>1516.67</v>
      </c>
      <c r="AD43" s="52">
        <f t="shared" ref="AD43" si="26">IF(Q43&gt;2250,Q43*0.1,0)</f>
        <v>0</v>
      </c>
      <c r="AE43" s="98">
        <f t="shared" ref="AE43" si="27">+AC43-AD43</f>
        <v>1516.67</v>
      </c>
      <c r="AF43" s="52">
        <f t="shared" ref="AF43" si="28">IF(Q43&lt;2250,Q43*0.1,0)</f>
        <v>151.667</v>
      </c>
      <c r="AG43" s="52">
        <v>19.23</v>
      </c>
      <c r="AH43" s="52">
        <f t="shared" ref="AH43" si="29">+V43</f>
        <v>0</v>
      </c>
      <c r="AI43" s="98">
        <f t="shared" ref="AI43" si="30">+Q43+AF43+AG43+AH43</f>
        <v>1687.567</v>
      </c>
      <c r="AJ43" s="110"/>
      <c r="AK43" s="110"/>
      <c r="AL43" s="99"/>
      <c r="AM43" s="55">
        <v>2886339700</v>
      </c>
      <c r="AN43" s="59" t="s">
        <v>279</v>
      </c>
    </row>
    <row r="44" spans="1:40" s="28" customFormat="1">
      <c r="A44" s="55" t="s">
        <v>82</v>
      </c>
      <c r="B44" s="55" t="s">
        <v>175</v>
      </c>
      <c r="C44" s="55"/>
      <c r="D44" s="55" t="s">
        <v>88</v>
      </c>
      <c r="E44" s="55" t="s">
        <v>140</v>
      </c>
      <c r="F44" s="104">
        <v>42319</v>
      </c>
      <c r="G44" s="55"/>
      <c r="H44" s="55"/>
      <c r="I44" s="58">
        <v>511.28</v>
      </c>
      <c r="J44" s="58">
        <v>227.95000000000005</v>
      </c>
      <c r="K44" s="58">
        <f t="shared" si="16"/>
        <v>739.23</v>
      </c>
      <c r="L44" s="58">
        <f>1982.208+7.428</f>
        <v>1989.6360000000002</v>
      </c>
      <c r="M44" s="58"/>
      <c r="N44" s="58"/>
      <c r="O44" s="58"/>
      <c r="P44" s="87"/>
      <c r="Q44" s="98">
        <f t="shared" si="18"/>
        <v>2728.866</v>
      </c>
      <c r="R44" s="58"/>
      <c r="S44" s="58">
        <v>226.29</v>
      </c>
      <c r="T44" s="58"/>
      <c r="U44" s="58">
        <v>0</v>
      </c>
      <c r="V44" s="58"/>
      <c r="W44" s="58"/>
      <c r="X44" s="58"/>
      <c r="Y44" s="52"/>
      <c r="Z44" s="52"/>
      <c r="AA44" s="55"/>
      <c r="AB44" s="55">
        <v>0</v>
      </c>
      <c r="AC44" s="98">
        <f t="shared" si="19"/>
        <v>2502.576</v>
      </c>
      <c r="AD44" s="52">
        <f t="shared" si="20"/>
        <v>272.88659999999999</v>
      </c>
      <c r="AE44" s="98">
        <f t="shared" si="21"/>
        <v>2229.6894000000002</v>
      </c>
      <c r="AF44" s="52">
        <f t="shared" si="22"/>
        <v>0</v>
      </c>
      <c r="AG44" s="52">
        <v>19.23</v>
      </c>
      <c r="AH44" s="52">
        <f t="shared" si="23"/>
        <v>0</v>
      </c>
      <c r="AI44" s="98">
        <f t="shared" si="24"/>
        <v>2748.096</v>
      </c>
      <c r="AJ44" s="108"/>
      <c r="AK44" s="109"/>
      <c r="AL44" s="99">
        <f t="shared" si="17"/>
        <v>-2229.6894000000002</v>
      </c>
      <c r="AM44" s="55"/>
      <c r="AN44" s="59"/>
    </row>
    <row r="45" spans="1:40" s="28" customFormat="1">
      <c r="A45" s="55" t="s">
        <v>68</v>
      </c>
      <c r="B45" s="55" t="s">
        <v>171</v>
      </c>
      <c r="C45" s="55" t="s">
        <v>186</v>
      </c>
      <c r="D45" s="55" t="s">
        <v>129</v>
      </c>
      <c r="E45" s="55" t="s">
        <v>70</v>
      </c>
      <c r="F45" s="104">
        <v>41463</v>
      </c>
      <c r="G45" s="55"/>
      <c r="H45" s="55"/>
      <c r="I45" s="58">
        <v>511.28</v>
      </c>
      <c r="J45" s="58">
        <v>515.38000000000011</v>
      </c>
      <c r="K45" s="58">
        <f t="shared" si="16"/>
        <v>1026.6600000000001</v>
      </c>
      <c r="L45" s="58">
        <v>676.56</v>
      </c>
      <c r="M45" s="58"/>
      <c r="N45" s="58"/>
      <c r="O45" s="58"/>
      <c r="P45" s="87"/>
      <c r="Q45" s="98">
        <f t="shared" si="18"/>
        <v>1703.22</v>
      </c>
      <c r="R45" s="58"/>
      <c r="S45" s="58"/>
      <c r="T45" s="58"/>
      <c r="U45" s="58">
        <v>0</v>
      </c>
      <c r="V45" s="58"/>
      <c r="W45" s="58"/>
      <c r="X45" s="58"/>
      <c r="Y45" s="52"/>
      <c r="Z45" s="52"/>
      <c r="AA45" s="55"/>
      <c r="AB45" s="55">
        <v>0</v>
      </c>
      <c r="AC45" s="98">
        <f t="shared" si="19"/>
        <v>1703.22</v>
      </c>
      <c r="AD45" s="52">
        <f t="shared" si="20"/>
        <v>0</v>
      </c>
      <c r="AE45" s="98">
        <f t="shared" si="21"/>
        <v>1703.22</v>
      </c>
      <c r="AF45" s="52">
        <f t="shared" si="22"/>
        <v>170.322</v>
      </c>
      <c r="AG45" s="52">
        <v>20.23</v>
      </c>
      <c r="AH45" s="52">
        <f t="shared" si="23"/>
        <v>0</v>
      </c>
      <c r="AI45" s="98">
        <f t="shared" si="24"/>
        <v>1893.7719999999999</v>
      </c>
      <c r="AJ45" s="108"/>
      <c r="AK45" s="109"/>
      <c r="AL45" s="99">
        <f t="shared" si="17"/>
        <v>-1703.22</v>
      </c>
      <c r="AM45" s="55"/>
      <c r="AN45" s="55"/>
    </row>
    <row r="46" spans="1:40" s="28" customFormat="1">
      <c r="A46" s="55" t="s">
        <v>66</v>
      </c>
      <c r="B46" s="55" t="s">
        <v>250</v>
      </c>
      <c r="C46" s="55"/>
      <c r="D46" s="55" t="s">
        <v>251</v>
      </c>
      <c r="E46" s="55" t="s">
        <v>252</v>
      </c>
      <c r="F46" s="111">
        <v>40618</v>
      </c>
      <c r="G46" s="55"/>
      <c r="H46" s="55"/>
      <c r="I46" s="58">
        <v>511.28</v>
      </c>
      <c r="J46" s="58">
        <v>1122.0533333333335</v>
      </c>
      <c r="K46" s="58">
        <f t="shared" si="16"/>
        <v>1633.3333333333335</v>
      </c>
      <c r="L46" s="58">
        <v>2278.5300000000002</v>
      </c>
      <c r="M46" s="58"/>
      <c r="N46" s="58"/>
      <c r="O46" s="58"/>
      <c r="P46" s="87"/>
      <c r="Q46" s="98">
        <f t="shared" si="18"/>
        <v>3911.8633333333337</v>
      </c>
      <c r="R46" s="58"/>
      <c r="S46" s="58"/>
      <c r="T46" s="58"/>
      <c r="U46" s="58">
        <v>0</v>
      </c>
      <c r="V46" s="58"/>
      <c r="W46" s="58"/>
      <c r="X46" s="58"/>
      <c r="Y46" s="52"/>
      <c r="Z46" s="52"/>
      <c r="AA46" s="55"/>
      <c r="AB46" s="55">
        <v>0</v>
      </c>
      <c r="AC46" s="98">
        <f t="shared" si="19"/>
        <v>3911.8633333333337</v>
      </c>
      <c r="AD46" s="52">
        <f t="shared" si="20"/>
        <v>391.18633333333338</v>
      </c>
      <c r="AE46" s="98">
        <f t="shared" si="21"/>
        <v>3520.6770000000001</v>
      </c>
      <c r="AF46" s="52">
        <f t="shared" si="22"/>
        <v>0</v>
      </c>
      <c r="AG46" s="52">
        <v>21.23</v>
      </c>
      <c r="AH46" s="52">
        <f t="shared" si="23"/>
        <v>0</v>
      </c>
      <c r="AI46" s="98">
        <f t="shared" si="24"/>
        <v>3933.0933333333337</v>
      </c>
      <c r="AJ46" s="108"/>
      <c r="AK46" s="109"/>
      <c r="AL46" s="99"/>
      <c r="AM46" s="55">
        <v>2659973974</v>
      </c>
      <c r="AN46" s="59"/>
    </row>
    <row r="47" spans="1:40" s="28" customFormat="1">
      <c r="A47" s="55" t="s">
        <v>68</v>
      </c>
      <c r="B47" s="55" t="s">
        <v>235</v>
      </c>
      <c r="C47" s="55" t="s">
        <v>189</v>
      </c>
      <c r="D47" s="55" t="s">
        <v>130</v>
      </c>
      <c r="E47" s="55" t="s">
        <v>70</v>
      </c>
      <c r="F47" s="104">
        <v>42296</v>
      </c>
      <c r="G47" s="55"/>
      <c r="H47" s="55"/>
      <c r="I47" s="58">
        <v>511.28</v>
      </c>
      <c r="J47" s="58">
        <v>515.38000000000011</v>
      </c>
      <c r="K47" s="58">
        <f t="shared" si="16"/>
        <v>1026.6600000000001</v>
      </c>
      <c r="L47" s="58">
        <v>3476.52</v>
      </c>
      <c r="M47" s="58"/>
      <c r="N47" s="58"/>
      <c r="O47" s="58"/>
      <c r="P47" s="87"/>
      <c r="Q47" s="98">
        <f t="shared" si="18"/>
        <v>4503.18</v>
      </c>
      <c r="R47" s="58"/>
      <c r="S47" s="58"/>
      <c r="T47" s="58"/>
      <c r="U47" s="58">
        <v>0</v>
      </c>
      <c r="V47" s="58"/>
      <c r="W47" s="58"/>
      <c r="X47" s="58"/>
      <c r="Y47" s="52"/>
      <c r="Z47" s="52"/>
      <c r="AA47" s="55"/>
      <c r="AB47" s="55">
        <v>218.86</v>
      </c>
      <c r="AC47" s="98">
        <f t="shared" si="19"/>
        <v>4284.3200000000006</v>
      </c>
      <c r="AD47" s="52">
        <f t="shared" si="20"/>
        <v>450.31800000000004</v>
      </c>
      <c r="AE47" s="98">
        <f t="shared" si="21"/>
        <v>3834.0020000000004</v>
      </c>
      <c r="AF47" s="52">
        <f t="shared" si="22"/>
        <v>0</v>
      </c>
      <c r="AG47" s="52">
        <v>10.23</v>
      </c>
      <c r="AH47" s="52">
        <f t="shared" si="23"/>
        <v>0</v>
      </c>
      <c r="AI47" s="98">
        <f t="shared" si="24"/>
        <v>4513.41</v>
      </c>
      <c r="AJ47" s="108"/>
      <c r="AK47" s="109"/>
      <c r="AL47" s="99">
        <f>+AJ47+AK47-AE47</f>
        <v>-3834.0020000000004</v>
      </c>
      <c r="AM47" s="55"/>
      <c r="AN47" s="55"/>
    </row>
    <row r="48" spans="1:40" s="28" customFormat="1">
      <c r="A48" s="55" t="s">
        <v>67</v>
      </c>
      <c r="B48" s="55" t="s">
        <v>77</v>
      </c>
      <c r="C48" s="55" t="s">
        <v>213</v>
      </c>
      <c r="D48" s="55" t="s">
        <v>105</v>
      </c>
      <c r="E48" s="55" t="s">
        <v>143</v>
      </c>
      <c r="F48" s="104">
        <v>42199</v>
      </c>
      <c r="G48" s="55"/>
      <c r="H48" s="55"/>
      <c r="I48" s="58">
        <v>511.28</v>
      </c>
      <c r="J48" s="58">
        <v>515.38000000000011</v>
      </c>
      <c r="K48" s="58">
        <f t="shared" si="16"/>
        <v>1026.6600000000001</v>
      </c>
      <c r="L48" s="58">
        <v>1141.23</v>
      </c>
      <c r="M48" s="58"/>
      <c r="N48" s="58"/>
      <c r="O48" s="58"/>
      <c r="P48" s="87"/>
      <c r="Q48" s="98">
        <f t="shared" si="18"/>
        <v>2167.8900000000003</v>
      </c>
      <c r="R48" s="58"/>
      <c r="S48" s="58"/>
      <c r="T48" s="58"/>
      <c r="U48" s="58">
        <v>0</v>
      </c>
      <c r="V48" s="58"/>
      <c r="W48" s="58"/>
      <c r="X48" s="58"/>
      <c r="Y48" s="52"/>
      <c r="Z48" s="52"/>
      <c r="AA48" s="55"/>
      <c r="AB48" s="55">
        <v>0</v>
      </c>
      <c r="AC48" s="98">
        <f t="shared" si="19"/>
        <v>2167.8900000000003</v>
      </c>
      <c r="AD48" s="52">
        <f t="shared" si="20"/>
        <v>0</v>
      </c>
      <c r="AE48" s="98">
        <f t="shared" si="21"/>
        <v>2167.8900000000003</v>
      </c>
      <c r="AF48" s="52">
        <f t="shared" si="22"/>
        <v>216.78900000000004</v>
      </c>
      <c r="AG48" s="52">
        <v>10.23</v>
      </c>
      <c r="AH48" s="52">
        <f t="shared" si="23"/>
        <v>0</v>
      </c>
      <c r="AI48" s="98">
        <f t="shared" si="24"/>
        <v>2394.9090000000006</v>
      </c>
      <c r="AJ48" s="108"/>
      <c r="AK48" s="109"/>
      <c r="AL48" s="99">
        <f>+AJ48+AK48-AE48</f>
        <v>-2167.8900000000003</v>
      </c>
      <c r="AM48" s="55"/>
      <c r="AN48" s="55"/>
    </row>
    <row r="49" spans="1:40" s="28" customFormat="1">
      <c r="A49" s="55" t="s">
        <v>68</v>
      </c>
      <c r="B49" s="55" t="s">
        <v>190</v>
      </c>
      <c r="C49" s="55" t="s">
        <v>189</v>
      </c>
      <c r="D49" s="55" t="s">
        <v>131</v>
      </c>
      <c r="E49" s="55" t="s">
        <v>70</v>
      </c>
      <c r="F49" s="104">
        <v>42304</v>
      </c>
      <c r="G49" s="55"/>
      <c r="H49" s="55"/>
      <c r="I49" s="58">
        <v>511.28</v>
      </c>
      <c r="J49" s="58">
        <v>515.38000000000011</v>
      </c>
      <c r="K49" s="58">
        <f t="shared" si="16"/>
        <v>1026.6600000000001</v>
      </c>
      <c r="L49" s="58">
        <v>6724.87</v>
      </c>
      <c r="M49" s="58"/>
      <c r="N49" s="58"/>
      <c r="O49" s="58"/>
      <c r="P49" s="87"/>
      <c r="Q49" s="98">
        <f t="shared" si="18"/>
        <v>7751.53</v>
      </c>
      <c r="R49" s="58"/>
      <c r="S49" s="58"/>
      <c r="T49" s="58"/>
      <c r="U49" s="58">
        <v>0</v>
      </c>
      <c r="V49" s="58"/>
      <c r="W49" s="58"/>
      <c r="X49" s="58"/>
      <c r="Y49" s="52"/>
      <c r="Z49" s="52"/>
      <c r="AA49" s="55"/>
      <c r="AB49" s="55">
        <v>0</v>
      </c>
      <c r="AC49" s="98">
        <f t="shared" si="19"/>
        <v>7751.53</v>
      </c>
      <c r="AD49" s="52">
        <f t="shared" si="20"/>
        <v>775.15300000000002</v>
      </c>
      <c r="AE49" s="98">
        <f t="shared" si="21"/>
        <v>6976.3769999999995</v>
      </c>
      <c r="AF49" s="52">
        <f t="shared" si="22"/>
        <v>0</v>
      </c>
      <c r="AG49" s="52">
        <v>10.23</v>
      </c>
      <c r="AH49" s="52">
        <f t="shared" si="23"/>
        <v>0</v>
      </c>
      <c r="AI49" s="98">
        <f t="shared" si="24"/>
        <v>7761.7599999999993</v>
      </c>
      <c r="AJ49" s="99"/>
      <c r="AK49" s="99"/>
      <c r="AL49" s="99"/>
      <c r="AM49" s="55"/>
      <c r="AN49" s="55"/>
    </row>
    <row r="50" spans="1:40" s="28" customFormat="1">
      <c r="A50" s="55" t="s">
        <v>84</v>
      </c>
      <c r="B50" s="55" t="s">
        <v>263</v>
      </c>
      <c r="C50" s="55"/>
      <c r="D50" s="55"/>
      <c r="E50" s="55" t="s">
        <v>271</v>
      </c>
      <c r="F50" s="104">
        <v>42541</v>
      </c>
      <c r="G50" s="55"/>
      <c r="H50" s="55"/>
      <c r="I50" s="58">
        <v>511.28</v>
      </c>
      <c r="J50" s="58">
        <v>45.5</v>
      </c>
      <c r="K50" s="58">
        <f t="shared" si="16"/>
        <v>556.78</v>
      </c>
      <c r="L50" s="58">
        <v>405.19200000000001</v>
      </c>
      <c r="M50" s="58"/>
      <c r="N50" s="58"/>
      <c r="O50" s="58"/>
      <c r="P50" s="87"/>
      <c r="Q50" s="98">
        <f t="shared" si="18"/>
        <v>961.97199999999998</v>
      </c>
      <c r="R50" s="58"/>
      <c r="S50" s="58"/>
      <c r="T50" s="58"/>
      <c r="U50" s="58">
        <v>0</v>
      </c>
      <c r="V50" s="58">
        <f>Q50*4.9%</f>
        <v>47.136628000000002</v>
      </c>
      <c r="W50" s="58">
        <f>Q50*1%</f>
        <v>9.6197199999999992</v>
      </c>
      <c r="X50" s="58"/>
      <c r="Y50" s="52"/>
      <c r="Z50" s="52"/>
      <c r="AA50" s="55"/>
      <c r="AB50" s="55">
        <v>0</v>
      </c>
      <c r="AC50" s="98">
        <f t="shared" si="19"/>
        <v>905.21565199999998</v>
      </c>
      <c r="AD50" s="52">
        <f t="shared" si="20"/>
        <v>0</v>
      </c>
      <c r="AE50" s="98">
        <f t="shared" si="21"/>
        <v>905.21565199999998</v>
      </c>
      <c r="AF50" s="52">
        <f t="shared" si="22"/>
        <v>96.197200000000009</v>
      </c>
      <c r="AG50" s="52">
        <v>10.23</v>
      </c>
      <c r="AH50" s="52">
        <f t="shared" si="23"/>
        <v>47.136628000000002</v>
      </c>
      <c r="AI50" s="98">
        <f t="shared" si="24"/>
        <v>1115.535828</v>
      </c>
      <c r="AJ50" s="101"/>
      <c r="AK50" s="101"/>
      <c r="AL50" s="101"/>
      <c r="AM50" s="55">
        <v>1169744878</v>
      </c>
      <c r="AN50" s="55"/>
    </row>
    <row r="51" spans="1:40" s="28" customFormat="1">
      <c r="A51" s="55" t="s">
        <v>67</v>
      </c>
      <c r="B51" s="55" t="s">
        <v>267</v>
      </c>
      <c r="C51" s="55"/>
      <c r="D51" s="55"/>
      <c r="E51" s="55" t="s">
        <v>143</v>
      </c>
      <c r="F51" s="104">
        <v>42576</v>
      </c>
      <c r="G51" s="55"/>
      <c r="H51" s="55"/>
      <c r="I51" s="58">
        <v>511.28</v>
      </c>
      <c r="J51" s="58">
        <v>515.38000000000011</v>
      </c>
      <c r="K51" s="58">
        <f>I51+J51</f>
        <v>1026.6600000000001</v>
      </c>
      <c r="L51" s="58">
        <v>1000</v>
      </c>
      <c r="M51" s="58"/>
      <c r="N51" s="58"/>
      <c r="O51" s="58"/>
      <c r="P51" s="87"/>
      <c r="Q51" s="98">
        <f t="shared" si="18"/>
        <v>2026.66</v>
      </c>
      <c r="R51" s="58"/>
      <c r="S51" s="58"/>
      <c r="T51" s="58"/>
      <c r="U51" s="58">
        <v>0</v>
      </c>
      <c r="V51" s="58"/>
      <c r="W51" s="58"/>
      <c r="X51" s="58"/>
      <c r="Y51" s="52"/>
      <c r="Z51" s="52"/>
      <c r="AA51" s="55"/>
      <c r="AB51" s="55">
        <v>0</v>
      </c>
      <c r="AC51" s="98">
        <f t="shared" si="19"/>
        <v>2026.66</v>
      </c>
      <c r="AD51" s="52">
        <f t="shared" ref="AD51" si="31">IF(Q51&gt;2250,Q51*0.1,0)</f>
        <v>0</v>
      </c>
      <c r="AE51" s="98">
        <f t="shared" ref="AE51" si="32">+AC51-AD51</f>
        <v>2026.66</v>
      </c>
      <c r="AF51" s="52">
        <f t="shared" ref="AF51" si="33">IF(Q51&lt;2250,Q51*0.1,0)</f>
        <v>202.66600000000003</v>
      </c>
      <c r="AG51" s="52">
        <v>11.23</v>
      </c>
      <c r="AH51" s="52">
        <f t="shared" ref="AH51" si="34">+V51</f>
        <v>0</v>
      </c>
      <c r="AI51" s="98">
        <f t="shared" ref="AI51" si="35">+Q51+AF51+AG51+AH51</f>
        <v>2240.556</v>
      </c>
      <c r="AJ51" s="101"/>
      <c r="AK51" s="101"/>
      <c r="AL51" s="101"/>
      <c r="AM51" s="55">
        <v>2960710474</v>
      </c>
      <c r="AN51" s="55" t="s">
        <v>268</v>
      </c>
    </row>
    <row r="52" spans="1:40" s="28" customFormat="1">
      <c r="A52" s="55" t="s">
        <v>68</v>
      </c>
      <c r="B52" s="55" t="s">
        <v>194</v>
      </c>
      <c r="C52" s="55"/>
      <c r="D52" s="55" t="s">
        <v>133</v>
      </c>
      <c r="E52" s="55" t="s">
        <v>70</v>
      </c>
      <c r="F52" s="104">
        <v>42164</v>
      </c>
      <c r="G52" s="55"/>
      <c r="H52" s="55"/>
      <c r="I52" s="58">
        <v>511.28</v>
      </c>
      <c r="J52" s="58">
        <v>515.38000000000011</v>
      </c>
      <c r="K52" s="58">
        <f t="shared" si="16"/>
        <v>1026.6600000000001</v>
      </c>
      <c r="L52" s="58">
        <v>7403.57</v>
      </c>
      <c r="M52" s="58"/>
      <c r="N52" s="58"/>
      <c r="O52" s="58"/>
      <c r="P52" s="87"/>
      <c r="Q52" s="98">
        <f t="shared" si="18"/>
        <v>8430.23</v>
      </c>
      <c r="R52" s="58"/>
      <c r="S52" s="58"/>
      <c r="T52" s="58"/>
      <c r="U52" s="58">
        <v>0</v>
      </c>
      <c r="V52" s="58"/>
      <c r="W52" s="58"/>
      <c r="X52" s="58"/>
      <c r="Y52" s="52"/>
      <c r="Z52" s="52"/>
      <c r="AA52" s="55"/>
      <c r="AB52" s="55">
        <v>228.56</v>
      </c>
      <c r="AC52" s="98">
        <f t="shared" si="19"/>
        <v>8201.67</v>
      </c>
      <c r="AD52" s="52">
        <f t="shared" si="20"/>
        <v>843.02300000000002</v>
      </c>
      <c r="AE52" s="98">
        <f t="shared" si="21"/>
        <v>7358.6469999999999</v>
      </c>
      <c r="AF52" s="52">
        <f t="shared" si="22"/>
        <v>0</v>
      </c>
      <c r="AG52" s="52">
        <v>10.23</v>
      </c>
      <c r="AH52" s="52">
        <f t="shared" si="23"/>
        <v>0</v>
      </c>
      <c r="AI52" s="98">
        <f t="shared" si="24"/>
        <v>8440.4599999999991</v>
      </c>
      <c r="AJ52" s="108"/>
      <c r="AK52" s="117"/>
      <c r="AL52" s="99">
        <f t="shared" ref="AL52:AL78" si="36">+AJ52+AK52-AE52</f>
        <v>-7358.6469999999999</v>
      </c>
      <c r="AM52" s="55"/>
      <c r="AN52" s="55"/>
    </row>
    <row r="53" spans="1:40" s="28" customFormat="1">
      <c r="A53" s="55" t="s">
        <v>84</v>
      </c>
      <c r="B53" s="55" t="s">
        <v>149</v>
      </c>
      <c r="C53" s="55"/>
      <c r="D53" s="55" t="s">
        <v>114</v>
      </c>
      <c r="E53" s="55" t="s">
        <v>271</v>
      </c>
      <c r="F53" s="104">
        <v>41981</v>
      </c>
      <c r="G53" s="55"/>
      <c r="H53" s="55"/>
      <c r="I53" s="58">
        <v>511.28</v>
      </c>
      <c r="J53" s="58">
        <v>45.5</v>
      </c>
      <c r="K53" s="58">
        <f t="shared" si="16"/>
        <v>556.78</v>
      </c>
      <c r="L53" s="58">
        <v>233.16200000000001</v>
      </c>
      <c r="M53" s="58"/>
      <c r="N53" s="58">
        <v>98.53</v>
      </c>
      <c r="O53" s="58"/>
      <c r="P53" s="87"/>
      <c r="Q53" s="98">
        <f t="shared" si="18"/>
        <v>888.47199999999998</v>
      </c>
      <c r="R53" s="58"/>
      <c r="S53" s="58"/>
      <c r="T53" s="58"/>
      <c r="U53" s="58">
        <v>100</v>
      </c>
      <c r="V53" s="58">
        <f>Q53*4.9%</f>
        <v>43.535128</v>
      </c>
      <c r="W53" s="58">
        <f>Q53*1%</f>
        <v>8.8847199999999997</v>
      </c>
      <c r="X53" s="58"/>
      <c r="Y53" s="52"/>
      <c r="Z53" s="52"/>
      <c r="AA53" s="55"/>
      <c r="AB53" s="55">
        <v>0</v>
      </c>
      <c r="AC53" s="98">
        <f t="shared" si="19"/>
        <v>736.05215199999998</v>
      </c>
      <c r="AD53" s="52">
        <f t="shared" si="20"/>
        <v>0</v>
      </c>
      <c r="AE53" s="98">
        <f t="shared" si="21"/>
        <v>736.05215199999998</v>
      </c>
      <c r="AF53" s="52">
        <f t="shared" si="22"/>
        <v>88.847200000000001</v>
      </c>
      <c r="AG53" s="52">
        <v>10.23</v>
      </c>
      <c r="AH53" s="52">
        <f t="shared" si="23"/>
        <v>43.535128</v>
      </c>
      <c r="AI53" s="98">
        <f t="shared" si="24"/>
        <v>1031.0843280000001</v>
      </c>
      <c r="AJ53" s="108"/>
      <c r="AK53" s="108"/>
      <c r="AL53" s="99">
        <f t="shared" si="36"/>
        <v>-736.05215199999998</v>
      </c>
      <c r="AM53" s="55"/>
      <c r="AN53" s="55"/>
    </row>
    <row r="54" spans="1:40" s="28" customFormat="1">
      <c r="A54" s="55" t="s">
        <v>84</v>
      </c>
      <c r="B54" s="55" t="s">
        <v>196</v>
      </c>
      <c r="C54" s="55"/>
      <c r="D54" s="55" t="s">
        <v>197</v>
      </c>
      <c r="E54" s="55" t="s">
        <v>275</v>
      </c>
      <c r="F54" s="103">
        <v>41284</v>
      </c>
      <c r="G54" s="55"/>
      <c r="H54" s="55"/>
      <c r="I54" s="58">
        <v>511.28</v>
      </c>
      <c r="J54" s="58">
        <v>112.08000000000015</v>
      </c>
      <c r="K54" s="58">
        <f t="shared" si="16"/>
        <v>623.36000000000013</v>
      </c>
      <c r="L54" s="58">
        <f>3193.567+2.599</f>
        <v>3196.1660000000002</v>
      </c>
      <c r="M54" s="58"/>
      <c r="N54" s="58"/>
      <c r="O54" s="58"/>
      <c r="P54" s="87"/>
      <c r="Q54" s="98">
        <f t="shared" si="18"/>
        <v>3819.5260000000003</v>
      </c>
      <c r="R54" s="58"/>
      <c r="S54" s="58"/>
      <c r="T54" s="58"/>
      <c r="U54" s="58">
        <v>0</v>
      </c>
      <c r="V54" s="58">
        <f>Q54*4.9%</f>
        <v>187.15677400000001</v>
      </c>
      <c r="W54" s="58">
        <f>Q54*1%</f>
        <v>38.195260000000005</v>
      </c>
      <c r="X54" s="58"/>
      <c r="Y54" s="52"/>
      <c r="Z54" s="52"/>
      <c r="AA54" s="55"/>
      <c r="AB54" s="55">
        <v>0</v>
      </c>
      <c r="AC54" s="98">
        <f t="shared" si="19"/>
        <v>3594.1739660000003</v>
      </c>
      <c r="AD54" s="52">
        <f t="shared" si="20"/>
        <v>381.95260000000007</v>
      </c>
      <c r="AE54" s="98">
        <f t="shared" si="21"/>
        <v>3212.2213660000002</v>
      </c>
      <c r="AF54" s="52">
        <f t="shared" si="22"/>
        <v>0</v>
      </c>
      <c r="AG54" s="52">
        <v>10.23</v>
      </c>
      <c r="AH54" s="52">
        <f t="shared" si="23"/>
        <v>187.15677400000001</v>
      </c>
      <c r="AI54" s="98">
        <f t="shared" si="24"/>
        <v>4016.9127740000004</v>
      </c>
      <c r="AJ54" s="108"/>
      <c r="AK54" s="109"/>
      <c r="AL54" s="99">
        <f t="shared" si="36"/>
        <v>-3212.2213660000002</v>
      </c>
      <c r="AM54" s="55">
        <v>2948910731</v>
      </c>
      <c r="AN54" s="59"/>
    </row>
    <row r="55" spans="1:40" s="28" customFormat="1">
      <c r="A55" s="55" t="s">
        <v>84</v>
      </c>
      <c r="B55" s="55" t="s">
        <v>151</v>
      </c>
      <c r="C55" s="55"/>
      <c r="D55" s="55" t="s">
        <v>115</v>
      </c>
      <c r="E55" s="55" t="s">
        <v>275</v>
      </c>
      <c r="F55" s="103">
        <v>41227</v>
      </c>
      <c r="G55" s="55"/>
      <c r="H55" s="55"/>
      <c r="I55" s="58">
        <v>511.28</v>
      </c>
      <c r="J55" s="58">
        <v>112.08000000000015</v>
      </c>
      <c r="K55" s="58">
        <f t="shared" si="16"/>
        <v>623.36000000000013</v>
      </c>
      <c r="L55" s="58">
        <f>1615.35+2.972</f>
        <v>1618.3219999999999</v>
      </c>
      <c r="M55" s="58"/>
      <c r="N55" s="58"/>
      <c r="O55" s="58"/>
      <c r="P55" s="87"/>
      <c r="Q55" s="98">
        <f t="shared" si="18"/>
        <v>2241.6819999999998</v>
      </c>
      <c r="R55" s="58"/>
      <c r="S55" s="58">
        <v>95.41</v>
      </c>
      <c r="T55" s="58"/>
      <c r="U55" s="58">
        <v>0</v>
      </c>
      <c r="V55" s="58">
        <f>Q55*4.9%</f>
        <v>109.842418</v>
      </c>
      <c r="W55" s="58">
        <f>Q55*1%</f>
        <v>22.416819999999998</v>
      </c>
      <c r="X55" s="58"/>
      <c r="Y55" s="52"/>
      <c r="Z55" s="52"/>
      <c r="AA55" s="55"/>
      <c r="AB55" s="55">
        <v>0</v>
      </c>
      <c r="AC55" s="98">
        <f t="shared" si="19"/>
        <v>2014.0127619999998</v>
      </c>
      <c r="AD55" s="52">
        <f t="shared" si="20"/>
        <v>0</v>
      </c>
      <c r="AE55" s="98">
        <f t="shared" si="21"/>
        <v>2014.0127619999998</v>
      </c>
      <c r="AF55" s="52">
        <f t="shared" si="22"/>
        <v>224.16819999999998</v>
      </c>
      <c r="AG55" s="52">
        <v>10.23</v>
      </c>
      <c r="AH55" s="52">
        <f t="shared" si="23"/>
        <v>109.842418</v>
      </c>
      <c r="AI55" s="98">
        <f t="shared" si="24"/>
        <v>2585.9226180000001</v>
      </c>
      <c r="AJ55" s="108"/>
      <c r="AK55" s="108"/>
      <c r="AL55" s="99">
        <f t="shared" si="36"/>
        <v>-2014.0127619999998</v>
      </c>
      <c r="AM55" s="55"/>
      <c r="AN55" s="59"/>
    </row>
    <row r="56" spans="1:40" s="28" customFormat="1">
      <c r="A56" s="55" t="s">
        <v>82</v>
      </c>
      <c r="B56" s="55" t="s">
        <v>176</v>
      </c>
      <c r="C56" s="55"/>
      <c r="D56" s="55" t="s">
        <v>89</v>
      </c>
      <c r="E56" s="55" t="s">
        <v>140</v>
      </c>
      <c r="F56" s="103">
        <v>41493</v>
      </c>
      <c r="G56" s="55"/>
      <c r="H56" s="55"/>
      <c r="I56" s="58">
        <v>511.28</v>
      </c>
      <c r="J56" s="58">
        <v>227.95000000000005</v>
      </c>
      <c r="K56" s="58">
        <f t="shared" si="16"/>
        <v>739.23</v>
      </c>
      <c r="L56" s="58">
        <f>2794.686+13.099</f>
        <v>2807.7850000000003</v>
      </c>
      <c r="M56" s="58"/>
      <c r="N56" s="58"/>
      <c r="O56" s="58"/>
      <c r="P56" s="87"/>
      <c r="Q56" s="98">
        <f t="shared" si="18"/>
        <v>3547.0150000000003</v>
      </c>
      <c r="R56" s="58"/>
      <c r="S56" s="58"/>
      <c r="T56" s="58"/>
      <c r="U56" s="58">
        <v>0</v>
      </c>
      <c r="V56" s="58"/>
      <c r="W56" s="58"/>
      <c r="X56" s="58"/>
      <c r="Y56" s="52"/>
      <c r="Z56" s="52"/>
      <c r="AA56" s="55"/>
      <c r="AB56" s="55">
        <v>0</v>
      </c>
      <c r="AC56" s="98">
        <f t="shared" si="19"/>
        <v>3547.0150000000003</v>
      </c>
      <c r="AD56" s="52">
        <f t="shared" si="20"/>
        <v>354.70150000000007</v>
      </c>
      <c r="AE56" s="98">
        <f t="shared" si="21"/>
        <v>3192.3135000000002</v>
      </c>
      <c r="AF56" s="52">
        <f t="shared" si="22"/>
        <v>0</v>
      </c>
      <c r="AG56" s="52">
        <v>10.23</v>
      </c>
      <c r="AH56" s="52">
        <f t="shared" si="23"/>
        <v>0</v>
      </c>
      <c r="AI56" s="98">
        <f t="shared" si="24"/>
        <v>3557.2450000000003</v>
      </c>
      <c r="AJ56" s="108"/>
      <c r="AK56" s="109"/>
      <c r="AL56" s="99">
        <f t="shared" si="36"/>
        <v>-3192.3135000000002</v>
      </c>
      <c r="AM56" s="55"/>
      <c r="AN56" s="59"/>
    </row>
    <row r="57" spans="1:40" s="28" customFormat="1">
      <c r="A57" s="55" t="s">
        <v>83</v>
      </c>
      <c r="B57" s="55" t="s">
        <v>156</v>
      </c>
      <c r="C57" s="55"/>
      <c r="D57" s="55"/>
      <c r="E57" s="55" t="s">
        <v>142</v>
      </c>
      <c r="F57" s="104">
        <v>42413</v>
      </c>
      <c r="G57" s="55"/>
      <c r="H57" s="55"/>
      <c r="I57" s="58">
        <v>511.28</v>
      </c>
      <c r="J57" s="58">
        <v>1005.3900000000001</v>
      </c>
      <c r="K57" s="58">
        <f t="shared" si="16"/>
        <v>1516.67</v>
      </c>
      <c r="L57" s="58">
        <v>250</v>
      </c>
      <c r="M57" s="58"/>
      <c r="N57" s="58"/>
      <c r="O57" s="58"/>
      <c r="P57" s="87"/>
      <c r="Q57" s="98">
        <f t="shared" si="18"/>
        <v>1766.67</v>
      </c>
      <c r="R57" s="58"/>
      <c r="S57" s="58"/>
      <c r="T57" s="58"/>
      <c r="U57" s="58">
        <v>0</v>
      </c>
      <c r="V57" s="58"/>
      <c r="W57" s="58"/>
      <c r="X57" s="58"/>
      <c r="Y57" s="52"/>
      <c r="Z57" s="52"/>
      <c r="AA57" s="55"/>
      <c r="AB57" s="55">
        <v>0</v>
      </c>
      <c r="AC57" s="98">
        <f t="shared" si="19"/>
        <v>1766.67</v>
      </c>
      <c r="AD57" s="52">
        <f t="shared" si="20"/>
        <v>0</v>
      </c>
      <c r="AE57" s="98">
        <f t="shared" si="21"/>
        <v>1766.67</v>
      </c>
      <c r="AF57" s="52">
        <f t="shared" si="22"/>
        <v>176.66700000000003</v>
      </c>
      <c r="AG57" s="52">
        <v>10.23</v>
      </c>
      <c r="AH57" s="52">
        <f t="shared" si="23"/>
        <v>0</v>
      </c>
      <c r="AI57" s="98">
        <f t="shared" si="24"/>
        <v>1953.567</v>
      </c>
      <c r="AJ57" s="108"/>
      <c r="AK57" s="109"/>
      <c r="AL57" s="99">
        <f t="shared" si="36"/>
        <v>-1766.67</v>
      </c>
      <c r="AM57" s="55"/>
      <c r="AN57" s="59"/>
    </row>
    <row r="58" spans="1:40" s="28" customFormat="1">
      <c r="A58" s="55" t="s">
        <v>84</v>
      </c>
      <c r="B58" s="55" t="s">
        <v>264</v>
      </c>
      <c r="C58" s="55"/>
      <c r="D58" s="55"/>
      <c r="E58" s="55" t="s">
        <v>271</v>
      </c>
      <c r="F58" s="104">
        <v>42493</v>
      </c>
      <c r="G58" s="55"/>
      <c r="H58" s="55"/>
      <c r="I58" s="58">
        <v>511.28</v>
      </c>
      <c r="J58" s="58">
        <v>0.49</v>
      </c>
      <c r="K58" s="58">
        <f t="shared" si="16"/>
        <v>511.77</v>
      </c>
      <c r="L58" s="58">
        <v>619.64599999999996</v>
      </c>
      <c r="M58" s="58"/>
      <c r="N58" s="58"/>
      <c r="O58" s="58"/>
      <c r="P58" s="87"/>
      <c r="Q58" s="98">
        <f t="shared" si="18"/>
        <v>1131.4159999999999</v>
      </c>
      <c r="R58" s="58"/>
      <c r="S58" s="58"/>
      <c r="T58" s="58"/>
      <c r="U58" s="58">
        <v>0</v>
      </c>
      <c r="V58" s="58">
        <f>Q58*4.9%</f>
        <v>55.439383999999997</v>
      </c>
      <c r="W58" s="58">
        <f>Q58*1%</f>
        <v>11.314159999999999</v>
      </c>
      <c r="X58" s="58"/>
      <c r="Y58" s="52"/>
      <c r="Z58" s="52"/>
      <c r="AA58" s="55"/>
      <c r="AB58" s="55">
        <v>0</v>
      </c>
      <c r="AC58" s="98">
        <f t="shared" si="19"/>
        <v>1064.662456</v>
      </c>
      <c r="AD58" s="52">
        <f t="shared" si="20"/>
        <v>0</v>
      </c>
      <c r="AE58" s="98">
        <f t="shared" si="21"/>
        <v>1064.662456</v>
      </c>
      <c r="AF58" s="52">
        <f t="shared" si="22"/>
        <v>113.1416</v>
      </c>
      <c r="AG58" s="52">
        <v>10.23</v>
      </c>
      <c r="AH58" s="52">
        <f t="shared" si="23"/>
        <v>55.439383999999997</v>
      </c>
      <c r="AI58" s="98">
        <f t="shared" si="24"/>
        <v>1310.2269839999999</v>
      </c>
      <c r="AJ58" s="108"/>
      <c r="AK58" s="108"/>
      <c r="AL58" s="99">
        <f t="shared" si="36"/>
        <v>-1064.662456</v>
      </c>
      <c r="AM58" s="55"/>
      <c r="AN58" s="59"/>
    </row>
    <row r="59" spans="1:40" s="28" customFormat="1">
      <c r="A59" s="55" t="s">
        <v>68</v>
      </c>
      <c r="B59" s="55" t="s">
        <v>231</v>
      </c>
      <c r="C59" s="55" t="s">
        <v>189</v>
      </c>
      <c r="D59" s="55" t="s">
        <v>132</v>
      </c>
      <c r="E59" s="55" t="s">
        <v>70</v>
      </c>
      <c r="F59" s="104">
        <v>41622</v>
      </c>
      <c r="G59" s="55"/>
      <c r="H59" s="55"/>
      <c r="I59" s="58">
        <v>511.28</v>
      </c>
      <c r="J59" s="58">
        <v>515.38000000000011</v>
      </c>
      <c r="K59" s="58">
        <f t="shared" si="16"/>
        <v>1026.6600000000001</v>
      </c>
      <c r="L59" s="58">
        <v>1000</v>
      </c>
      <c r="M59" s="58"/>
      <c r="N59" s="58"/>
      <c r="O59" s="58"/>
      <c r="P59" s="87"/>
      <c r="Q59" s="98">
        <f t="shared" si="18"/>
        <v>2026.66</v>
      </c>
      <c r="R59" s="58"/>
      <c r="S59" s="58"/>
      <c r="T59" s="58"/>
      <c r="U59" s="58">
        <v>0</v>
      </c>
      <c r="V59" s="58"/>
      <c r="W59" s="58"/>
      <c r="X59" s="58"/>
      <c r="Y59" s="52"/>
      <c r="Z59" s="52"/>
      <c r="AA59" s="55"/>
      <c r="AB59" s="55">
        <v>0</v>
      </c>
      <c r="AC59" s="98">
        <f t="shared" si="19"/>
        <v>2026.66</v>
      </c>
      <c r="AD59" s="52">
        <f t="shared" si="20"/>
        <v>0</v>
      </c>
      <c r="AE59" s="98">
        <f t="shared" si="21"/>
        <v>2026.66</v>
      </c>
      <c r="AF59" s="52">
        <f t="shared" si="22"/>
        <v>202.66600000000003</v>
      </c>
      <c r="AG59" s="52">
        <v>10.23</v>
      </c>
      <c r="AH59" s="52">
        <f t="shared" si="23"/>
        <v>0</v>
      </c>
      <c r="AI59" s="98">
        <f t="shared" si="24"/>
        <v>2239.556</v>
      </c>
      <c r="AJ59" s="108"/>
      <c r="AK59" s="108"/>
      <c r="AL59" s="99">
        <f t="shared" si="36"/>
        <v>-2026.66</v>
      </c>
      <c r="AM59" s="55"/>
      <c r="AN59" s="55"/>
    </row>
    <row r="60" spans="1:40" s="28" customFormat="1">
      <c r="A60" s="55" t="s">
        <v>68</v>
      </c>
      <c r="B60" s="55" t="s">
        <v>238</v>
      </c>
      <c r="C60" s="55" t="s">
        <v>186</v>
      </c>
      <c r="D60" s="55">
        <v>30</v>
      </c>
      <c r="E60" s="55" t="s">
        <v>70</v>
      </c>
      <c r="F60" s="104">
        <v>37834</v>
      </c>
      <c r="G60" s="55"/>
      <c r="H60" s="55"/>
      <c r="I60" s="58">
        <v>511.28</v>
      </c>
      <c r="J60" s="58">
        <v>515.38000000000011</v>
      </c>
      <c r="K60" s="58">
        <f t="shared" si="16"/>
        <v>1026.6600000000001</v>
      </c>
      <c r="L60" s="58">
        <v>4801.93</v>
      </c>
      <c r="M60" s="58"/>
      <c r="N60" s="58"/>
      <c r="O60" s="58"/>
      <c r="P60" s="87"/>
      <c r="Q60" s="98">
        <f t="shared" si="18"/>
        <v>5828.59</v>
      </c>
      <c r="R60" s="58"/>
      <c r="S60" s="58"/>
      <c r="T60" s="58"/>
      <c r="U60" s="58">
        <v>0</v>
      </c>
      <c r="V60" s="58"/>
      <c r="W60" s="58"/>
      <c r="X60" s="58"/>
      <c r="Y60" s="52"/>
      <c r="Z60" s="52"/>
      <c r="AA60" s="55"/>
      <c r="AB60" s="55">
        <v>0</v>
      </c>
      <c r="AC60" s="98">
        <f t="shared" si="19"/>
        <v>5828.59</v>
      </c>
      <c r="AD60" s="52">
        <f t="shared" si="20"/>
        <v>582.85900000000004</v>
      </c>
      <c r="AE60" s="98">
        <f t="shared" si="21"/>
        <v>5245.7309999999998</v>
      </c>
      <c r="AF60" s="52">
        <f t="shared" si="22"/>
        <v>0</v>
      </c>
      <c r="AG60" s="52">
        <v>10.23</v>
      </c>
      <c r="AH60" s="52">
        <f t="shared" si="23"/>
        <v>0</v>
      </c>
      <c r="AI60" s="98">
        <f t="shared" si="24"/>
        <v>5838.82</v>
      </c>
      <c r="AJ60" s="108"/>
      <c r="AK60" s="109"/>
      <c r="AL60" s="99">
        <f t="shared" si="36"/>
        <v>-5245.7309999999998</v>
      </c>
      <c r="AM60" s="55"/>
      <c r="AN60" s="55"/>
    </row>
    <row r="61" spans="1:40" s="28" customFormat="1">
      <c r="A61" s="55" t="s">
        <v>68</v>
      </c>
      <c r="B61" s="55" t="s">
        <v>166</v>
      </c>
      <c r="C61" s="55" t="s">
        <v>184</v>
      </c>
      <c r="D61" s="55" t="s">
        <v>134</v>
      </c>
      <c r="E61" s="55" t="s">
        <v>70</v>
      </c>
      <c r="F61" s="104">
        <v>42394</v>
      </c>
      <c r="G61" s="55"/>
      <c r="H61" s="55"/>
      <c r="I61" s="58">
        <v>511.28</v>
      </c>
      <c r="J61" s="58">
        <v>515.38000000000011</v>
      </c>
      <c r="K61" s="58">
        <f t="shared" si="16"/>
        <v>1026.6600000000001</v>
      </c>
      <c r="L61" s="58"/>
      <c r="M61" s="58"/>
      <c r="N61" s="58"/>
      <c r="O61" s="58"/>
      <c r="P61" s="87"/>
      <c r="Q61" s="98">
        <f t="shared" si="18"/>
        <v>1026.6600000000001</v>
      </c>
      <c r="R61" s="58"/>
      <c r="S61" s="58"/>
      <c r="T61" s="58"/>
      <c r="U61" s="58">
        <v>0</v>
      </c>
      <c r="V61" s="58"/>
      <c r="W61" s="58"/>
      <c r="X61" s="58"/>
      <c r="Y61" s="52"/>
      <c r="Z61" s="52"/>
      <c r="AA61" s="100"/>
      <c r="AB61" s="100">
        <v>875.69</v>
      </c>
      <c r="AC61" s="98">
        <f t="shared" si="19"/>
        <v>150.97000000000003</v>
      </c>
      <c r="AD61" s="52">
        <f t="shared" si="20"/>
        <v>0</v>
      </c>
      <c r="AE61" s="98">
        <f t="shared" si="21"/>
        <v>150.97000000000003</v>
      </c>
      <c r="AF61" s="52">
        <f t="shared" si="22"/>
        <v>102.66600000000001</v>
      </c>
      <c r="AG61" s="52">
        <v>10.23</v>
      </c>
      <c r="AH61" s="52">
        <f t="shared" si="23"/>
        <v>0</v>
      </c>
      <c r="AI61" s="98">
        <f t="shared" si="24"/>
        <v>1139.556</v>
      </c>
      <c r="AJ61" s="108"/>
      <c r="AK61" s="109"/>
      <c r="AL61" s="99">
        <f t="shared" si="36"/>
        <v>-150.97000000000003</v>
      </c>
      <c r="AM61" s="55"/>
      <c r="AN61" s="59"/>
    </row>
    <row r="62" spans="1:40" s="28" customFormat="1">
      <c r="A62" s="55" t="s">
        <v>67</v>
      </c>
      <c r="B62" s="55" t="s">
        <v>172</v>
      </c>
      <c r="C62" s="55" t="s">
        <v>213</v>
      </c>
      <c r="D62" s="55" t="s">
        <v>106</v>
      </c>
      <c r="E62" s="55" t="s">
        <v>253</v>
      </c>
      <c r="F62" s="104">
        <v>42342</v>
      </c>
      <c r="G62" s="55"/>
      <c r="H62" s="55"/>
      <c r="I62" s="58">
        <v>511.28</v>
      </c>
      <c r="J62" s="58">
        <v>588.72</v>
      </c>
      <c r="K62" s="58">
        <v>1100</v>
      </c>
      <c r="L62" s="58"/>
      <c r="M62" s="58"/>
      <c r="N62" s="58"/>
      <c r="O62" s="58"/>
      <c r="P62" s="87"/>
      <c r="Q62" s="98">
        <f t="shared" si="18"/>
        <v>1100</v>
      </c>
      <c r="R62" s="58"/>
      <c r="S62" s="58"/>
      <c r="T62" s="58"/>
      <c r="U62" s="58">
        <v>0</v>
      </c>
      <c r="V62" s="58"/>
      <c r="W62" s="58"/>
      <c r="X62" s="58"/>
      <c r="Y62" s="52">
        <v>496.81</v>
      </c>
      <c r="Z62" s="52"/>
      <c r="AA62" s="55"/>
      <c r="AB62" s="55">
        <v>0</v>
      </c>
      <c r="AC62" s="98">
        <f t="shared" si="19"/>
        <v>603.19000000000005</v>
      </c>
      <c r="AD62" s="52">
        <f t="shared" si="20"/>
        <v>0</v>
      </c>
      <c r="AE62" s="98">
        <f t="shared" si="21"/>
        <v>603.19000000000005</v>
      </c>
      <c r="AF62" s="52">
        <f t="shared" si="22"/>
        <v>110</v>
      </c>
      <c r="AG62" s="52">
        <v>10.23</v>
      </c>
      <c r="AH62" s="52">
        <f t="shared" si="23"/>
        <v>0</v>
      </c>
      <c r="AI62" s="98">
        <f t="shared" si="24"/>
        <v>1220.23</v>
      </c>
      <c r="AJ62" s="108"/>
      <c r="AK62" s="108"/>
      <c r="AL62" s="99">
        <f t="shared" si="36"/>
        <v>-603.19000000000005</v>
      </c>
      <c r="AM62" s="55"/>
      <c r="AN62" s="59"/>
    </row>
    <row r="63" spans="1:40" s="28" customFormat="1">
      <c r="A63" s="55" t="s">
        <v>84</v>
      </c>
      <c r="B63" s="55" t="s">
        <v>216</v>
      </c>
      <c r="C63" s="55"/>
      <c r="D63" s="55"/>
      <c r="E63" s="55" t="s">
        <v>271</v>
      </c>
      <c r="F63" s="104">
        <v>42444</v>
      </c>
      <c r="G63" s="55"/>
      <c r="H63" s="55"/>
      <c r="I63" s="58">
        <v>511.28</v>
      </c>
      <c r="J63" s="58">
        <v>45.5</v>
      </c>
      <c r="K63" s="58">
        <f t="shared" si="16"/>
        <v>556.78</v>
      </c>
      <c r="L63" s="58">
        <v>367.16199999999998</v>
      </c>
      <c r="M63" s="58"/>
      <c r="N63" s="58"/>
      <c r="O63" s="58"/>
      <c r="P63" s="87"/>
      <c r="Q63" s="98">
        <f t="shared" si="18"/>
        <v>923.94200000000001</v>
      </c>
      <c r="R63" s="58"/>
      <c r="S63" s="58"/>
      <c r="T63" s="58"/>
      <c r="U63" s="58">
        <v>0</v>
      </c>
      <c r="V63" s="58">
        <f>Q63*4.9%</f>
        <v>45.273158000000002</v>
      </c>
      <c r="W63" s="58">
        <f>Q63*1%</f>
        <v>9.2394200000000009</v>
      </c>
      <c r="X63" s="58"/>
      <c r="Y63" s="52"/>
      <c r="Z63" s="52"/>
      <c r="AA63" s="55"/>
      <c r="AB63" s="55">
        <v>0</v>
      </c>
      <c r="AC63" s="98">
        <f t="shared" si="19"/>
        <v>869.42942200000005</v>
      </c>
      <c r="AD63" s="52">
        <f t="shared" si="20"/>
        <v>0</v>
      </c>
      <c r="AE63" s="98">
        <f t="shared" si="21"/>
        <v>869.42942200000005</v>
      </c>
      <c r="AF63" s="52">
        <f t="shared" si="22"/>
        <v>92.394200000000012</v>
      </c>
      <c r="AG63" s="52">
        <v>10.23</v>
      </c>
      <c r="AH63" s="52">
        <f t="shared" si="23"/>
        <v>45.273158000000002</v>
      </c>
      <c r="AI63" s="98">
        <f t="shared" si="24"/>
        <v>1071.8393579999999</v>
      </c>
      <c r="AJ63" s="108"/>
      <c r="AK63" s="108"/>
      <c r="AL63" s="99">
        <f t="shared" si="36"/>
        <v>-869.42942200000005</v>
      </c>
      <c r="AM63" s="70">
        <v>1159718206</v>
      </c>
      <c r="AN63" s="70"/>
    </row>
    <row r="64" spans="1:40" s="28" customFormat="1">
      <c r="A64" s="55" t="s">
        <v>84</v>
      </c>
      <c r="B64" s="55" t="s">
        <v>248</v>
      </c>
      <c r="C64" s="55"/>
      <c r="D64" s="55"/>
      <c r="E64" s="55" t="s">
        <v>140</v>
      </c>
      <c r="F64" s="104">
        <v>42494</v>
      </c>
      <c r="G64" s="55"/>
      <c r="H64" s="55"/>
      <c r="I64" s="58">
        <v>511.28</v>
      </c>
      <c r="J64" s="58">
        <v>227.95000000000005</v>
      </c>
      <c r="K64" s="58">
        <f t="shared" si="16"/>
        <v>739.23</v>
      </c>
      <c r="L64" s="58">
        <f>1174.8+5.571</f>
        <v>1180.3709999999999</v>
      </c>
      <c r="M64" s="58"/>
      <c r="N64" s="58"/>
      <c r="O64" s="58"/>
      <c r="P64" s="87"/>
      <c r="Q64" s="98">
        <f t="shared" si="18"/>
        <v>1919.6009999999999</v>
      </c>
      <c r="R64" s="58"/>
      <c r="S64" s="58"/>
      <c r="T64" s="58"/>
      <c r="U64" s="58">
        <v>0</v>
      </c>
      <c r="V64" s="58"/>
      <c r="W64" s="58"/>
      <c r="X64" s="58"/>
      <c r="Y64" s="52"/>
      <c r="Z64" s="52"/>
      <c r="AA64" s="55"/>
      <c r="AB64" s="55">
        <v>0</v>
      </c>
      <c r="AC64" s="98">
        <f t="shared" si="19"/>
        <v>1919.6009999999999</v>
      </c>
      <c r="AD64" s="52">
        <f t="shared" si="20"/>
        <v>0</v>
      </c>
      <c r="AE64" s="98">
        <f t="shared" si="21"/>
        <v>1919.6009999999999</v>
      </c>
      <c r="AF64" s="52">
        <f t="shared" si="22"/>
        <v>191.96010000000001</v>
      </c>
      <c r="AG64" s="52">
        <v>10.23</v>
      </c>
      <c r="AH64" s="52">
        <f t="shared" si="23"/>
        <v>0</v>
      </c>
      <c r="AI64" s="98">
        <f t="shared" si="24"/>
        <v>2121.7910999999999</v>
      </c>
      <c r="AJ64" s="108"/>
      <c r="AK64" s="109"/>
      <c r="AL64" s="99">
        <f t="shared" si="36"/>
        <v>-1919.6009999999999</v>
      </c>
      <c r="AM64" s="70">
        <v>2858432805</v>
      </c>
      <c r="AN64" s="59"/>
    </row>
    <row r="65" spans="1:40" s="132" customFormat="1">
      <c r="A65" s="122" t="s">
        <v>68</v>
      </c>
      <c r="B65" s="123" t="s">
        <v>217</v>
      </c>
      <c r="C65" s="123" t="s">
        <v>213</v>
      </c>
      <c r="D65" s="122" t="s">
        <v>208</v>
      </c>
      <c r="E65" s="123" t="s">
        <v>141</v>
      </c>
      <c r="F65" s="124">
        <v>42282</v>
      </c>
      <c r="G65" s="123"/>
      <c r="H65" s="123"/>
      <c r="I65" s="125">
        <v>511.28</v>
      </c>
      <c r="J65" s="125">
        <v>888.72</v>
      </c>
      <c r="K65" s="125">
        <f t="shared" si="16"/>
        <v>1400</v>
      </c>
      <c r="L65" s="125"/>
      <c r="M65" s="125"/>
      <c r="N65" s="125"/>
      <c r="O65" s="125"/>
      <c r="P65" s="126"/>
      <c r="Q65" s="65">
        <f t="shared" si="18"/>
        <v>1400</v>
      </c>
      <c r="R65" s="125"/>
      <c r="S65" s="125"/>
      <c r="T65" s="125"/>
      <c r="U65" s="125">
        <v>0</v>
      </c>
      <c r="V65" s="125"/>
      <c r="W65" s="125"/>
      <c r="X65" s="125"/>
      <c r="Y65" s="127"/>
      <c r="Z65" s="127"/>
      <c r="AA65" s="123"/>
      <c r="AB65" s="123">
        <v>0</v>
      </c>
      <c r="AC65" s="65">
        <f t="shared" si="19"/>
        <v>1400</v>
      </c>
      <c r="AD65" s="127">
        <f t="shared" si="20"/>
        <v>0</v>
      </c>
      <c r="AE65" s="65">
        <f t="shared" si="21"/>
        <v>1400</v>
      </c>
      <c r="AF65" s="127">
        <f t="shared" si="22"/>
        <v>140</v>
      </c>
      <c r="AG65" s="127">
        <v>10.23</v>
      </c>
      <c r="AH65" s="127">
        <f t="shared" si="23"/>
        <v>0</v>
      </c>
      <c r="AI65" s="65">
        <f t="shared" si="24"/>
        <v>1550.23</v>
      </c>
      <c r="AJ65" s="128"/>
      <c r="AK65" s="129"/>
      <c r="AL65" s="130">
        <f t="shared" si="36"/>
        <v>-1400</v>
      </c>
      <c r="AM65" s="123"/>
      <c r="AN65" s="131" t="s">
        <v>51</v>
      </c>
    </row>
    <row r="66" spans="1:40" s="28" customFormat="1">
      <c r="A66" s="55" t="s">
        <v>68</v>
      </c>
      <c r="B66" s="55" t="s">
        <v>195</v>
      </c>
      <c r="C66" s="55" t="s">
        <v>186</v>
      </c>
      <c r="D66" s="55" t="s">
        <v>135</v>
      </c>
      <c r="E66" s="55" t="s">
        <v>70</v>
      </c>
      <c r="F66" s="104">
        <v>42310</v>
      </c>
      <c r="G66" s="55"/>
      <c r="H66" s="55"/>
      <c r="I66" s="58">
        <v>511.28</v>
      </c>
      <c r="J66" s="58">
        <v>515.38000000000011</v>
      </c>
      <c r="K66" s="58">
        <f t="shared" si="16"/>
        <v>1026.6600000000001</v>
      </c>
      <c r="L66" s="58"/>
      <c r="M66" s="58"/>
      <c r="N66" s="58"/>
      <c r="O66" s="58"/>
      <c r="P66" s="87"/>
      <c r="Q66" s="98">
        <f t="shared" si="18"/>
        <v>1026.6600000000001</v>
      </c>
      <c r="R66" s="58"/>
      <c r="S66" s="58"/>
      <c r="T66" s="58"/>
      <c r="U66" s="58">
        <v>0</v>
      </c>
      <c r="V66" s="58"/>
      <c r="W66" s="58"/>
      <c r="X66" s="58"/>
      <c r="Y66" s="52">
        <v>460.45</v>
      </c>
      <c r="Z66" s="52"/>
      <c r="AA66" s="55"/>
      <c r="AB66" s="55">
        <v>517.25</v>
      </c>
      <c r="AC66" s="98">
        <f t="shared" si="19"/>
        <v>48.960000000000036</v>
      </c>
      <c r="AD66" s="52">
        <f t="shared" si="20"/>
        <v>0</v>
      </c>
      <c r="AE66" s="98">
        <f t="shared" si="21"/>
        <v>48.960000000000036</v>
      </c>
      <c r="AF66" s="52">
        <f t="shared" si="22"/>
        <v>102.66600000000001</v>
      </c>
      <c r="AG66" s="52">
        <v>10.23</v>
      </c>
      <c r="AH66" s="52">
        <f t="shared" si="23"/>
        <v>0</v>
      </c>
      <c r="AI66" s="98">
        <f t="shared" si="24"/>
        <v>1139.556</v>
      </c>
      <c r="AJ66" s="108"/>
      <c r="AK66" s="109"/>
      <c r="AL66" s="99">
        <f t="shared" si="36"/>
        <v>-48.960000000000036</v>
      </c>
      <c r="AM66" s="55"/>
      <c r="AN66" s="55"/>
    </row>
    <row r="67" spans="1:40" s="28" customFormat="1">
      <c r="A67" s="55" t="s">
        <v>84</v>
      </c>
      <c r="B67" s="55" t="s">
        <v>180</v>
      </c>
      <c r="C67" s="55"/>
      <c r="D67" s="55" t="s">
        <v>116</v>
      </c>
      <c r="E67" s="55" t="s">
        <v>271</v>
      </c>
      <c r="F67" s="104">
        <v>42242</v>
      </c>
      <c r="G67" s="55"/>
      <c r="H67" s="55"/>
      <c r="I67" s="58">
        <v>511.28</v>
      </c>
      <c r="J67" s="58">
        <v>45.5</v>
      </c>
      <c r="K67" s="58">
        <f t="shared" si="16"/>
        <v>556.78</v>
      </c>
      <c r="L67" s="58">
        <v>295.87700000000001</v>
      </c>
      <c r="M67" s="58"/>
      <c r="N67" s="58"/>
      <c r="O67" s="58"/>
      <c r="P67" s="87"/>
      <c r="Q67" s="98">
        <f t="shared" si="18"/>
        <v>852.65699999999993</v>
      </c>
      <c r="R67" s="58"/>
      <c r="S67" s="58"/>
      <c r="T67" s="58"/>
      <c r="U67" s="58">
        <v>0</v>
      </c>
      <c r="V67" s="58">
        <f>Q67*4.9%</f>
        <v>41.780192999999997</v>
      </c>
      <c r="W67" s="58">
        <f>Q67*1%</f>
        <v>8.5265699999999995</v>
      </c>
      <c r="X67" s="58"/>
      <c r="Y67" s="52"/>
      <c r="Z67" s="52"/>
      <c r="AA67" s="55"/>
      <c r="AB67" s="55">
        <v>0</v>
      </c>
      <c r="AC67" s="98">
        <f t="shared" si="19"/>
        <v>802.35023699999988</v>
      </c>
      <c r="AD67" s="52">
        <f t="shared" si="20"/>
        <v>0</v>
      </c>
      <c r="AE67" s="98">
        <f t="shared" si="21"/>
        <v>802.35023699999988</v>
      </c>
      <c r="AF67" s="52">
        <f t="shared" si="22"/>
        <v>85.265699999999995</v>
      </c>
      <c r="AG67" s="52">
        <v>10.23</v>
      </c>
      <c r="AH67" s="52">
        <f t="shared" si="23"/>
        <v>41.780192999999997</v>
      </c>
      <c r="AI67" s="98">
        <f t="shared" si="24"/>
        <v>989.93289299999992</v>
      </c>
      <c r="AJ67" s="108"/>
      <c r="AK67" s="108"/>
      <c r="AL67" s="99">
        <f t="shared" si="36"/>
        <v>-802.35023699999988</v>
      </c>
      <c r="AM67" s="55"/>
      <c r="AN67" s="55"/>
    </row>
    <row r="68" spans="1:40" s="28" customFormat="1">
      <c r="A68" s="55" t="s">
        <v>82</v>
      </c>
      <c r="B68" s="55" t="s">
        <v>229</v>
      </c>
      <c r="C68" s="55"/>
      <c r="D68" s="55" t="s">
        <v>90</v>
      </c>
      <c r="E68" s="55" t="s">
        <v>140</v>
      </c>
      <c r="F68" s="104">
        <v>42170</v>
      </c>
      <c r="G68" s="55"/>
      <c r="H68" s="55"/>
      <c r="I68" s="58">
        <v>511.28</v>
      </c>
      <c r="J68" s="58">
        <v>227.95000000000005</v>
      </c>
      <c r="K68" s="58">
        <f t="shared" si="16"/>
        <v>739.23</v>
      </c>
      <c r="L68" s="58">
        <f>3084.763+13.099</f>
        <v>3097.8620000000001</v>
      </c>
      <c r="M68" s="58"/>
      <c r="N68" s="58"/>
      <c r="O68" s="58"/>
      <c r="P68" s="87"/>
      <c r="Q68" s="98">
        <f t="shared" si="18"/>
        <v>3837.0920000000001</v>
      </c>
      <c r="R68" s="58"/>
      <c r="S68" s="58"/>
      <c r="T68" s="58"/>
      <c r="U68" s="58">
        <v>0</v>
      </c>
      <c r="V68" s="58"/>
      <c r="W68" s="58"/>
      <c r="X68" s="58"/>
      <c r="Y68" s="52"/>
      <c r="Z68" s="52"/>
      <c r="AA68" s="55"/>
      <c r="AB68" s="55">
        <v>0</v>
      </c>
      <c r="AC68" s="98">
        <f t="shared" si="19"/>
        <v>3837.0920000000001</v>
      </c>
      <c r="AD68" s="52">
        <f t="shared" si="20"/>
        <v>383.70920000000001</v>
      </c>
      <c r="AE68" s="98">
        <f t="shared" si="21"/>
        <v>3453.3828000000003</v>
      </c>
      <c r="AF68" s="52">
        <f t="shared" si="22"/>
        <v>0</v>
      </c>
      <c r="AG68" s="52">
        <v>10.23</v>
      </c>
      <c r="AH68" s="52">
        <f t="shared" si="23"/>
        <v>0</v>
      </c>
      <c r="AI68" s="98">
        <f t="shared" si="24"/>
        <v>3847.3220000000001</v>
      </c>
      <c r="AJ68" s="108"/>
      <c r="AK68" s="109"/>
      <c r="AL68" s="99">
        <f t="shared" si="36"/>
        <v>-3453.3828000000003</v>
      </c>
      <c r="AM68" s="55"/>
      <c r="AN68" s="59"/>
    </row>
    <row r="69" spans="1:40" s="28" customFormat="1">
      <c r="A69" s="55" t="s">
        <v>84</v>
      </c>
      <c r="B69" s="55" t="s">
        <v>159</v>
      </c>
      <c r="C69" s="55"/>
      <c r="D69" s="55" t="s">
        <v>117</v>
      </c>
      <c r="E69" s="55" t="s">
        <v>274</v>
      </c>
      <c r="F69" s="104">
        <v>36868</v>
      </c>
      <c r="G69" s="55"/>
      <c r="H69" s="55"/>
      <c r="I69" s="58">
        <v>511.28</v>
      </c>
      <c r="J69" s="58">
        <v>112.08000000000015</v>
      </c>
      <c r="K69" s="58">
        <f t="shared" si="16"/>
        <v>623.36000000000013</v>
      </c>
      <c r="L69" s="58">
        <f>2899.303+3.714</f>
        <v>2903.0169999999998</v>
      </c>
      <c r="M69" s="58"/>
      <c r="N69" s="58"/>
      <c r="O69" s="58"/>
      <c r="P69" s="87"/>
      <c r="Q69" s="98">
        <f t="shared" si="18"/>
        <v>3526.377</v>
      </c>
      <c r="R69" s="58"/>
      <c r="S69" s="58"/>
      <c r="T69" s="58"/>
      <c r="U69" s="58">
        <v>0</v>
      </c>
      <c r="V69" s="58">
        <f>Q69*4.9%</f>
        <v>172.792473</v>
      </c>
      <c r="W69" s="58">
        <f>Q69*1%</f>
        <v>35.263770000000001</v>
      </c>
      <c r="X69" s="58"/>
      <c r="Y69" s="52"/>
      <c r="Z69" s="52"/>
      <c r="AA69" s="55"/>
      <c r="AB69" s="55">
        <v>0</v>
      </c>
      <c r="AC69" s="98">
        <f t="shared" si="19"/>
        <v>3318.320757</v>
      </c>
      <c r="AD69" s="52">
        <f t="shared" si="20"/>
        <v>352.6377</v>
      </c>
      <c r="AE69" s="98">
        <f t="shared" si="21"/>
        <v>2965.6830570000002</v>
      </c>
      <c r="AF69" s="52">
        <f t="shared" si="22"/>
        <v>0</v>
      </c>
      <c r="AG69" s="52">
        <v>10.23</v>
      </c>
      <c r="AH69" s="52">
        <f t="shared" si="23"/>
        <v>172.792473</v>
      </c>
      <c r="AI69" s="98">
        <f t="shared" si="24"/>
        <v>3709.3994729999999</v>
      </c>
      <c r="AJ69" s="108"/>
      <c r="AK69" s="108"/>
      <c r="AL69" s="99">
        <f t="shared" si="36"/>
        <v>-2965.6830570000002</v>
      </c>
      <c r="AM69" s="55"/>
      <c r="AN69" s="55"/>
    </row>
    <row r="70" spans="1:40" s="28" customFormat="1">
      <c r="A70" s="55" t="s">
        <v>84</v>
      </c>
      <c r="B70" s="55" t="s">
        <v>155</v>
      </c>
      <c r="C70" s="55"/>
      <c r="D70" s="55" t="s">
        <v>118</v>
      </c>
      <c r="E70" s="55" t="s">
        <v>272</v>
      </c>
      <c r="F70" s="104">
        <v>41949</v>
      </c>
      <c r="G70" s="55"/>
      <c r="H70" s="55"/>
      <c r="I70" s="58">
        <v>511.28</v>
      </c>
      <c r="J70" s="58"/>
      <c r="K70" s="58">
        <f t="shared" si="16"/>
        <v>511.28</v>
      </c>
      <c r="L70" s="58">
        <f>4005+7.428</f>
        <v>4012.4279999999999</v>
      </c>
      <c r="M70" s="58"/>
      <c r="N70" s="58"/>
      <c r="O70" s="58"/>
      <c r="P70" s="87"/>
      <c r="Q70" s="98">
        <f t="shared" si="18"/>
        <v>4523.7079999999996</v>
      </c>
      <c r="R70" s="58"/>
      <c r="S70" s="58"/>
      <c r="T70" s="58"/>
      <c r="U70" s="58">
        <v>100</v>
      </c>
      <c r="V70" s="58">
        <f>Q70*4.9%</f>
        <v>221.66169199999999</v>
      </c>
      <c r="W70" s="58">
        <f>Q70*1%</f>
        <v>45.237079999999999</v>
      </c>
      <c r="X70" s="58"/>
      <c r="Y70" s="52"/>
      <c r="Z70" s="52"/>
      <c r="AA70" s="55"/>
      <c r="AB70" s="55">
        <v>0</v>
      </c>
      <c r="AC70" s="98">
        <f t="shared" si="19"/>
        <v>4156.8092280000001</v>
      </c>
      <c r="AD70" s="52">
        <f t="shared" si="20"/>
        <v>452.37079999999997</v>
      </c>
      <c r="AE70" s="98">
        <f t="shared" si="21"/>
        <v>3704.4384279999999</v>
      </c>
      <c r="AF70" s="52">
        <f t="shared" si="22"/>
        <v>0</v>
      </c>
      <c r="AG70" s="52">
        <v>10.23</v>
      </c>
      <c r="AH70" s="52">
        <f t="shared" si="23"/>
        <v>221.66169199999999</v>
      </c>
      <c r="AI70" s="98">
        <f t="shared" si="24"/>
        <v>4755.5996919999989</v>
      </c>
      <c r="AJ70" s="108"/>
      <c r="AK70" s="109"/>
      <c r="AL70" s="99">
        <f t="shared" si="36"/>
        <v>-3704.4384279999999</v>
      </c>
      <c r="AM70" s="55"/>
      <c r="AN70" s="55"/>
    </row>
    <row r="71" spans="1:40" s="132" customFormat="1">
      <c r="A71" s="123" t="s">
        <v>82</v>
      </c>
      <c r="B71" s="123" t="s">
        <v>240</v>
      </c>
      <c r="C71" s="123"/>
      <c r="D71" s="123"/>
      <c r="E71" s="123" t="s">
        <v>201</v>
      </c>
      <c r="F71" s="124">
        <v>42493</v>
      </c>
      <c r="G71" s="123"/>
      <c r="H71" s="123"/>
      <c r="I71" s="125">
        <v>511.28</v>
      </c>
      <c r="J71" s="125">
        <v>227.95000000000005</v>
      </c>
      <c r="K71" s="125">
        <f t="shared" si="16"/>
        <v>739.23</v>
      </c>
      <c r="L71" s="125">
        <f>740.658+2.972</f>
        <v>743.63</v>
      </c>
      <c r="M71" s="125"/>
      <c r="N71" s="125"/>
      <c r="O71" s="125"/>
      <c r="P71" s="126"/>
      <c r="Q71" s="65">
        <f t="shared" si="18"/>
        <v>1482.8600000000001</v>
      </c>
      <c r="R71" s="125"/>
      <c r="S71" s="125"/>
      <c r="T71" s="125"/>
      <c r="U71" s="125">
        <v>0</v>
      </c>
      <c r="V71" s="125"/>
      <c r="W71" s="125"/>
      <c r="X71" s="125"/>
      <c r="Y71" s="127"/>
      <c r="Z71" s="127"/>
      <c r="AA71" s="123"/>
      <c r="AB71" s="123">
        <v>0</v>
      </c>
      <c r="AC71" s="65">
        <f t="shared" si="19"/>
        <v>1482.8600000000001</v>
      </c>
      <c r="AD71" s="127">
        <f t="shared" si="20"/>
        <v>0</v>
      </c>
      <c r="AE71" s="65">
        <f t="shared" si="21"/>
        <v>1482.8600000000001</v>
      </c>
      <c r="AF71" s="127">
        <f t="shared" si="22"/>
        <v>148.28600000000003</v>
      </c>
      <c r="AG71" s="127">
        <v>10.23</v>
      </c>
      <c r="AH71" s="127">
        <f t="shared" si="23"/>
        <v>0</v>
      </c>
      <c r="AI71" s="65">
        <f t="shared" si="24"/>
        <v>1641.3760000000002</v>
      </c>
      <c r="AJ71" s="128"/>
      <c r="AK71" s="128"/>
      <c r="AL71" s="130">
        <f t="shared" si="36"/>
        <v>-1482.8600000000001</v>
      </c>
      <c r="AM71" s="123">
        <v>2999103732</v>
      </c>
      <c r="AN71" s="131" t="s">
        <v>51</v>
      </c>
    </row>
    <row r="72" spans="1:40" s="28" customFormat="1">
      <c r="A72" s="55" t="s">
        <v>83</v>
      </c>
      <c r="B72" s="107" t="s">
        <v>281</v>
      </c>
      <c r="C72" s="55"/>
      <c r="D72" s="55"/>
      <c r="E72" s="55" t="s">
        <v>142</v>
      </c>
      <c r="F72" s="104">
        <v>41709</v>
      </c>
      <c r="G72" s="55"/>
      <c r="H72" s="55"/>
      <c r="I72" s="58">
        <v>511.28</v>
      </c>
      <c r="J72" s="58">
        <v>1005.3900000000001</v>
      </c>
      <c r="K72" s="58">
        <f t="shared" si="16"/>
        <v>1516.67</v>
      </c>
      <c r="L72" s="58"/>
      <c r="M72" s="58"/>
      <c r="N72" s="58"/>
      <c r="O72" s="58"/>
      <c r="P72" s="87"/>
      <c r="Q72" s="98">
        <f t="shared" si="18"/>
        <v>1516.67</v>
      </c>
      <c r="R72" s="58"/>
      <c r="S72" s="58"/>
      <c r="T72" s="58"/>
      <c r="U72" s="58"/>
      <c r="V72" s="58"/>
      <c r="W72" s="58"/>
      <c r="X72" s="58"/>
      <c r="Y72" s="52"/>
      <c r="Z72" s="52"/>
      <c r="AA72" s="55"/>
      <c r="AB72" s="55">
        <v>0</v>
      </c>
      <c r="AC72" s="98">
        <f t="shared" ref="AC72" si="37">+Q72-SUM(R72:AB72)</f>
        <v>1516.67</v>
      </c>
      <c r="AD72" s="52">
        <f t="shared" ref="AD72" si="38">IF(Q72&gt;2250,Q72*0.1,0)</f>
        <v>0</v>
      </c>
      <c r="AE72" s="98">
        <f t="shared" ref="AE72" si="39">+AC72-AD72</f>
        <v>1516.67</v>
      </c>
      <c r="AF72" s="52">
        <f t="shared" ref="AF72" si="40">IF(Q72&lt;2250,Q72*0.1,0)</f>
        <v>151.667</v>
      </c>
      <c r="AG72" s="52">
        <v>11.23</v>
      </c>
      <c r="AH72" s="52">
        <f t="shared" ref="AH72" si="41">+V72</f>
        <v>0</v>
      </c>
      <c r="AI72" s="98">
        <f t="shared" ref="AI72" si="42">+Q72+AF72+AG72+AH72</f>
        <v>1679.567</v>
      </c>
      <c r="AJ72" s="108"/>
      <c r="AK72" s="109"/>
      <c r="AL72" s="99"/>
      <c r="AM72" s="28">
        <v>2836126510</v>
      </c>
      <c r="AN72" s="55"/>
    </row>
    <row r="73" spans="1:40" s="28" customFormat="1">
      <c r="A73" s="55" t="s">
        <v>68</v>
      </c>
      <c r="B73" s="55" t="s">
        <v>206</v>
      </c>
      <c r="C73" s="55" t="s">
        <v>189</v>
      </c>
      <c r="D73" s="55" t="s">
        <v>136</v>
      </c>
      <c r="E73" s="55" t="s">
        <v>70</v>
      </c>
      <c r="F73" s="104">
        <v>42251</v>
      </c>
      <c r="G73" s="55"/>
      <c r="H73" s="55"/>
      <c r="I73" s="58">
        <v>511.28</v>
      </c>
      <c r="J73" s="58">
        <v>515.38000000000011</v>
      </c>
      <c r="K73" s="58">
        <f t="shared" si="16"/>
        <v>1026.6600000000001</v>
      </c>
      <c r="L73" s="58">
        <v>3190.75</v>
      </c>
      <c r="M73" s="58"/>
      <c r="N73" s="58"/>
      <c r="O73" s="58"/>
      <c r="P73" s="87"/>
      <c r="Q73" s="98">
        <f t="shared" si="18"/>
        <v>4217.41</v>
      </c>
      <c r="R73" s="58"/>
      <c r="S73" s="58"/>
      <c r="T73" s="58"/>
      <c r="U73" s="58">
        <v>0</v>
      </c>
      <c r="V73" s="58"/>
      <c r="W73" s="58"/>
      <c r="X73" s="58"/>
      <c r="Y73" s="52"/>
      <c r="Z73" s="52"/>
      <c r="AA73" s="55"/>
      <c r="AB73" s="55">
        <v>0</v>
      </c>
      <c r="AC73" s="98">
        <f t="shared" si="19"/>
        <v>4217.41</v>
      </c>
      <c r="AD73" s="52">
        <f t="shared" si="20"/>
        <v>421.74099999999999</v>
      </c>
      <c r="AE73" s="98">
        <f t="shared" si="21"/>
        <v>3795.6689999999999</v>
      </c>
      <c r="AF73" s="52">
        <f t="shared" si="22"/>
        <v>0</v>
      </c>
      <c r="AG73" s="52">
        <v>10.23</v>
      </c>
      <c r="AH73" s="52">
        <f t="shared" si="23"/>
        <v>0</v>
      </c>
      <c r="AI73" s="98">
        <f t="shared" si="24"/>
        <v>4227.6399999999994</v>
      </c>
      <c r="AJ73" s="108"/>
      <c r="AK73" s="109"/>
      <c r="AL73" s="99">
        <f t="shared" si="36"/>
        <v>-3795.6689999999999</v>
      </c>
      <c r="AN73" s="55"/>
    </row>
    <row r="74" spans="1:40" s="28" customFormat="1">
      <c r="A74" s="55" t="s">
        <v>81</v>
      </c>
      <c r="B74" s="55" t="s">
        <v>245</v>
      </c>
      <c r="C74" s="55"/>
      <c r="D74" s="55"/>
      <c r="E74" s="55" t="s">
        <v>69</v>
      </c>
      <c r="F74" s="104">
        <v>42506</v>
      </c>
      <c r="G74" s="55"/>
      <c r="H74" s="55"/>
      <c r="I74" s="58">
        <v>511.28</v>
      </c>
      <c r="J74" s="58">
        <v>654.98</v>
      </c>
      <c r="K74" s="58">
        <f t="shared" si="16"/>
        <v>1166.26</v>
      </c>
      <c r="L74" s="58">
        <v>1353.41</v>
      </c>
      <c r="M74" s="58"/>
      <c r="N74" s="58"/>
      <c r="O74" s="58"/>
      <c r="P74" s="87"/>
      <c r="Q74" s="98">
        <f t="shared" si="18"/>
        <v>2519.67</v>
      </c>
      <c r="R74" s="58"/>
      <c r="S74" s="58"/>
      <c r="T74" s="58"/>
      <c r="U74" s="58">
        <v>0</v>
      </c>
      <c r="V74" s="58"/>
      <c r="W74" s="58"/>
      <c r="X74" s="58"/>
      <c r="Y74" s="52"/>
      <c r="Z74" s="52"/>
      <c r="AA74" s="55"/>
      <c r="AB74" s="55">
        <v>0</v>
      </c>
      <c r="AC74" s="98">
        <f t="shared" si="19"/>
        <v>2519.67</v>
      </c>
      <c r="AD74" s="52">
        <f t="shared" si="20"/>
        <v>251.96700000000001</v>
      </c>
      <c r="AE74" s="98">
        <f t="shared" si="21"/>
        <v>2267.703</v>
      </c>
      <c r="AF74" s="52">
        <f t="shared" si="22"/>
        <v>0</v>
      </c>
      <c r="AG74" s="52">
        <v>10.23</v>
      </c>
      <c r="AH74" s="52">
        <f t="shared" si="23"/>
        <v>0</v>
      </c>
      <c r="AI74" s="98">
        <f t="shared" si="24"/>
        <v>2529.9</v>
      </c>
      <c r="AJ74" s="108"/>
      <c r="AK74" s="108"/>
      <c r="AL74" s="99">
        <f t="shared" si="36"/>
        <v>-2267.703</v>
      </c>
      <c r="AM74" s="70">
        <v>2928860106</v>
      </c>
      <c r="AN74" s="59"/>
    </row>
    <row r="75" spans="1:40" s="28" customFormat="1">
      <c r="A75" s="55" t="s">
        <v>82</v>
      </c>
      <c r="B75" s="55" t="s">
        <v>74</v>
      </c>
      <c r="C75" s="55"/>
      <c r="D75" s="55" t="s">
        <v>91</v>
      </c>
      <c r="E75" s="55" t="s">
        <v>140</v>
      </c>
      <c r="F75" s="104">
        <v>42129</v>
      </c>
      <c r="G75" s="55"/>
      <c r="H75" s="55"/>
      <c r="I75" s="58">
        <v>511.28</v>
      </c>
      <c r="J75" s="58">
        <v>227.95000000000005</v>
      </c>
      <c r="K75" s="58">
        <f t="shared" si="16"/>
        <v>739.23</v>
      </c>
      <c r="L75" s="58">
        <f>4636.639+13.099</f>
        <v>4649.7380000000003</v>
      </c>
      <c r="M75" s="58"/>
      <c r="N75" s="60"/>
      <c r="O75" s="58"/>
      <c r="P75" s="87"/>
      <c r="Q75" s="98">
        <f t="shared" si="18"/>
        <v>5388.9680000000008</v>
      </c>
      <c r="R75" s="58"/>
      <c r="S75" s="58"/>
      <c r="T75" s="58"/>
      <c r="U75" s="58">
        <v>0</v>
      </c>
      <c r="V75" s="58"/>
      <c r="W75" s="58"/>
      <c r="X75" s="58"/>
      <c r="Y75" s="52"/>
      <c r="Z75" s="52"/>
      <c r="AA75" s="55"/>
      <c r="AB75" s="55">
        <v>0</v>
      </c>
      <c r="AC75" s="98">
        <f t="shared" si="19"/>
        <v>5388.9680000000008</v>
      </c>
      <c r="AD75" s="52">
        <f t="shared" si="20"/>
        <v>538.8968000000001</v>
      </c>
      <c r="AE75" s="98">
        <f t="shared" si="21"/>
        <v>4850.0712000000003</v>
      </c>
      <c r="AF75" s="52">
        <f t="shared" si="22"/>
        <v>0</v>
      </c>
      <c r="AG75" s="52">
        <v>10.23</v>
      </c>
      <c r="AH75" s="52">
        <f t="shared" si="23"/>
        <v>0</v>
      </c>
      <c r="AI75" s="98">
        <f t="shared" si="24"/>
        <v>5399.1980000000003</v>
      </c>
      <c r="AJ75" s="108"/>
      <c r="AK75" s="109"/>
      <c r="AL75" s="99">
        <f t="shared" si="36"/>
        <v>-4850.0712000000003</v>
      </c>
      <c r="AM75" s="55"/>
      <c r="AN75" s="59"/>
    </row>
    <row r="76" spans="1:40" s="28" customFormat="1">
      <c r="A76" s="55" t="s">
        <v>81</v>
      </c>
      <c r="B76" s="55" t="s">
        <v>224</v>
      </c>
      <c r="C76" s="55"/>
      <c r="D76" s="55"/>
      <c r="E76" s="55" t="s">
        <v>69</v>
      </c>
      <c r="F76" s="104">
        <v>42472</v>
      </c>
      <c r="G76" s="55"/>
      <c r="H76" s="55"/>
      <c r="I76" s="58">
        <v>511.28</v>
      </c>
      <c r="J76" s="58">
        <v>654.98</v>
      </c>
      <c r="K76" s="58">
        <f t="shared" si="16"/>
        <v>1166.26</v>
      </c>
      <c r="L76" s="58">
        <v>1030.44</v>
      </c>
      <c r="M76" s="58"/>
      <c r="N76" s="60"/>
      <c r="O76" s="58"/>
      <c r="P76" s="87"/>
      <c r="Q76" s="98">
        <f t="shared" ref="Q76:Q102" si="43">SUM(K76:O76)-P76</f>
        <v>2196.6999999999998</v>
      </c>
      <c r="R76" s="58"/>
      <c r="S76" s="58"/>
      <c r="T76" s="58"/>
      <c r="U76" s="58">
        <v>0</v>
      </c>
      <c r="V76" s="58"/>
      <c r="W76" s="58"/>
      <c r="X76" s="58"/>
      <c r="Y76" s="52"/>
      <c r="Z76" s="52"/>
      <c r="AA76" s="55"/>
      <c r="AB76" s="55">
        <v>0</v>
      </c>
      <c r="AC76" s="98">
        <f t="shared" ref="AC76:AC101" si="44">+Q76-SUM(R76:AB76)</f>
        <v>2196.6999999999998</v>
      </c>
      <c r="AD76" s="52">
        <f t="shared" ref="AD76:AD102" si="45">IF(Q76&gt;2250,Q76*0.1,0)</f>
        <v>0</v>
      </c>
      <c r="AE76" s="98">
        <f t="shared" ref="AE76:AE101" si="46">+AC76-AD76</f>
        <v>2196.6999999999998</v>
      </c>
      <c r="AF76" s="52">
        <f t="shared" ref="AF76:AF101" si="47">IF(Q76&lt;2250,Q76*0.1,0)</f>
        <v>219.67</v>
      </c>
      <c r="AG76" s="52">
        <v>10.23</v>
      </c>
      <c r="AH76" s="52">
        <f t="shared" ref="AH76:AH102" si="48">+V76</f>
        <v>0</v>
      </c>
      <c r="AI76" s="98">
        <f t="shared" ref="AI76:AI102" si="49">+Q76+AF76+AG76+AH76</f>
        <v>2426.6</v>
      </c>
      <c r="AJ76" s="108"/>
      <c r="AK76" s="109"/>
      <c r="AL76" s="99">
        <f t="shared" si="36"/>
        <v>-2196.6999999999998</v>
      </c>
      <c r="AM76" s="55">
        <v>1123036669</v>
      </c>
      <c r="AN76" s="59"/>
    </row>
    <row r="77" spans="1:40" s="28" customFormat="1">
      <c r="A77" s="55" t="s">
        <v>82</v>
      </c>
      <c r="B77" s="55" t="s">
        <v>203</v>
      </c>
      <c r="C77" s="55"/>
      <c r="D77" s="55"/>
      <c r="E77" s="55" t="s">
        <v>271</v>
      </c>
      <c r="F77" s="104">
        <v>42422</v>
      </c>
      <c r="G77" s="55"/>
      <c r="H77" s="55"/>
      <c r="I77" s="58">
        <v>511.28</v>
      </c>
      <c r="J77" s="58">
        <v>227.95000000000005</v>
      </c>
      <c r="K77" s="58">
        <f t="shared" ref="K77:K82" si="50">+I77+J77</f>
        <v>739.23</v>
      </c>
      <c r="L77" s="58">
        <f>4780.695+13.099</f>
        <v>4793.7939999999999</v>
      </c>
      <c r="M77" s="58"/>
      <c r="N77" s="58"/>
      <c r="O77" s="58"/>
      <c r="P77" s="87"/>
      <c r="Q77" s="98">
        <f t="shared" si="43"/>
        <v>5533.0239999999994</v>
      </c>
      <c r="R77" s="58"/>
      <c r="S77" s="58"/>
      <c r="T77" s="58"/>
      <c r="U77" s="58">
        <v>0</v>
      </c>
      <c r="V77" s="58"/>
      <c r="W77" s="58"/>
      <c r="X77" s="58"/>
      <c r="Y77" s="52"/>
      <c r="Z77" s="52"/>
      <c r="AA77" s="55"/>
      <c r="AB77" s="55">
        <v>0</v>
      </c>
      <c r="AC77" s="98">
        <f t="shared" si="44"/>
        <v>5533.0239999999994</v>
      </c>
      <c r="AD77" s="52">
        <f t="shared" si="45"/>
        <v>553.30239999999992</v>
      </c>
      <c r="AE77" s="98">
        <f t="shared" si="46"/>
        <v>4979.7215999999999</v>
      </c>
      <c r="AF77" s="52">
        <f t="shared" si="47"/>
        <v>0</v>
      </c>
      <c r="AG77" s="52">
        <v>10.23</v>
      </c>
      <c r="AH77" s="52">
        <f t="shared" si="48"/>
        <v>0</v>
      </c>
      <c r="AI77" s="98">
        <f t="shared" si="49"/>
        <v>5543.253999999999</v>
      </c>
      <c r="AJ77" s="108"/>
      <c r="AK77" s="109"/>
      <c r="AL77" s="99">
        <f t="shared" si="36"/>
        <v>-4979.7215999999999</v>
      </c>
      <c r="AM77" s="55"/>
      <c r="AN77" s="59"/>
    </row>
    <row r="78" spans="1:40" s="28" customFormat="1">
      <c r="A78" s="55" t="s">
        <v>84</v>
      </c>
      <c r="B78" s="55" t="s">
        <v>230</v>
      </c>
      <c r="C78" s="55"/>
      <c r="D78" s="55" t="s">
        <v>119</v>
      </c>
      <c r="E78" s="55" t="s">
        <v>275</v>
      </c>
      <c r="F78" s="104">
        <v>41227</v>
      </c>
      <c r="G78" s="55"/>
      <c r="H78" s="55"/>
      <c r="I78" s="58">
        <v>511.28</v>
      </c>
      <c r="J78" s="58">
        <v>112.08000000000015</v>
      </c>
      <c r="K78" s="58">
        <f t="shared" si="50"/>
        <v>623.36000000000013</v>
      </c>
      <c r="L78" s="58">
        <f>4842.845+5.571</f>
        <v>4848.4160000000002</v>
      </c>
      <c r="M78" s="58"/>
      <c r="N78" s="58"/>
      <c r="O78" s="58"/>
      <c r="P78" s="87"/>
      <c r="Q78" s="98">
        <f t="shared" si="43"/>
        <v>5471.7759999999998</v>
      </c>
      <c r="R78" s="58"/>
      <c r="S78" s="58"/>
      <c r="T78" s="58"/>
      <c r="U78" s="58">
        <v>200</v>
      </c>
      <c r="V78" s="58">
        <f>Q78*4.9%</f>
        <v>268.11702400000001</v>
      </c>
      <c r="W78" s="58">
        <f>Q78*1%</f>
        <v>54.717759999999998</v>
      </c>
      <c r="X78" s="58">
        <v>321.74</v>
      </c>
      <c r="Y78" s="52"/>
      <c r="Z78" s="52"/>
      <c r="AA78" s="55"/>
      <c r="AB78" s="55">
        <v>0</v>
      </c>
      <c r="AC78" s="98">
        <f t="shared" si="44"/>
        <v>4627.2012159999995</v>
      </c>
      <c r="AD78" s="52">
        <f t="shared" si="45"/>
        <v>547.17759999999998</v>
      </c>
      <c r="AE78" s="98">
        <f t="shared" si="46"/>
        <v>4080.0236159999995</v>
      </c>
      <c r="AF78" s="52">
        <f t="shared" si="47"/>
        <v>0</v>
      </c>
      <c r="AG78" s="52">
        <v>10.23</v>
      </c>
      <c r="AH78" s="52">
        <f t="shared" si="48"/>
        <v>268.11702400000001</v>
      </c>
      <c r="AI78" s="98">
        <f t="shared" si="49"/>
        <v>5750.1230239999995</v>
      </c>
      <c r="AJ78" s="108"/>
      <c r="AK78" s="108"/>
      <c r="AL78" s="99">
        <f t="shared" si="36"/>
        <v>-4080.0236159999995</v>
      </c>
      <c r="AM78" s="55"/>
      <c r="AN78" s="59"/>
    </row>
    <row r="79" spans="1:40" s="28" customFormat="1">
      <c r="A79" s="55" t="s">
        <v>68</v>
      </c>
      <c r="B79" s="55" t="s">
        <v>255</v>
      </c>
      <c r="C79" s="55"/>
      <c r="D79" s="55"/>
      <c r="E79" s="55" t="s">
        <v>70</v>
      </c>
      <c r="F79" s="104">
        <v>42522</v>
      </c>
      <c r="G79" s="55"/>
      <c r="H79" s="55"/>
      <c r="I79" s="58">
        <v>511.28</v>
      </c>
      <c r="J79" s="58">
        <v>515.38000000000011</v>
      </c>
      <c r="K79" s="58">
        <f t="shared" si="50"/>
        <v>1026.6600000000001</v>
      </c>
      <c r="L79" s="58">
        <f>1422.15+1000</f>
        <v>2422.15</v>
      </c>
      <c r="M79" s="58"/>
      <c r="N79" s="58"/>
      <c r="O79" s="58"/>
      <c r="P79" s="87"/>
      <c r="Q79" s="98">
        <f t="shared" si="43"/>
        <v>3448.8100000000004</v>
      </c>
      <c r="R79" s="58"/>
      <c r="S79" s="58"/>
      <c r="T79" s="58"/>
      <c r="U79" s="58">
        <v>0</v>
      </c>
      <c r="V79" s="58"/>
      <c r="W79" s="58"/>
      <c r="X79" s="58"/>
      <c r="Y79" s="52"/>
      <c r="Z79" s="52"/>
      <c r="AA79" s="55"/>
      <c r="AB79" s="55">
        <v>0</v>
      </c>
      <c r="AC79" s="98">
        <f t="shared" si="44"/>
        <v>3448.8100000000004</v>
      </c>
      <c r="AD79" s="52">
        <f t="shared" si="45"/>
        <v>344.88100000000009</v>
      </c>
      <c r="AE79" s="98">
        <f t="shared" si="46"/>
        <v>3103.9290000000001</v>
      </c>
      <c r="AF79" s="52">
        <f t="shared" si="47"/>
        <v>0</v>
      </c>
      <c r="AG79" s="52">
        <v>10.23</v>
      </c>
      <c r="AH79" s="52">
        <f t="shared" si="48"/>
        <v>0</v>
      </c>
      <c r="AI79" s="98">
        <f t="shared" si="49"/>
        <v>3459.0400000000004</v>
      </c>
      <c r="AJ79" s="108"/>
      <c r="AK79" s="108"/>
      <c r="AL79" s="99"/>
      <c r="AM79" s="55">
        <v>2952708604</v>
      </c>
      <c r="AN79" s="59"/>
    </row>
    <row r="80" spans="1:40" s="28" customFormat="1">
      <c r="A80" s="55" t="s">
        <v>68</v>
      </c>
      <c r="B80" s="55" t="s">
        <v>167</v>
      </c>
      <c r="C80" s="55" t="s">
        <v>186</v>
      </c>
      <c r="D80" s="61" t="s">
        <v>168</v>
      </c>
      <c r="E80" s="55" t="s">
        <v>70</v>
      </c>
      <c r="F80" s="104">
        <v>42396</v>
      </c>
      <c r="G80" s="55"/>
      <c r="H80" s="55"/>
      <c r="I80" s="58">
        <v>511.28</v>
      </c>
      <c r="J80" s="58">
        <v>515.38000000000011</v>
      </c>
      <c r="K80" s="58">
        <f t="shared" si="50"/>
        <v>1026.6600000000001</v>
      </c>
      <c r="L80" s="58">
        <f>94.38+1000</f>
        <v>1094.3800000000001</v>
      </c>
      <c r="M80" s="58"/>
      <c r="N80" s="58"/>
      <c r="O80" s="58"/>
      <c r="P80" s="87"/>
      <c r="Q80" s="98">
        <f t="shared" si="43"/>
        <v>2121.04</v>
      </c>
      <c r="R80" s="58"/>
      <c r="S80" s="58"/>
      <c r="T80" s="58"/>
      <c r="U80" s="58">
        <v>0</v>
      </c>
      <c r="V80" s="58"/>
      <c r="W80" s="58"/>
      <c r="X80" s="58"/>
      <c r="Y80" s="52"/>
      <c r="Z80" s="52"/>
      <c r="AA80" s="55"/>
      <c r="AB80" s="55">
        <v>294.37</v>
      </c>
      <c r="AC80" s="98">
        <f t="shared" si="44"/>
        <v>1826.67</v>
      </c>
      <c r="AD80" s="52">
        <f t="shared" si="45"/>
        <v>0</v>
      </c>
      <c r="AE80" s="98">
        <f t="shared" si="46"/>
        <v>1826.67</v>
      </c>
      <c r="AF80" s="52">
        <f t="shared" si="47"/>
        <v>212.10400000000001</v>
      </c>
      <c r="AG80" s="52">
        <v>10.23</v>
      </c>
      <c r="AH80" s="52">
        <f t="shared" si="48"/>
        <v>0</v>
      </c>
      <c r="AI80" s="98">
        <f t="shared" si="49"/>
        <v>2343.3739999999998</v>
      </c>
      <c r="AJ80" s="108"/>
      <c r="AK80" s="108"/>
      <c r="AL80" s="99">
        <f t="shared" ref="AL80:AL90" si="51">+AJ80+AK80-AE80</f>
        <v>-1826.67</v>
      </c>
      <c r="AM80" s="55"/>
      <c r="AN80" s="59"/>
    </row>
    <row r="81" spans="1:40" s="28" customFormat="1">
      <c r="A81" s="55" t="s">
        <v>84</v>
      </c>
      <c r="B81" s="55" t="s">
        <v>152</v>
      </c>
      <c r="C81" s="55"/>
      <c r="D81" s="55" t="s">
        <v>121</v>
      </c>
      <c r="E81" s="55" t="s">
        <v>275</v>
      </c>
      <c r="F81" s="104">
        <v>41732</v>
      </c>
      <c r="G81" s="55"/>
      <c r="H81" s="55"/>
      <c r="I81" s="58">
        <v>511.28</v>
      </c>
      <c r="J81" s="58">
        <v>112.08000000000015</v>
      </c>
      <c r="K81" s="58">
        <f t="shared" si="50"/>
        <v>623.36000000000013</v>
      </c>
      <c r="L81" s="58">
        <v>168.87700000000001</v>
      </c>
      <c r="M81" s="58"/>
      <c r="N81" s="58"/>
      <c r="O81" s="58"/>
      <c r="P81" s="87"/>
      <c r="Q81" s="98">
        <f t="shared" si="43"/>
        <v>792.23700000000008</v>
      </c>
      <c r="R81" s="58"/>
      <c r="S81" s="58"/>
      <c r="T81" s="58"/>
      <c r="U81" s="58">
        <v>0</v>
      </c>
      <c r="V81" s="58">
        <f>Q81*4.9%</f>
        <v>38.819613000000004</v>
      </c>
      <c r="W81" s="58">
        <f>Q81*1%</f>
        <v>7.9223700000000008</v>
      </c>
      <c r="X81" s="58"/>
      <c r="Y81" s="52"/>
      <c r="Z81" s="52"/>
      <c r="AA81" s="55"/>
      <c r="AB81" s="55">
        <v>0</v>
      </c>
      <c r="AC81" s="98">
        <f t="shared" si="44"/>
        <v>745.49501700000008</v>
      </c>
      <c r="AD81" s="52">
        <f t="shared" si="45"/>
        <v>0</v>
      </c>
      <c r="AE81" s="98">
        <f t="shared" si="46"/>
        <v>745.49501700000008</v>
      </c>
      <c r="AF81" s="52">
        <f t="shared" si="47"/>
        <v>79.223700000000008</v>
      </c>
      <c r="AG81" s="52">
        <v>10.23</v>
      </c>
      <c r="AH81" s="52">
        <f t="shared" si="48"/>
        <v>38.819613000000004</v>
      </c>
      <c r="AI81" s="98">
        <f t="shared" si="49"/>
        <v>920.51031300000011</v>
      </c>
      <c r="AJ81" s="108"/>
      <c r="AK81" s="108"/>
      <c r="AL81" s="99">
        <f t="shared" si="51"/>
        <v>-745.49501700000008</v>
      </c>
      <c r="AM81" s="55"/>
      <c r="AN81" s="55"/>
    </row>
    <row r="82" spans="1:40" s="28" customFormat="1">
      <c r="A82" s="55" t="s">
        <v>81</v>
      </c>
      <c r="B82" s="55" t="s">
        <v>181</v>
      </c>
      <c r="C82" s="55"/>
      <c r="D82" s="55" t="s">
        <v>101</v>
      </c>
      <c r="E82" s="55" t="s">
        <v>142</v>
      </c>
      <c r="F82" s="104">
        <v>42321</v>
      </c>
      <c r="G82" s="55"/>
      <c r="H82" s="55"/>
      <c r="I82" s="58">
        <v>511.28</v>
      </c>
      <c r="J82" s="58">
        <v>1005.3900000000001</v>
      </c>
      <c r="K82" s="58">
        <f t="shared" si="50"/>
        <v>1516.67</v>
      </c>
      <c r="L82" s="58"/>
      <c r="M82" s="58"/>
      <c r="N82" s="58"/>
      <c r="O82" s="58"/>
      <c r="P82" s="87"/>
      <c r="Q82" s="98">
        <f t="shared" si="43"/>
        <v>1516.67</v>
      </c>
      <c r="R82" s="58"/>
      <c r="S82" s="58"/>
      <c r="T82" s="58"/>
      <c r="U82" s="58">
        <v>0</v>
      </c>
      <c r="V82" s="58"/>
      <c r="W82" s="58"/>
      <c r="X82" s="58"/>
      <c r="Y82" s="52"/>
      <c r="Z82" s="52"/>
      <c r="AA82" s="55"/>
      <c r="AB82" s="55">
        <v>0</v>
      </c>
      <c r="AC82" s="98">
        <f t="shared" si="44"/>
        <v>1516.67</v>
      </c>
      <c r="AD82" s="52">
        <f t="shared" si="45"/>
        <v>0</v>
      </c>
      <c r="AE82" s="98">
        <f t="shared" si="46"/>
        <v>1516.67</v>
      </c>
      <c r="AF82" s="52">
        <f t="shared" si="47"/>
        <v>151.667</v>
      </c>
      <c r="AG82" s="52">
        <v>10.23</v>
      </c>
      <c r="AH82" s="52">
        <f t="shared" si="48"/>
        <v>0</v>
      </c>
      <c r="AI82" s="98">
        <f t="shared" si="49"/>
        <v>1678.567</v>
      </c>
      <c r="AJ82" s="108"/>
      <c r="AK82" s="109"/>
      <c r="AL82" s="99">
        <f t="shared" si="51"/>
        <v>-1516.67</v>
      </c>
      <c r="AM82" s="55"/>
      <c r="AN82" s="59"/>
    </row>
    <row r="83" spans="1:40" s="28" customFormat="1">
      <c r="A83" s="55" t="s">
        <v>84</v>
      </c>
      <c r="B83" s="55" t="s">
        <v>165</v>
      </c>
      <c r="C83" s="55"/>
      <c r="D83" s="55" t="s">
        <v>120</v>
      </c>
      <c r="E83" s="55" t="s">
        <v>144</v>
      </c>
      <c r="F83" s="104">
        <v>42228</v>
      </c>
      <c r="G83" s="55"/>
      <c r="H83" s="55"/>
      <c r="I83" s="58">
        <v>511.28</v>
      </c>
      <c r="J83" s="58"/>
      <c r="K83" s="58">
        <f t="shared" ref="K83:K90" si="52">+I83+J83</f>
        <v>511.28</v>
      </c>
      <c r="L83" s="58">
        <f>1452.48+7.428</f>
        <v>1459.9080000000001</v>
      </c>
      <c r="M83" s="58"/>
      <c r="N83" s="58"/>
      <c r="O83" s="58"/>
      <c r="P83" s="87"/>
      <c r="Q83" s="98">
        <f t="shared" si="43"/>
        <v>1971.1880000000001</v>
      </c>
      <c r="R83" s="58"/>
      <c r="S83" s="58"/>
      <c r="T83" s="58"/>
      <c r="U83" s="58">
        <v>0</v>
      </c>
      <c r="V83" s="58">
        <f>Q83*4.9%</f>
        <v>96.588212000000013</v>
      </c>
      <c r="W83" s="58">
        <f>Q83*1%</f>
        <v>19.711880000000001</v>
      </c>
      <c r="X83" s="58"/>
      <c r="Y83" s="52"/>
      <c r="Z83" s="52"/>
      <c r="AA83" s="55"/>
      <c r="AB83" s="55">
        <v>345</v>
      </c>
      <c r="AC83" s="98">
        <f t="shared" si="44"/>
        <v>1509.8879080000002</v>
      </c>
      <c r="AD83" s="52">
        <f t="shared" si="45"/>
        <v>0</v>
      </c>
      <c r="AE83" s="98">
        <f t="shared" si="46"/>
        <v>1509.8879080000002</v>
      </c>
      <c r="AF83" s="52">
        <f t="shared" si="47"/>
        <v>197.11880000000002</v>
      </c>
      <c r="AG83" s="52">
        <v>10.23</v>
      </c>
      <c r="AH83" s="52">
        <f t="shared" si="48"/>
        <v>96.588212000000013</v>
      </c>
      <c r="AI83" s="98">
        <f t="shared" si="49"/>
        <v>2275.1250120000004</v>
      </c>
      <c r="AJ83" s="108"/>
      <c r="AK83" s="108"/>
      <c r="AL83" s="99">
        <f t="shared" si="51"/>
        <v>-1509.8879080000002</v>
      </c>
      <c r="AM83" s="55"/>
      <c r="AN83" s="55"/>
    </row>
    <row r="84" spans="1:40" s="28" customFormat="1">
      <c r="A84" s="55" t="s">
        <v>81</v>
      </c>
      <c r="B84" s="55" t="s">
        <v>178</v>
      </c>
      <c r="C84" s="55"/>
      <c r="D84" s="55" t="s">
        <v>86</v>
      </c>
      <c r="E84" s="55" t="s">
        <v>69</v>
      </c>
      <c r="F84" s="104">
        <v>42065</v>
      </c>
      <c r="G84" s="55"/>
      <c r="H84" s="55"/>
      <c r="I84" s="58">
        <v>511.28</v>
      </c>
      <c r="J84" s="58">
        <v>654.98</v>
      </c>
      <c r="K84" s="58">
        <f t="shared" si="52"/>
        <v>1166.26</v>
      </c>
      <c r="L84" s="58">
        <v>5307.94</v>
      </c>
      <c r="M84" s="58"/>
      <c r="N84" s="58"/>
      <c r="O84" s="58"/>
      <c r="P84" s="87"/>
      <c r="Q84" s="98">
        <f t="shared" si="43"/>
        <v>6474.2</v>
      </c>
      <c r="R84" s="58"/>
      <c r="S84" s="58"/>
      <c r="T84" s="58"/>
      <c r="U84" s="58">
        <v>0</v>
      </c>
      <c r="V84" s="58"/>
      <c r="W84" s="58"/>
      <c r="X84" s="58"/>
      <c r="Y84" s="52"/>
      <c r="Z84" s="52"/>
      <c r="AA84" s="55"/>
      <c r="AB84" s="55">
        <v>0</v>
      </c>
      <c r="AC84" s="98">
        <f t="shared" si="44"/>
        <v>6474.2</v>
      </c>
      <c r="AD84" s="52">
        <f t="shared" si="45"/>
        <v>647.42000000000007</v>
      </c>
      <c r="AE84" s="98">
        <f t="shared" si="46"/>
        <v>5826.78</v>
      </c>
      <c r="AF84" s="52">
        <f t="shared" si="47"/>
        <v>0</v>
      </c>
      <c r="AG84" s="52">
        <v>10.23</v>
      </c>
      <c r="AH84" s="52">
        <f t="shared" si="48"/>
        <v>0</v>
      </c>
      <c r="AI84" s="98">
        <f t="shared" si="49"/>
        <v>6484.4299999999994</v>
      </c>
      <c r="AJ84" s="108"/>
      <c r="AK84" s="109"/>
      <c r="AL84" s="99">
        <f t="shared" si="51"/>
        <v>-5826.78</v>
      </c>
      <c r="AM84" s="55"/>
      <c r="AN84" s="55"/>
    </row>
    <row r="85" spans="1:40" s="28" customFormat="1">
      <c r="A85" s="55" t="s">
        <v>68</v>
      </c>
      <c r="B85" s="55" t="s">
        <v>79</v>
      </c>
      <c r="C85" s="55" t="s">
        <v>184</v>
      </c>
      <c r="D85" s="55" t="s">
        <v>137</v>
      </c>
      <c r="E85" s="55" t="s">
        <v>70</v>
      </c>
      <c r="F85" s="104">
        <v>41218</v>
      </c>
      <c r="G85" s="55"/>
      <c r="H85" s="55"/>
      <c r="I85" s="58">
        <v>511.28</v>
      </c>
      <c r="J85" s="58">
        <v>515.38000000000011</v>
      </c>
      <c r="K85" s="58">
        <f t="shared" si="52"/>
        <v>1026.6600000000001</v>
      </c>
      <c r="L85" s="58">
        <v>5553.21</v>
      </c>
      <c r="M85" s="58"/>
      <c r="N85" s="58"/>
      <c r="O85" s="58"/>
      <c r="P85" s="87"/>
      <c r="Q85" s="98">
        <f t="shared" si="43"/>
        <v>6579.87</v>
      </c>
      <c r="R85" s="58"/>
      <c r="S85" s="58"/>
      <c r="T85" s="58"/>
      <c r="U85" s="58">
        <v>0</v>
      </c>
      <c r="V85" s="58"/>
      <c r="W85" s="58"/>
      <c r="X85" s="58"/>
      <c r="Y85" s="52"/>
      <c r="Z85" s="52"/>
      <c r="AA85" s="55"/>
      <c r="AB85" s="55">
        <v>0</v>
      </c>
      <c r="AC85" s="98">
        <f t="shared" si="44"/>
        <v>6579.87</v>
      </c>
      <c r="AD85" s="52">
        <f t="shared" si="45"/>
        <v>657.98700000000008</v>
      </c>
      <c r="AE85" s="98">
        <f t="shared" si="46"/>
        <v>5921.8829999999998</v>
      </c>
      <c r="AF85" s="52">
        <f t="shared" si="47"/>
        <v>0</v>
      </c>
      <c r="AG85" s="52">
        <v>10.23</v>
      </c>
      <c r="AH85" s="52">
        <f t="shared" si="48"/>
        <v>0</v>
      </c>
      <c r="AI85" s="98">
        <f t="shared" si="49"/>
        <v>6590.0999999999995</v>
      </c>
      <c r="AJ85" s="108"/>
      <c r="AK85" s="109"/>
      <c r="AL85" s="99">
        <f t="shared" si="51"/>
        <v>-5921.8829999999998</v>
      </c>
      <c r="AM85" s="55"/>
      <c r="AN85" s="55"/>
    </row>
    <row r="86" spans="1:40" s="28" customFormat="1">
      <c r="A86" s="55" t="s">
        <v>84</v>
      </c>
      <c r="B86" s="55" t="s">
        <v>232</v>
      </c>
      <c r="C86" s="55"/>
      <c r="D86" s="55" t="s">
        <v>122</v>
      </c>
      <c r="E86" s="55" t="s">
        <v>275</v>
      </c>
      <c r="F86" s="104">
        <v>41703</v>
      </c>
      <c r="G86" s="55"/>
      <c r="H86" s="55"/>
      <c r="I86" s="58">
        <v>511.28</v>
      </c>
      <c r="J86" s="58">
        <v>112.08000000000015</v>
      </c>
      <c r="K86" s="58">
        <f t="shared" si="52"/>
        <v>623.36000000000013</v>
      </c>
      <c r="L86" s="58">
        <f>2+1145.577</f>
        <v>1147.577</v>
      </c>
      <c r="M86" s="58"/>
      <c r="N86" s="58"/>
      <c r="O86" s="58"/>
      <c r="P86" s="87"/>
      <c r="Q86" s="98">
        <f t="shared" si="43"/>
        <v>1770.9370000000001</v>
      </c>
      <c r="R86" s="58"/>
      <c r="S86" s="58"/>
      <c r="T86" s="58"/>
      <c r="U86" s="58">
        <v>0</v>
      </c>
      <c r="V86" s="58">
        <f>Q86*4.9%</f>
        <v>86.775913000000003</v>
      </c>
      <c r="W86" s="58">
        <f>Q86*1%</f>
        <v>17.709370000000003</v>
      </c>
      <c r="X86" s="58"/>
      <c r="Y86" s="52"/>
      <c r="Z86" s="52"/>
      <c r="AA86" s="55"/>
      <c r="AB86" s="55">
        <v>0</v>
      </c>
      <c r="AC86" s="98">
        <f t="shared" si="44"/>
        <v>1666.4517170000001</v>
      </c>
      <c r="AD86" s="52">
        <f t="shared" si="45"/>
        <v>0</v>
      </c>
      <c r="AE86" s="98">
        <f t="shared" si="46"/>
        <v>1666.4517170000001</v>
      </c>
      <c r="AF86" s="52">
        <f t="shared" si="47"/>
        <v>177.09370000000001</v>
      </c>
      <c r="AG86" s="52">
        <v>10.23</v>
      </c>
      <c r="AH86" s="52">
        <f t="shared" si="48"/>
        <v>86.775913000000003</v>
      </c>
      <c r="AI86" s="98">
        <f t="shared" si="49"/>
        <v>2045.0366130000002</v>
      </c>
      <c r="AJ86" s="108"/>
      <c r="AK86" s="108"/>
      <c r="AL86" s="99">
        <f t="shared" si="51"/>
        <v>-1666.4517170000001</v>
      </c>
      <c r="AM86" s="55"/>
      <c r="AN86" s="55"/>
    </row>
    <row r="87" spans="1:40" s="28" customFormat="1">
      <c r="A87" s="55" t="s">
        <v>84</v>
      </c>
      <c r="B87" s="55" t="s">
        <v>150</v>
      </c>
      <c r="C87" s="55"/>
      <c r="D87" s="55" t="s">
        <v>123</v>
      </c>
      <c r="E87" s="55" t="s">
        <v>275</v>
      </c>
      <c r="F87" s="104">
        <v>41291</v>
      </c>
      <c r="G87" s="55"/>
      <c r="H87" s="55"/>
      <c r="I87" s="58">
        <v>511.28</v>
      </c>
      <c r="J87" s="58">
        <v>112.08000000000015</v>
      </c>
      <c r="K87" s="58">
        <f t="shared" si="52"/>
        <v>623.36000000000013</v>
      </c>
      <c r="L87" s="58">
        <f>1381.57+5.571</f>
        <v>1387.1409999999998</v>
      </c>
      <c r="M87" s="58"/>
      <c r="N87" s="58"/>
      <c r="O87" s="58"/>
      <c r="P87" s="87"/>
      <c r="Q87" s="98">
        <f t="shared" si="43"/>
        <v>2010.501</v>
      </c>
      <c r="R87" s="58"/>
      <c r="S87" s="58"/>
      <c r="T87" s="58"/>
      <c r="U87" s="58">
        <v>200</v>
      </c>
      <c r="V87" s="58">
        <f>Q87*4.9%</f>
        <v>98.514549000000002</v>
      </c>
      <c r="W87" s="58">
        <f>Q87*1%</f>
        <v>20.10501</v>
      </c>
      <c r="X87" s="58">
        <v>257.64</v>
      </c>
      <c r="Y87" s="52"/>
      <c r="Z87" s="52"/>
      <c r="AA87" s="55">
        <v>201.24</v>
      </c>
      <c r="AB87" s="55">
        <v>0</v>
      </c>
      <c r="AC87" s="98">
        <f t="shared" si="44"/>
        <v>1233.0014409999999</v>
      </c>
      <c r="AD87" s="52">
        <f t="shared" si="45"/>
        <v>0</v>
      </c>
      <c r="AE87" s="98">
        <f t="shared" si="46"/>
        <v>1233.0014409999999</v>
      </c>
      <c r="AF87" s="52">
        <f t="shared" si="47"/>
        <v>201.05010000000001</v>
      </c>
      <c r="AG87" s="52">
        <v>10.23</v>
      </c>
      <c r="AH87" s="52">
        <f t="shared" si="48"/>
        <v>98.514549000000002</v>
      </c>
      <c r="AI87" s="98">
        <f t="shared" si="49"/>
        <v>2320.2956490000001</v>
      </c>
      <c r="AJ87" s="108"/>
      <c r="AK87" s="108"/>
      <c r="AL87" s="99">
        <f t="shared" si="51"/>
        <v>-1233.0014409999999</v>
      </c>
      <c r="AM87" s="55"/>
      <c r="AN87" s="59"/>
    </row>
    <row r="88" spans="1:40" s="28" customFormat="1">
      <c r="A88" s="55" t="s">
        <v>82</v>
      </c>
      <c r="B88" s="55" t="s">
        <v>162</v>
      </c>
      <c r="C88" s="55"/>
      <c r="D88" s="55" t="s">
        <v>93</v>
      </c>
      <c r="E88" s="55" t="s">
        <v>140</v>
      </c>
      <c r="F88" s="104">
        <v>41666</v>
      </c>
      <c r="G88" s="55"/>
      <c r="H88" s="55"/>
      <c r="I88" s="58">
        <v>511.28</v>
      </c>
      <c r="J88" s="58">
        <v>227.95000000000005</v>
      </c>
      <c r="K88" s="58">
        <f t="shared" si="52"/>
        <v>739.23</v>
      </c>
      <c r="L88" s="58">
        <f>1998.228+7.428</f>
        <v>2005.6560000000002</v>
      </c>
      <c r="M88" s="58"/>
      <c r="N88" s="58"/>
      <c r="O88" s="58"/>
      <c r="P88" s="87"/>
      <c r="Q88" s="98">
        <f t="shared" si="43"/>
        <v>2744.8860000000004</v>
      </c>
      <c r="R88" s="58"/>
      <c r="S88" s="58"/>
      <c r="T88" s="58"/>
      <c r="U88" s="58">
        <v>150</v>
      </c>
      <c r="V88" s="58"/>
      <c r="W88" s="58"/>
      <c r="X88" s="58"/>
      <c r="Y88" s="52"/>
      <c r="Z88" s="52"/>
      <c r="AA88" s="55"/>
      <c r="AB88" s="55">
        <v>0</v>
      </c>
      <c r="AC88" s="98">
        <f t="shared" si="44"/>
        <v>2594.8860000000004</v>
      </c>
      <c r="AD88" s="52">
        <f t="shared" si="45"/>
        <v>274.48860000000008</v>
      </c>
      <c r="AE88" s="98">
        <f t="shared" si="46"/>
        <v>2320.3974000000003</v>
      </c>
      <c r="AF88" s="52">
        <f t="shared" si="47"/>
        <v>0</v>
      </c>
      <c r="AG88" s="52">
        <v>10.23</v>
      </c>
      <c r="AH88" s="52">
        <f t="shared" si="48"/>
        <v>0</v>
      </c>
      <c r="AI88" s="98">
        <f t="shared" si="49"/>
        <v>2755.1160000000004</v>
      </c>
      <c r="AJ88" s="108"/>
      <c r="AK88" s="109"/>
      <c r="AL88" s="99">
        <f t="shared" si="51"/>
        <v>-2320.3974000000003</v>
      </c>
      <c r="AM88" s="55"/>
      <c r="AN88" s="55"/>
    </row>
    <row r="89" spans="1:40" s="28" customFormat="1">
      <c r="A89" s="55" t="s">
        <v>83</v>
      </c>
      <c r="B89" s="55" t="s">
        <v>215</v>
      </c>
      <c r="C89" s="55"/>
      <c r="D89" s="55" t="s">
        <v>102</v>
      </c>
      <c r="E89" s="55" t="s">
        <v>142</v>
      </c>
      <c r="F89" s="104">
        <v>42333</v>
      </c>
      <c r="G89" s="55"/>
      <c r="H89" s="55"/>
      <c r="I89" s="58">
        <v>511.28</v>
      </c>
      <c r="J89" s="58">
        <v>1005.3900000000001</v>
      </c>
      <c r="K89" s="58">
        <f t="shared" si="52"/>
        <v>1516.67</v>
      </c>
      <c r="L89" s="58">
        <v>100</v>
      </c>
      <c r="M89" s="58"/>
      <c r="N89" s="58"/>
      <c r="O89" s="58"/>
      <c r="P89" s="87"/>
      <c r="Q89" s="98">
        <f t="shared" si="43"/>
        <v>1616.67</v>
      </c>
      <c r="R89" s="58"/>
      <c r="S89" s="58"/>
      <c r="T89" s="58"/>
      <c r="U89" s="58">
        <v>0</v>
      </c>
      <c r="V89" s="58"/>
      <c r="W89" s="58"/>
      <c r="X89" s="58"/>
      <c r="Y89" s="52"/>
      <c r="Z89" s="52"/>
      <c r="AA89" s="55"/>
      <c r="AB89" s="55">
        <v>351.55</v>
      </c>
      <c r="AC89" s="98">
        <f t="shared" si="44"/>
        <v>1265.1200000000001</v>
      </c>
      <c r="AD89" s="52">
        <f t="shared" si="45"/>
        <v>0</v>
      </c>
      <c r="AE89" s="98">
        <f t="shared" si="46"/>
        <v>1265.1200000000001</v>
      </c>
      <c r="AF89" s="52">
        <f t="shared" si="47"/>
        <v>161.66700000000003</v>
      </c>
      <c r="AG89" s="52">
        <v>10.23</v>
      </c>
      <c r="AH89" s="52">
        <f t="shared" si="48"/>
        <v>0</v>
      </c>
      <c r="AI89" s="98">
        <f t="shared" si="49"/>
        <v>1788.567</v>
      </c>
      <c r="AJ89" s="108"/>
      <c r="AK89" s="109"/>
      <c r="AL89" s="99">
        <f t="shared" si="51"/>
        <v>-1265.1200000000001</v>
      </c>
      <c r="AM89" s="55"/>
      <c r="AN89" s="55"/>
    </row>
    <row r="90" spans="1:40" s="28" customFormat="1">
      <c r="A90" s="55" t="s">
        <v>68</v>
      </c>
      <c r="B90" s="55" t="s">
        <v>269</v>
      </c>
      <c r="C90" s="55"/>
      <c r="D90" s="55"/>
      <c r="E90" s="55" t="s">
        <v>70</v>
      </c>
      <c r="F90" s="104">
        <v>42459</v>
      </c>
      <c r="G90" s="55"/>
      <c r="H90" s="55"/>
      <c r="I90" s="58">
        <v>511.28</v>
      </c>
      <c r="J90" s="58">
        <v>515.38000000000011</v>
      </c>
      <c r="K90" s="58">
        <f t="shared" si="52"/>
        <v>1026.6600000000001</v>
      </c>
      <c r="L90" s="58"/>
      <c r="M90" s="58"/>
      <c r="N90" s="58"/>
      <c r="O90" s="58"/>
      <c r="P90" s="87"/>
      <c r="Q90" s="98">
        <f t="shared" si="43"/>
        <v>1026.6600000000001</v>
      </c>
      <c r="R90" s="58"/>
      <c r="S90" s="58"/>
      <c r="T90" s="58"/>
      <c r="U90" s="58">
        <v>0</v>
      </c>
      <c r="V90" s="58"/>
      <c r="W90" s="58"/>
      <c r="X90" s="58"/>
      <c r="Y90" s="52"/>
      <c r="Z90" s="52"/>
      <c r="AA90" s="55"/>
      <c r="AB90" s="55"/>
      <c r="AC90" s="98">
        <f t="shared" si="44"/>
        <v>1026.6600000000001</v>
      </c>
      <c r="AD90" s="52">
        <f t="shared" si="45"/>
        <v>0</v>
      </c>
      <c r="AE90" s="98">
        <f t="shared" si="46"/>
        <v>1026.6600000000001</v>
      </c>
      <c r="AF90" s="52">
        <f t="shared" si="47"/>
        <v>102.66600000000001</v>
      </c>
      <c r="AG90" s="52">
        <v>10.23</v>
      </c>
      <c r="AH90" s="52">
        <f t="shared" si="48"/>
        <v>0</v>
      </c>
      <c r="AI90" s="98">
        <f t="shared" si="49"/>
        <v>1139.556</v>
      </c>
      <c r="AJ90" s="116"/>
      <c r="AK90" s="109"/>
      <c r="AL90" s="99">
        <f t="shared" si="51"/>
        <v>-1026.6600000000001</v>
      </c>
      <c r="AM90" s="55"/>
      <c r="AN90" s="59"/>
    </row>
    <row r="91" spans="1:40" s="28" customFormat="1">
      <c r="A91" s="55" t="s">
        <v>66</v>
      </c>
      <c r="B91" s="55" t="s">
        <v>259</v>
      </c>
      <c r="C91" s="55"/>
      <c r="D91" s="55"/>
      <c r="E91" s="55" t="s">
        <v>141</v>
      </c>
      <c r="F91" s="104">
        <v>42566</v>
      </c>
      <c r="G91" s="55"/>
      <c r="H91" s="55"/>
      <c r="I91" s="58">
        <v>511.28</v>
      </c>
      <c r="J91" s="58">
        <v>422.04999999999995</v>
      </c>
      <c r="K91" s="58">
        <f t="shared" ref="K91:K101" si="53">+I91+J91</f>
        <v>933.32999999999993</v>
      </c>
      <c r="L91" s="58"/>
      <c r="M91" s="58"/>
      <c r="N91" s="58"/>
      <c r="O91" s="58"/>
      <c r="P91" s="87"/>
      <c r="Q91" s="98">
        <f t="shared" si="43"/>
        <v>933.32999999999993</v>
      </c>
      <c r="R91" s="58"/>
      <c r="S91" s="58"/>
      <c r="T91" s="58"/>
      <c r="U91" s="58"/>
      <c r="V91" s="58"/>
      <c r="W91" s="58"/>
      <c r="X91" s="58"/>
      <c r="Y91" s="52"/>
      <c r="Z91" s="52"/>
      <c r="AA91" s="55"/>
      <c r="AB91" s="55"/>
      <c r="AC91" s="98">
        <f t="shared" si="44"/>
        <v>933.32999999999993</v>
      </c>
      <c r="AD91" s="52">
        <f t="shared" si="45"/>
        <v>0</v>
      </c>
      <c r="AE91" s="98">
        <f t="shared" si="46"/>
        <v>933.32999999999993</v>
      </c>
      <c r="AF91" s="52">
        <f t="shared" si="47"/>
        <v>93.332999999999998</v>
      </c>
      <c r="AG91" s="52">
        <v>21.23</v>
      </c>
      <c r="AH91" s="52">
        <f t="shared" si="48"/>
        <v>0</v>
      </c>
      <c r="AI91" s="98">
        <f t="shared" si="49"/>
        <v>1047.893</v>
      </c>
      <c r="AJ91" s="116"/>
      <c r="AK91" s="109"/>
      <c r="AL91" s="99"/>
      <c r="AM91" s="55">
        <v>2671903578</v>
      </c>
      <c r="AN91" s="59" t="s">
        <v>260</v>
      </c>
    </row>
    <row r="92" spans="1:40" s="28" customFormat="1">
      <c r="A92" s="55" t="s">
        <v>82</v>
      </c>
      <c r="B92" s="55" t="s">
        <v>202</v>
      </c>
      <c r="C92" s="55"/>
      <c r="D92" s="55" t="s">
        <v>92</v>
      </c>
      <c r="E92" s="55" t="s">
        <v>140</v>
      </c>
      <c r="F92" s="104">
        <v>42346</v>
      </c>
      <c r="G92" s="55"/>
      <c r="H92" s="55"/>
      <c r="I92" s="58">
        <v>511.28</v>
      </c>
      <c r="J92" s="58">
        <v>227.95000000000005</v>
      </c>
      <c r="K92" s="58">
        <f t="shared" si="53"/>
        <v>739.23</v>
      </c>
      <c r="L92" s="58">
        <f>1698.654+7.428</f>
        <v>1706.0820000000001</v>
      </c>
      <c r="M92" s="58"/>
      <c r="N92" s="58"/>
      <c r="O92" s="58"/>
      <c r="P92" s="87"/>
      <c r="Q92" s="98">
        <f t="shared" si="43"/>
        <v>2445.3119999999999</v>
      </c>
      <c r="R92" s="58"/>
      <c r="S92" s="58"/>
      <c r="T92" s="58"/>
      <c r="U92" s="58">
        <v>0</v>
      </c>
      <c r="V92" s="58"/>
      <c r="W92" s="58"/>
      <c r="X92" s="58"/>
      <c r="Y92" s="52"/>
      <c r="Z92" s="52"/>
      <c r="AA92" s="55"/>
      <c r="AB92" s="55">
        <v>0</v>
      </c>
      <c r="AC92" s="98">
        <f t="shared" si="44"/>
        <v>2445.3119999999999</v>
      </c>
      <c r="AD92" s="52">
        <f t="shared" si="45"/>
        <v>244.53120000000001</v>
      </c>
      <c r="AE92" s="98">
        <f t="shared" si="46"/>
        <v>2200.7808</v>
      </c>
      <c r="AF92" s="52">
        <f t="shared" si="47"/>
        <v>0</v>
      </c>
      <c r="AG92" s="52">
        <v>10.23</v>
      </c>
      <c r="AH92" s="52">
        <f t="shared" si="48"/>
        <v>0</v>
      </c>
      <c r="AI92" s="98">
        <f t="shared" si="49"/>
        <v>2455.5419999999999</v>
      </c>
      <c r="AJ92" s="108"/>
      <c r="AK92" s="109"/>
      <c r="AL92" s="99">
        <f t="shared" ref="AL92:AL102" si="54">+AJ92+AK92-AE92</f>
        <v>-2200.7808</v>
      </c>
      <c r="AM92" s="55"/>
      <c r="AN92" s="59"/>
    </row>
    <row r="93" spans="1:40" s="28" customFormat="1">
      <c r="A93" s="55" t="s">
        <v>82</v>
      </c>
      <c r="B93" s="55" t="s">
        <v>75</v>
      </c>
      <c r="C93" s="55"/>
      <c r="D93" s="55" t="s">
        <v>94</v>
      </c>
      <c r="E93" s="55" t="s">
        <v>140</v>
      </c>
      <c r="F93" s="104">
        <v>42100</v>
      </c>
      <c r="G93" s="55"/>
      <c r="H93" s="55"/>
      <c r="I93" s="58">
        <v>511.28</v>
      </c>
      <c r="J93" s="58">
        <v>1005.3900000000001</v>
      </c>
      <c r="K93" s="58">
        <f t="shared" si="53"/>
        <v>1516.67</v>
      </c>
      <c r="L93" s="58">
        <f>2288.526+13.099</f>
        <v>2301.625</v>
      </c>
      <c r="M93" s="58"/>
      <c r="N93" s="58"/>
      <c r="O93" s="58"/>
      <c r="P93" s="87"/>
      <c r="Q93" s="98">
        <f t="shared" si="43"/>
        <v>3818.2950000000001</v>
      </c>
      <c r="R93" s="58"/>
      <c r="S93" s="58">
        <v>113.14</v>
      </c>
      <c r="T93" s="58"/>
      <c r="U93" s="58">
        <v>0</v>
      </c>
      <c r="V93" s="58"/>
      <c r="W93" s="58"/>
      <c r="X93" s="58"/>
      <c r="Y93" s="52"/>
      <c r="Z93" s="52"/>
      <c r="AA93" s="55"/>
      <c r="AB93" s="55">
        <v>0</v>
      </c>
      <c r="AC93" s="98">
        <f t="shared" si="44"/>
        <v>3705.1550000000002</v>
      </c>
      <c r="AD93" s="52">
        <f t="shared" si="45"/>
        <v>381.82950000000005</v>
      </c>
      <c r="AE93" s="98">
        <f t="shared" si="46"/>
        <v>3323.3254999999999</v>
      </c>
      <c r="AF93" s="52">
        <f t="shared" si="47"/>
        <v>0</v>
      </c>
      <c r="AG93" s="52">
        <v>10.23</v>
      </c>
      <c r="AH93" s="52">
        <f t="shared" si="48"/>
        <v>0</v>
      </c>
      <c r="AI93" s="98">
        <f t="shared" si="49"/>
        <v>3828.5250000000001</v>
      </c>
      <c r="AJ93" s="108"/>
      <c r="AK93" s="109"/>
      <c r="AL93" s="99">
        <f t="shared" si="54"/>
        <v>-3323.3254999999999</v>
      </c>
      <c r="AM93" s="55"/>
      <c r="AN93" s="59"/>
    </row>
    <row r="94" spans="1:40" s="28" customFormat="1">
      <c r="A94" s="55" t="s">
        <v>81</v>
      </c>
      <c r="B94" s="55" t="s">
        <v>179</v>
      </c>
      <c r="C94" s="55"/>
      <c r="D94" s="61"/>
      <c r="E94" s="55" t="s">
        <v>69</v>
      </c>
      <c r="F94" s="104">
        <v>42328</v>
      </c>
      <c r="G94" s="55"/>
      <c r="H94" s="55"/>
      <c r="I94" s="58">
        <v>511.28</v>
      </c>
      <c r="J94" s="58">
        <v>515.38000000000011</v>
      </c>
      <c r="K94" s="58">
        <f t="shared" si="53"/>
        <v>1026.6600000000001</v>
      </c>
      <c r="L94" s="58">
        <v>968.49</v>
      </c>
      <c r="M94" s="58"/>
      <c r="N94" s="58"/>
      <c r="O94" s="58"/>
      <c r="P94" s="87"/>
      <c r="Q94" s="98">
        <f t="shared" si="43"/>
        <v>1995.15</v>
      </c>
      <c r="R94" s="58"/>
      <c r="S94" s="58"/>
      <c r="T94" s="58"/>
      <c r="U94" s="58">
        <v>0</v>
      </c>
      <c r="V94" s="58"/>
      <c r="W94" s="58"/>
      <c r="X94" s="58"/>
      <c r="Y94" s="52"/>
      <c r="Z94" s="52"/>
      <c r="AA94" s="55"/>
      <c r="AB94" s="55">
        <v>0</v>
      </c>
      <c r="AC94" s="98">
        <f t="shared" si="44"/>
        <v>1995.15</v>
      </c>
      <c r="AD94" s="52">
        <f t="shared" si="45"/>
        <v>0</v>
      </c>
      <c r="AE94" s="98">
        <f t="shared" si="46"/>
        <v>1995.15</v>
      </c>
      <c r="AF94" s="52">
        <f t="shared" si="47"/>
        <v>199.51500000000001</v>
      </c>
      <c r="AG94" s="52">
        <v>10.23</v>
      </c>
      <c r="AH94" s="52">
        <f t="shared" si="48"/>
        <v>0</v>
      </c>
      <c r="AI94" s="98">
        <f t="shared" si="49"/>
        <v>2204.895</v>
      </c>
      <c r="AJ94" s="108"/>
      <c r="AK94" s="109"/>
      <c r="AL94" s="99">
        <f t="shared" si="54"/>
        <v>-1995.15</v>
      </c>
      <c r="AM94" s="55"/>
      <c r="AN94" s="59"/>
    </row>
    <row r="95" spans="1:40" s="28" customFormat="1">
      <c r="A95" s="55" t="s">
        <v>68</v>
      </c>
      <c r="B95" s="55" t="s">
        <v>227</v>
      </c>
      <c r="C95" s="55" t="s">
        <v>186</v>
      </c>
      <c r="D95" s="55" t="s">
        <v>138</v>
      </c>
      <c r="E95" s="55" t="s">
        <v>70</v>
      </c>
      <c r="F95" s="104">
        <v>42327</v>
      </c>
      <c r="G95" s="55"/>
      <c r="H95" s="55"/>
      <c r="I95" s="58">
        <v>511.28</v>
      </c>
      <c r="J95" s="58">
        <v>422.04999999999995</v>
      </c>
      <c r="K95" s="58">
        <f t="shared" si="53"/>
        <v>933.32999999999993</v>
      </c>
      <c r="L95" s="58">
        <v>4887.3</v>
      </c>
      <c r="M95" s="58"/>
      <c r="N95" s="58"/>
      <c r="O95" s="58"/>
      <c r="P95" s="87"/>
      <c r="Q95" s="98">
        <f t="shared" si="43"/>
        <v>5820.63</v>
      </c>
      <c r="R95" s="58"/>
      <c r="S95" s="58"/>
      <c r="T95" s="58"/>
      <c r="U95" s="58">
        <v>0</v>
      </c>
      <c r="V95" s="58"/>
      <c r="W95" s="58"/>
      <c r="X95" s="58"/>
      <c r="Y95" s="52">
        <v>537.87</v>
      </c>
      <c r="Z95" s="52"/>
      <c r="AA95" s="55"/>
      <c r="AB95" s="119">
        <v>0</v>
      </c>
      <c r="AC95" s="98">
        <f t="shared" si="44"/>
        <v>5282.76</v>
      </c>
      <c r="AD95" s="52">
        <f t="shared" si="45"/>
        <v>582.06299999999999</v>
      </c>
      <c r="AE95" s="98">
        <f t="shared" si="46"/>
        <v>4700.6970000000001</v>
      </c>
      <c r="AF95" s="52">
        <f t="shared" si="47"/>
        <v>0</v>
      </c>
      <c r="AG95" s="52">
        <v>10.23</v>
      </c>
      <c r="AH95" s="52">
        <f t="shared" si="48"/>
        <v>0</v>
      </c>
      <c r="AI95" s="98">
        <f t="shared" si="49"/>
        <v>5830.86</v>
      </c>
      <c r="AJ95" s="108"/>
      <c r="AK95" s="109"/>
      <c r="AL95" s="99">
        <f t="shared" si="54"/>
        <v>-4700.6970000000001</v>
      </c>
      <c r="AM95" s="55"/>
      <c r="AN95" s="59"/>
    </row>
    <row r="96" spans="1:40" s="28" customFormat="1">
      <c r="A96" s="55" t="s">
        <v>67</v>
      </c>
      <c r="B96" s="55" t="s">
        <v>204</v>
      </c>
      <c r="C96" s="55" t="s">
        <v>187</v>
      </c>
      <c r="D96" s="55" t="s">
        <v>107</v>
      </c>
      <c r="E96" s="55" t="s">
        <v>214</v>
      </c>
      <c r="F96" s="104">
        <v>42173</v>
      </c>
      <c r="G96" s="55"/>
      <c r="H96" s="55"/>
      <c r="I96" s="58">
        <v>511.28</v>
      </c>
      <c r="J96" s="58">
        <v>227.95000000000005</v>
      </c>
      <c r="K96" s="58">
        <f t="shared" si="53"/>
        <v>739.23</v>
      </c>
      <c r="L96" s="58">
        <v>588.66</v>
      </c>
      <c r="M96" s="58"/>
      <c r="N96" s="58"/>
      <c r="O96" s="58"/>
      <c r="P96" s="87"/>
      <c r="Q96" s="98">
        <f t="shared" si="43"/>
        <v>1327.8899999999999</v>
      </c>
      <c r="R96" s="58"/>
      <c r="S96" s="58"/>
      <c r="T96" s="58"/>
      <c r="U96" s="58">
        <v>0</v>
      </c>
      <c r="V96" s="58"/>
      <c r="W96" s="58"/>
      <c r="X96" s="58"/>
      <c r="Y96" s="52"/>
      <c r="Z96" s="52"/>
      <c r="AA96" s="55"/>
      <c r="AB96" s="55">
        <v>0</v>
      </c>
      <c r="AC96" s="98">
        <f t="shared" si="44"/>
        <v>1327.8899999999999</v>
      </c>
      <c r="AD96" s="52">
        <f t="shared" si="45"/>
        <v>0</v>
      </c>
      <c r="AE96" s="98">
        <f t="shared" si="46"/>
        <v>1327.8899999999999</v>
      </c>
      <c r="AF96" s="52">
        <f t="shared" si="47"/>
        <v>132.78899999999999</v>
      </c>
      <c r="AG96" s="52">
        <v>10.23</v>
      </c>
      <c r="AH96" s="52">
        <f t="shared" si="48"/>
        <v>0</v>
      </c>
      <c r="AI96" s="98">
        <f t="shared" si="49"/>
        <v>1470.9089999999999</v>
      </c>
      <c r="AJ96" s="116"/>
      <c r="AK96" s="117"/>
      <c r="AL96" s="99">
        <f t="shared" si="54"/>
        <v>-1327.8899999999999</v>
      </c>
      <c r="AN96" s="55"/>
    </row>
    <row r="97" spans="1:194" s="28" customFormat="1">
      <c r="A97" s="55" t="s">
        <v>68</v>
      </c>
      <c r="B97" s="55" t="s">
        <v>244</v>
      </c>
      <c r="C97" s="55" t="s">
        <v>184</v>
      </c>
      <c r="D97" s="55"/>
      <c r="E97" s="55" t="s">
        <v>70</v>
      </c>
      <c r="F97" s="104">
        <v>42506</v>
      </c>
      <c r="G97" s="55"/>
      <c r="H97" s="55"/>
      <c r="I97" s="58">
        <v>511.28</v>
      </c>
      <c r="J97" s="58">
        <v>515.38000000000011</v>
      </c>
      <c r="K97" s="58">
        <f t="shared" si="53"/>
        <v>1026.6600000000001</v>
      </c>
      <c r="L97" s="58">
        <v>153.59</v>
      </c>
      <c r="M97" s="58"/>
      <c r="N97" s="58"/>
      <c r="O97" s="58"/>
      <c r="P97" s="87"/>
      <c r="Q97" s="98">
        <f t="shared" si="43"/>
        <v>1180.25</v>
      </c>
      <c r="R97" s="58"/>
      <c r="S97" s="58"/>
      <c r="T97" s="58"/>
      <c r="U97" s="58">
        <v>0</v>
      </c>
      <c r="V97" s="58"/>
      <c r="W97" s="58"/>
      <c r="X97" s="58"/>
      <c r="Y97" s="52"/>
      <c r="Z97" s="52"/>
      <c r="AA97" s="55"/>
      <c r="AB97" s="119">
        <v>0</v>
      </c>
      <c r="AC97" s="98">
        <f t="shared" si="44"/>
        <v>1180.25</v>
      </c>
      <c r="AD97" s="52">
        <f t="shared" si="45"/>
        <v>0</v>
      </c>
      <c r="AE97" s="98">
        <f t="shared" si="46"/>
        <v>1180.25</v>
      </c>
      <c r="AF97" s="52">
        <f t="shared" si="47"/>
        <v>118.02500000000001</v>
      </c>
      <c r="AG97" s="52">
        <v>10.23</v>
      </c>
      <c r="AH97" s="52">
        <f t="shared" si="48"/>
        <v>0</v>
      </c>
      <c r="AI97" s="98">
        <f t="shared" si="49"/>
        <v>1308.5050000000001</v>
      </c>
      <c r="AJ97" s="116"/>
      <c r="AK97" s="116"/>
      <c r="AL97" s="99">
        <f t="shared" si="54"/>
        <v>-1180.25</v>
      </c>
      <c r="AM97" s="70">
        <v>1179675078</v>
      </c>
      <c r="AN97" s="59"/>
    </row>
    <row r="98" spans="1:194" s="28" customFormat="1">
      <c r="A98" s="55" t="s">
        <v>84</v>
      </c>
      <c r="B98" s="55" t="s">
        <v>270</v>
      </c>
      <c r="C98" s="55"/>
      <c r="D98" s="55" t="s">
        <v>124</v>
      </c>
      <c r="E98" s="55" t="s">
        <v>274</v>
      </c>
      <c r="F98" s="104">
        <v>41227</v>
      </c>
      <c r="G98" s="55"/>
      <c r="H98" s="55"/>
      <c r="I98" s="58">
        <v>511.28</v>
      </c>
      <c r="J98" s="58">
        <v>112.08000000000015</v>
      </c>
      <c r="K98" s="58">
        <f t="shared" si="53"/>
        <v>623.36000000000013</v>
      </c>
      <c r="L98" s="58">
        <f>1543.464+3.714</f>
        <v>1547.1779999999999</v>
      </c>
      <c r="M98" s="58"/>
      <c r="N98" s="58"/>
      <c r="O98" s="58"/>
      <c r="P98" s="87"/>
      <c r="Q98" s="98">
        <f t="shared" si="43"/>
        <v>2170.538</v>
      </c>
      <c r="R98" s="58"/>
      <c r="S98" s="58"/>
      <c r="T98" s="58"/>
      <c r="U98" s="58">
        <v>200</v>
      </c>
      <c r="V98" s="58">
        <f>Q98*4.9%</f>
        <v>106.356362</v>
      </c>
      <c r="W98" s="58">
        <f>Q98*1%</f>
        <v>21.705380000000002</v>
      </c>
      <c r="X98" s="58"/>
      <c r="Y98" s="52"/>
      <c r="Z98" s="52"/>
      <c r="AA98" s="55"/>
      <c r="AB98" s="55">
        <v>0</v>
      </c>
      <c r="AC98" s="98">
        <f t="shared" si="44"/>
        <v>1842.4762580000001</v>
      </c>
      <c r="AD98" s="52">
        <f t="shared" si="45"/>
        <v>0</v>
      </c>
      <c r="AE98" s="98">
        <f t="shared" si="46"/>
        <v>1842.4762580000001</v>
      </c>
      <c r="AF98" s="52">
        <f t="shared" si="47"/>
        <v>217.05380000000002</v>
      </c>
      <c r="AG98" s="52">
        <v>10.23</v>
      </c>
      <c r="AH98" s="52">
        <f t="shared" si="48"/>
        <v>106.356362</v>
      </c>
      <c r="AI98" s="98">
        <f t="shared" si="49"/>
        <v>2504.1781620000002</v>
      </c>
      <c r="AJ98" s="108"/>
      <c r="AK98" s="109"/>
      <c r="AL98" s="99">
        <f t="shared" si="54"/>
        <v>-1842.4762580000001</v>
      </c>
      <c r="AM98" s="55"/>
      <c r="AN98" s="55"/>
    </row>
    <row r="99" spans="1:194" s="28" customFormat="1">
      <c r="A99" s="55" t="s">
        <v>81</v>
      </c>
      <c r="B99" s="55" t="s">
        <v>76</v>
      </c>
      <c r="C99" s="55"/>
      <c r="D99" s="55" t="s">
        <v>96</v>
      </c>
      <c r="E99" s="55" t="s">
        <v>140</v>
      </c>
      <c r="F99" s="104">
        <v>42361</v>
      </c>
      <c r="G99" s="55"/>
      <c r="H99" s="55"/>
      <c r="I99" s="58">
        <v>511.28</v>
      </c>
      <c r="J99" s="58">
        <v>227.95000000000005</v>
      </c>
      <c r="K99" s="58">
        <f t="shared" si="53"/>
        <v>739.23</v>
      </c>
      <c r="L99" s="58">
        <f>1564.086+7.428</f>
        <v>1571.5140000000001</v>
      </c>
      <c r="M99" s="58"/>
      <c r="N99" s="58"/>
      <c r="O99" s="58"/>
      <c r="P99" s="87"/>
      <c r="Q99" s="98">
        <f t="shared" si="43"/>
        <v>2310.7440000000001</v>
      </c>
      <c r="R99" s="58"/>
      <c r="S99" s="58">
        <v>226.29</v>
      </c>
      <c r="T99" s="58"/>
      <c r="U99" s="58">
        <v>0</v>
      </c>
      <c r="V99" s="58"/>
      <c r="W99" s="58"/>
      <c r="X99" s="58"/>
      <c r="Y99" s="52"/>
      <c r="Z99" s="52"/>
      <c r="AA99" s="55"/>
      <c r="AB99" s="55">
        <v>0</v>
      </c>
      <c r="AC99" s="98">
        <f t="shared" si="44"/>
        <v>2084.4540000000002</v>
      </c>
      <c r="AD99" s="52">
        <f t="shared" si="45"/>
        <v>231.07440000000003</v>
      </c>
      <c r="AE99" s="98">
        <f t="shared" si="46"/>
        <v>1853.3796000000002</v>
      </c>
      <c r="AF99" s="52">
        <f t="shared" si="47"/>
        <v>0</v>
      </c>
      <c r="AG99" s="52">
        <v>10.23</v>
      </c>
      <c r="AH99" s="52">
        <f t="shared" si="48"/>
        <v>0</v>
      </c>
      <c r="AI99" s="98">
        <f t="shared" si="49"/>
        <v>2320.9740000000002</v>
      </c>
      <c r="AJ99" s="108"/>
      <c r="AK99" s="116"/>
      <c r="AL99" s="99">
        <f t="shared" si="54"/>
        <v>-1853.3796000000002</v>
      </c>
      <c r="AM99" s="55"/>
      <c r="AN99" s="55"/>
    </row>
    <row r="100" spans="1:194" s="28" customFormat="1">
      <c r="A100" s="55" t="s">
        <v>68</v>
      </c>
      <c r="B100" s="55" t="s">
        <v>80</v>
      </c>
      <c r="C100" s="55" t="s">
        <v>189</v>
      </c>
      <c r="D100" s="55" t="s">
        <v>139</v>
      </c>
      <c r="E100" s="55" t="s">
        <v>70</v>
      </c>
      <c r="F100" s="104">
        <v>42333</v>
      </c>
      <c r="G100" s="55"/>
      <c r="H100" s="55"/>
      <c r="I100" s="58">
        <v>511.28</v>
      </c>
      <c r="J100" s="58">
        <v>515.38000000000011</v>
      </c>
      <c r="K100" s="58">
        <f t="shared" si="53"/>
        <v>1026.6600000000001</v>
      </c>
      <c r="L100" s="58">
        <v>2294.02</v>
      </c>
      <c r="M100" s="58"/>
      <c r="N100" s="58"/>
      <c r="O100" s="58"/>
      <c r="P100" s="87"/>
      <c r="Q100" s="98">
        <f t="shared" si="43"/>
        <v>3320.6800000000003</v>
      </c>
      <c r="R100" s="58"/>
      <c r="S100" s="58"/>
      <c r="T100" s="58"/>
      <c r="U100" s="58">
        <v>0</v>
      </c>
      <c r="V100" s="58"/>
      <c r="W100" s="58"/>
      <c r="X100" s="58"/>
      <c r="Y100" s="52"/>
      <c r="Z100" s="52"/>
      <c r="AA100" s="55"/>
      <c r="AB100" s="55">
        <v>0</v>
      </c>
      <c r="AC100" s="98">
        <f t="shared" si="44"/>
        <v>3320.6800000000003</v>
      </c>
      <c r="AD100" s="52">
        <f t="shared" si="45"/>
        <v>332.06800000000004</v>
      </c>
      <c r="AE100" s="98">
        <f t="shared" si="46"/>
        <v>2988.6120000000001</v>
      </c>
      <c r="AF100" s="52">
        <f t="shared" si="47"/>
        <v>0</v>
      </c>
      <c r="AG100" s="52">
        <v>10.23</v>
      </c>
      <c r="AH100" s="52">
        <f t="shared" si="48"/>
        <v>0</v>
      </c>
      <c r="AI100" s="98">
        <f t="shared" si="49"/>
        <v>3330.9100000000003</v>
      </c>
      <c r="AJ100" s="108"/>
      <c r="AK100" s="117"/>
      <c r="AL100" s="99">
        <f t="shared" si="54"/>
        <v>-2988.6120000000001</v>
      </c>
      <c r="AM100" s="55"/>
      <c r="AN100" s="55"/>
    </row>
    <row r="101" spans="1:194" s="28" customFormat="1">
      <c r="A101" s="55" t="s">
        <v>82</v>
      </c>
      <c r="B101" s="55" t="s">
        <v>161</v>
      </c>
      <c r="C101" s="55"/>
      <c r="D101" s="55" t="s">
        <v>95</v>
      </c>
      <c r="E101" s="55" t="s">
        <v>140</v>
      </c>
      <c r="F101" s="104">
        <v>41549</v>
      </c>
      <c r="G101" s="55"/>
      <c r="H101" s="55"/>
      <c r="I101" s="58">
        <v>511.28</v>
      </c>
      <c r="J101" s="58">
        <v>227.95000000000005</v>
      </c>
      <c r="K101" s="58">
        <f t="shared" si="53"/>
        <v>739.23</v>
      </c>
      <c r="L101" s="58">
        <f>3705.513+13.099</f>
        <v>3718.6120000000001</v>
      </c>
      <c r="M101" s="58"/>
      <c r="N101" s="58"/>
      <c r="O101" s="58"/>
      <c r="P101" s="87"/>
      <c r="Q101" s="98">
        <f t="shared" si="43"/>
        <v>4457.8420000000006</v>
      </c>
      <c r="R101" s="58"/>
      <c r="S101" s="58"/>
      <c r="T101" s="58"/>
      <c r="U101" s="58">
        <v>0</v>
      </c>
      <c r="V101" s="58"/>
      <c r="W101" s="58"/>
      <c r="X101" s="58"/>
      <c r="Y101" s="52"/>
      <c r="Z101" s="52"/>
      <c r="AA101" s="55"/>
      <c r="AB101" s="55">
        <v>0</v>
      </c>
      <c r="AC101" s="98">
        <f t="shared" si="44"/>
        <v>4457.8420000000006</v>
      </c>
      <c r="AD101" s="52">
        <f t="shared" si="45"/>
        <v>445.78420000000006</v>
      </c>
      <c r="AE101" s="98">
        <f t="shared" si="46"/>
        <v>4012.0578000000005</v>
      </c>
      <c r="AF101" s="52">
        <f t="shared" si="47"/>
        <v>0</v>
      </c>
      <c r="AG101" s="52">
        <v>10.23</v>
      </c>
      <c r="AH101" s="52">
        <f t="shared" si="48"/>
        <v>0</v>
      </c>
      <c r="AI101" s="98">
        <f t="shared" si="49"/>
        <v>4468.0720000000001</v>
      </c>
      <c r="AJ101" s="108"/>
      <c r="AK101" s="109"/>
      <c r="AL101" s="99">
        <f t="shared" si="54"/>
        <v>-4012.0578000000005</v>
      </c>
      <c r="AM101" s="55"/>
      <c r="AN101" s="55"/>
    </row>
    <row r="102" spans="1:194" s="28" customFormat="1">
      <c r="A102" s="59"/>
      <c r="B102" s="55"/>
      <c r="C102" s="55"/>
      <c r="D102" s="55"/>
      <c r="E102" s="55"/>
      <c r="F102" s="55"/>
      <c r="G102" s="55"/>
      <c r="H102" s="55"/>
      <c r="I102" s="58"/>
      <c r="J102" s="112"/>
      <c r="K102" s="58"/>
      <c r="L102" s="58"/>
      <c r="M102" s="58"/>
      <c r="N102" s="58"/>
      <c r="O102" s="58"/>
      <c r="P102" s="87"/>
      <c r="Q102" s="98">
        <f t="shared" si="43"/>
        <v>0</v>
      </c>
      <c r="R102" s="58"/>
      <c r="S102" s="58"/>
      <c r="T102" s="58"/>
      <c r="U102" s="58"/>
      <c r="V102" s="58"/>
      <c r="W102" s="58"/>
      <c r="X102" s="58"/>
      <c r="Y102" s="52"/>
      <c r="Z102" s="52"/>
      <c r="AA102" s="52"/>
      <c r="AB102" s="52"/>
      <c r="AC102" s="98"/>
      <c r="AD102" s="52">
        <f t="shared" si="45"/>
        <v>0</v>
      </c>
      <c r="AE102" s="98"/>
      <c r="AF102" s="52">
        <f>IF(Q102&lt;3500,Q102*0.1,0)</f>
        <v>0</v>
      </c>
      <c r="AG102" s="52"/>
      <c r="AH102" s="52">
        <f t="shared" si="48"/>
        <v>0</v>
      </c>
      <c r="AI102" s="98">
        <f t="shared" si="49"/>
        <v>0</v>
      </c>
      <c r="AJ102" s="58"/>
      <c r="AK102" s="58"/>
      <c r="AL102" s="99">
        <f t="shared" si="54"/>
        <v>0</v>
      </c>
      <c r="AM102" s="55"/>
      <c r="AN102" s="55"/>
    </row>
    <row r="103" spans="1:194" s="28" customFormat="1">
      <c r="A103" s="42"/>
      <c r="B103" s="43"/>
      <c r="C103" s="43"/>
      <c r="D103" s="43"/>
      <c r="E103" s="43"/>
      <c r="F103" s="43"/>
      <c r="G103" s="43"/>
      <c r="H103" s="43"/>
      <c r="I103" s="44"/>
      <c r="J103" s="95"/>
      <c r="K103" s="44"/>
      <c r="L103" s="44"/>
      <c r="M103" s="44"/>
      <c r="N103" s="44"/>
      <c r="O103" s="44"/>
      <c r="P103" s="44"/>
      <c r="Q103" s="45"/>
      <c r="R103" s="44"/>
      <c r="S103" s="44"/>
      <c r="T103" s="44"/>
      <c r="U103" s="44"/>
      <c r="V103" s="44"/>
      <c r="W103" s="44"/>
      <c r="X103" s="44"/>
      <c r="Y103" s="62"/>
      <c r="Z103" s="62"/>
      <c r="AA103" s="62"/>
      <c r="AB103" s="62"/>
      <c r="AC103" s="45"/>
      <c r="AD103" s="62"/>
      <c r="AE103" s="45"/>
      <c r="AF103" s="62"/>
      <c r="AG103" s="62"/>
      <c r="AH103" s="62"/>
      <c r="AI103" s="45"/>
      <c r="AJ103" s="81"/>
      <c r="AK103" s="81"/>
      <c r="AL103" s="37"/>
    </row>
    <row r="104" spans="1:194">
      <c r="B104" s="63" t="s">
        <v>17</v>
      </c>
      <c r="C104" s="63"/>
      <c r="D104" s="63"/>
      <c r="E104" s="63"/>
      <c r="F104" s="63"/>
      <c r="G104" s="63"/>
      <c r="H104" s="63"/>
      <c r="I104" s="48"/>
      <c r="J104" s="96"/>
      <c r="K104" s="64">
        <f>SUM(K7:K101)</f>
        <v>101160.24333333335</v>
      </c>
      <c r="L104" s="64">
        <f>SUM(L7:L103)</f>
        <v>169740.23299999992</v>
      </c>
      <c r="M104" s="64"/>
      <c r="N104" s="64">
        <f>SUM(N7:N103)</f>
        <v>98.53</v>
      </c>
      <c r="O104" s="64">
        <f>SUM(O7:O103)</f>
        <v>0</v>
      </c>
      <c r="P104" s="64">
        <f>SUM(P7:P103)</f>
        <v>0</v>
      </c>
      <c r="Q104" s="64">
        <f>SUM(Q7:Q103)</f>
        <v>270999.0063333335</v>
      </c>
      <c r="R104" s="64">
        <f>SUM(R7:R103)</f>
        <v>625</v>
      </c>
      <c r="S104" s="64"/>
      <c r="T104" s="64"/>
      <c r="U104" s="65">
        <f t="shared" ref="U104:AL104" si="55">SUM(U7:U103)</f>
        <v>3800</v>
      </c>
      <c r="V104" s="65">
        <f t="shared" si="55"/>
        <v>2887.6569260000001</v>
      </c>
      <c r="W104" s="65">
        <f t="shared" si="55"/>
        <v>589.31773999999996</v>
      </c>
      <c r="X104" s="65">
        <f t="shared" si="55"/>
        <v>579.38</v>
      </c>
      <c r="Y104" s="64">
        <f t="shared" si="55"/>
        <v>1609.9499999999998</v>
      </c>
      <c r="Z104" s="64">
        <f t="shared" si="55"/>
        <v>335.5</v>
      </c>
      <c r="AA104" s="64">
        <f t="shared" si="55"/>
        <v>813.88</v>
      </c>
      <c r="AB104" s="64">
        <f t="shared" si="55"/>
        <v>4848.7</v>
      </c>
      <c r="AC104" s="64">
        <f t="shared" si="55"/>
        <v>253849.6416673334</v>
      </c>
      <c r="AD104" s="64">
        <f t="shared" si="55"/>
        <v>19049.487633333338</v>
      </c>
      <c r="AE104" s="64">
        <f t="shared" si="55"/>
        <v>234800.15403399998</v>
      </c>
      <c r="AF104" s="64">
        <f t="shared" si="55"/>
        <v>8050.4130000000032</v>
      </c>
      <c r="AG104" s="64">
        <f t="shared" si="55"/>
        <v>1061.850000000001</v>
      </c>
      <c r="AH104" s="64">
        <f t="shared" si="55"/>
        <v>2887.6569260000001</v>
      </c>
      <c r="AI104" s="64">
        <f t="shared" si="55"/>
        <v>282998.92625933333</v>
      </c>
      <c r="AJ104" s="82">
        <f t="shared" si="55"/>
        <v>0</v>
      </c>
      <c r="AK104" s="82">
        <f t="shared" si="55"/>
        <v>0</v>
      </c>
      <c r="AL104" s="66">
        <f t="shared" si="55"/>
        <v>-207048.17578200003</v>
      </c>
      <c r="AM104" s="46"/>
      <c r="AN104" s="46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  <c r="EN104" s="28"/>
      <c r="EO104" s="28"/>
      <c r="EP104" s="28"/>
      <c r="EQ104" s="28"/>
      <c r="ER104" s="28"/>
      <c r="ES104" s="28"/>
      <c r="ET104" s="28"/>
      <c r="EU104" s="28"/>
      <c r="EV104" s="28"/>
      <c r="EW104" s="28"/>
      <c r="EX104" s="28"/>
      <c r="EY104" s="28"/>
      <c r="EZ104" s="28"/>
      <c r="FA104" s="28"/>
      <c r="FB104" s="28"/>
      <c r="FC104" s="28"/>
      <c r="FD104" s="28"/>
      <c r="FE104" s="28"/>
      <c r="FF104" s="28"/>
      <c r="FG104" s="28"/>
      <c r="FH104" s="28"/>
      <c r="FI104" s="28"/>
      <c r="FJ104" s="28"/>
      <c r="FK104" s="28"/>
      <c r="FL104" s="28"/>
      <c r="FM104" s="28"/>
      <c r="FN104" s="28"/>
      <c r="FO104" s="28"/>
      <c r="FP104" s="28"/>
      <c r="FQ104" s="28"/>
      <c r="FR104" s="28"/>
      <c r="FS104" s="28"/>
      <c r="FT104" s="28"/>
      <c r="FU104" s="28"/>
      <c r="FV104" s="28"/>
      <c r="FW104" s="28"/>
      <c r="FX104" s="28"/>
      <c r="FY104" s="28"/>
      <c r="FZ104" s="28"/>
      <c r="GA104" s="28"/>
      <c r="GB104" s="28"/>
      <c r="GC104" s="28"/>
      <c r="GD104" s="28"/>
      <c r="GE104" s="28"/>
      <c r="GF104" s="28"/>
      <c r="GG104" s="28"/>
      <c r="GH104" s="28"/>
      <c r="GI104" s="28"/>
      <c r="GJ104" s="28"/>
      <c r="GK104" s="28"/>
      <c r="GL104" s="28"/>
    </row>
    <row r="105" spans="1:194">
      <c r="AI105" s="24">
        <f>AI104*0.16</f>
        <v>45279.828201493336</v>
      </c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8"/>
      <c r="EY105" s="28"/>
      <c r="EZ105" s="28"/>
      <c r="FA105" s="28"/>
      <c r="FB105" s="28"/>
      <c r="FC105" s="28"/>
      <c r="FD105" s="28"/>
      <c r="FE105" s="28"/>
      <c r="FF105" s="28"/>
      <c r="FG105" s="28"/>
      <c r="FH105" s="28"/>
      <c r="FI105" s="28"/>
      <c r="FJ105" s="28"/>
      <c r="FK105" s="28"/>
      <c r="FL105" s="28"/>
      <c r="FM105" s="28"/>
      <c r="FN105" s="28"/>
      <c r="FO105" s="28"/>
      <c r="FP105" s="28"/>
      <c r="FQ105" s="28"/>
      <c r="FR105" s="28"/>
      <c r="FS105" s="28"/>
      <c r="FT105" s="28"/>
      <c r="FU105" s="28"/>
      <c r="FV105" s="28"/>
      <c r="FW105" s="28"/>
      <c r="FX105" s="28"/>
      <c r="FY105" s="28"/>
      <c r="FZ105" s="28"/>
      <c r="GA105" s="28"/>
      <c r="GB105" s="28"/>
      <c r="GC105" s="28"/>
      <c r="GD105" s="28"/>
      <c r="GE105" s="28"/>
      <c r="GF105" s="28"/>
      <c r="GG105" s="28"/>
      <c r="GH105" s="28"/>
      <c r="GI105" s="28"/>
      <c r="GJ105" s="28"/>
      <c r="GK105" s="28"/>
      <c r="GL105" s="28"/>
    </row>
    <row r="106" spans="1:194">
      <c r="A106" s="149" t="s">
        <v>209</v>
      </c>
      <c r="B106" s="149"/>
      <c r="C106" s="67"/>
      <c r="D106" s="46"/>
      <c r="E106" s="46"/>
      <c r="F106" s="46"/>
      <c r="G106" s="46"/>
      <c r="H106" s="46"/>
      <c r="I106" s="48"/>
      <c r="J106" s="94"/>
      <c r="K106" s="48"/>
      <c r="L106" s="48"/>
      <c r="M106" s="48"/>
      <c r="N106" s="48"/>
      <c r="O106" s="48"/>
      <c r="P106" s="48"/>
      <c r="Q106" s="64"/>
      <c r="R106" s="48"/>
      <c r="S106" s="48"/>
      <c r="T106" s="48"/>
      <c r="U106" s="58"/>
      <c r="V106" s="58"/>
      <c r="W106" s="58"/>
      <c r="X106" s="58"/>
      <c r="Y106" s="48"/>
      <c r="Z106" s="48"/>
      <c r="AA106" s="48"/>
      <c r="AB106" s="48"/>
      <c r="AC106" s="64"/>
      <c r="AD106" s="48"/>
      <c r="AE106" s="64"/>
      <c r="AF106" s="48"/>
      <c r="AG106" s="48"/>
      <c r="AH106" s="48"/>
      <c r="AI106" s="64">
        <f>+AI104+AI105</f>
        <v>328278.75446082663</v>
      </c>
      <c r="AJ106" s="82"/>
      <c r="AK106" s="82"/>
      <c r="AL106" s="66"/>
      <c r="AM106" s="46"/>
      <c r="AN106" s="46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  <c r="FA106" s="28"/>
      <c r="FB106" s="28"/>
      <c r="FC106" s="28"/>
      <c r="FD106" s="28"/>
      <c r="FE106" s="28"/>
      <c r="FF106" s="28"/>
      <c r="FG106" s="28"/>
      <c r="FH106" s="28"/>
      <c r="FI106" s="28"/>
      <c r="FJ106" s="28"/>
      <c r="FK106" s="28"/>
      <c r="FL106" s="28"/>
      <c r="FM106" s="28"/>
      <c r="FN106" s="28"/>
      <c r="FO106" s="28"/>
      <c r="FP106" s="28"/>
      <c r="FQ106" s="28"/>
      <c r="FR106" s="28"/>
      <c r="FS106" s="28"/>
      <c r="FT106" s="28"/>
      <c r="FU106" s="28"/>
      <c r="FV106" s="28"/>
      <c r="FW106" s="28"/>
      <c r="FX106" s="28"/>
      <c r="FY106" s="28"/>
      <c r="FZ106" s="28"/>
      <c r="GA106" s="28"/>
      <c r="GB106" s="28"/>
      <c r="GC106" s="28"/>
      <c r="GD106" s="28"/>
      <c r="GE106" s="28"/>
      <c r="GF106" s="28"/>
      <c r="GG106" s="28"/>
      <c r="GH106" s="28"/>
      <c r="GI106" s="28"/>
      <c r="GJ106" s="28"/>
      <c r="GK106" s="28"/>
      <c r="GL106" s="28"/>
    </row>
    <row r="107" spans="1:194">
      <c r="A107" s="55" t="s">
        <v>84</v>
      </c>
      <c r="B107" s="55" t="s">
        <v>210</v>
      </c>
      <c r="C107" s="47"/>
      <c r="D107" s="47"/>
      <c r="E107" s="47" t="s">
        <v>275</v>
      </c>
      <c r="F107" s="105">
        <v>41142</v>
      </c>
      <c r="G107" s="47"/>
      <c r="H107" s="47"/>
      <c r="I107" s="49"/>
      <c r="J107" s="92"/>
      <c r="K107" s="58">
        <v>667.89</v>
      </c>
      <c r="L107" s="58">
        <f>2841.625+5.571</f>
        <v>2847.1959999999999</v>
      </c>
      <c r="M107" s="49"/>
      <c r="N107" s="49"/>
      <c r="O107" s="49"/>
      <c r="P107" s="49"/>
      <c r="Q107" s="50">
        <f>SUM(K107:P107)</f>
        <v>3515.0859999999998</v>
      </c>
      <c r="R107" s="77"/>
      <c r="S107" s="77"/>
      <c r="T107" s="77"/>
      <c r="U107" s="77"/>
      <c r="V107" s="77">
        <f>Q107*4.9%</f>
        <v>172.239214</v>
      </c>
      <c r="W107" s="77">
        <f>Q107*1%</f>
        <v>35.150860000000002</v>
      </c>
      <c r="X107" s="77"/>
      <c r="Y107" s="114"/>
      <c r="Z107" s="114"/>
      <c r="AA107" s="114"/>
      <c r="AB107" s="114"/>
      <c r="AC107" s="113">
        <f>+Q107-SUM(R107:AB107)</f>
        <v>3307.6959259999999</v>
      </c>
      <c r="AD107" s="114">
        <f>+AC107*0.05</f>
        <v>165.3847963</v>
      </c>
      <c r="AE107" s="113">
        <f>+AC107-Y107-AB107</f>
        <v>3307.6959259999999</v>
      </c>
      <c r="AF107" s="114">
        <f>IF(AC107&lt;3000,AC107*0.1,0)</f>
        <v>0</v>
      </c>
      <c r="AG107" s="114">
        <v>0</v>
      </c>
      <c r="AH107" s="114"/>
      <c r="AI107" s="113">
        <f>+AC107+AF107+AG107</f>
        <v>3307.6959259999999</v>
      </c>
      <c r="AJ107" s="83"/>
      <c r="AK107" s="83"/>
      <c r="AL107" s="69"/>
      <c r="AM107" s="46"/>
      <c r="AN107" s="106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  <c r="FA107" s="28"/>
      <c r="FB107" s="28"/>
      <c r="FC107" s="28"/>
      <c r="FD107" s="28"/>
      <c r="FE107" s="28"/>
      <c r="FF107" s="28"/>
      <c r="FG107" s="28"/>
      <c r="FH107" s="28"/>
      <c r="FI107" s="28"/>
      <c r="FJ107" s="28"/>
      <c r="FK107" s="28"/>
      <c r="FL107" s="28"/>
      <c r="FM107" s="28"/>
      <c r="FN107" s="28"/>
      <c r="FO107" s="28"/>
      <c r="FP107" s="28"/>
      <c r="FQ107" s="28"/>
      <c r="FR107" s="28"/>
      <c r="FS107" s="28"/>
      <c r="FT107" s="28"/>
      <c r="FU107" s="28"/>
      <c r="FV107" s="28"/>
      <c r="FW107" s="28"/>
      <c r="FX107" s="28"/>
      <c r="FY107" s="28"/>
      <c r="FZ107" s="28"/>
      <c r="GA107" s="28"/>
      <c r="GB107" s="28"/>
      <c r="GC107" s="28"/>
      <c r="GD107" s="28"/>
      <c r="GE107" s="28"/>
      <c r="GF107" s="28"/>
      <c r="GG107" s="28"/>
      <c r="GH107" s="28"/>
      <c r="GI107" s="28"/>
      <c r="GJ107" s="28"/>
      <c r="GK107" s="28"/>
      <c r="GL107" s="28"/>
    </row>
    <row r="108" spans="1:194">
      <c r="A108" s="55" t="s">
        <v>84</v>
      </c>
      <c r="B108" s="55" t="s">
        <v>223</v>
      </c>
      <c r="C108" s="47"/>
      <c r="D108" s="47"/>
      <c r="E108" s="47" t="s">
        <v>252</v>
      </c>
      <c r="F108" s="105">
        <v>40824</v>
      </c>
      <c r="G108" s="47"/>
      <c r="H108" s="47"/>
      <c r="I108" s="49"/>
      <c r="J108" s="92"/>
      <c r="K108" s="58">
        <v>1750</v>
      </c>
      <c r="L108" s="58">
        <v>2278.5300000000002</v>
      </c>
      <c r="M108" s="49"/>
      <c r="N108" s="49"/>
      <c r="O108" s="49"/>
      <c r="P108" s="49"/>
      <c r="Q108" s="50">
        <f>SUM(K108:P108)</f>
        <v>4028.53</v>
      </c>
      <c r="R108" s="77"/>
      <c r="S108" s="77"/>
      <c r="T108" s="77"/>
      <c r="U108" s="77"/>
      <c r="V108" s="77"/>
      <c r="W108" s="77"/>
      <c r="X108" s="77"/>
      <c r="Y108" s="114"/>
      <c r="Z108" s="114"/>
      <c r="AA108" s="114">
        <v>243.31</v>
      </c>
      <c r="AB108" s="114"/>
      <c r="AC108" s="113">
        <f t="shared" ref="AC108:AC109" si="56">+Q108-SUM(R108:AB108)</f>
        <v>3785.2200000000003</v>
      </c>
      <c r="AD108" s="114">
        <f t="shared" ref="AD108:AD109" si="57">+AC108*0.05</f>
        <v>189.26100000000002</v>
      </c>
      <c r="AE108" s="113">
        <f t="shared" ref="AE108:AE109" si="58">+AC108-Y108-AB108</f>
        <v>3785.2200000000003</v>
      </c>
      <c r="AF108" s="114">
        <f t="shared" ref="AF108:AF109" si="59">IF(AC108&lt;3000,AC108*0.1,0)</f>
        <v>0</v>
      </c>
      <c r="AG108" s="114"/>
      <c r="AH108" s="114"/>
      <c r="AI108" s="113">
        <f t="shared" ref="AI108:AI109" si="60">+AC108+AF108+AG108</f>
        <v>3785.2200000000003</v>
      </c>
      <c r="AJ108" s="83"/>
      <c r="AK108" s="83"/>
      <c r="AL108" s="69"/>
      <c r="AM108" s="46"/>
      <c r="AN108" s="106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  <c r="FA108" s="28"/>
      <c r="FB108" s="28"/>
      <c r="FC108" s="28"/>
      <c r="FD108" s="28"/>
      <c r="FE108" s="28"/>
      <c r="FF108" s="28"/>
      <c r="FG108" s="28"/>
      <c r="FH108" s="28"/>
      <c r="FI108" s="28"/>
      <c r="FJ108" s="28"/>
      <c r="FK108" s="28"/>
      <c r="FL108" s="28"/>
      <c r="FM108" s="28"/>
      <c r="FN108" s="28"/>
      <c r="FO108" s="28"/>
      <c r="FP108" s="28"/>
      <c r="FQ108" s="28"/>
      <c r="FR108" s="28"/>
      <c r="FS108" s="28"/>
      <c r="FT108" s="28"/>
      <c r="FU108" s="28"/>
      <c r="FV108" s="28"/>
      <c r="FW108" s="28"/>
      <c r="FX108" s="28"/>
      <c r="FY108" s="28"/>
      <c r="FZ108" s="28"/>
      <c r="GA108" s="28"/>
      <c r="GB108" s="28"/>
      <c r="GC108" s="28"/>
      <c r="GD108" s="28"/>
      <c r="GE108" s="28"/>
      <c r="GF108" s="28"/>
      <c r="GG108" s="28"/>
      <c r="GH108" s="28"/>
      <c r="GI108" s="28"/>
      <c r="GJ108" s="28"/>
      <c r="GK108" s="28"/>
      <c r="GL108" s="28"/>
    </row>
    <row r="109" spans="1:194">
      <c r="A109" s="46" t="s">
        <v>68</v>
      </c>
      <c r="B109" s="55" t="s">
        <v>212</v>
      </c>
      <c r="C109" s="46"/>
      <c r="D109" s="46"/>
      <c r="E109" s="46" t="s">
        <v>142</v>
      </c>
      <c r="F109" s="121">
        <v>40813</v>
      </c>
      <c r="G109" s="46"/>
      <c r="H109" s="46"/>
      <c r="I109" s="48"/>
      <c r="J109" s="94"/>
      <c r="K109" s="48">
        <v>1625</v>
      </c>
      <c r="L109" s="48"/>
      <c r="M109" s="48"/>
      <c r="N109" s="48"/>
      <c r="O109" s="48"/>
      <c r="P109" s="48"/>
      <c r="Q109" s="50">
        <f>SUM(K109:P109)</f>
        <v>1625</v>
      </c>
      <c r="R109" s="77"/>
      <c r="S109" s="77"/>
      <c r="T109" s="77"/>
      <c r="U109" s="77"/>
      <c r="V109" s="77"/>
      <c r="W109" s="77"/>
      <c r="X109" s="77"/>
      <c r="Y109" s="114"/>
      <c r="Z109" s="114"/>
      <c r="AA109" s="114"/>
      <c r="AB109" s="114"/>
      <c r="AC109" s="113">
        <f t="shared" si="56"/>
        <v>1625</v>
      </c>
      <c r="AD109" s="114">
        <f t="shared" si="57"/>
        <v>81.25</v>
      </c>
      <c r="AE109" s="113">
        <f t="shared" si="58"/>
        <v>1625</v>
      </c>
      <c r="AF109" s="114">
        <f t="shared" si="59"/>
        <v>162.5</v>
      </c>
      <c r="AG109" s="114"/>
      <c r="AH109" s="114"/>
      <c r="AI109" s="113">
        <f t="shared" si="60"/>
        <v>1787.5</v>
      </c>
      <c r="AJ109" s="82"/>
      <c r="AK109" s="82"/>
      <c r="AL109" s="66"/>
      <c r="AM109" s="46"/>
      <c r="AN109" s="46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  <c r="EO109" s="28"/>
      <c r="EP109" s="28"/>
      <c r="EQ109" s="28"/>
      <c r="ER109" s="28"/>
      <c r="ES109" s="28"/>
      <c r="ET109" s="28"/>
      <c r="EU109" s="28"/>
      <c r="EV109" s="28"/>
      <c r="EW109" s="28"/>
      <c r="EX109" s="28"/>
      <c r="EY109" s="28"/>
      <c r="EZ109" s="28"/>
      <c r="FA109" s="28"/>
      <c r="FB109" s="28"/>
      <c r="FC109" s="28"/>
      <c r="FD109" s="28"/>
      <c r="FE109" s="28"/>
      <c r="FF109" s="28"/>
      <c r="FG109" s="28"/>
      <c r="FH109" s="28"/>
      <c r="FI109" s="28"/>
      <c r="FJ109" s="28"/>
      <c r="FK109" s="28"/>
      <c r="FL109" s="28"/>
      <c r="FM109" s="28"/>
      <c r="FN109" s="28"/>
      <c r="FO109" s="28"/>
      <c r="FP109" s="28"/>
      <c r="FQ109" s="28"/>
      <c r="FR109" s="28"/>
      <c r="FS109" s="28"/>
      <c r="FT109" s="28"/>
      <c r="FU109" s="28"/>
      <c r="FV109" s="28"/>
      <c r="FW109" s="28"/>
      <c r="FX109" s="28"/>
      <c r="FY109" s="28"/>
      <c r="FZ109" s="28"/>
      <c r="GA109" s="28"/>
      <c r="GB109" s="28"/>
      <c r="GC109" s="28"/>
      <c r="GD109" s="28"/>
      <c r="GE109" s="28"/>
      <c r="GF109" s="28"/>
      <c r="GG109" s="28"/>
      <c r="GH109" s="28"/>
      <c r="GI109" s="28"/>
      <c r="GJ109" s="28"/>
      <c r="GK109" s="28"/>
      <c r="GL109" s="28"/>
    </row>
    <row r="110" spans="1:194">
      <c r="B110" s="30"/>
      <c r="C110" s="30"/>
      <c r="D110" s="30"/>
      <c r="AI110" s="24">
        <f>+AI109*0.16</f>
        <v>286</v>
      </c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  <c r="EN110" s="28"/>
      <c r="EO110" s="28"/>
      <c r="EP110" s="28"/>
      <c r="EQ110" s="28"/>
      <c r="ER110" s="28"/>
      <c r="ES110" s="28"/>
      <c r="ET110" s="28"/>
      <c r="EU110" s="28"/>
      <c r="EV110" s="28"/>
      <c r="EW110" s="28"/>
      <c r="EX110" s="28"/>
      <c r="EY110" s="28"/>
      <c r="EZ110" s="28"/>
      <c r="FA110" s="28"/>
      <c r="FB110" s="28"/>
      <c r="FC110" s="28"/>
      <c r="FD110" s="28"/>
      <c r="FE110" s="28"/>
      <c r="FF110" s="28"/>
      <c r="FG110" s="28"/>
      <c r="FH110" s="28"/>
      <c r="FI110" s="28"/>
      <c r="FJ110" s="28"/>
      <c r="FK110" s="28"/>
      <c r="FL110" s="28"/>
      <c r="FM110" s="28"/>
      <c r="FN110" s="28"/>
      <c r="FO110" s="28"/>
      <c r="FP110" s="28"/>
      <c r="FQ110" s="28"/>
      <c r="FR110" s="28"/>
      <c r="FS110" s="28"/>
      <c r="FT110" s="28"/>
      <c r="FU110" s="28"/>
      <c r="FV110" s="28"/>
      <c r="FW110" s="28"/>
      <c r="FX110" s="28"/>
      <c r="FY110" s="28"/>
      <c r="FZ110" s="28"/>
      <c r="GA110" s="28"/>
      <c r="GB110" s="28"/>
      <c r="GC110" s="28"/>
      <c r="GD110" s="28"/>
      <c r="GE110" s="28"/>
      <c r="GF110" s="28"/>
      <c r="GG110" s="28"/>
      <c r="GH110" s="28"/>
      <c r="GI110" s="28"/>
      <c r="GJ110" s="28"/>
      <c r="GK110" s="28"/>
      <c r="GL110" s="28"/>
    </row>
    <row r="111" spans="1:194">
      <c r="A111" s="147" t="s">
        <v>222</v>
      </c>
      <c r="B111" s="147"/>
      <c r="C111" s="30"/>
      <c r="D111" s="30"/>
      <c r="AI111" s="24">
        <f>+AI109+AI110</f>
        <v>2073.5</v>
      </c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  <c r="EV111" s="28"/>
      <c r="EW111" s="28"/>
      <c r="EX111" s="28"/>
      <c r="EY111" s="28"/>
      <c r="EZ111" s="28"/>
      <c r="FA111" s="28"/>
      <c r="FB111" s="28"/>
      <c r="FC111" s="28"/>
      <c r="FD111" s="28"/>
      <c r="FE111" s="28"/>
      <c r="FF111" s="28"/>
      <c r="FG111" s="28"/>
      <c r="FH111" s="28"/>
      <c r="FI111" s="28"/>
      <c r="FJ111" s="28"/>
      <c r="FK111" s="28"/>
      <c r="FL111" s="28"/>
      <c r="FM111" s="28"/>
      <c r="FN111" s="28"/>
      <c r="FO111" s="28"/>
      <c r="FP111" s="28"/>
      <c r="FQ111" s="28"/>
      <c r="FR111" s="28"/>
      <c r="FS111" s="28"/>
      <c r="FT111" s="28"/>
      <c r="FU111" s="28"/>
      <c r="FV111" s="28"/>
      <c r="FW111" s="28"/>
      <c r="FX111" s="28"/>
      <c r="FY111" s="28"/>
      <c r="FZ111" s="28"/>
      <c r="GA111" s="28"/>
      <c r="GB111" s="28"/>
      <c r="GC111" s="28"/>
      <c r="GD111" s="28"/>
      <c r="GE111" s="28"/>
      <c r="GF111" s="28"/>
      <c r="GG111" s="28"/>
      <c r="GH111" s="28"/>
      <c r="GI111" s="28"/>
      <c r="GJ111" s="28"/>
      <c r="GK111" s="28"/>
      <c r="GL111" s="28"/>
    </row>
    <row r="112" spans="1:194" s="28" customFormat="1">
      <c r="A112" s="55"/>
      <c r="B112" s="55"/>
      <c r="C112" s="55"/>
      <c r="D112" s="61"/>
      <c r="E112" s="55"/>
      <c r="F112" s="57"/>
      <c r="G112" s="55"/>
      <c r="H112" s="55"/>
      <c r="I112" s="58"/>
      <c r="J112" s="93"/>
      <c r="K112" s="58"/>
      <c r="L112" s="58"/>
      <c r="M112" s="58"/>
      <c r="N112" s="58"/>
      <c r="O112" s="58"/>
      <c r="P112" s="87"/>
      <c r="Q112" s="98"/>
      <c r="R112" s="58"/>
      <c r="S112" s="58"/>
      <c r="T112" s="58"/>
      <c r="U112" s="58"/>
      <c r="V112" s="58"/>
      <c r="W112" s="58"/>
      <c r="X112" s="58"/>
      <c r="Y112" s="52"/>
      <c r="Z112" s="52"/>
      <c r="AA112" s="55"/>
      <c r="AB112" s="55"/>
      <c r="AC112" s="98"/>
      <c r="AD112" s="52"/>
      <c r="AE112" s="98"/>
      <c r="AF112" s="52"/>
      <c r="AG112" s="52"/>
      <c r="AH112" s="52"/>
      <c r="AI112" s="98"/>
      <c r="AJ112" s="84"/>
      <c r="AK112" s="85"/>
      <c r="AL112" s="54">
        <f t="shared" ref="AL112" si="61">+AJ112+AK112-AE112</f>
        <v>0</v>
      </c>
      <c r="AM112" s="55"/>
      <c r="AN112" s="86"/>
    </row>
    <row r="113" spans="1:194"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28"/>
      <c r="EZ113" s="28"/>
      <c r="FA113" s="28"/>
      <c r="FB113" s="28"/>
      <c r="FC113" s="28"/>
      <c r="FD113" s="28"/>
      <c r="FE113" s="28"/>
      <c r="FF113" s="28"/>
      <c r="FG113" s="28"/>
      <c r="FH113" s="28"/>
      <c r="FI113" s="28"/>
      <c r="FJ113" s="28"/>
      <c r="FK113" s="28"/>
      <c r="FL113" s="28"/>
      <c r="FM113" s="28"/>
      <c r="FN113" s="28"/>
      <c r="FO113" s="28"/>
      <c r="FP113" s="28"/>
      <c r="FQ113" s="28"/>
      <c r="FR113" s="28"/>
      <c r="FS113" s="28"/>
      <c r="FT113" s="28"/>
      <c r="FU113" s="28"/>
      <c r="FV113" s="28"/>
      <c r="FW113" s="28"/>
      <c r="FX113" s="28"/>
      <c r="FY113" s="28"/>
      <c r="FZ113" s="28"/>
      <c r="GA113" s="28"/>
      <c r="GB113" s="28"/>
      <c r="GC113" s="28"/>
      <c r="GD113" s="28"/>
      <c r="GE113" s="28"/>
      <c r="GF113" s="28"/>
      <c r="GG113" s="28"/>
      <c r="GH113" s="28"/>
      <c r="GI113" s="28"/>
      <c r="GJ113" s="28"/>
      <c r="GK113" s="28"/>
      <c r="GL113" s="28"/>
    </row>
    <row r="114" spans="1:194"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  <c r="GG114" s="28"/>
      <c r="GH114" s="28"/>
      <c r="GI114" s="28"/>
      <c r="GJ114" s="28"/>
      <c r="GK114" s="28"/>
      <c r="GL114" s="28"/>
    </row>
    <row r="115" spans="1:194"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28"/>
      <c r="EZ115" s="28"/>
      <c r="FA115" s="28"/>
      <c r="FB115" s="28"/>
      <c r="FC115" s="28"/>
      <c r="FD115" s="28"/>
      <c r="FE115" s="28"/>
      <c r="FF115" s="28"/>
      <c r="FG115" s="28"/>
      <c r="FH115" s="28"/>
      <c r="FI115" s="28"/>
      <c r="FJ115" s="28"/>
      <c r="FK115" s="28"/>
      <c r="FL115" s="28"/>
      <c r="FM115" s="28"/>
      <c r="FN115" s="28"/>
      <c r="FO115" s="28"/>
      <c r="FP115" s="28"/>
      <c r="FQ115" s="28"/>
      <c r="FR115" s="28"/>
      <c r="FS115" s="28"/>
      <c r="FT115" s="28"/>
      <c r="FU115" s="28"/>
      <c r="FV115" s="28"/>
      <c r="FW115" s="28"/>
      <c r="FX115" s="28"/>
      <c r="FY115" s="28"/>
      <c r="FZ115" s="28"/>
      <c r="GA115" s="28"/>
      <c r="GB115" s="28"/>
      <c r="GC115" s="28"/>
      <c r="GD115" s="28"/>
      <c r="GE115" s="28"/>
      <c r="GF115" s="28"/>
      <c r="GG115" s="28"/>
      <c r="GH115" s="28"/>
      <c r="GI115" s="28"/>
      <c r="GJ115" s="28"/>
      <c r="GK115" s="28"/>
      <c r="GL115" s="28"/>
    </row>
    <row r="116" spans="1:194"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  <c r="FA116" s="28"/>
      <c r="FB116" s="28"/>
      <c r="FC116" s="28"/>
      <c r="FD116" s="28"/>
      <c r="FE116" s="28"/>
      <c r="FF116" s="28"/>
      <c r="FG116" s="28"/>
      <c r="FH116" s="28"/>
      <c r="FI116" s="28"/>
      <c r="FJ116" s="28"/>
      <c r="FK116" s="28"/>
      <c r="FL116" s="28"/>
      <c r="FM116" s="28"/>
      <c r="FN116" s="28"/>
      <c r="FO116" s="28"/>
      <c r="FP116" s="28"/>
      <c r="FQ116" s="28"/>
      <c r="FR116" s="28"/>
      <c r="FS116" s="28"/>
      <c r="FT116" s="28"/>
      <c r="FU116" s="28"/>
      <c r="FV116" s="28"/>
      <c r="FW116" s="28"/>
      <c r="FX116" s="28"/>
      <c r="FY116" s="28"/>
      <c r="FZ116" s="28"/>
      <c r="GA116" s="28"/>
      <c r="GB116" s="28"/>
      <c r="GC116" s="28"/>
      <c r="GD116" s="28"/>
      <c r="GE116" s="28"/>
      <c r="GF116" s="28"/>
      <c r="GG116" s="28"/>
      <c r="GH116" s="28"/>
      <c r="GI116" s="28"/>
      <c r="GJ116" s="28"/>
      <c r="GK116" s="28"/>
      <c r="GL116" s="28"/>
    </row>
    <row r="117" spans="1:194"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8"/>
      <c r="EY117" s="28"/>
      <c r="EZ117" s="28"/>
      <c r="FA117" s="28"/>
      <c r="FB117" s="28"/>
      <c r="FC117" s="28"/>
      <c r="FD117" s="28"/>
      <c r="FE117" s="28"/>
      <c r="FF117" s="28"/>
      <c r="FG117" s="28"/>
      <c r="FH117" s="28"/>
      <c r="FI117" s="28"/>
      <c r="FJ117" s="28"/>
      <c r="FK117" s="28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8"/>
      <c r="FX117" s="28"/>
      <c r="FY117" s="28"/>
      <c r="FZ117" s="28"/>
      <c r="GA117" s="28"/>
      <c r="GB117" s="28"/>
      <c r="GC117" s="28"/>
      <c r="GD117" s="28"/>
      <c r="GE117" s="28"/>
      <c r="GF117" s="28"/>
      <c r="GG117" s="28"/>
      <c r="GH117" s="28"/>
      <c r="GI117" s="28"/>
      <c r="GJ117" s="28"/>
      <c r="GK117" s="28"/>
      <c r="GL117" s="28"/>
    </row>
    <row r="118" spans="1:194"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  <c r="FD118" s="28"/>
      <c r="FE118" s="28"/>
      <c r="FF118" s="28"/>
      <c r="FG118" s="28"/>
      <c r="FH118" s="28"/>
      <c r="FI118" s="28"/>
      <c r="FJ118" s="28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  <c r="GG118" s="28"/>
      <c r="GH118" s="28"/>
      <c r="GI118" s="28"/>
      <c r="GJ118" s="28"/>
      <c r="GK118" s="28"/>
      <c r="GL118" s="28"/>
    </row>
    <row r="119" spans="1:194">
      <c r="A119" s="29" t="s">
        <v>54</v>
      </c>
      <c r="B119" s="23"/>
      <c r="C119" s="23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8"/>
      <c r="EY119" s="28"/>
      <c r="EZ119" s="28"/>
      <c r="FA119" s="28"/>
      <c r="FB119" s="28"/>
      <c r="FC119" s="28"/>
      <c r="FD119" s="28"/>
      <c r="FE119" s="28"/>
      <c r="FF119" s="28"/>
      <c r="FG119" s="28"/>
      <c r="FH119" s="28"/>
      <c r="FI119" s="28"/>
      <c r="FJ119" s="28"/>
      <c r="FK119" s="28"/>
      <c r="FL119" s="28"/>
      <c r="FM119" s="28"/>
      <c r="FN119" s="28"/>
      <c r="FO119" s="28"/>
      <c r="FP119" s="28"/>
      <c r="FQ119" s="28"/>
      <c r="FR119" s="28"/>
      <c r="FS119" s="28"/>
      <c r="FT119" s="28"/>
      <c r="FU119" s="28"/>
      <c r="FV119" s="28"/>
      <c r="FW119" s="28"/>
      <c r="FX119" s="28"/>
      <c r="FY119" s="28"/>
      <c r="FZ119" s="28"/>
      <c r="GA119" s="28"/>
      <c r="GB119" s="28"/>
      <c r="GC119" s="28"/>
      <c r="GD119" s="28"/>
      <c r="GE119" s="28"/>
      <c r="GF119" s="28"/>
      <c r="GG119" s="28"/>
      <c r="GH119" s="28"/>
      <c r="GI119" s="28"/>
      <c r="GJ119" s="28"/>
      <c r="GK119" s="28"/>
      <c r="GL119" s="28"/>
    </row>
    <row r="120" spans="1:194">
      <c r="A120" s="29" t="s">
        <v>55</v>
      </c>
      <c r="B120" s="23"/>
      <c r="C120" s="23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  <c r="GI120" s="28"/>
      <c r="GJ120" s="28"/>
      <c r="GK120" s="28"/>
      <c r="GL120" s="28"/>
    </row>
    <row r="121" spans="1:194">
      <c r="A121" s="29" t="s">
        <v>56</v>
      </c>
      <c r="B121" s="23"/>
      <c r="C121" s="23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  <c r="FD121" s="28"/>
      <c r="FE121" s="28"/>
      <c r="FF121" s="28"/>
      <c r="FG121" s="28"/>
      <c r="FH121" s="28"/>
      <c r="FI121" s="28"/>
      <c r="FJ121" s="28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  <c r="GG121" s="28"/>
      <c r="GH121" s="28"/>
      <c r="GI121" s="28"/>
      <c r="GJ121" s="28"/>
      <c r="GK121" s="28"/>
      <c r="GL121" s="28"/>
    </row>
    <row r="122" spans="1:194">
      <c r="A122" s="29" t="s">
        <v>57</v>
      </c>
      <c r="B122" s="23"/>
      <c r="C122" s="23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  <c r="EV122" s="28"/>
      <c r="EW122" s="28"/>
      <c r="EX122" s="28"/>
      <c r="EY122" s="28"/>
      <c r="EZ122" s="28"/>
      <c r="FA122" s="28"/>
      <c r="FB122" s="28"/>
      <c r="FC122" s="28"/>
      <c r="FD122" s="28"/>
      <c r="FE122" s="28"/>
      <c r="FF122" s="28"/>
      <c r="FG122" s="28"/>
      <c r="FH122" s="28"/>
      <c r="FI122" s="28"/>
      <c r="FJ122" s="28"/>
      <c r="FK122" s="28"/>
      <c r="FL122" s="28"/>
      <c r="FM122" s="28"/>
      <c r="FN122" s="28"/>
      <c r="FO122" s="28"/>
      <c r="FP122" s="28"/>
      <c r="FQ122" s="28"/>
      <c r="FR122" s="28"/>
      <c r="FS122" s="28"/>
      <c r="FT122" s="28"/>
      <c r="FU122" s="28"/>
      <c r="FV122" s="28"/>
      <c r="FW122" s="28"/>
      <c r="FX122" s="28"/>
      <c r="FY122" s="28"/>
      <c r="FZ122" s="28"/>
      <c r="GA122" s="28"/>
      <c r="GB122" s="28"/>
      <c r="GC122" s="28"/>
      <c r="GD122" s="28"/>
      <c r="GE122" s="28"/>
      <c r="GF122" s="28"/>
      <c r="GG122" s="28"/>
      <c r="GH122" s="28"/>
      <c r="GI122" s="28"/>
      <c r="GJ122" s="28"/>
      <c r="GK122" s="28"/>
      <c r="GL122" s="28"/>
    </row>
    <row r="123" spans="1:194">
      <c r="A123" s="29" t="s">
        <v>58</v>
      </c>
      <c r="B123" s="23"/>
      <c r="C123" s="23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  <c r="GE123" s="28"/>
      <c r="GF123" s="28"/>
      <c r="GG123" s="28"/>
      <c r="GH123" s="28"/>
      <c r="GI123" s="28"/>
      <c r="GJ123" s="28"/>
      <c r="GK123" s="28"/>
      <c r="GL123" s="28"/>
    </row>
    <row r="124" spans="1:194">
      <c r="A124" s="29" t="s">
        <v>59</v>
      </c>
      <c r="B124" s="23"/>
      <c r="C124" s="23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  <c r="EN124" s="28"/>
      <c r="EO124" s="28"/>
      <c r="EP124" s="28"/>
      <c r="EQ124" s="28"/>
      <c r="ER124" s="28"/>
      <c r="ES124" s="28"/>
      <c r="ET124" s="28"/>
      <c r="EU124" s="28"/>
      <c r="EV124" s="28"/>
      <c r="EW124" s="28"/>
      <c r="EX124" s="28"/>
      <c r="EY124" s="28"/>
      <c r="EZ124" s="28"/>
      <c r="FA124" s="28"/>
      <c r="FB124" s="28"/>
      <c r="FC124" s="28"/>
      <c r="FD124" s="28"/>
      <c r="FE124" s="28"/>
      <c r="FF124" s="28"/>
      <c r="FG124" s="28"/>
      <c r="FH124" s="28"/>
      <c r="FI124" s="28"/>
      <c r="FJ124" s="28"/>
      <c r="FK124" s="28"/>
      <c r="FL124" s="28"/>
      <c r="FM124" s="28"/>
      <c r="FN124" s="28"/>
      <c r="FO124" s="28"/>
      <c r="FP124" s="28"/>
      <c r="FQ124" s="28"/>
      <c r="FR124" s="28"/>
      <c r="FS124" s="28"/>
      <c r="FT124" s="28"/>
      <c r="FU124" s="28"/>
      <c r="FV124" s="28"/>
      <c r="FW124" s="28"/>
      <c r="FX124" s="28"/>
      <c r="FY124" s="28"/>
      <c r="FZ124" s="28"/>
      <c r="GA124" s="28"/>
      <c r="GB124" s="28"/>
      <c r="GC124" s="28"/>
      <c r="GD124" s="28"/>
      <c r="GE124" s="28"/>
      <c r="GF124" s="28"/>
      <c r="GG124" s="28"/>
      <c r="GH124" s="28"/>
      <c r="GI124" s="28"/>
      <c r="GJ124" s="28"/>
      <c r="GK124" s="28"/>
      <c r="GL124" s="28"/>
    </row>
    <row r="125" spans="1:194"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  <c r="ET125" s="28"/>
      <c r="EU125" s="28"/>
      <c r="EV125" s="28"/>
      <c r="EW125" s="28"/>
      <c r="EX125" s="28"/>
      <c r="EY125" s="28"/>
      <c r="EZ125" s="28"/>
      <c r="FA125" s="28"/>
      <c r="FB125" s="28"/>
      <c r="FC125" s="28"/>
      <c r="FD125" s="28"/>
      <c r="FE125" s="28"/>
      <c r="FF125" s="28"/>
      <c r="FG125" s="28"/>
      <c r="FH125" s="28"/>
      <c r="FI125" s="28"/>
      <c r="FJ125" s="28"/>
      <c r="FK125" s="28"/>
      <c r="FL125" s="28"/>
      <c r="FM125" s="28"/>
      <c r="FN125" s="28"/>
      <c r="FO125" s="28"/>
      <c r="FP125" s="28"/>
      <c r="FQ125" s="28"/>
      <c r="FR125" s="28"/>
      <c r="FS125" s="28"/>
      <c r="FT125" s="28"/>
      <c r="FU125" s="28"/>
      <c r="FV125" s="28"/>
      <c r="FW125" s="28"/>
      <c r="FX125" s="28"/>
      <c r="FY125" s="28"/>
      <c r="FZ125" s="28"/>
      <c r="GA125" s="28"/>
      <c r="GB125" s="28"/>
      <c r="GC125" s="28"/>
      <c r="GD125" s="28"/>
      <c r="GE125" s="28"/>
      <c r="GF125" s="28"/>
      <c r="GG125" s="28"/>
      <c r="GH125" s="28"/>
      <c r="GI125" s="28"/>
      <c r="GJ125" s="28"/>
      <c r="GK125" s="28"/>
      <c r="GL125" s="28"/>
    </row>
    <row r="126" spans="1:194"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28"/>
      <c r="EZ126" s="28"/>
      <c r="FA126" s="28"/>
      <c r="FB126" s="28"/>
      <c r="FC126" s="28"/>
      <c r="FD126" s="28"/>
      <c r="FE126" s="28"/>
      <c r="FF126" s="28"/>
      <c r="FG126" s="28"/>
      <c r="FH126" s="28"/>
      <c r="FI126" s="28"/>
      <c r="FJ126" s="28"/>
      <c r="FK126" s="28"/>
      <c r="FL126" s="28"/>
      <c r="FM126" s="28"/>
      <c r="FN126" s="28"/>
      <c r="FO126" s="28"/>
      <c r="FP126" s="28"/>
      <c r="FQ126" s="28"/>
      <c r="FR126" s="28"/>
      <c r="FS126" s="28"/>
      <c r="FT126" s="28"/>
      <c r="FU126" s="28"/>
      <c r="FV126" s="28"/>
      <c r="FW126" s="28"/>
      <c r="FX126" s="28"/>
      <c r="FY126" s="28"/>
      <c r="FZ126" s="28"/>
      <c r="GA126" s="28"/>
      <c r="GB126" s="28"/>
      <c r="GC126" s="28"/>
      <c r="GD126" s="28"/>
      <c r="GE126" s="28"/>
      <c r="GF126" s="28"/>
      <c r="GG126" s="28"/>
      <c r="GH126" s="28"/>
      <c r="GI126" s="28"/>
      <c r="GJ126" s="28"/>
      <c r="GK126" s="28"/>
      <c r="GL126" s="28"/>
    </row>
    <row r="128" spans="1:194">
      <c r="B128" s="27"/>
      <c r="C128" s="33"/>
    </row>
    <row r="129" spans="2:3">
      <c r="B129" s="27"/>
      <c r="C129" s="33"/>
    </row>
    <row r="130" spans="2:3">
      <c r="B130" s="27"/>
      <c r="C130" s="33"/>
    </row>
  </sheetData>
  <sheetProtection selectLockedCells="1" selectUnlockedCells="1"/>
  <autoFilter ref="A5:AN102">
    <filterColumn colId="35" showButton="0"/>
    <sortState ref="A8:AN97">
      <sortCondition ref="B5:B97"/>
    </sortState>
  </autoFilter>
  <mergeCells count="37">
    <mergeCell ref="A111:B111"/>
    <mergeCell ref="AN5:AN6"/>
    <mergeCell ref="A106:B106"/>
    <mergeCell ref="AI5:AI6"/>
    <mergeCell ref="AJ5:AK5"/>
    <mergeCell ref="AL5:AL6"/>
    <mergeCell ref="AM5:AM6"/>
    <mergeCell ref="AB5:AB6"/>
    <mergeCell ref="AC5:AC6"/>
    <mergeCell ref="AD5:AD6"/>
    <mergeCell ref="AE5:AE6"/>
    <mergeCell ref="AF5:AF6"/>
    <mergeCell ref="AG5:AG6"/>
    <mergeCell ref="V5:V6"/>
    <mergeCell ref="W5:W6"/>
    <mergeCell ref="X5:X6"/>
    <mergeCell ref="Y5:Y6"/>
    <mergeCell ref="Z5:Z6"/>
    <mergeCell ref="AA5:AA6"/>
    <mergeCell ref="N5:N6"/>
    <mergeCell ref="O5:O6"/>
    <mergeCell ref="P5:P6"/>
    <mergeCell ref="Q5:Q6"/>
    <mergeCell ref="R5:R6"/>
    <mergeCell ref="U5:U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43</v>
      </c>
    </row>
    <row r="7" spans="1:3">
      <c r="B7" t="s">
        <v>42</v>
      </c>
      <c r="C7" t="s">
        <v>41</v>
      </c>
    </row>
    <row r="8" spans="1:3">
      <c r="A8" t="s">
        <v>39</v>
      </c>
      <c r="B8" s="4">
        <v>14667.23</v>
      </c>
      <c r="C8" s="4">
        <f>+B8/24</f>
        <v>611.13458333333335</v>
      </c>
    </row>
    <row r="9" spans="1:3">
      <c r="A9" t="s">
        <v>40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A46" sqref="A46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44</v>
      </c>
      <c r="B3" s="3"/>
    </row>
    <row r="5" spans="1:7">
      <c r="C5" s="4">
        <v>73.400000000000006</v>
      </c>
      <c r="D5" s="11" t="s">
        <v>50</v>
      </c>
    </row>
    <row r="6" spans="1:7" ht="15">
      <c r="A6" s="5" t="s">
        <v>5</v>
      </c>
      <c r="B6" s="5" t="s">
        <v>47</v>
      </c>
      <c r="C6" s="6" t="s">
        <v>45</v>
      </c>
      <c r="G6" s="4">
        <v>316.81</v>
      </c>
    </row>
    <row r="7" spans="1:7" ht="15">
      <c r="A7" s="5" t="s">
        <v>10</v>
      </c>
      <c r="B7" s="5" t="s">
        <v>49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48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49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49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49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48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48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49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49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49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49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49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51</v>
      </c>
    </row>
    <row r="19" spans="1:7" ht="15">
      <c r="A19" s="5" t="s">
        <v>8</v>
      </c>
      <c r="B19" s="5" t="s">
        <v>49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46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48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49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49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49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49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49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L1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3" sqref="C23"/>
    </sheetView>
  </sheetViews>
  <sheetFormatPr baseColWidth="10" defaultColWidth="11.5703125" defaultRowHeight="15"/>
  <cols>
    <col min="1" max="1" width="28.7109375" style="29" customWidth="1"/>
    <col min="2" max="2" width="39.140625" style="29" customWidth="1"/>
    <col min="3" max="3" width="8.140625" style="29" bestFit="1" customWidth="1"/>
    <col min="4" max="4" width="8.85546875" style="29" customWidth="1"/>
    <col min="5" max="5" width="31.5703125" style="29" customWidth="1"/>
    <col min="6" max="6" width="20.140625" style="29" bestFit="1" customWidth="1"/>
    <col min="7" max="7" width="13" style="29" bestFit="1" customWidth="1"/>
    <col min="8" max="8" width="11.7109375" style="29" customWidth="1"/>
    <col min="9" max="9" width="17.140625" style="23" customWidth="1"/>
    <col min="10" max="10" width="11.7109375" style="29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4" hidden="1" customWidth="1"/>
    <col min="36" max="37" width="11.5703125" style="4" hidden="1" customWidth="1"/>
    <col min="38" max="38" width="13.85546875" style="29" hidden="1" customWidth="1"/>
    <col min="39" max="39" width="13.85546875" style="29" customWidth="1"/>
    <col min="40" max="40" width="38.28515625" style="29" bestFit="1" customWidth="1"/>
    <col min="41" max="54" width="11.5703125" style="28"/>
    <col min="55" max="16384" width="11.5703125" style="29"/>
  </cols>
  <sheetData>
    <row r="1" spans="1:194" s="17" customFormat="1">
      <c r="A1" s="12" t="s">
        <v>22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36"/>
      <c r="AJ1" s="36"/>
      <c r="AK1" s="3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194" s="17" customFormat="1">
      <c r="A2" s="18" t="s">
        <v>73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36"/>
      <c r="AJ2" s="36"/>
      <c r="AK2" s="3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194" s="17" customFormat="1">
      <c r="A3" s="20" t="s">
        <v>219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36"/>
      <c r="AJ3" s="36"/>
      <c r="AK3" s="3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194" s="22" customFormat="1">
      <c r="A4" s="22" t="s">
        <v>218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4"/>
      <c r="AJ4" s="4"/>
      <c r="AK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194" s="22" customFormat="1" ht="28.5" customHeight="1">
      <c r="A5" s="137" t="s">
        <v>36</v>
      </c>
      <c r="B5" s="139" t="s">
        <v>37</v>
      </c>
      <c r="C5" s="137"/>
      <c r="D5" s="139" t="s">
        <v>38</v>
      </c>
      <c r="E5" s="139" t="s">
        <v>0</v>
      </c>
      <c r="F5" s="137" t="s">
        <v>183</v>
      </c>
      <c r="G5" s="141" t="s">
        <v>64</v>
      </c>
      <c r="H5" s="141" t="s">
        <v>62</v>
      </c>
      <c r="I5" s="143" t="s">
        <v>63</v>
      </c>
      <c r="J5" s="135" t="s">
        <v>65</v>
      </c>
      <c r="K5" s="141" t="s">
        <v>31</v>
      </c>
      <c r="L5" s="135" t="s">
        <v>72</v>
      </c>
      <c r="M5" s="75"/>
      <c r="N5" s="141" t="s">
        <v>32</v>
      </c>
      <c r="O5" s="141" t="s">
        <v>33</v>
      </c>
      <c r="P5" s="141" t="s">
        <v>60</v>
      </c>
      <c r="Q5" s="141" t="s">
        <v>34</v>
      </c>
      <c r="R5" s="141" t="s">
        <v>35</v>
      </c>
      <c r="S5" s="74"/>
      <c r="T5" s="145" t="s">
        <v>145</v>
      </c>
      <c r="U5" s="145" t="s">
        <v>164</v>
      </c>
      <c r="V5" s="145" t="s">
        <v>163</v>
      </c>
      <c r="W5" s="145" t="s">
        <v>146</v>
      </c>
      <c r="X5" s="141" t="s">
        <v>28</v>
      </c>
      <c r="Y5" s="141" t="s">
        <v>53</v>
      </c>
      <c r="Z5" s="141" t="s">
        <v>52</v>
      </c>
      <c r="AA5" s="141" t="s">
        <v>30</v>
      </c>
      <c r="AB5" s="141" t="s">
        <v>61</v>
      </c>
      <c r="AC5" s="141" t="s">
        <v>25</v>
      </c>
      <c r="AD5" s="141" t="s">
        <v>29</v>
      </c>
      <c r="AE5" s="141" t="s">
        <v>24</v>
      </c>
      <c r="AF5" s="141" t="s">
        <v>26</v>
      </c>
      <c r="AG5" s="73"/>
      <c r="AH5" s="141" t="s">
        <v>27</v>
      </c>
      <c r="AI5" s="153" t="s">
        <v>147</v>
      </c>
      <c r="AJ5" s="154"/>
      <c r="AK5" s="152" t="s">
        <v>148</v>
      </c>
      <c r="AL5" s="148" t="s">
        <v>191</v>
      </c>
      <c r="AM5" s="71"/>
      <c r="AN5" s="148" t="s">
        <v>192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194" s="32" customFormat="1" ht="39" customHeight="1">
      <c r="A6" s="138"/>
      <c r="B6" s="140"/>
      <c r="C6" s="138"/>
      <c r="D6" s="140"/>
      <c r="E6" s="140"/>
      <c r="F6" s="138"/>
      <c r="G6" s="142"/>
      <c r="H6" s="142"/>
      <c r="I6" s="144"/>
      <c r="J6" s="136"/>
      <c r="K6" s="142"/>
      <c r="L6" s="136"/>
      <c r="M6" s="76" t="s">
        <v>207</v>
      </c>
      <c r="N6" s="142"/>
      <c r="O6" s="142"/>
      <c r="P6" s="142"/>
      <c r="Q6" s="142"/>
      <c r="R6" s="142"/>
      <c r="S6" s="40" t="s">
        <v>205</v>
      </c>
      <c r="T6" s="146"/>
      <c r="U6" s="146"/>
      <c r="V6" s="146"/>
      <c r="W6" s="146"/>
      <c r="X6" s="142"/>
      <c r="Y6" s="142"/>
      <c r="Z6" s="142"/>
      <c r="AA6" s="142"/>
      <c r="AB6" s="142"/>
      <c r="AC6" s="142"/>
      <c r="AD6" s="142"/>
      <c r="AE6" s="142"/>
      <c r="AF6" s="142"/>
      <c r="AG6" s="74"/>
      <c r="AH6" s="142"/>
      <c r="AI6" s="41" t="s">
        <v>63</v>
      </c>
      <c r="AJ6" s="41" t="s">
        <v>65</v>
      </c>
      <c r="AK6" s="152"/>
      <c r="AL6" s="148"/>
      <c r="AM6" s="71" t="s">
        <v>220</v>
      </c>
      <c r="AN6" s="148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</row>
    <row r="7" spans="1:194">
      <c r="AH7" s="24" t="e">
        <f>#REF!*0.16</f>
        <v>#REF!</v>
      </c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</row>
    <row r="8" spans="1:194">
      <c r="A8" s="149" t="s">
        <v>209</v>
      </c>
      <c r="B8" s="149"/>
      <c r="C8" s="72"/>
      <c r="D8" s="46"/>
      <c r="E8" s="46"/>
      <c r="F8" s="46"/>
      <c r="G8" s="46"/>
      <c r="H8" s="46"/>
      <c r="I8" s="48"/>
      <c r="J8" s="46"/>
      <c r="K8" s="48"/>
      <c r="L8" s="48"/>
      <c r="M8" s="48"/>
      <c r="N8" s="48"/>
      <c r="O8" s="48"/>
      <c r="P8" s="48"/>
      <c r="Q8" s="64"/>
      <c r="R8" s="48"/>
      <c r="S8" s="48"/>
      <c r="T8" s="58"/>
      <c r="U8" s="58"/>
      <c r="V8" s="58"/>
      <c r="W8" s="58"/>
      <c r="X8" s="48"/>
      <c r="Y8" s="48"/>
      <c r="Z8" s="48"/>
      <c r="AA8" s="48"/>
      <c r="AB8" s="64"/>
      <c r="AC8" s="48"/>
      <c r="AD8" s="64"/>
      <c r="AE8" s="48"/>
      <c r="AF8" s="48"/>
      <c r="AG8" s="48"/>
      <c r="AH8" s="64" t="e">
        <f>+#REF!+AH7</f>
        <v>#REF!</v>
      </c>
      <c r="AI8" s="66"/>
      <c r="AJ8" s="66"/>
      <c r="AK8" s="66"/>
      <c r="AL8" s="46"/>
      <c r="AM8" s="46"/>
      <c r="AN8" s="46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</row>
    <row r="9" spans="1:194" hidden="1">
      <c r="A9" s="59"/>
      <c r="B9" s="46" t="s">
        <v>210</v>
      </c>
      <c r="C9" s="46"/>
      <c r="D9" s="47"/>
      <c r="E9" s="46"/>
      <c r="F9" s="46"/>
      <c r="G9" s="46"/>
      <c r="H9" s="46"/>
      <c r="I9" s="48"/>
      <c r="J9" s="46"/>
      <c r="K9" s="48"/>
      <c r="L9" s="77">
        <v>533.29999999999995</v>
      </c>
      <c r="M9" s="48"/>
      <c r="N9" s="48"/>
      <c r="O9" s="48"/>
      <c r="P9" s="48"/>
      <c r="Q9" s="50">
        <f>SUM(K9:P9)</f>
        <v>533.29999999999995</v>
      </c>
      <c r="R9" s="51"/>
      <c r="S9" s="51"/>
      <c r="T9" s="58"/>
      <c r="U9" s="56">
        <f>Q9*4.9%</f>
        <v>26.131699999999999</v>
      </c>
      <c r="V9" s="56">
        <f>Q9*1%</f>
        <v>5.3329999999999993</v>
      </c>
      <c r="W9" s="58"/>
      <c r="X9" s="68"/>
      <c r="Y9" s="68"/>
      <c r="Z9" s="68"/>
      <c r="AA9" s="68"/>
      <c r="AB9" s="50">
        <f>+Q9-R9</f>
        <v>533.29999999999995</v>
      </c>
      <c r="AC9" s="52">
        <f>+AB9*0.05</f>
        <v>26.664999999999999</v>
      </c>
      <c r="AD9" s="50">
        <f>+AB9-X9-AA9</f>
        <v>533.29999999999995</v>
      </c>
      <c r="AE9" s="53">
        <f>IF(AB9&lt;3000,AB9*0.1,0)</f>
        <v>53.33</v>
      </c>
      <c r="AF9" s="52">
        <v>0</v>
      </c>
      <c r="AG9" s="52"/>
      <c r="AH9" s="50">
        <f>+AB9+AE9+AF9</f>
        <v>586.63</v>
      </c>
      <c r="AI9" s="69"/>
      <c r="AJ9" s="69"/>
      <c r="AK9" s="69"/>
      <c r="AL9" s="46"/>
      <c r="AM9" s="46"/>
      <c r="AN9" s="46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</row>
    <row r="10" spans="1:194">
      <c r="AH10" s="24">
        <f>SUM(AH9:AH9)</f>
        <v>586.63</v>
      </c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</row>
    <row r="11" spans="1:194">
      <c r="B11" s="30"/>
      <c r="C11" s="30"/>
      <c r="D11" s="30"/>
      <c r="AH11" s="24">
        <f>+AH10*0.16</f>
        <v>93.860799999999998</v>
      </c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</row>
    <row r="12" spans="1:194">
      <c r="B12" s="30"/>
      <c r="C12" s="30"/>
      <c r="D12" s="30"/>
      <c r="AH12" s="24">
        <f>+AH10+AH11</f>
        <v>680.49080000000004</v>
      </c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</row>
    <row r="13" spans="1:194">
      <c r="B13" s="30"/>
      <c r="C13" s="30"/>
      <c r="D13" s="30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</row>
    <row r="14" spans="1:194">
      <c r="B14" s="30"/>
      <c r="C14" s="30"/>
      <c r="D14" s="30"/>
      <c r="AH14" s="24" t="e">
        <f>+AH8+AH12</f>
        <v>#REF!</v>
      </c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</row>
    <row r="15" spans="1:194"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</row>
    <row r="16" spans="1:194"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</row>
    <row r="17" spans="55:194"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</row>
    <row r="18" spans="55:194"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</row>
    <row r="19" spans="55:194"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</row>
  </sheetData>
  <sheetProtection selectLockedCells="1" selectUnlockedCells="1"/>
  <autoFilter ref="A5:AN6">
    <filterColumn colId="34" showButton="0"/>
    <sortState ref="A8:AN94">
      <sortCondition ref="B5:B94"/>
    </sortState>
  </autoFilter>
  <mergeCells count="36">
    <mergeCell ref="AH5:AH6"/>
    <mergeCell ref="AI5:AJ5"/>
    <mergeCell ref="AK5:AK6"/>
    <mergeCell ref="AL5:AL6"/>
    <mergeCell ref="AN5:AN6"/>
    <mergeCell ref="A8:B8"/>
    <mergeCell ref="AA5:AA6"/>
    <mergeCell ref="AB5:AB6"/>
    <mergeCell ref="AC5:AC6"/>
    <mergeCell ref="AD5:AD6"/>
    <mergeCell ref="N5:N6"/>
    <mergeCell ref="O5:O6"/>
    <mergeCell ref="P5:P6"/>
    <mergeCell ref="Q5:Q6"/>
    <mergeCell ref="R5:R6"/>
    <mergeCell ref="T5:T6"/>
    <mergeCell ref="G5:G6"/>
    <mergeCell ref="H5:H6"/>
    <mergeCell ref="I5:I6"/>
    <mergeCell ref="J5:J6"/>
    <mergeCell ref="K5:K6"/>
    <mergeCell ref="AE5:AE6"/>
    <mergeCell ref="AF5:AF6"/>
    <mergeCell ref="U5:U6"/>
    <mergeCell ref="V5:V6"/>
    <mergeCell ref="W5:W6"/>
    <mergeCell ref="X5:X6"/>
    <mergeCell ref="Y5:Y6"/>
    <mergeCell ref="Z5:Z6"/>
    <mergeCell ref="L5:L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NOMINA</vt:lpstr>
      <vt:lpstr>descuentos</vt:lpstr>
      <vt:lpstr>INFONAVIT</vt:lpstr>
      <vt:lpstr>COMPLEMENTO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2016-08-04T23:53:47Z</dcterms:modified>
</cp:coreProperties>
</file>