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NOMINA'!$A$5:$AN$99</definedName>
  </definedNames>
  <calcPr calcId="124519"/>
</workbook>
</file>

<file path=xl/calcChain.xml><?xml version="1.0" encoding="utf-8"?>
<calcChain xmlns="http://schemas.openxmlformats.org/spreadsheetml/2006/main">
  <c r="L77" i="4"/>
  <c r="Q59"/>
  <c r="L43" l="1"/>
  <c r="L17"/>
  <c r="L58"/>
  <c r="L92"/>
  <c r="L14"/>
  <c r="L25"/>
  <c r="L69"/>
  <c r="L66"/>
  <c r="L72"/>
  <c r="L62"/>
  <c r="L74"/>
  <c r="L27"/>
  <c r="L54"/>
  <c r="L98"/>
  <c r="L24"/>
  <c r="L85"/>
  <c r="L90"/>
  <c r="L42"/>
  <c r="L11"/>
  <c r="L33"/>
  <c r="L48"/>
  <c r="L18"/>
  <c r="L96"/>
  <c r="L9"/>
  <c r="L84"/>
  <c r="L52"/>
  <c r="L95"/>
  <c r="L53"/>
  <c r="L104"/>
  <c r="L68"/>
  <c r="L67"/>
  <c r="L19"/>
  <c r="L80"/>
  <c r="L75"/>
  <c r="L31"/>
  <c r="K49" l="1"/>
  <c r="Q49" s="1"/>
  <c r="AF49" s="1"/>
  <c r="AH49"/>
  <c r="AH25"/>
  <c r="K25"/>
  <c r="Q25" s="1"/>
  <c r="AF25" s="1"/>
  <c r="K88"/>
  <c r="Q88" s="1"/>
  <c r="AC88" s="1"/>
  <c r="K89"/>
  <c r="K90"/>
  <c r="K91"/>
  <c r="K92"/>
  <c r="K93"/>
  <c r="K94"/>
  <c r="K95"/>
  <c r="K96"/>
  <c r="K97"/>
  <c r="K98"/>
  <c r="K74"/>
  <c r="K75"/>
  <c r="K76"/>
  <c r="K77"/>
  <c r="K78"/>
  <c r="K79"/>
  <c r="K66"/>
  <c r="K62"/>
  <c r="K34"/>
  <c r="K35"/>
  <c r="K36"/>
  <c r="K37"/>
  <c r="K31"/>
  <c r="K24"/>
  <c r="K8"/>
  <c r="K9"/>
  <c r="K10"/>
  <c r="K11"/>
  <c r="K12"/>
  <c r="K13"/>
  <c r="K14"/>
  <c r="K15"/>
  <c r="K16"/>
  <c r="K17"/>
  <c r="K18"/>
  <c r="K19"/>
  <c r="K20"/>
  <c r="K21"/>
  <c r="K22"/>
  <c r="K23"/>
  <c r="K26"/>
  <c r="K27"/>
  <c r="AH88"/>
  <c r="AI49" l="1"/>
  <c r="AC49"/>
  <c r="AD49"/>
  <c r="AI25"/>
  <c r="AC25"/>
  <c r="AE25" s="1"/>
  <c r="AD25"/>
  <c r="AF88"/>
  <c r="AI88" s="1"/>
  <c r="AD88"/>
  <c r="AE88" s="1"/>
  <c r="AH36"/>
  <c r="Q36"/>
  <c r="Q106"/>
  <c r="AC106" s="1"/>
  <c r="AE49" l="1"/>
  <c r="AF36"/>
  <c r="AI36" s="1"/>
  <c r="AC36"/>
  <c r="AD36"/>
  <c r="AE106"/>
  <c r="AF106"/>
  <c r="AI106" s="1"/>
  <c r="AD106"/>
  <c r="AE36" l="1"/>
  <c r="AL36" s="1"/>
  <c r="K48"/>
  <c r="Q48" s="1"/>
  <c r="V48" l="1"/>
  <c r="AH48" s="1"/>
  <c r="W48"/>
  <c r="AD48"/>
  <c r="AF48"/>
  <c r="K29"/>
  <c r="AI48" l="1"/>
  <c r="AC48"/>
  <c r="AE48" s="1"/>
  <c r="K28" l="1"/>
  <c r="AH76" l="1"/>
  <c r="Q76"/>
  <c r="AC76" s="1"/>
  <c r="AF76" l="1"/>
  <c r="AI76" s="1"/>
  <c r="AD76"/>
  <c r="AE76" s="1"/>
  <c r="K54" l="1"/>
  <c r="AH34"/>
  <c r="AH35"/>
  <c r="AH37"/>
  <c r="AH38"/>
  <c r="AH39"/>
  <c r="AH40"/>
  <c r="AH41"/>
  <c r="AH42"/>
  <c r="AH43"/>
  <c r="AH44"/>
  <c r="Q34"/>
  <c r="AC34" s="1"/>
  <c r="Q37"/>
  <c r="AD37" s="1"/>
  <c r="AC37" l="1"/>
  <c r="AE37" s="1"/>
  <c r="AF34"/>
  <c r="AI34" s="1"/>
  <c r="AF37"/>
  <c r="AI37" s="1"/>
  <c r="AD34"/>
  <c r="AE34" s="1"/>
  <c r="K63"/>
  <c r="K64"/>
  <c r="K44" l="1"/>
  <c r="Q44" s="1"/>
  <c r="K71"/>
  <c r="AF44" l="1"/>
  <c r="AI44" s="1"/>
  <c r="AC44"/>
  <c r="AD44"/>
  <c r="K68"/>
  <c r="AE44" l="1"/>
  <c r="K53"/>
  <c r="K52"/>
  <c r="K42"/>
  <c r="Q42" s="1"/>
  <c r="K39"/>
  <c r="Q39" s="1"/>
  <c r="AC42" l="1"/>
  <c r="AD42"/>
  <c r="AF42"/>
  <c r="AI42" s="1"/>
  <c r="AC39"/>
  <c r="AD39"/>
  <c r="AF39"/>
  <c r="AI39" s="1"/>
  <c r="K33"/>
  <c r="AE42" l="1"/>
  <c r="AE39"/>
  <c r="AH94" l="1"/>
  <c r="Q94"/>
  <c r="K40"/>
  <c r="Q40" s="1"/>
  <c r="AH32"/>
  <c r="K32"/>
  <c r="Q32" s="1"/>
  <c r="AF32" s="1"/>
  <c r="AH71"/>
  <c r="Q71"/>
  <c r="Q18"/>
  <c r="AF40" l="1"/>
  <c r="AI40" s="1"/>
  <c r="AC40"/>
  <c r="AD40"/>
  <c r="AC18"/>
  <c r="AF18"/>
  <c r="AC94"/>
  <c r="AF94"/>
  <c r="AI94" s="1"/>
  <c r="AD71"/>
  <c r="AF71"/>
  <c r="AI71" s="1"/>
  <c r="AD94"/>
  <c r="AD32"/>
  <c r="AC32"/>
  <c r="AI32"/>
  <c r="AC71"/>
  <c r="AH79"/>
  <c r="Q79"/>
  <c r="AF79" s="1"/>
  <c r="AE40" l="1"/>
  <c r="AL40" s="1"/>
  <c r="AE94"/>
  <c r="AE71"/>
  <c r="AE32"/>
  <c r="AI79"/>
  <c r="AC79"/>
  <c r="AD79"/>
  <c r="AE79" l="1"/>
  <c r="AH18"/>
  <c r="AI18" s="1"/>
  <c r="AL39" l="1"/>
  <c r="AD18"/>
  <c r="AE18" s="1"/>
  <c r="AL18" s="1"/>
  <c r="AL94"/>
  <c r="AL32" l="1"/>
  <c r="AL71"/>
  <c r="AH86"/>
  <c r="K56"/>
  <c r="K84"/>
  <c r="K72"/>
  <c r="K67"/>
  <c r="I55"/>
  <c r="K55" s="1"/>
  <c r="AH69"/>
  <c r="K69"/>
  <c r="Q69" s="1"/>
  <c r="AF69" s="1"/>
  <c r="Q56" l="1"/>
  <c r="W56" s="1"/>
  <c r="AD56"/>
  <c r="Q62"/>
  <c r="AD69"/>
  <c r="AC69"/>
  <c r="AI69"/>
  <c r="AF56" l="1"/>
  <c r="V56"/>
  <c r="AH56" s="1"/>
  <c r="AH62"/>
  <c r="AF62"/>
  <c r="AD62"/>
  <c r="AE69"/>
  <c r="AL69" s="1"/>
  <c r="AI56" l="1"/>
  <c r="AC56"/>
  <c r="AE56" s="1"/>
  <c r="AL56" s="1"/>
  <c r="AC62"/>
  <c r="AE62" s="1"/>
  <c r="AL62" s="1"/>
  <c r="AI62"/>
  <c r="AH30" l="1"/>
  <c r="K30"/>
  <c r="Q30" s="1"/>
  <c r="AC30" l="1"/>
  <c r="AF30"/>
  <c r="AI30" s="1"/>
  <c r="AD30"/>
  <c r="AE30" l="1"/>
  <c r="AL30" l="1"/>
  <c r="AH16" l="1"/>
  <c r="AH77"/>
  <c r="Q16" l="1"/>
  <c r="AF16" s="1"/>
  <c r="AH73"/>
  <c r="K73"/>
  <c r="Q73" s="1"/>
  <c r="AF73" s="1"/>
  <c r="AC73" l="1"/>
  <c r="AI73"/>
  <c r="AI16"/>
  <c r="AC16"/>
  <c r="AD16"/>
  <c r="AD73"/>
  <c r="AE16" l="1"/>
  <c r="AL16" s="1"/>
  <c r="AE73"/>
  <c r="AL73" s="1"/>
  <c r="AL109" l="1"/>
  <c r="K41"/>
  <c r="Q41" s="1"/>
  <c r="AD41" l="1"/>
  <c r="AF41"/>
  <c r="AI41" s="1"/>
  <c r="AC41"/>
  <c r="AH87"/>
  <c r="K87"/>
  <c r="Q87" l="1"/>
  <c r="AF87" s="1"/>
  <c r="AE41"/>
  <c r="AD87" l="1"/>
  <c r="AC87"/>
  <c r="AE87" s="1"/>
  <c r="AL87" s="1"/>
  <c r="AI87"/>
  <c r="AL99" l="1"/>
  <c r="Q9" i="5" l="1"/>
  <c r="V9" s="1"/>
  <c r="U9" l="1"/>
  <c r="AB9"/>
  <c r="AE9" l="1"/>
  <c r="AH9" s="1"/>
  <c r="AH10" s="1"/>
  <c r="AC9"/>
  <c r="AD9"/>
  <c r="AH11" l="1"/>
  <c r="AH12" s="1"/>
  <c r="AH7" l="1"/>
  <c r="AH8" s="1"/>
  <c r="AH14" s="1"/>
  <c r="Q99" i="4" l="1"/>
  <c r="AD99" s="1"/>
  <c r="K61"/>
  <c r="Q61" s="1"/>
  <c r="AF61" l="1"/>
  <c r="V61"/>
  <c r="AH61" s="1"/>
  <c r="W61"/>
  <c r="AD61"/>
  <c r="AI61" l="1"/>
  <c r="AC61"/>
  <c r="AE61" s="1"/>
  <c r="AL61" s="1"/>
  <c r="AH23"/>
  <c r="Q75" l="1"/>
  <c r="AD75" l="1"/>
  <c r="AF75"/>
  <c r="Q23"/>
  <c r="AH99"/>
  <c r="AH63"/>
  <c r="AH91"/>
  <c r="AH98"/>
  <c r="AH97"/>
  <c r="AH96"/>
  <c r="AH93"/>
  <c r="AH92"/>
  <c r="AH90"/>
  <c r="AH89"/>
  <c r="AH85"/>
  <c r="AH82"/>
  <c r="AH81"/>
  <c r="AH74"/>
  <c r="AH72"/>
  <c r="AH70"/>
  <c r="AH66"/>
  <c r="AH64"/>
  <c r="AH60"/>
  <c r="AH59"/>
  <c r="AH58"/>
  <c r="AH57"/>
  <c r="AH54"/>
  <c r="AH55"/>
  <c r="AH50"/>
  <c r="AH47"/>
  <c r="AH46"/>
  <c r="AH45"/>
  <c r="AH29"/>
  <c r="AH28"/>
  <c r="AH27"/>
  <c r="AH26"/>
  <c r="AH24"/>
  <c r="AH22"/>
  <c r="AH20"/>
  <c r="AH17"/>
  <c r="AH15"/>
  <c r="AH12"/>
  <c r="AH13"/>
  <c r="AH11"/>
  <c r="AH10"/>
  <c r="AH8"/>
  <c r="AH7"/>
  <c r="AD23" l="1"/>
  <c r="AF23"/>
  <c r="AI23" s="1"/>
  <c r="AC23"/>
  <c r="V75"/>
  <c r="AH75" s="1"/>
  <c r="W75"/>
  <c r="Q63"/>
  <c r="AD63" l="1"/>
  <c r="AF63"/>
  <c r="AI63" s="1"/>
  <c r="AE23"/>
  <c r="AL23" s="1"/>
  <c r="AI75"/>
  <c r="AC75"/>
  <c r="AE75" s="1"/>
  <c r="AL75" s="1"/>
  <c r="AC63"/>
  <c r="AF99"/>
  <c r="AI99" s="1"/>
  <c r="Q74"/>
  <c r="AD74" l="1"/>
  <c r="AF74"/>
  <c r="AI74" s="1"/>
  <c r="AE63"/>
  <c r="AL63" s="1"/>
  <c r="AG101"/>
  <c r="AC74"/>
  <c r="Q105"/>
  <c r="AC105" s="1"/>
  <c r="Q104"/>
  <c r="AK101"/>
  <c r="AJ101"/>
  <c r="Y101"/>
  <c r="X101"/>
  <c r="R101"/>
  <c r="P101"/>
  <c r="O101"/>
  <c r="N101"/>
  <c r="Q91"/>
  <c r="Q77"/>
  <c r="Q98"/>
  <c r="Q96"/>
  <c r="Q95"/>
  <c r="Q93"/>
  <c r="Q90"/>
  <c r="Q89"/>
  <c r="K86"/>
  <c r="Q86" s="1"/>
  <c r="AF86" s="1"/>
  <c r="K85"/>
  <c r="Q85" s="1"/>
  <c r="Q84"/>
  <c r="K83"/>
  <c r="Q83" s="1"/>
  <c r="K82"/>
  <c r="Q82" s="1"/>
  <c r="K81"/>
  <c r="Q81" s="1"/>
  <c r="K80"/>
  <c r="Q80" s="1"/>
  <c r="Q78"/>
  <c r="Q72"/>
  <c r="K70"/>
  <c r="Q70" s="1"/>
  <c r="Q68"/>
  <c r="Q67"/>
  <c r="Q66"/>
  <c r="K65"/>
  <c r="Q65" s="1"/>
  <c r="Q64"/>
  <c r="K60"/>
  <c r="Q60" s="1"/>
  <c r="K59"/>
  <c r="K58"/>
  <c r="Q58" s="1"/>
  <c r="K57"/>
  <c r="Q57" s="1"/>
  <c r="Q54"/>
  <c r="Q53"/>
  <c r="Q52"/>
  <c r="K51"/>
  <c r="Q51" s="1"/>
  <c r="Q55"/>
  <c r="K50"/>
  <c r="Q50" s="1"/>
  <c r="K47"/>
  <c r="Q47" s="1"/>
  <c r="K46"/>
  <c r="Q46" s="1"/>
  <c r="K45"/>
  <c r="Q45" s="1"/>
  <c r="K43"/>
  <c r="Q43" s="1"/>
  <c r="K38"/>
  <c r="Q38" s="1"/>
  <c r="Q33"/>
  <c r="Q31"/>
  <c r="Q28"/>
  <c r="Q27"/>
  <c r="Q26"/>
  <c r="Q22"/>
  <c r="Q21"/>
  <c r="W21" s="1"/>
  <c r="Q20"/>
  <c r="Q19"/>
  <c r="Q15"/>
  <c r="Q14"/>
  <c r="Q13"/>
  <c r="Q11"/>
  <c r="Q10"/>
  <c r="Q9"/>
  <c r="Q8"/>
  <c r="K7"/>
  <c r="K101" s="1"/>
  <c r="AD105" l="1"/>
  <c r="AF105"/>
  <c r="AI105" s="1"/>
  <c r="AE105"/>
  <c r="V65"/>
  <c r="AH65" s="1"/>
  <c r="W65"/>
  <c r="V80"/>
  <c r="AH80" s="1"/>
  <c r="W80"/>
  <c r="Q35"/>
  <c r="AC38"/>
  <c r="AD38"/>
  <c r="AF38"/>
  <c r="AI38" s="1"/>
  <c r="AC43"/>
  <c r="AD43"/>
  <c r="AF43"/>
  <c r="AI43" s="1"/>
  <c r="AD70"/>
  <c r="AF70"/>
  <c r="AI70" s="1"/>
  <c r="AD55"/>
  <c r="AF55"/>
  <c r="AI55" s="1"/>
  <c r="AD46"/>
  <c r="AF46"/>
  <c r="AI46" s="1"/>
  <c r="AD47"/>
  <c r="AF47"/>
  <c r="AD59"/>
  <c r="AF59"/>
  <c r="AI59" s="1"/>
  <c r="AD64"/>
  <c r="AF64"/>
  <c r="AI64" s="1"/>
  <c r="AD22"/>
  <c r="AF22"/>
  <c r="AD60"/>
  <c r="AF60"/>
  <c r="AI60" s="1"/>
  <c r="AD45"/>
  <c r="AF45"/>
  <c r="AD50"/>
  <c r="AF50"/>
  <c r="AD57"/>
  <c r="AF57"/>
  <c r="AI57" s="1"/>
  <c r="AD58"/>
  <c r="AF58"/>
  <c r="AD26"/>
  <c r="AF26"/>
  <c r="AI26" s="1"/>
  <c r="AD13"/>
  <c r="AF13"/>
  <c r="AI13" s="1"/>
  <c r="AD8"/>
  <c r="AF8"/>
  <c r="AI8" s="1"/>
  <c r="AD10"/>
  <c r="AF10"/>
  <c r="AI10" s="1"/>
  <c r="AD20"/>
  <c r="AF20"/>
  <c r="AI20" s="1"/>
  <c r="AD14"/>
  <c r="AF14"/>
  <c r="AD72"/>
  <c r="AF72"/>
  <c r="AI72" s="1"/>
  <c r="AD27"/>
  <c r="AF27"/>
  <c r="AI27" s="1"/>
  <c r="AD11"/>
  <c r="AF11"/>
  <c r="AI11" s="1"/>
  <c r="AD19"/>
  <c r="AF19"/>
  <c r="AD67"/>
  <c r="AF67"/>
  <c r="AD65"/>
  <c r="AF65"/>
  <c r="AD21"/>
  <c r="AF21"/>
  <c r="AD9"/>
  <c r="AF9"/>
  <c r="AD51"/>
  <c r="AF51"/>
  <c r="AD31"/>
  <c r="AF31"/>
  <c r="AD66"/>
  <c r="AF66"/>
  <c r="AI66" s="1"/>
  <c r="AD54"/>
  <c r="AF54"/>
  <c r="AI54" s="1"/>
  <c r="AD15"/>
  <c r="AF15"/>
  <c r="AI15" s="1"/>
  <c r="AD28"/>
  <c r="AF28"/>
  <c r="AI28" s="1"/>
  <c r="AD78"/>
  <c r="AF78"/>
  <c r="AD82"/>
  <c r="AF82"/>
  <c r="AD95"/>
  <c r="AF95"/>
  <c r="AD85"/>
  <c r="AF85"/>
  <c r="AI85" s="1"/>
  <c r="AD93"/>
  <c r="AF93"/>
  <c r="AI93" s="1"/>
  <c r="AD98"/>
  <c r="AF98"/>
  <c r="AI98" s="1"/>
  <c r="AD81"/>
  <c r="AF81"/>
  <c r="AI81" s="1"/>
  <c r="AD84"/>
  <c r="AF84"/>
  <c r="AD90"/>
  <c r="AF90"/>
  <c r="AI90" s="1"/>
  <c r="AD80"/>
  <c r="AF80"/>
  <c r="AD83"/>
  <c r="AF83"/>
  <c r="AD89"/>
  <c r="AF89"/>
  <c r="AI89" s="1"/>
  <c r="AD91"/>
  <c r="AF91"/>
  <c r="AI91" s="1"/>
  <c r="AD96"/>
  <c r="AF96"/>
  <c r="AI96" s="1"/>
  <c r="AC77"/>
  <c r="AF77"/>
  <c r="AI77" s="1"/>
  <c r="AD68"/>
  <c r="AF68"/>
  <c r="AD53"/>
  <c r="AF53"/>
  <c r="AD52"/>
  <c r="AF52"/>
  <c r="AD33"/>
  <c r="AF33"/>
  <c r="AD86"/>
  <c r="AD77"/>
  <c r="Q17"/>
  <c r="AF17" s="1"/>
  <c r="Q92"/>
  <c r="Q97"/>
  <c r="Q12"/>
  <c r="W104"/>
  <c r="V104"/>
  <c r="Z101"/>
  <c r="Q29"/>
  <c r="AE74"/>
  <c r="AL74" s="1"/>
  <c r="W52"/>
  <c r="V52"/>
  <c r="AH52" s="1"/>
  <c r="AI86"/>
  <c r="AC72"/>
  <c r="V31"/>
  <c r="AH31" s="1"/>
  <c r="W84"/>
  <c r="W53"/>
  <c r="AA101"/>
  <c r="AC11"/>
  <c r="AC55"/>
  <c r="V19"/>
  <c r="AH19" s="1"/>
  <c r="AC59"/>
  <c r="W19"/>
  <c r="AC66"/>
  <c r="AL41"/>
  <c r="AC10"/>
  <c r="W51"/>
  <c r="AC60"/>
  <c r="AC85"/>
  <c r="AC93"/>
  <c r="AC20"/>
  <c r="V53"/>
  <c r="AH53" s="1"/>
  <c r="AC96"/>
  <c r="L101"/>
  <c r="V51"/>
  <c r="AH51" s="1"/>
  <c r="AC8"/>
  <c r="AC15"/>
  <c r="AC54"/>
  <c r="Q7"/>
  <c r="W9"/>
  <c r="W14"/>
  <c r="V14"/>
  <c r="AH14" s="1"/>
  <c r="AC26"/>
  <c r="V33"/>
  <c r="AH33" s="1"/>
  <c r="W33"/>
  <c r="V78"/>
  <c r="AH78" s="1"/>
  <c r="W78"/>
  <c r="AC89"/>
  <c r="AC91"/>
  <c r="V9"/>
  <c r="AH9" s="1"/>
  <c r="AC13"/>
  <c r="AC90"/>
  <c r="V21"/>
  <c r="AH21" s="1"/>
  <c r="AC64"/>
  <c r="AL79"/>
  <c r="W67"/>
  <c r="AC27"/>
  <c r="AC57"/>
  <c r="V67"/>
  <c r="AH67" s="1"/>
  <c r="W68"/>
  <c r="V68"/>
  <c r="AH68" s="1"/>
  <c r="V95"/>
  <c r="AH95" s="1"/>
  <c r="AC28"/>
  <c r="W31"/>
  <c r="AC46"/>
  <c r="AC81"/>
  <c r="V83"/>
  <c r="AH83" s="1"/>
  <c r="W83"/>
  <c r="V84"/>
  <c r="AH84" s="1"/>
  <c r="W95"/>
  <c r="AC70"/>
  <c r="AC86"/>
  <c r="AC98"/>
  <c r="AC35" l="1"/>
  <c r="AF35"/>
  <c r="AI35" s="1"/>
  <c r="AD35"/>
  <c r="AE43"/>
  <c r="AE38"/>
  <c r="AE13"/>
  <c r="AL13" s="1"/>
  <c r="AE93"/>
  <c r="AL93" s="1"/>
  <c r="AE98"/>
  <c r="AL98" s="1"/>
  <c r="AE15"/>
  <c r="AL15" s="1"/>
  <c r="AE70"/>
  <c r="AL70" s="1"/>
  <c r="AE46"/>
  <c r="AL46" s="1"/>
  <c r="AE54"/>
  <c r="AL54" s="1"/>
  <c r="AE64"/>
  <c r="AL64" s="1"/>
  <c r="AE55"/>
  <c r="AL55" s="1"/>
  <c r="AD29"/>
  <c r="AF29"/>
  <c r="AI29" s="1"/>
  <c r="AF12"/>
  <c r="AI12" s="1"/>
  <c r="AD7"/>
  <c r="AF7"/>
  <c r="AI7" s="1"/>
  <c r="AE28"/>
  <c r="AL28" s="1"/>
  <c r="AD97"/>
  <c r="AF97"/>
  <c r="AI97" s="1"/>
  <c r="AE96"/>
  <c r="AL96" s="1"/>
  <c r="AD92"/>
  <c r="AF92"/>
  <c r="AI92" s="1"/>
  <c r="AD17"/>
  <c r="AC17"/>
  <c r="AC104"/>
  <c r="AD104" s="1"/>
  <c r="AE77"/>
  <c r="AL77" s="1"/>
  <c r="AC12"/>
  <c r="AD12"/>
  <c r="AC92"/>
  <c r="AI17"/>
  <c r="AC97"/>
  <c r="AC29"/>
  <c r="AE91"/>
  <c r="AL91" s="1"/>
  <c r="AL42"/>
  <c r="AE66"/>
  <c r="AL66" s="1"/>
  <c r="AE57"/>
  <c r="AL57" s="1"/>
  <c r="AE60"/>
  <c r="AL60" s="1"/>
  <c r="AE20"/>
  <c r="AL20" s="1"/>
  <c r="AE8"/>
  <c r="AL8" s="1"/>
  <c r="AE72"/>
  <c r="AL72" s="1"/>
  <c r="AE26"/>
  <c r="AL26" s="1"/>
  <c r="AE89"/>
  <c r="AL89" s="1"/>
  <c r="AE59"/>
  <c r="AL59" s="1"/>
  <c r="AE27"/>
  <c r="AL27" s="1"/>
  <c r="AE85"/>
  <c r="AL85" s="1"/>
  <c r="AE90"/>
  <c r="AL90" s="1"/>
  <c r="AE81"/>
  <c r="AL81" s="1"/>
  <c r="AE10"/>
  <c r="AL10" s="1"/>
  <c r="AE11"/>
  <c r="AL11" s="1"/>
  <c r="AE86"/>
  <c r="AL86" s="1"/>
  <c r="AI33"/>
  <c r="AI95"/>
  <c r="AI84"/>
  <c r="AI52"/>
  <c r="AI51"/>
  <c r="AI65"/>
  <c r="AI53"/>
  <c r="AI78"/>
  <c r="AI19"/>
  <c r="AI9"/>
  <c r="AI67"/>
  <c r="AI21"/>
  <c r="AI31"/>
  <c r="AI14"/>
  <c r="AI68"/>
  <c r="AI83"/>
  <c r="AH101"/>
  <c r="AC52"/>
  <c r="AE52" s="1"/>
  <c r="AL52" s="1"/>
  <c r="AC53"/>
  <c r="AE53" s="1"/>
  <c r="AL53" s="1"/>
  <c r="AC84"/>
  <c r="AE84" s="1"/>
  <c r="AL84" s="1"/>
  <c r="AC31"/>
  <c r="AE31" s="1"/>
  <c r="AL31" s="1"/>
  <c r="AC45"/>
  <c r="AI45"/>
  <c r="AI22"/>
  <c r="AI82"/>
  <c r="AC50"/>
  <c r="AI50"/>
  <c r="AC47"/>
  <c r="AI47"/>
  <c r="AC58"/>
  <c r="AI58"/>
  <c r="AC80"/>
  <c r="AI80"/>
  <c r="AC19"/>
  <c r="AE19" s="1"/>
  <c r="AL19" s="1"/>
  <c r="AC22"/>
  <c r="AC67"/>
  <c r="AE67" s="1"/>
  <c r="AL67" s="1"/>
  <c r="AC68"/>
  <c r="AE68" s="1"/>
  <c r="AL68" s="1"/>
  <c r="AC51"/>
  <c r="AE51" s="1"/>
  <c r="AL51" s="1"/>
  <c r="AC33"/>
  <c r="AE33" s="1"/>
  <c r="AL33" s="1"/>
  <c r="AC14"/>
  <c r="AE14" s="1"/>
  <c r="AL14" s="1"/>
  <c r="U101"/>
  <c r="AC65"/>
  <c r="AE65" s="1"/>
  <c r="AL65" s="1"/>
  <c r="AC78"/>
  <c r="AE78" s="1"/>
  <c r="AL78" s="1"/>
  <c r="AC95"/>
  <c r="AE95" s="1"/>
  <c r="AL95" s="1"/>
  <c r="V101"/>
  <c r="W101"/>
  <c r="AC7"/>
  <c r="AC82"/>
  <c r="AC21"/>
  <c r="AE21" s="1"/>
  <c r="AL21" s="1"/>
  <c r="AC9"/>
  <c r="AE9" s="1"/>
  <c r="AL9" s="1"/>
  <c r="AC83"/>
  <c r="AE83" s="1"/>
  <c r="AL83" s="1"/>
  <c r="AE35" l="1"/>
  <c r="AL35" s="1"/>
  <c r="AE97"/>
  <c r="AL97" s="1"/>
  <c r="AE29"/>
  <c r="AL29" s="1"/>
  <c r="AL38"/>
  <c r="AE17"/>
  <c r="AL17" s="1"/>
  <c r="AE92"/>
  <c r="AL92" s="1"/>
  <c r="AE104"/>
  <c r="AF104"/>
  <c r="AI104" s="1"/>
  <c r="AI107" s="1"/>
  <c r="AI108" s="1"/>
  <c r="AE12"/>
  <c r="AL12" s="1"/>
  <c r="AL43"/>
  <c r="AE22"/>
  <c r="AL22" s="1"/>
  <c r="AE47"/>
  <c r="AE45"/>
  <c r="AL45" s="1"/>
  <c r="AE82"/>
  <c r="AL82" s="1"/>
  <c r="AE50"/>
  <c r="AL50" s="1"/>
  <c r="AE58"/>
  <c r="AL58" s="1"/>
  <c r="AE80"/>
  <c r="AL80" s="1"/>
  <c r="AB101"/>
  <c r="AE7"/>
  <c r="AL7" s="1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  <c r="Q24" i="4"/>
  <c r="Q101" l="1"/>
  <c r="AF24"/>
  <c r="AF101" s="1"/>
  <c r="AD24"/>
  <c r="AD101" s="1"/>
  <c r="AC24"/>
  <c r="AC101" l="1"/>
  <c r="AE24"/>
  <c r="AI24"/>
  <c r="AI101" s="1"/>
  <c r="AE101" l="1"/>
  <c r="AL24"/>
  <c r="AL101" s="1"/>
  <c r="AI102"/>
  <c r="AI103" s="1"/>
</calcChain>
</file>

<file path=xl/sharedStrings.xml><?xml version="1.0" encoding="utf-8"?>
<sst xmlns="http://schemas.openxmlformats.org/spreadsheetml/2006/main" count="528" uniqueCount="292">
  <si>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</si>
  <si>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</si>
  <si>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</si>
  <si>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</si>
  <si>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</si>
  <si>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</si>
  <si>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</si>
  <si>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</si>
  <si>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</si>
  <si>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</si>
  <si>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</si>
  <si>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</si>
  <si>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</si>
  <si>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</si>
  <si>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</si>
  <si>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</si>
  <si>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</si>
  <si>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</si>
  <si>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</si>
  <si>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</si>
  <si>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</si>
  <si>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</si>
  <si>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</si>
  <si>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</si>
  <si>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</si>
  <si>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</si>
  <si>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</si>
  <si>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</si>
  <si>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</si>
  <si>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</si>
  <si>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</si>
  <si>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</si>
  <si>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</si>
  <si>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</si>
  <si>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</si>
  <si>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</si>
  <si>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</si>
  <si>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</si>
  <si>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</si>
  <si>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</si>
  <si>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</si>
  <si>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</si>
  <si>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</si>
  <si>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</si>
  <si>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</si>
  <si>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</si>
  <si>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</si>
  <si>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</si>
  <si>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</si>
  <si>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</si>
  <si>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</si>
  <si>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</si>
  <si>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</si>
  <si>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</si>
  <si>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</si>
  <si>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</si>
  <si>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</si>
  <si>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</si>
  <si>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</si>
  <si>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</si>
  <si>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</si>
  <si>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</si>
  <si>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</si>
  <si>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</si>
  <si>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</si>
  <si>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</si>
  <si>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</si>
  <si>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</si>
  <si>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</si>
  <si>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</si>
  <si>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</si>
  <si>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</si>
  <si>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</si>
  <si>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</si>
  <si>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</si>
  <si>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</si>
  <si>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</si>
  <si>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</si>
  <si>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</si>
  <si>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</si>
  <si>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</si>
  <si>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</si>
  <si>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</si>
  <si>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</si>
  <si>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</si>
  <si>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</si>
  <si>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</si>
  <si>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</si>
  <si>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</si>
  <si>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</si>
  <si>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</si>
  <si>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</si>
  <si>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</si>
  <si>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</si>
  <si>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</si>
  <si>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</si>
  <si>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</si>
  <si>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</si>
  <si>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</si>
  <si>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</si>
  <si>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</si>
  <si>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</si>
  <si>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</si>
  <si>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</si>
  <si>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</si>
  <si>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</si>
  <si>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</si>
  <si>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</si>
  <si>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</si>
  <si>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</si>
  <si>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</si>
  <si>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</si>
  <si>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</si>
  <si>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</si>
  <si>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</si>
  <si>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</si>
  <si>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</si>
  <si>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</si>
  <si>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</si>
  <si>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</si>
  <si>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</si>
  <si>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</si>
  <si>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</si>
  <si>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</si>
  <si>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</si>
  <si>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</si>
  <si>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</si>
  <si>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</si>
  <si>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</si>
  <si>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</si>
  <si>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</si>
  <si>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</si>
  <si>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</si>
  <si>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</si>
  <si>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</si>
  <si>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</si>
  <si>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</si>
  <si>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</si>
  <si>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</si>
  <si>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</si>
  <si>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</si>
  <si>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</si>
  <si>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</si>
  <si>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</si>
  <si>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</si>
  <si>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</si>
  <si>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</si>
  <si>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</si>
  <si>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</si>
  <si>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</si>
  <si>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</si>
  <si>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</si>
  <si>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</si>
  <si>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</si>
  <si>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</si>
  <si>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</si>
  <si>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</si>
  <si>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</si>
  <si>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</si>
  <si>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</si>
  <si>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</si>
  <si>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</si>
  <si>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</si>
  <si>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</si>
  <si>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</si>
  <si>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</si>
  <si>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</si>
  <si>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</si>
  <si>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</si>
  <si>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</si>
  <si>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</si>
  <si>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</si>
  <si>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</si>
  <si>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</si>
  <si>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</si>
  <si>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</si>
  <si>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</si>
  <si>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</si>
  <si>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</si>
  <si>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</si>
  <si>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</si>
  <si>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</si>
  <si>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</si>
  <si>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</si>
  <si>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</si>
  <si>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</si>
  <si>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</si>
  <si>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</si>
  <si>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</si>
  <si>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</si>
  <si>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</si>
  <si>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</si>
  <si>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</si>
  <si>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</si>
  <si>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</si>
  <si>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</si>
  <si>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</si>
  <si>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</si>
  <si>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</si>
  <si>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</si>
  <si>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</si>
  <si>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</si>
  <si>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</si>
  <si>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</si>
  <si>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</si>
  <si>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</si>
  <si>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</si>
  <si>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</si>
  <si>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</si>
  <si>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</si>
  <si>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</si>
  <si>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</si>
  <si>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</si>
  <si>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</si>
  <si>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</si>
  <si>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</si>
  <si>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</si>
  <si>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</si>
  <si>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</si>
  <si>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</si>
  <si>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</si>
  <si>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</si>
  <si>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</si>
  <si>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</si>
  <si>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</si>
  <si>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</si>
  <si>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</si>
  <si>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</si>
  <si>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</si>
  <si>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</si>
  <si>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</si>
  <si>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</si>
  <si>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NIETO MEDINA PEDRO EMMANUEL</t>
  </si>
  <si>
    <t>23/03/2016 AL 29/03/2016</t>
  </si>
  <si>
    <t>Periodo Semana 13</t>
  </si>
  <si>
    <t>Num. Cuenta</t>
  </si>
  <si>
    <t>DISPERSION</t>
  </si>
  <si>
    <t>INCAPACIDADES</t>
  </si>
  <si>
    <t>HUGO RANGEL ZUÑIGA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</si>
  <si>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</si>
  <si>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</si>
  <si>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</si>
  <si>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</si>
  <si>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</si>
  <si>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</si>
  <si>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</si>
  <si>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</si>
  <si>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</si>
  <si>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</si>
  <si>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</si>
  <si>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</si>
  <si>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</si>
  <si>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</si>
  <si>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</si>
  <si>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</si>
  <si>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</si>
  <si>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</si>
  <si>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</si>
  <si>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</si>
  <si>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</si>
  <si>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</si>
  <si>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</si>
  <si>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</si>
  <si>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</si>
  <si>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</si>
  <si>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</si>
  <si>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GUTIERREZ OLVERA ARMANDO</t>
  </si>
  <si>
    <t>HURTADO PAJARO JOSE</t>
  </si>
  <si>
    <t>HP16</t>
  </si>
  <si>
    <t>JEFE DE TALLER</t>
  </si>
  <si>
    <t>VALUADOR</t>
  </si>
  <si>
    <t>GALLEGOS RAMIREZ JOSE</t>
  </si>
  <si>
    <t>TECNICO</t>
  </si>
  <si>
    <t>REYES ARMADILLO JORGE ANDRES</t>
  </si>
  <si>
    <t>FALTAS</t>
  </si>
  <si>
    <t>GUERRERO GOMEZ MARVIN NOE</t>
  </si>
  <si>
    <t>NUMERO DE CUENTA BANCOMER: 1171646753</t>
  </si>
  <si>
    <t>SOLORZANO LUNA MARIANA</t>
  </si>
  <si>
    <t>NUEVO INGRESO, FECHA 15/07/2016 CTA 2671903578</t>
  </si>
  <si>
    <t>DESCUENTO CTA 254 POR CONCEPTO DE PRESTAMO</t>
  </si>
  <si>
    <t>Periodo Semana 30</t>
  </si>
  <si>
    <t>20/07/2016 AL 26/07/2016</t>
  </si>
  <si>
    <t>BARCENAS COLMENERO JORGE ALEJANDRO</t>
  </si>
  <si>
    <t>LOPEZ MIRELES ERIC</t>
  </si>
  <si>
    <t>MATILDE SANTIAGO URIEL</t>
  </si>
  <si>
    <t>CORTES ORTIZ JOSE DAVID</t>
  </si>
  <si>
    <t>NUEVO INGRESO 20/07/2016 CTA 1158901600</t>
  </si>
  <si>
    <t>LUPERCIO ESPINO ALAN JAIRO</t>
  </si>
  <si>
    <t>NUEVO INGRESO 25/07/2016 CTA 2960710474</t>
  </si>
  <si>
    <t>SIFONTES SARDUA DAYAN JESUS</t>
  </si>
  <si>
    <t>VALDEZ MARTINEZ MARTIN</t>
  </si>
  <si>
    <t>DESCUENTO 254 CORRESPONDE A UN DESCUENTO DE VIATICOS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</si>
</sst>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6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0" fontId="11" fillId="1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" fillId="0" borderId="7" xfId="2" applyFill="1" applyBorder="1"/>
    <xf numFmtId="0" fontId="11" fillId="0" borderId="7" xfId="0" applyFont="1" applyFill="1" applyBorder="1"/>
    <xf numFmtId="43" fontId="11" fillId="11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12" fontId="11" fillId="0" borderId="7" xfId="2" applyNumberFormat="1" applyFont="1" applyFill="1" applyBorder="1"/>
    <xf numFmtId="0" fontId="11" fillId="0" borderId="7" xfId="0" applyFont="1" applyFill="1" applyBorder="1" applyAlignment="1">
      <alignment horizontal="right"/>
    </xf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2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0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" fontId="17" fillId="0" borderId="7" xfId="0" applyNumberFormat="1" applyFont="1" applyFill="1" applyBorder="1"/>
    <xf numFmtId="0" fontId="12" fillId="13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43" fontId="18" fillId="11" borderId="7" xfId="2" applyFont="1" applyFill="1" applyBorder="1"/>
    <xf numFmtId="0" fontId="0" fillId="0" borderId="0" xfId="0" applyFill="1"/>
    <xf numFmtId="14" fontId="18" fillId="0" borderId="7" xfId="0" applyNumberFormat="1" applyFont="1" applyFill="1" applyBorder="1"/>
    <xf numFmtId="165" fontId="18" fillId="0" borderId="7" xfId="0" applyNumberFormat="1" applyFont="1" applyFill="1" applyBorder="1"/>
    <xf numFmtId="14" fontId="11" fillId="0" borderId="7" xfId="0" applyNumberFormat="1" applyFont="1" applyFill="1" applyBorder="1" applyAlignment="1"/>
    <xf numFmtId="0" fontId="12" fillId="14" borderId="7" xfId="0" applyFont="1" applyFill="1" applyBorder="1"/>
    <xf numFmtId="0" fontId="11" fillId="10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43" fontId="12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2" fillId="10" borderId="7" xfId="0" applyFont="1" applyFill="1" applyBorder="1"/>
    <xf numFmtId="14" fontId="11" fillId="10" borderId="7" xfId="4" applyNumberFormat="1" applyFont="1" applyFill="1" applyBorder="1" applyAlignment="1"/>
    <xf numFmtId="43" fontId="16" fillId="10" borderId="7" xfId="2" applyFont="1" applyFill="1" applyBorder="1"/>
    <xf numFmtId="43" fontId="1" fillId="10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14" fontId="11" fillId="0" borderId="7" xfId="0" applyNumberFormat="1" applyFont="1" applyBorder="1"/>
    <xf numFmtId="0" fontId="11" fillId="11" borderId="7" xfId="0" applyFont="1" applyFill="1" applyBorder="1"/>
    <xf numFmtId="165" fontId="18" fillId="11" borderId="7" xfId="0" applyNumberFormat="1" applyFont="1" applyFill="1" applyBorder="1"/>
    <xf numFmtId="43" fontId="11" fillId="11" borderId="0" xfId="2" applyFont="1" applyFill="1" applyBorder="1"/>
    <xf numFmtId="43" fontId="1" fillId="11" borderId="7" xfId="2" applyFill="1" applyBorder="1" applyAlignment="1">
      <alignment horizontal="center" vertical="center"/>
    </xf>
    <xf numFmtId="43" fontId="9" fillId="11" borderId="7" xfId="2" applyFont="1" applyFill="1" applyBorder="1"/>
    <xf numFmtId="43" fontId="12" fillId="11" borderId="7" xfId="2" applyFont="1" applyFill="1" applyBorder="1"/>
    <xf numFmtId="43" fontId="11" fillId="11" borderId="7" xfId="2" applyFont="1" applyFill="1" applyBorder="1" applyAlignment="1">
      <alignment horizontal="center"/>
    </xf>
    <xf numFmtId="0" fontId="18" fillId="11" borderId="7" xfId="0" applyFont="1" applyFill="1" applyBorder="1" applyAlignment="1">
      <alignment wrapText="1"/>
    </xf>
    <xf numFmtId="4" fontId="18" fillId="11" borderId="7" xfId="0" applyNumberFormat="1" applyFont="1" applyFill="1" applyBorder="1" applyAlignment="1">
      <alignment wrapText="1"/>
    </xf>
    <xf numFmtId="0" fontId="12" fillId="11" borderId="7" xfId="0" applyFont="1" applyFill="1" applyBorder="1"/>
    <xf numFmtId="0" fontId="11" fillId="11" borderId="0" xfId="0" applyFont="1" applyFill="1"/>
    <xf numFmtId="0" fontId="12" fillId="13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2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customWidth="1"/>
    <col min="4" max="4" width="8.85546875" style="29" customWidth="1"/>
    <col min="5" max="5" width="31.5703125" style="29" customWidth="1"/>
    <col min="6" max="6" width="20.140625" style="29" customWidth="1"/>
    <col min="7" max="7" width="13" style="29" customWidth="1"/>
    <col min="8" max="8" width="11.7109375" style="29" customWidth="1"/>
    <col min="9" max="9" width="17.140625" style="23" customWidth="1"/>
    <col min="10" max="10" width="11.7109375" style="99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81" hidden="1" customWidth="1"/>
    <col min="37" max="37" width="12.7109375" style="81" hidden="1" customWidth="1"/>
    <col min="38" max="38" width="11.5703125" style="4" hidden="1" customWidth="1"/>
    <col min="39" max="39" width="58.7109375" style="29" bestFit="1" customWidth="1"/>
    <col min="40" max="40" width="101.7109375" style="29" bestFit="1" customWidth="1"/>
    <col min="41" max="54" width="11.5703125" style="28"/>
    <col min="55" max="16384" width="11.5703125" style="29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89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80"/>
      <c r="AK1" s="80"/>
      <c r="AL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90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80"/>
      <c r="AK2" s="80"/>
      <c r="AL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280</v>
      </c>
      <c r="B3" s="20"/>
      <c r="C3" s="20"/>
      <c r="D3" s="20"/>
      <c r="E3" s="21"/>
      <c r="F3" s="21"/>
      <c r="G3" s="21"/>
      <c r="H3" s="21"/>
      <c r="I3" s="14"/>
      <c r="J3" s="9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80"/>
      <c r="AK3" s="80"/>
      <c r="AL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281</v>
      </c>
      <c r="I4" s="23"/>
      <c r="J4" s="92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81"/>
      <c r="AK4" s="81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57" t="s">
        <v>36</v>
      </c>
      <c r="B5" s="159" t="s">
        <v>37</v>
      </c>
      <c r="C5" s="157" t="s">
        <v>202</v>
      </c>
      <c r="D5" s="159" t="s">
        <v>38</v>
      </c>
      <c r="E5" s="159" t="s">
        <v>0</v>
      </c>
      <c r="F5" s="157" t="s">
        <v>198</v>
      </c>
      <c r="G5" s="148" t="s">
        <v>64</v>
      </c>
      <c r="H5" s="148" t="s">
        <v>62</v>
      </c>
      <c r="I5" s="161" t="s">
        <v>63</v>
      </c>
      <c r="J5" s="155"/>
      <c r="K5" s="148" t="s">
        <v>254</v>
      </c>
      <c r="L5" s="155" t="s">
        <v>72</v>
      </c>
      <c r="M5" s="36"/>
      <c r="N5" s="148" t="s">
        <v>32</v>
      </c>
      <c r="O5" s="148" t="s">
        <v>33</v>
      </c>
      <c r="P5" s="148" t="s">
        <v>60</v>
      </c>
      <c r="Q5" s="148" t="s">
        <v>34</v>
      </c>
      <c r="R5" s="148" t="s">
        <v>35</v>
      </c>
      <c r="S5" s="132"/>
      <c r="T5" s="35"/>
      <c r="U5" s="153" t="s">
        <v>159</v>
      </c>
      <c r="V5" s="153" t="s">
        <v>178</v>
      </c>
      <c r="W5" s="153" t="s">
        <v>177</v>
      </c>
      <c r="X5" s="153" t="s">
        <v>160</v>
      </c>
      <c r="Y5" s="148" t="s">
        <v>28</v>
      </c>
      <c r="Z5" s="148" t="s">
        <v>53</v>
      </c>
      <c r="AA5" s="148" t="s">
        <v>52</v>
      </c>
      <c r="AB5" s="148" t="s">
        <v>30</v>
      </c>
      <c r="AC5" s="148" t="s">
        <v>61</v>
      </c>
      <c r="AD5" s="148" t="s">
        <v>25</v>
      </c>
      <c r="AE5" s="148" t="s">
        <v>29</v>
      </c>
      <c r="AF5" s="148" t="s">
        <v>24</v>
      </c>
      <c r="AG5" s="148" t="s">
        <v>26</v>
      </c>
      <c r="AH5" s="39"/>
      <c r="AI5" s="148" t="s">
        <v>27</v>
      </c>
      <c r="AJ5" s="150" t="s">
        <v>236</v>
      </c>
      <c r="AK5" s="151"/>
      <c r="AL5" s="152" t="s">
        <v>162</v>
      </c>
      <c r="AM5" s="146" t="s">
        <v>206</v>
      </c>
      <c r="AN5" s="146" t="s">
        <v>207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3" customFormat="1" ht="39" customHeight="1">
      <c r="A6" s="158"/>
      <c r="B6" s="160"/>
      <c r="C6" s="158"/>
      <c r="D6" s="160"/>
      <c r="E6" s="160"/>
      <c r="F6" s="158"/>
      <c r="G6" s="149"/>
      <c r="H6" s="149"/>
      <c r="I6" s="162"/>
      <c r="J6" s="156"/>
      <c r="K6" s="149"/>
      <c r="L6" s="156"/>
      <c r="M6" s="40" t="s">
        <v>222</v>
      </c>
      <c r="N6" s="149"/>
      <c r="O6" s="149"/>
      <c r="P6" s="149"/>
      <c r="Q6" s="149"/>
      <c r="R6" s="149"/>
      <c r="S6" s="41" t="s">
        <v>274</v>
      </c>
      <c r="T6" s="41" t="s">
        <v>220</v>
      </c>
      <c r="U6" s="154"/>
      <c r="V6" s="154"/>
      <c r="W6" s="154"/>
      <c r="X6" s="154"/>
      <c r="Y6" s="149"/>
      <c r="Z6" s="149"/>
      <c r="AA6" s="149"/>
      <c r="AB6" s="149"/>
      <c r="AC6" s="149"/>
      <c r="AD6" s="149"/>
      <c r="AE6" s="149"/>
      <c r="AF6" s="149"/>
      <c r="AG6" s="149"/>
      <c r="AH6" s="35"/>
      <c r="AI6" s="149"/>
      <c r="AJ6" s="79" t="s">
        <v>63</v>
      </c>
      <c r="AK6" s="79" t="s">
        <v>65</v>
      </c>
      <c r="AL6" s="152"/>
      <c r="AM6" s="146"/>
      <c r="AN6" s="146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54" s="28" customFormat="1">
      <c r="A7" s="56" t="s">
        <v>81</v>
      </c>
      <c r="B7" s="56" t="s">
        <v>191</v>
      </c>
      <c r="C7" s="56"/>
      <c r="D7" s="56" t="s">
        <v>85</v>
      </c>
      <c r="E7" s="56" t="s">
        <v>69</v>
      </c>
      <c r="F7" s="106">
        <v>42062</v>
      </c>
      <c r="G7" s="56"/>
      <c r="H7" s="56"/>
      <c r="I7" s="59">
        <v>1166.26</v>
      </c>
      <c r="J7" s="124"/>
      <c r="K7" s="59">
        <f t="shared" ref="K7:K33" si="0">+I7+J7</f>
        <v>1166.26</v>
      </c>
      <c r="L7" s="59">
        <v>1730.94</v>
      </c>
      <c r="M7" s="59"/>
      <c r="N7" s="59"/>
      <c r="O7" s="59"/>
      <c r="P7" s="88"/>
      <c r="Q7" s="100">
        <f t="shared" ref="Q7:Q39" si="1">SUM(K7:O7)-P7</f>
        <v>2897.2</v>
      </c>
      <c r="R7" s="59"/>
      <c r="S7" s="59">
        <v>63</v>
      </c>
      <c r="T7" s="59"/>
      <c r="U7" s="59">
        <v>0</v>
      </c>
      <c r="V7" s="59"/>
      <c r="W7" s="59"/>
      <c r="X7" s="59"/>
      <c r="Y7" s="53"/>
      <c r="Z7" s="53"/>
      <c r="AA7" s="56"/>
      <c r="AB7" s="56">
        <v>0</v>
      </c>
      <c r="AC7" s="100">
        <f t="shared" ref="AC7:AC39" si="2">+Q7-SUM(R7:AB7)</f>
        <v>2834.2</v>
      </c>
      <c r="AD7" s="53">
        <f t="shared" ref="AD7:AD39" si="3">IF(Q7&gt;2250,Q7*0.1,0)</f>
        <v>289.71999999999997</v>
      </c>
      <c r="AE7" s="100">
        <f t="shared" ref="AE7:AE39" si="4">+AC7-AD7</f>
        <v>2544.48</v>
      </c>
      <c r="AF7" s="53">
        <f t="shared" ref="AF7:AF39" si="5">IF(Q7&lt;2250,Q7*0.1,0)</f>
        <v>0</v>
      </c>
      <c r="AG7" s="53">
        <v>10.23</v>
      </c>
      <c r="AH7" s="53">
        <f t="shared" ref="AH7:AH39" si="6">+V7</f>
        <v>0</v>
      </c>
      <c r="AI7" s="100">
        <f t="shared" ref="AI7:AI39" si="7">+Q7+AF7+AG7+AH7</f>
        <v>2907.43</v>
      </c>
      <c r="AJ7" s="110"/>
      <c r="AK7" s="111"/>
      <c r="AL7" s="101">
        <f t="shared" ref="AL7:AL33" si="8">+AJ7+AK7-AE7</f>
        <v>-2544.48</v>
      </c>
      <c r="AM7" s="56"/>
      <c r="AN7" s="56"/>
    </row>
    <row r="8" spans="1:54" s="28" customFormat="1">
      <c r="A8" s="56" t="s">
        <v>68</v>
      </c>
      <c r="B8" s="56" t="s">
        <v>183</v>
      </c>
      <c r="C8" s="56" t="s">
        <v>202</v>
      </c>
      <c r="D8" s="56" t="s">
        <v>125</v>
      </c>
      <c r="E8" s="56" t="s">
        <v>71</v>
      </c>
      <c r="F8" s="106">
        <v>41797</v>
      </c>
      <c r="G8" s="56"/>
      <c r="H8" s="56"/>
      <c r="I8" s="59">
        <v>1633.33</v>
      </c>
      <c r="J8" s="94"/>
      <c r="K8" s="59">
        <f t="shared" si="0"/>
        <v>1633.33</v>
      </c>
      <c r="L8" s="59">
        <v>55654.18</v>
      </c>
      <c r="M8" s="59"/>
      <c r="N8" s="59"/>
      <c r="O8" s="59"/>
      <c r="P8" s="88"/>
      <c r="Q8" s="100">
        <f t="shared" si="1"/>
        <v>57287.51</v>
      </c>
      <c r="R8" s="59"/>
      <c r="S8" s="59"/>
      <c r="T8" s="123">
        <v>334.75</v>
      </c>
      <c r="U8" s="59">
        <v>0</v>
      </c>
      <c r="V8" s="59"/>
      <c r="W8" s="59"/>
      <c r="X8" s="59"/>
      <c r="Y8" s="53"/>
      <c r="Z8" s="53"/>
      <c r="AA8" s="56"/>
      <c r="AB8" s="56">
        <v>0</v>
      </c>
      <c r="AC8" s="100">
        <f t="shared" si="2"/>
        <v>56952.76</v>
      </c>
      <c r="AD8" s="53">
        <f t="shared" si="3"/>
        <v>5728.7510000000002</v>
      </c>
      <c r="AE8" s="100">
        <f t="shared" si="4"/>
        <v>51224.009000000005</v>
      </c>
      <c r="AF8" s="53">
        <f t="shared" si="5"/>
        <v>0</v>
      </c>
      <c r="AG8" s="53">
        <v>10.23</v>
      </c>
      <c r="AH8" s="53">
        <f t="shared" si="6"/>
        <v>0</v>
      </c>
      <c r="AI8" s="100">
        <f t="shared" si="7"/>
        <v>57297.740000000005</v>
      </c>
      <c r="AJ8" s="110"/>
      <c r="AK8" s="111"/>
      <c r="AL8" s="101">
        <f t="shared" si="8"/>
        <v>-51224.009000000005</v>
      </c>
      <c r="AM8" s="56"/>
      <c r="AN8" s="56"/>
    </row>
    <row r="9" spans="1:54" s="28" customFormat="1">
      <c r="A9" s="56" t="s">
        <v>84</v>
      </c>
      <c r="B9" s="56" t="s">
        <v>167</v>
      </c>
      <c r="C9" s="56"/>
      <c r="D9" s="56" t="s">
        <v>108</v>
      </c>
      <c r="E9" s="56" t="s">
        <v>156</v>
      </c>
      <c r="F9" s="106">
        <v>41381</v>
      </c>
      <c r="G9" s="56"/>
      <c r="H9" s="56"/>
      <c r="I9" s="59">
        <v>623.36</v>
      </c>
      <c r="J9" s="94"/>
      <c r="K9" s="59">
        <f t="shared" si="0"/>
        <v>623.36</v>
      </c>
      <c r="L9" s="59">
        <f>5149.589+2.599</f>
        <v>5152.1880000000001</v>
      </c>
      <c r="M9" s="59"/>
      <c r="N9" s="59"/>
      <c r="O9" s="59"/>
      <c r="P9" s="88"/>
      <c r="Q9" s="100">
        <f t="shared" si="1"/>
        <v>5775.5479999999998</v>
      </c>
      <c r="R9" s="59"/>
      <c r="S9" s="59"/>
      <c r="T9" s="59"/>
      <c r="U9" s="59">
        <v>0</v>
      </c>
      <c r="V9" s="59">
        <f>Q9*4.9%</f>
        <v>283.00185199999999</v>
      </c>
      <c r="W9" s="59">
        <f>Q9*1%</f>
        <v>57.755479999999999</v>
      </c>
      <c r="X9" s="59"/>
      <c r="Y9" s="53"/>
      <c r="Z9" s="53"/>
      <c r="AA9" s="56"/>
      <c r="AB9" s="56">
        <v>0</v>
      </c>
      <c r="AC9" s="100">
        <f t="shared" si="2"/>
        <v>5434.7906679999996</v>
      </c>
      <c r="AD9" s="53">
        <f t="shared" si="3"/>
        <v>577.5548</v>
      </c>
      <c r="AE9" s="100">
        <f t="shared" si="4"/>
        <v>4857.2358679999998</v>
      </c>
      <c r="AF9" s="53">
        <f t="shared" si="5"/>
        <v>0</v>
      </c>
      <c r="AG9" s="53">
        <v>10.23</v>
      </c>
      <c r="AH9" s="53">
        <f t="shared" si="6"/>
        <v>283.00185199999999</v>
      </c>
      <c r="AI9" s="100">
        <f t="shared" si="7"/>
        <v>6068.7798519999997</v>
      </c>
      <c r="AJ9" s="110"/>
      <c r="AK9" s="111"/>
      <c r="AL9" s="101">
        <f t="shared" si="8"/>
        <v>-4857.2358679999998</v>
      </c>
      <c r="AM9" s="56"/>
      <c r="AN9" s="56"/>
    </row>
    <row r="10" spans="1:54" s="28" customFormat="1">
      <c r="A10" s="56" t="s">
        <v>68</v>
      </c>
      <c r="B10" s="56" t="s">
        <v>78</v>
      </c>
      <c r="C10" s="56" t="s">
        <v>202</v>
      </c>
      <c r="D10" s="56">
        <v>16</v>
      </c>
      <c r="E10" s="56" t="s">
        <v>71</v>
      </c>
      <c r="F10" s="106">
        <v>39508</v>
      </c>
      <c r="G10" s="56"/>
      <c r="H10" s="56"/>
      <c r="I10" s="59">
        <v>1633.33</v>
      </c>
      <c r="J10" s="94"/>
      <c r="K10" s="59">
        <f t="shared" si="0"/>
        <v>1633.33</v>
      </c>
      <c r="L10" s="59">
        <v>29141.5</v>
      </c>
      <c r="M10" s="59"/>
      <c r="N10" s="59"/>
      <c r="O10" s="59"/>
      <c r="P10" s="88"/>
      <c r="Q10" s="100">
        <f t="shared" si="1"/>
        <v>30774.83</v>
      </c>
      <c r="R10" s="59"/>
      <c r="S10" s="59"/>
      <c r="T10" s="59"/>
      <c r="U10" s="59">
        <v>0</v>
      </c>
      <c r="V10" s="59"/>
      <c r="W10" s="59"/>
      <c r="X10" s="59"/>
      <c r="Y10" s="53"/>
      <c r="Z10" s="53"/>
      <c r="AA10" s="56"/>
      <c r="AB10" s="56">
        <v>0</v>
      </c>
      <c r="AC10" s="100">
        <f t="shared" si="2"/>
        <v>30774.83</v>
      </c>
      <c r="AD10" s="53">
        <f t="shared" si="3"/>
        <v>3077.4830000000002</v>
      </c>
      <c r="AE10" s="100">
        <f t="shared" si="4"/>
        <v>27697.347000000002</v>
      </c>
      <c r="AF10" s="53">
        <f t="shared" si="5"/>
        <v>0</v>
      </c>
      <c r="AG10" s="53">
        <v>10.23</v>
      </c>
      <c r="AH10" s="53">
        <f t="shared" si="6"/>
        <v>0</v>
      </c>
      <c r="AI10" s="100">
        <f t="shared" si="7"/>
        <v>30785.06</v>
      </c>
      <c r="AJ10" s="110"/>
      <c r="AK10" s="111"/>
      <c r="AL10" s="101">
        <f t="shared" si="8"/>
        <v>-27697.347000000002</v>
      </c>
      <c r="AM10" s="56"/>
      <c r="AN10" s="56"/>
    </row>
    <row r="11" spans="1:54" s="28" customFormat="1">
      <c r="A11" s="56" t="s">
        <v>81</v>
      </c>
      <c r="B11" s="56" t="s">
        <v>215</v>
      </c>
      <c r="C11" s="56"/>
      <c r="D11" s="56"/>
      <c r="E11" s="56" t="s">
        <v>216</v>
      </c>
      <c r="F11" s="106">
        <v>42422</v>
      </c>
      <c r="G11" s="56"/>
      <c r="H11" s="56"/>
      <c r="I11" s="59">
        <v>739.23</v>
      </c>
      <c r="J11" s="94"/>
      <c r="K11" s="59">
        <f t="shared" si="0"/>
        <v>739.23</v>
      </c>
      <c r="L11" s="59">
        <f>1177.47+5.571</f>
        <v>1183.0409999999999</v>
      </c>
      <c r="M11" s="59"/>
      <c r="N11" s="59"/>
      <c r="O11" s="59"/>
      <c r="P11" s="88"/>
      <c r="Q11" s="100">
        <f t="shared" si="1"/>
        <v>1922.271</v>
      </c>
      <c r="R11" s="59"/>
      <c r="S11" s="59">
        <v>105.6</v>
      </c>
      <c r="T11" s="59"/>
      <c r="U11" s="59">
        <v>0</v>
      </c>
      <c r="V11" s="59"/>
      <c r="W11" s="59"/>
      <c r="X11" s="59"/>
      <c r="Y11" s="53"/>
      <c r="Z11" s="53"/>
      <c r="AA11" s="56"/>
      <c r="AB11" s="56">
        <v>0</v>
      </c>
      <c r="AC11" s="100">
        <f t="shared" si="2"/>
        <v>1816.671</v>
      </c>
      <c r="AD11" s="53">
        <f t="shared" si="3"/>
        <v>0</v>
      </c>
      <c r="AE11" s="100">
        <f t="shared" si="4"/>
        <v>1816.671</v>
      </c>
      <c r="AF11" s="53">
        <f t="shared" si="5"/>
        <v>192.22710000000001</v>
      </c>
      <c r="AG11" s="53">
        <v>10.23</v>
      </c>
      <c r="AH11" s="53">
        <f t="shared" si="6"/>
        <v>0</v>
      </c>
      <c r="AI11" s="100">
        <f t="shared" si="7"/>
        <v>2124.7280999999998</v>
      </c>
      <c r="AJ11" s="110"/>
      <c r="AK11" s="111"/>
      <c r="AL11" s="101">
        <f t="shared" si="8"/>
        <v>-1816.671</v>
      </c>
      <c r="AM11" s="56">
        <v>1456104819</v>
      </c>
      <c r="AN11" s="60"/>
    </row>
    <row r="12" spans="1:54" s="28" customFormat="1">
      <c r="A12" s="56" t="s">
        <v>68</v>
      </c>
      <c r="B12" s="56" t="s">
        <v>184</v>
      </c>
      <c r="C12" s="56" t="s">
        <v>199</v>
      </c>
      <c r="D12" s="56" t="s">
        <v>126</v>
      </c>
      <c r="E12" s="56" t="s">
        <v>70</v>
      </c>
      <c r="F12" s="106">
        <v>42383</v>
      </c>
      <c r="G12" s="56"/>
      <c r="H12" s="56"/>
      <c r="I12" s="59">
        <v>513.33000000000004</v>
      </c>
      <c r="J12" s="94"/>
      <c r="K12" s="59">
        <f t="shared" si="0"/>
        <v>513.33000000000004</v>
      </c>
      <c r="L12" s="59"/>
      <c r="M12" s="59"/>
      <c r="N12" s="59"/>
      <c r="O12" s="59"/>
      <c r="P12" s="88"/>
      <c r="Q12" s="100">
        <f t="shared" si="1"/>
        <v>513.33000000000004</v>
      </c>
      <c r="R12" s="59"/>
      <c r="S12" s="59"/>
      <c r="T12" s="59"/>
      <c r="U12" s="59">
        <v>0</v>
      </c>
      <c r="V12" s="59"/>
      <c r="W12" s="59"/>
      <c r="X12" s="59"/>
      <c r="Y12" s="53"/>
      <c r="Z12" s="53"/>
      <c r="AA12" s="56"/>
      <c r="AB12" s="56">
        <v>368.35</v>
      </c>
      <c r="AC12" s="100">
        <f t="shared" si="2"/>
        <v>144.98000000000002</v>
      </c>
      <c r="AD12" s="53">
        <f t="shared" si="3"/>
        <v>0</v>
      </c>
      <c r="AE12" s="100">
        <f t="shared" si="4"/>
        <v>144.98000000000002</v>
      </c>
      <c r="AF12" s="53">
        <f t="shared" si="5"/>
        <v>51.333000000000006</v>
      </c>
      <c r="AG12" s="53">
        <v>10.23</v>
      </c>
      <c r="AH12" s="53">
        <f t="shared" si="6"/>
        <v>0</v>
      </c>
      <c r="AI12" s="100">
        <f t="shared" si="7"/>
        <v>574.89300000000003</v>
      </c>
      <c r="AJ12" s="110"/>
      <c r="AK12" s="111"/>
      <c r="AL12" s="101">
        <f t="shared" si="8"/>
        <v>-144.98000000000002</v>
      </c>
      <c r="AM12" s="56"/>
      <c r="AN12" s="56"/>
    </row>
    <row r="13" spans="1:54" s="28" customFormat="1">
      <c r="A13" s="56" t="s">
        <v>67</v>
      </c>
      <c r="B13" s="56" t="s">
        <v>171</v>
      </c>
      <c r="C13" s="56" t="s">
        <v>228</v>
      </c>
      <c r="D13" s="56"/>
      <c r="E13" s="56" t="s">
        <v>150</v>
      </c>
      <c r="F13" s="106">
        <v>42416</v>
      </c>
      <c r="G13" s="56"/>
      <c r="H13" s="56"/>
      <c r="I13" s="59">
        <v>513.33000000000004</v>
      </c>
      <c r="J13" s="94"/>
      <c r="K13" s="59">
        <f t="shared" si="0"/>
        <v>513.33000000000004</v>
      </c>
      <c r="L13" s="59">
        <v>0</v>
      </c>
      <c r="M13" s="59"/>
      <c r="N13" s="59"/>
      <c r="O13" s="59"/>
      <c r="P13" s="88"/>
      <c r="Q13" s="100">
        <f t="shared" si="1"/>
        <v>513.33000000000004</v>
      </c>
      <c r="R13" s="59"/>
      <c r="S13" s="59"/>
      <c r="T13" s="59"/>
      <c r="U13" s="59">
        <v>0</v>
      </c>
      <c r="V13" s="59"/>
      <c r="W13" s="59"/>
      <c r="X13" s="59"/>
      <c r="Y13" s="53">
        <v>114.82</v>
      </c>
      <c r="Z13" s="53"/>
      <c r="AA13" s="56"/>
      <c r="AB13" s="56">
        <v>250</v>
      </c>
      <c r="AC13" s="100">
        <f t="shared" si="2"/>
        <v>148.51000000000005</v>
      </c>
      <c r="AD13" s="53">
        <f t="shared" si="3"/>
        <v>0</v>
      </c>
      <c r="AE13" s="100">
        <f t="shared" si="4"/>
        <v>148.51000000000005</v>
      </c>
      <c r="AF13" s="53">
        <f t="shared" si="5"/>
        <v>51.333000000000006</v>
      </c>
      <c r="AG13" s="53">
        <v>10.23</v>
      </c>
      <c r="AH13" s="53">
        <f t="shared" si="6"/>
        <v>0</v>
      </c>
      <c r="AI13" s="100">
        <f t="shared" si="7"/>
        <v>574.89300000000003</v>
      </c>
      <c r="AJ13" s="110"/>
      <c r="AK13" s="111"/>
      <c r="AL13" s="101">
        <f t="shared" si="8"/>
        <v>-148.51000000000005</v>
      </c>
      <c r="AM13" s="56"/>
      <c r="AN13" s="56"/>
    </row>
    <row r="14" spans="1:54" s="28" customFormat="1">
      <c r="A14" s="56" t="s">
        <v>84</v>
      </c>
      <c r="B14" s="56" t="s">
        <v>248</v>
      </c>
      <c r="C14" s="56"/>
      <c r="D14" s="56" t="s">
        <v>109</v>
      </c>
      <c r="E14" s="56" t="s">
        <v>151</v>
      </c>
      <c r="F14" s="106">
        <v>41740</v>
      </c>
      <c r="G14" s="56"/>
      <c r="H14" s="56"/>
      <c r="I14" s="59">
        <v>623.36</v>
      </c>
      <c r="J14" s="94"/>
      <c r="K14" s="59">
        <f t="shared" si="0"/>
        <v>623.36</v>
      </c>
      <c r="L14" s="59">
        <f>2242.663+5.571</f>
        <v>2248.2339999999999</v>
      </c>
      <c r="M14" s="59"/>
      <c r="N14" s="59"/>
      <c r="O14" s="59"/>
      <c r="P14" s="88"/>
      <c r="Q14" s="100">
        <f t="shared" si="1"/>
        <v>2871.5940000000001</v>
      </c>
      <c r="R14" s="59"/>
      <c r="S14" s="59">
        <v>44</v>
      </c>
      <c r="T14" s="59"/>
      <c r="U14" s="59">
        <v>250</v>
      </c>
      <c r="V14" s="59">
        <f>Q14*4.9%</f>
        <v>140.70810600000002</v>
      </c>
      <c r="W14" s="59">
        <f>Q14*1%</f>
        <v>28.71594</v>
      </c>
      <c r="X14" s="59"/>
      <c r="Y14" s="53"/>
      <c r="Z14" s="53"/>
      <c r="AA14" s="56"/>
      <c r="AB14" s="56">
        <v>0</v>
      </c>
      <c r="AC14" s="100">
        <f t="shared" si="2"/>
        <v>2408.169954</v>
      </c>
      <c r="AD14" s="53">
        <f t="shared" si="3"/>
        <v>287.15940000000001</v>
      </c>
      <c r="AE14" s="100">
        <f t="shared" si="4"/>
        <v>2121.010554</v>
      </c>
      <c r="AF14" s="53">
        <f t="shared" si="5"/>
        <v>0</v>
      </c>
      <c r="AG14" s="53">
        <v>10.23</v>
      </c>
      <c r="AH14" s="53">
        <f t="shared" si="6"/>
        <v>140.70810600000002</v>
      </c>
      <c r="AI14" s="100">
        <f t="shared" si="7"/>
        <v>3022.5321060000001</v>
      </c>
      <c r="AJ14" s="110"/>
      <c r="AK14" s="111"/>
      <c r="AL14" s="101">
        <f t="shared" si="8"/>
        <v>-2121.010554</v>
      </c>
      <c r="AM14" s="56"/>
      <c r="AN14" s="60"/>
    </row>
    <row r="15" spans="1:54" s="28" customFormat="1">
      <c r="A15" s="56" t="s">
        <v>66</v>
      </c>
      <c r="B15" s="56" t="s">
        <v>282</v>
      </c>
      <c r="C15" s="56"/>
      <c r="D15" s="56" t="s">
        <v>97</v>
      </c>
      <c r="E15" s="56" t="s">
        <v>148</v>
      </c>
      <c r="F15" s="106">
        <v>42116</v>
      </c>
      <c r="G15" s="56"/>
      <c r="H15" s="56"/>
      <c r="I15" s="59">
        <v>513.33000000000004</v>
      </c>
      <c r="J15" s="114">
        <v>420</v>
      </c>
      <c r="K15" s="59">
        <f t="shared" si="0"/>
        <v>933.33</v>
      </c>
      <c r="L15" s="59">
        <v>700</v>
      </c>
      <c r="M15" s="59"/>
      <c r="N15" s="59"/>
      <c r="O15" s="59"/>
      <c r="P15" s="88"/>
      <c r="Q15" s="100">
        <f t="shared" si="1"/>
        <v>1633.33</v>
      </c>
      <c r="R15" s="59"/>
      <c r="S15" s="59">
        <v>133.33000000000001</v>
      </c>
      <c r="T15" s="59">
        <v>58.91</v>
      </c>
      <c r="U15" s="59">
        <v>0</v>
      </c>
      <c r="V15" s="59"/>
      <c r="W15" s="59"/>
      <c r="X15" s="59"/>
      <c r="Y15" s="53"/>
      <c r="Z15" s="53"/>
      <c r="AA15" s="102"/>
      <c r="AB15" s="56">
        <v>0</v>
      </c>
      <c r="AC15" s="100">
        <f t="shared" si="2"/>
        <v>1441.09</v>
      </c>
      <c r="AD15" s="53">
        <f t="shared" si="3"/>
        <v>0</v>
      </c>
      <c r="AE15" s="100">
        <f t="shared" si="4"/>
        <v>1441.09</v>
      </c>
      <c r="AF15" s="53">
        <f t="shared" si="5"/>
        <v>163.333</v>
      </c>
      <c r="AG15" s="53">
        <v>10.23</v>
      </c>
      <c r="AH15" s="53">
        <f t="shared" si="6"/>
        <v>0</v>
      </c>
      <c r="AI15" s="100">
        <f t="shared" si="7"/>
        <v>1806.893</v>
      </c>
      <c r="AJ15" s="125"/>
      <c r="AK15" s="125"/>
      <c r="AL15" s="101">
        <f t="shared" si="8"/>
        <v>-1441.09</v>
      </c>
      <c r="AM15" s="56"/>
      <c r="AN15" s="56"/>
    </row>
    <row r="16" spans="1:54" s="28" customFormat="1">
      <c r="A16" s="56" t="s">
        <v>68</v>
      </c>
      <c r="B16" s="56" t="s">
        <v>240</v>
      </c>
      <c r="C16" s="56"/>
      <c r="D16" s="56"/>
      <c r="E16" s="56" t="s">
        <v>70</v>
      </c>
      <c r="F16" s="106">
        <v>42472</v>
      </c>
      <c r="G16" s="56"/>
      <c r="H16" s="56"/>
      <c r="I16" s="59">
        <v>513.33000000000004</v>
      </c>
      <c r="J16" s="94"/>
      <c r="K16" s="59">
        <f t="shared" si="0"/>
        <v>513.33000000000004</v>
      </c>
      <c r="L16" s="59">
        <v>3808.4</v>
      </c>
      <c r="M16" s="59"/>
      <c r="N16" s="59"/>
      <c r="O16" s="59"/>
      <c r="P16" s="88"/>
      <c r="Q16" s="100">
        <f t="shared" si="1"/>
        <v>4321.7300000000005</v>
      </c>
      <c r="R16" s="59"/>
      <c r="S16" s="59"/>
      <c r="T16" s="59"/>
      <c r="U16" s="59">
        <v>0</v>
      </c>
      <c r="V16" s="59"/>
      <c r="W16" s="59"/>
      <c r="X16" s="59"/>
      <c r="Y16" s="53"/>
      <c r="Z16" s="53"/>
      <c r="AA16" s="56"/>
      <c r="AB16" s="56">
        <v>0</v>
      </c>
      <c r="AC16" s="100">
        <f t="shared" si="2"/>
        <v>4321.7300000000005</v>
      </c>
      <c r="AD16" s="53">
        <f t="shared" si="3"/>
        <v>432.17300000000006</v>
      </c>
      <c r="AE16" s="100">
        <f t="shared" si="4"/>
        <v>3889.5570000000002</v>
      </c>
      <c r="AF16" s="53">
        <f t="shared" si="5"/>
        <v>0</v>
      </c>
      <c r="AG16" s="53">
        <v>10.23</v>
      </c>
      <c r="AH16" s="53">
        <f t="shared" si="6"/>
        <v>0</v>
      </c>
      <c r="AI16" s="100">
        <f t="shared" si="7"/>
        <v>4331.96</v>
      </c>
      <c r="AJ16" s="125"/>
      <c r="AK16" s="126"/>
      <c r="AL16" s="101">
        <f t="shared" si="8"/>
        <v>-3889.5570000000002</v>
      </c>
      <c r="AM16" s="56">
        <v>2899146091</v>
      </c>
      <c r="AN16" s="60"/>
    </row>
    <row r="17" spans="1:40" s="28" customFormat="1" ht="15" customHeight="1">
      <c r="A17" s="56" t="s">
        <v>68</v>
      </c>
      <c r="B17" s="56" t="s">
        <v>208</v>
      </c>
      <c r="C17" s="56" t="s">
        <v>201</v>
      </c>
      <c r="D17" s="56" t="s">
        <v>127</v>
      </c>
      <c r="E17" s="56" t="s">
        <v>70</v>
      </c>
      <c r="F17" s="106">
        <v>41831</v>
      </c>
      <c r="G17" s="56"/>
      <c r="H17" s="56"/>
      <c r="I17" s="59">
        <v>513.33000000000004</v>
      </c>
      <c r="J17" s="95"/>
      <c r="K17" s="59">
        <f t="shared" si="0"/>
        <v>513.33000000000004</v>
      </c>
      <c r="L17" s="59">
        <f>709.63+1000</f>
        <v>1709.63</v>
      </c>
      <c r="M17" s="59"/>
      <c r="N17" s="59"/>
      <c r="O17" s="59"/>
      <c r="P17" s="88"/>
      <c r="Q17" s="100">
        <f t="shared" si="1"/>
        <v>2222.96</v>
      </c>
      <c r="R17" s="59"/>
      <c r="S17" s="59"/>
      <c r="T17" s="59">
        <v>58.91</v>
      </c>
      <c r="U17" s="59">
        <v>500</v>
      </c>
      <c r="V17" s="59"/>
      <c r="W17" s="59"/>
      <c r="X17" s="59"/>
      <c r="Y17" s="53"/>
      <c r="Z17" s="53">
        <v>167.44</v>
      </c>
      <c r="AA17" s="56"/>
      <c r="AB17" s="127">
        <v>940.31</v>
      </c>
      <c r="AC17" s="100">
        <f t="shared" si="2"/>
        <v>556.30000000000018</v>
      </c>
      <c r="AD17" s="53">
        <f t="shared" si="3"/>
        <v>0</v>
      </c>
      <c r="AE17" s="100">
        <f t="shared" si="4"/>
        <v>556.30000000000018</v>
      </c>
      <c r="AF17" s="53">
        <f t="shared" si="5"/>
        <v>222.29600000000002</v>
      </c>
      <c r="AG17" s="53">
        <v>10.23</v>
      </c>
      <c r="AH17" s="53">
        <f t="shared" si="6"/>
        <v>0</v>
      </c>
      <c r="AI17" s="100">
        <f t="shared" si="7"/>
        <v>2455.4859999999999</v>
      </c>
      <c r="AJ17" s="112"/>
      <c r="AK17" s="110"/>
      <c r="AL17" s="101">
        <f t="shared" si="8"/>
        <v>-556.30000000000018</v>
      </c>
      <c r="AM17" s="56"/>
      <c r="AN17" s="60"/>
    </row>
    <row r="18" spans="1:40" s="28" customFormat="1" ht="15" customHeight="1">
      <c r="A18" s="56" t="s">
        <v>84</v>
      </c>
      <c r="B18" s="56" t="s">
        <v>257</v>
      </c>
      <c r="C18" s="56"/>
      <c r="D18" s="56"/>
      <c r="E18" s="56" t="s">
        <v>258</v>
      </c>
      <c r="F18" s="106">
        <v>42506</v>
      </c>
      <c r="G18" s="56"/>
      <c r="H18" s="56"/>
      <c r="I18" s="59">
        <v>739.23</v>
      </c>
      <c r="J18" s="95"/>
      <c r="K18" s="59">
        <f t="shared" si="0"/>
        <v>739.23</v>
      </c>
      <c r="L18" s="59">
        <f>1367.574+5.571</f>
        <v>1373.145</v>
      </c>
      <c r="M18" s="59"/>
      <c r="N18" s="59"/>
      <c r="O18" s="59"/>
      <c r="P18" s="88"/>
      <c r="Q18" s="100">
        <f t="shared" si="1"/>
        <v>2112.375</v>
      </c>
      <c r="R18" s="59"/>
      <c r="S18" s="59">
        <v>211.2</v>
      </c>
      <c r="T18" s="59"/>
      <c r="U18" s="59">
        <v>0</v>
      </c>
      <c r="V18" s="59"/>
      <c r="W18" s="59"/>
      <c r="X18" s="59"/>
      <c r="Y18" s="53"/>
      <c r="Z18" s="53"/>
      <c r="AA18" s="56"/>
      <c r="AB18" s="127"/>
      <c r="AC18" s="100">
        <f t="shared" si="2"/>
        <v>1901.175</v>
      </c>
      <c r="AD18" s="53">
        <f t="shared" si="3"/>
        <v>0</v>
      </c>
      <c r="AE18" s="100">
        <f t="shared" si="4"/>
        <v>1901.175</v>
      </c>
      <c r="AF18" s="53">
        <f t="shared" si="5"/>
        <v>211.23750000000001</v>
      </c>
      <c r="AG18" s="53">
        <v>10.23</v>
      </c>
      <c r="AH18" s="53">
        <f t="shared" si="6"/>
        <v>0</v>
      </c>
      <c r="AI18" s="100">
        <f t="shared" si="7"/>
        <v>2333.8425000000002</v>
      </c>
      <c r="AJ18" s="110"/>
      <c r="AK18" s="110"/>
      <c r="AL18" s="101">
        <f t="shared" si="8"/>
        <v>-1901.175</v>
      </c>
      <c r="AM18" s="104">
        <v>14058709719</v>
      </c>
      <c r="AN18" s="60"/>
    </row>
    <row r="19" spans="1:40" s="28" customFormat="1">
      <c r="A19" s="56" t="s">
        <v>84</v>
      </c>
      <c r="B19" s="56" t="s">
        <v>168</v>
      </c>
      <c r="C19" s="56"/>
      <c r="D19" s="56" t="s">
        <v>110</v>
      </c>
      <c r="E19" s="56" t="s">
        <v>141</v>
      </c>
      <c r="F19" s="106">
        <v>41227</v>
      </c>
      <c r="G19" s="56"/>
      <c r="H19" s="56"/>
      <c r="I19" s="59">
        <v>511.28</v>
      </c>
      <c r="J19" s="94"/>
      <c r="K19" s="59">
        <f t="shared" si="0"/>
        <v>511.28</v>
      </c>
      <c r="L19" s="59">
        <f>4005+7.428</f>
        <v>4012.4279999999999</v>
      </c>
      <c r="M19" s="59"/>
      <c r="N19" s="59"/>
      <c r="O19" s="59"/>
      <c r="P19" s="88"/>
      <c r="Q19" s="100">
        <f t="shared" si="1"/>
        <v>4523.7079999999996</v>
      </c>
      <c r="R19" s="59"/>
      <c r="S19" s="59"/>
      <c r="T19" s="59"/>
      <c r="U19" s="59">
        <v>700</v>
      </c>
      <c r="V19" s="59">
        <f>Q19*4.9%</f>
        <v>221.66169199999999</v>
      </c>
      <c r="W19" s="59">
        <f>Q19*1%</f>
        <v>45.237079999999999</v>
      </c>
      <c r="X19" s="59"/>
      <c r="Y19" s="53"/>
      <c r="Z19" s="53"/>
      <c r="AA19" s="56"/>
      <c r="AB19" s="56">
        <v>0</v>
      </c>
      <c r="AC19" s="100">
        <f t="shared" si="2"/>
        <v>3556.8092279999996</v>
      </c>
      <c r="AD19" s="53">
        <f t="shared" si="3"/>
        <v>452.37079999999997</v>
      </c>
      <c r="AE19" s="100">
        <f t="shared" si="4"/>
        <v>3104.4384279999995</v>
      </c>
      <c r="AF19" s="53">
        <f t="shared" si="5"/>
        <v>0</v>
      </c>
      <c r="AG19" s="53">
        <v>10.23</v>
      </c>
      <c r="AH19" s="53">
        <f t="shared" si="6"/>
        <v>221.66169199999999</v>
      </c>
      <c r="AI19" s="100">
        <f t="shared" si="7"/>
        <v>4755.5996919999989</v>
      </c>
      <c r="AJ19" s="110"/>
      <c r="AK19" s="110"/>
      <c r="AL19" s="101">
        <f t="shared" si="8"/>
        <v>-3104.4384279999995</v>
      </c>
      <c r="AM19" s="56"/>
      <c r="AN19" s="56"/>
    </row>
    <row r="20" spans="1:40" s="28" customFormat="1">
      <c r="A20" s="56" t="s">
        <v>68</v>
      </c>
      <c r="B20" s="56" t="s">
        <v>213</v>
      </c>
      <c r="C20" s="56" t="s">
        <v>202</v>
      </c>
      <c r="D20" s="56">
        <v>18</v>
      </c>
      <c r="E20" s="56" t="s">
        <v>71</v>
      </c>
      <c r="F20" s="106">
        <v>39699</v>
      </c>
      <c r="G20" s="56"/>
      <c r="H20" s="56"/>
      <c r="I20" s="59">
        <v>1633.33</v>
      </c>
      <c r="J20" s="94"/>
      <c r="K20" s="59">
        <f t="shared" si="0"/>
        <v>1633.33</v>
      </c>
      <c r="L20" s="59">
        <v>64698.13</v>
      </c>
      <c r="M20" s="59"/>
      <c r="N20" s="59"/>
      <c r="O20" s="59"/>
      <c r="P20" s="88"/>
      <c r="Q20" s="100">
        <f t="shared" si="1"/>
        <v>66331.459999999992</v>
      </c>
      <c r="R20" s="59"/>
      <c r="S20" s="59"/>
      <c r="T20" s="59"/>
      <c r="U20" s="59">
        <v>700</v>
      </c>
      <c r="V20" s="59"/>
      <c r="W20" s="59"/>
      <c r="X20" s="59"/>
      <c r="Y20" s="53"/>
      <c r="Z20" s="53"/>
      <c r="AA20" s="56">
        <v>205.7</v>
      </c>
      <c r="AB20" s="56">
        <v>0</v>
      </c>
      <c r="AC20" s="100">
        <f t="shared" si="2"/>
        <v>65425.759999999995</v>
      </c>
      <c r="AD20" s="53">
        <f t="shared" si="3"/>
        <v>6633.1459999999997</v>
      </c>
      <c r="AE20" s="100">
        <f t="shared" si="4"/>
        <v>58792.613999999994</v>
      </c>
      <c r="AF20" s="53">
        <f t="shared" si="5"/>
        <v>0</v>
      </c>
      <c r="AG20" s="53">
        <v>10.23</v>
      </c>
      <c r="AH20" s="53">
        <f t="shared" si="6"/>
        <v>0</v>
      </c>
      <c r="AI20" s="100">
        <f t="shared" si="7"/>
        <v>66341.689999999988</v>
      </c>
      <c r="AJ20" s="110"/>
      <c r="AK20" s="111"/>
      <c r="AL20" s="101">
        <f t="shared" si="8"/>
        <v>-58792.613999999994</v>
      </c>
      <c r="AM20" s="56"/>
      <c r="AN20" s="56"/>
    </row>
    <row r="21" spans="1:40" s="28" customFormat="1">
      <c r="A21" s="56" t="s">
        <v>84</v>
      </c>
      <c r="B21" s="56" t="s">
        <v>214</v>
      </c>
      <c r="C21" s="56"/>
      <c r="D21" s="56" t="s">
        <v>111</v>
      </c>
      <c r="E21" s="56" t="s">
        <v>152</v>
      </c>
      <c r="F21" s="106">
        <v>42242</v>
      </c>
      <c r="G21" s="56"/>
      <c r="H21" s="56"/>
      <c r="I21" s="59">
        <v>556.78</v>
      </c>
      <c r="J21" s="94"/>
      <c r="K21" s="59">
        <f t="shared" si="0"/>
        <v>556.78</v>
      </c>
      <c r="L21" s="59">
        <v>655.4</v>
      </c>
      <c r="M21" s="59"/>
      <c r="N21" s="59"/>
      <c r="O21" s="59"/>
      <c r="P21" s="88"/>
      <c r="Q21" s="100">
        <f t="shared" si="1"/>
        <v>1212.1799999999998</v>
      </c>
      <c r="R21" s="59"/>
      <c r="S21" s="59">
        <v>159.08000000000001</v>
      </c>
      <c r="T21" s="59"/>
      <c r="U21" s="59">
        <v>0</v>
      </c>
      <c r="V21" s="59">
        <f>+Q21*4.9%</f>
        <v>59.396819999999991</v>
      </c>
      <c r="W21" s="59">
        <f>Q21*1%</f>
        <v>12.121799999999999</v>
      </c>
      <c r="X21" s="59"/>
      <c r="Y21" s="53"/>
      <c r="Z21" s="53"/>
      <c r="AA21" s="56"/>
      <c r="AB21" s="56">
        <v>0</v>
      </c>
      <c r="AC21" s="100">
        <f t="shared" si="2"/>
        <v>981.58137999999985</v>
      </c>
      <c r="AD21" s="53">
        <f t="shared" si="3"/>
        <v>0</v>
      </c>
      <c r="AE21" s="100">
        <f t="shared" si="4"/>
        <v>981.58137999999985</v>
      </c>
      <c r="AF21" s="53">
        <f t="shared" si="5"/>
        <v>121.21799999999999</v>
      </c>
      <c r="AG21" s="53">
        <v>10.23</v>
      </c>
      <c r="AH21" s="53">
        <f t="shared" si="6"/>
        <v>59.396819999999991</v>
      </c>
      <c r="AI21" s="100">
        <f t="shared" si="7"/>
        <v>1403.0248199999999</v>
      </c>
      <c r="AJ21" s="110"/>
      <c r="AK21" s="111"/>
      <c r="AL21" s="101">
        <f t="shared" si="8"/>
        <v>-981.58137999999985</v>
      </c>
      <c r="AM21" s="56"/>
      <c r="AN21" s="56"/>
    </row>
    <row r="22" spans="1:40" s="28" customFormat="1">
      <c r="A22" s="56" t="s">
        <v>67</v>
      </c>
      <c r="B22" s="56" t="s">
        <v>197</v>
      </c>
      <c r="C22" s="56" t="s">
        <v>228</v>
      </c>
      <c r="D22" s="56" t="s">
        <v>104</v>
      </c>
      <c r="E22" s="56" t="s">
        <v>150</v>
      </c>
      <c r="F22" s="106">
        <v>42332</v>
      </c>
      <c r="G22" s="56"/>
      <c r="H22" s="56"/>
      <c r="I22" s="59">
        <v>513.33000000000004</v>
      </c>
      <c r="J22" s="94"/>
      <c r="K22" s="59">
        <f t="shared" si="0"/>
        <v>513.33000000000004</v>
      </c>
      <c r="L22" s="59">
        <v>2325.52</v>
      </c>
      <c r="M22" s="59"/>
      <c r="N22" s="59"/>
      <c r="O22" s="59"/>
      <c r="P22" s="88"/>
      <c r="Q22" s="100">
        <f t="shared" si="1"/>
        <v>2838.85</v>
      </c>
      <c r="R22" s="59"/>
      <c r="S22" s="59"/>
      <c r="T22" s="59"/>
      <c r="U22" s="59">
        <v>0</v>
      </c>
      <c r="V22" s="59"/>
      <c r="W22" s="59"/>
      <c r="X22" s="59"/>
      <c r="Y22" s="53"/>
      <c r="Z22" s="53"/>
      <c r="AA22" s="56"/>
      <c r="AB22" s="56">
        <v>566.61</v>
      </c>
      <c r="AC22" s="100">
        <f t="shared" si="2"/>
        <v>2272.2399999999998</v>
      </c>
      <c r="AD22" s="53">
        <f t="shared" si="3"/>
        <v>283.88499999999999</v>
      </c>
      <c r="AE22" s="100">
        <f t="shared" si="4"/>
        <v>1988.3549999999998</v>
      </c>
      <c r="AF22" s="53">
        <f t="shared" si="5"/>
        <v>0</v>
      </c>
      <c r="AG22" s="53">
        <v>10.23</v>
      </c>
      <c r="AH22" s="53">
        <f t="shared" si="6"/>
        <v>0</v>
      </c>
      <c r="AI22" s="100">
        <f t="shared" si="7"/>
        <v>2849.08</v>
      </c>
      <c r="AJ22" s="110"/>
      <c r="AK22" s="111"/>
      <c r="AL22" s="101">
        <f t="shared" si="8"/>
        <v>-1988.3549999999998</v>
      </c>
      <c r="AM22" s="56"/>
      <c r="AN22" s="56"/>
    </row>
    <row r="23" spans="1:40" s="28" customFormat="1">
      <c r="A23" s="56" t="s">
        <v>68</v>
      </c>
      <c r="B23" s="56" t="s">
        <v>226</v>
      </c>
      <c r="C23" s="56" t="s">
        <v>204</v>
      </c>
      <c r="D23" s="56"/>
      <c r="E23" s="56" t="s">
        <v>70</v>
      </c>
      <c r="F23" s="106">
        <v>42437</v>
      </c>
      <c r="G23" s="56"/>
      <c r="H23" s="56"/>
      <c r="I23" s="59">
        <v>513.33000000000004</v>
      </c>
      <c r="J23" s="94"/>
      <c r="K23" s="59">
        <f t="shared" si="0"/>
        <v>513.33000000000004</v>
      </c>
      <c r="L23" s="59">
        <v>4666.3500000000004</v>
      </c>
      <c r="M23" s="59"/>
      <c r="N23" s="59"/>
      <c r="O23" s="59"/>
      <c r="P23" s="88"/>
      <c r="Q23" s="100">
        <f t="shared" si="1"/>
        <v>5179.68</v>
      </c>
      <c r="R23" s="59"/>
      <c r="S23" s="59"/>
      <c r="T23" s="59"/>
      <c r="U23" s="59">
        <v>0</v>
      </c>
      <c r="V23" s="59"/>
      <c r="W23" s="59"/>
      <c r="X23" s="59"/>
      <c r="Y23" s="53"/>
      <c r="Z23" s="53"/>
      <c r="AA23" s="56"/>
      <c r="AB23" s="56">
        <v>0</v>
      </c>
      <c r="AC23" s="100">
        <f t="shared" si="2"/>
        <v>5179.68</v>
      </c>
      <c r="AD23" s="53">
        <f t="shared" si="3"/>
        <v>517.96800000000007</v>
      </c>
      <c r="AE23" s="100">
        <f t="shared" si="4"/>
        <v>4661.7120000000004</v>
      </c>
      <c r="AF23" s="53">
        <f t="shared" si="5"/>
        <v>0</v>
      </c>
      <c r="AG23" s="53">
        <v>10.23</v>
      </c>
      <c r="AH23" s="53">
        <f t="shared" si="6"/>
        <v>0</v>
      </c>
      <c r="AI23" s="100">
        <f t="shared" si="7"/>
        <v>5189.91</v>
      </c>
      <c r="AJ23" s="110"/>
      <c r="AK23" s="111"/>
      <c r="AL23" s="101">
        <f t="shared" si="8"/>
        <v>-4661.7120000000004</v>
      </c>
      <c r="AM23" s="56"/>
      <c r="AN23" s="60"/>
    </row>
    <row r="24" spans="1:40" s="28" customFormat="1">
      <c r="A24" s="56" t="s">
        <v>82</v>
      </c>
      <c r="B24" s="56" t="s">
        <v>174</v>
      </c>
      <c r="C24" s="56"/>
      <c r="D24" s="56" t="s">
        <v>87</v>
      </c>
      <c r="E24" s="56" t="s">
        <v>140</v>
      </c>
      <c r="F24" s="106">
        <v>41885</v>
      </c>
      <c r="G24" s="56"/>
      <c r="H24" s="56"/>
      <c r="I24" s="122">
        <v>739.23</v>
      </c>
      <c r="J24" s="114"/>
      <c r="K24" s="59">
        <f t="shared" si="0"/>
        <v>739.23</v>
      </c>
      <c r="L24" s="59">
        <f>3110.955+13.099</f>
        <v>3124.0540000000001</v>
      </c>
      <c r="M24" s="59"/>
      <c r="N24" s="59"/>
      <c r="O24" s="59"/>
      <c r="P24" s="88"/>
      <c r="Q24" s="100">
        <f t="shared" si="1"/>
        <v>3863.2840000000001</v>
      </c>
      <c r="R24" s="59"/>
      <c r="S24" s="59">
        <v>105.6</v>
      </c>
      <c r="T24" s="59"/>
      <c r="U24" s="59">
        <v>0</v>
      </c>
      <c r="V24" s="59"/>
      <c r="W24" s="59"/>
      <c r="X24" s="59"/>
      <c r="Y24" s="53"/>
      <c r="Z24" s="53"/>
      <c r="AA24" s="56"/>
      <c r="AB24" s="56">
        <v>0</v>
      </c>
      <c r="AC24" s="100">
        <f t="shared" si="2"/>
        <v>3757.6840000000002</v>
      </c>
      <c r="AD24" s="53">
        <f t="shared" si="3"/>
        <v>386.32840000000004</v>
      </c>
      <c r="AE24" s="100">
        <f t="shared" si="4"/>
        <v>3371.3556000000003</v>
      </c>
      <c r="AF24" s="53">
        <f t="shared" si="5"/>
        <v>0</v>
      </c>
      <c r="AG24" s="53">
        <v>10.23</v>
      </c>
      <c r="AH24" s="53">
        <f t="shared" si="6"/>
        <v>0</v>
      </c>
      <c r="AI24" s="100">
        <f t="shared" si="7"/>
        <v>3873.5140000000001</v>
      </c>
      <c r="AJ24" s="110"/>
      <c r="AK24" s="111"/>
      <c r="AL24" s="101">
        <f t="shared" si="8"/>
        <v>-3371.3556000000003</v>
      </c>
      <c r="AM24" s="56"/>
      <c r="AN24" s="60"/>
    </row>
    <row r="25" spans="1:40" s="28" customFormat="1">
      <c r="A25" s="134" t="s">
        <v>82</v>
      </c>
      <c r="B25" s="134" t="s">
        <v>285</v>
      </c>
      <c r="C25" s="134"/>
      <c r="D25" s="134"/>
      <c r="E25" s="134" t="s">
        <v>141</v>
      </c>
      <c r="F25" s="135">
        <v>42571</v>
      </c>
      <c r="G25" s="134"/>
      <c r="H25" s="134"/>
      <c r="I25" s="136">
        <v>739.23</v>
      </c>
      <c r="J25" s="137"/>
      <c r="K25" s="57">
        <f t="shared" si="0"/>
        <v>739.23</v>
      </c>
      <c r="L25" s="57">
        <f>1805.454+7.428</f>
        <v>1812.8820000000001</v>
      </c>
      <c r="M25" s="57"/>
      <c r="N25" s="57"/>
      <c r="O25" s="57"/>
      <c r="P25" s="138"/>
      <c r="Q25" s="139">
        <f t="shared" si="1"/>
        <v>2552.1120000000001</v>
      </c>
      <c r="R25" s="57"/>
      <c r="S25" s="57"/>
      <c r="T25" s="57"/>
      <c r="U25" s="57">
        <v>0</v>
      </c>
      <c r="V25" s="57"/>
      <c r="W25" s="57"/>
      <c r="X25" s="57"/>
      <c r="Y25" s="140"/>
      <c r="Z25" s="140"/>
      <c r="AA25" s="134"/>
      <c r="AB25" s="134">
        <v>0</v>
      </c>
      <c r="AC25" s="139">
        <f t="shared" si="2"/>
        <v>2552.1120000000001</v>
      </c>
      <c r="AD25" s="140">
        <f t="shared" si="3"/>
        <v>255.21120000000002</v>
      </c>
      <c r="AE25" s="139">
        <f t="shared" si="4"/>
        <v>2296.9007999999999</v>
      </c>
      <c r="AF25" s="140">
        <f t="shared" si="5"/>
        <v>0</v>
      </c>
      <c r="AG25" s="140">
        <v>10.23</v>
      </c>
      <c r="AH25" s="140">
        <f t="shared" si="6"/>
        <v>0</v>
      </c>
      <c r="AI25" s="139">
        <f t="shared" si="7"/>
        <v>2562.3420000000001</v>
      </c>
      <c r="AJ25" s="141"/>
      <c r="AK25" s="142"/>
      <c r="AL25" s="103"/>
      <c r="AM25" s="134">
        <v>1158901600</v>
      </c>
      <c r="AN25" s="143" t="s">
        <v>286</v>
      </c>
    </row>
    <row r="26" spans="1:40" s="28" customFormat="1">
      <c r="A26" s="56" t="s">
        <v>67</v>
      </c>
      <c r="B26" s="56" t="s">
        <v>241</v>
      </c>
      <c r="C26" s="56" t="s">
        <v>228</v>
      </c>
      <c r="D26" s="56" t="s">
        <v>103</v>
      </c>
      <c r="E26" s="56" t="s">
        <v>150</v>
      </c>
      <c r="F26" s="106">
        <v>42304</v>
      </c>
      <c r="G26" s="56"/>
      <c r="H26" s="56"/>
      <c r="I26" s="59">
        <v>513.33000000000004</v>
      </c>
      <c r="J26" s="114"/>
      <c r="K26" s="59">
        <f t="shared" si="0"/>
        <v>513.33000000000004</v>
      </c>
      <c r="L26" s="59">
        <v>0</v>
      </c>
      <c r="M26" s="59"/>
      <c r="N26" s="59"/>
      <c r="O26" s="59"/>
      <c r="P26" s="88"/>
      <c r="Q26" s="100">
        <f t="shared" si="1"/>
        <v>513.33000000000004</v>
      </c>
      <c r="R26" s="59"/>
      <c r="S26" s="59"/>
      <c r="T26" s="59"/>
      <c r="U26" s="59">
        <v>0</v>
      </c>
      <c r="V26" s="59"/>
      <c r="W26" s="59"/>
      <c r="X26" s="59"/>
      <c r="Y26" s="53"/>
      <c r="Z26" s="53"/>
      <c r="AA26" s="56"/>
      <c r="AB26" s="56">
        <v>0</v>
      </c>
      <c r="AC26" s="100">
        <f t="shared" si="2"/>
        <v>513.33000000000004</v>
      </c>
      <c r="AD26" s="53">
        <f t="shared" si="3"/>
        <v>0</v>
      </c>
      <c r="AE26" s="100">
        <f t="shared" si="4"/>
        <v>513.33000000000004</v>
      </c>
      <c r="AF26" s="53">
        <f t="shared" si="5"/>
        <v>51.333000000000006</v>
      </c>
      <c r="AG26" s="53">
        <v>10.23</v>
      </c>
      <c r="AH26" s="53">
        <f t="shared" si="6"/>
        <v>0</v>
      </c>
      <c r="AI26" s="100">
        <f t="shared" si="7"/>
        <v>574.89300000000003</v>
      </c>
      <c r="AJ26" s="110"/>
      <c r="AK26" s="110"/>
      <c r="AL26" s="101">
        <f t="shared" si="8"/>
        <v>-513.33000000000004</v>
      </c>
      <c r="AM26" s="56"/>
      <c r="AN26" s="56"/>
    </row>
    <row r="27" spans="1:40" s="28" customFormat="1">
      <c r="A27" s="56" t="s">
        <v>82</v>
      </c>
      <c r="B27" s="56" t="s">
        <v>243</v>
      </c>
      <c r="C27" s="56"/>
      <c r="D27" s="56" t="s">
        <v>99</v>
      </c>
      <c r="E27" s="56" t="s">
        <v>146</v>
      </c>
      <c r="F27" s="106">
        <v>42338</v>
      </c>
      <c r="G27" s="56"/>
      <c r="H27" s="56"/>
      <c r="I27" s="59">
        <v>739.23</v>
      </c>
      <c r="J27" s="114"/>
      <c r="K27" s="59">
        <f t="shared" si="0"/>
        <v>739.23</v>
      </c>
      <c r="L27" s="59">
        <f>1431.12+7.428</f>
        <v>1438.548</v>
      </c>
      <c r="M27" s="59"/>
      <c r="N27" s="59"/>
      <c r="O27" s="59"/>
      <c r="P27" s="88"/>
      <c r="Q27" s="100">
        <f t="shared" si="1"/>
        <v>2177.7780000000002</v>
      </c>
      <c r="R27" s="59"/>
      <c r="S27" s="59"/>
      <c r="T27" s="59"/>
      <c r="U27" s="59">
        <v>0</v>
      </c>
      <c r="V27" s="59"/>
      <c r="W27" s="59"/>
      <c r="X27" s="59"/>
      <c r="Y27" s="53"/>
      <c r="Z27" s="53"/>
      <c r="AA27" s="56"/>
      <c r="AB27" s="56">
        <v>0</v>
      </c>
      <c r="AC27" s="100">
        <f t="shared" si="2"/>
        <v>2177.7780000000002</v>
      </c>
      <c r="AD27" s="53">
        <f t="shared" si="3"/>
        <v>0</v>
      </c>
      <c r="AE27" s="100">
        <f t="shared" si="4"/>
        <v>2177.7780000000002</v>
      </c>
      <c r="AF27" s="53">
        <f t="shared" si="5"/>
        <v>217.77780000000004</v>
      </c>
      <c r="AG27" s="53">
        <v>10.23</v>
      </c>
      <c r="AH27" s="53">
        <f t="shared" si="6"/>
        <v>0</v>
      </c>
      <c r="AI27" s="100">
        <f t="shared" si="7"/>
        <v>2405.7858000000001</v>
      </c>
      <c r="AJ27" s="110"/>
      <c r="AK27" s="111"/>
      <c r="AL27" s="101">
        <f t="shared" si="8"/>
        <v>-2177.7780000000002</v>
      </c>
      <c r="AM27" s="56"/>
      <c r="AN27" s="60"/>
    </row>
    <row r="28" spans="1:40" s="28" customFormat="1">
      <c r="A28" s="56" t="s">
        <v>66</v>
      </c>
      <c r="B28" s="56" t="s">
        <v>187</v>
      </c>
      <c r="C28" s="56"/>
      <c r="D28" s="56" t="s">
        <v>98</v>
      </c>
      <c r="E28" s="56" t="s">
        <v>148</v>
      </c>
      <c r="F28" s="106">
        <v>42110</v>
      </c>
      <c r="G28" s="56"/>
      <c r="H28" s="56"/>
      <c r="I28" s="59">
        <v>513.33000000000004</v>
      </c>
      <c r="J28" s="114">
        <v>420</v>
      </c>
      <c r="K28" s="59">
        <f t="shared" si="0"/>
        <v>933.33</v>
      </c>
      <c r="L28" s="59">
        <v>700</v>
      </c>
      <c r="M28" s="59"/>
      <c r="N28" s="59"/>
      <c r="O28" s="59"/>
      <c r="P28" s="88"/>
      <c r="Q28" s="100">
        <f t="shared" si="1"/>
        <v>1633.33</v>
      </c>
      <c r="R28" s="59"/>
      <c r="S28" s="59">
        <v>266.66000000000003</v>
      </c>
      <c r="T28" s="59">
        <v>58.91</v>
      </c>
      <c r="U28" s="59">
        <v>0</v>
      </c>
      <c r="V28" s="59"/>
      <c r="W28" s="59"/>
      <c r="X28" s="59"/>
      <c r="Y28" s="53"/>
      <c r="Z28" s="53"/>
      <c r="AA28" s="56"/>
      <c r="AB28" s="56">
        <v>0</v>
      </c>
      <c r="AC28" s="100">
        <f t="shared" si="2"/>
        <v>1307.7599999999998</v>
      </c>
      <c r="AD28" s="53">
        <f t="shared" si="3"/>
        <v>0</v>
      </c>
      <c r="AE28" s="100">
        <f t="shared" si="4"/>
        <v>1307.7599999999998</v>
      </c>
      <c r="AF28" s="53">
        <f t="shared" si="5"/>
        <v>163.333</v>
      </c>
      <c r="AG28" s="53">
        <v>10.23</v>
      </c>
      <c r="AH28" s="53">
        <f t="shared" si="6"/>
        <v>0</v>
      </c>
      <c r="AI28" s="100">
        <f t="shared" si="7"/>
        <v>1806.893</v>
      </c>
      <c r="AJ28" s="110"/>
      <c r="AK28" s="110"/>
      <c r="AL28" s="101">
        <f t="shared" si="8"/>
        <v>-1307.7599999999998</v>
      </c>
      <c r="AM28" s="56"/>
      <c r="AN28" s="60"/>
    </row>
    <row r="29" spans="1:40" s="28" customFormat="1">
      <c r="A29" s="56" t="s">
        <v>203</v>
      </c>
      <c r="B29" s="56" t="s">
        <v>172</v>
      </c>
      <c r="C29" s="56"/>
      <c r="D29" s="56" t="s">
        <v>100</v>
      </c>
      <c r="E29" s="56" t="s">
        <v>149</v>
      </c>
      <c r="F29" s="106">
        <v>42205</v>
      </c>
      <c r="G29" s="56"/>
      <c r="H29" s="102"/>
      <c r="I29" s="59">
        <v>577.38</v>
      </c>
      <c r="J29" s="114">
        <v>939.29</v>
      </c>
      <c r="K29" s="59">
        <f t="shared" si="0"/>
        <v>1516.67</v>
      </c>
      <c r="L29" s="59"/>
      <c r="M29" s="59"/>
      <c r="N29" s="59"/>
      <c r="O29" s="59"/>
      <c r="P29" s="88"/>
      <c r="Q29" s="100">
        <f t="shared" si="1"/>
        <v>1516.67</v>
      </c>
      <c r="R29" s="59"/>
      <c r="S29" s="59"/>
      <c r="T29" s="59"/>
      <c r="U29" s="59">
        <v>200</v>
      </c>
      <c r="V29" s="59"/>
      <c r="W29" s="59"/>
      <c r="X29" s="59"/>
      <c r="Y29" s="53"/>
      <c r="Z29" s="53">
        <v>168.06</v>
      </c>
      <c r="AA29" s="56"/>
      <c r="AB29" s="56">
        <v>0</v>
      </c>
      <c r="AC29" s="100">
        <f t="shared" si="2"/>
        <v>1148.6100000000001</v>
      </c>
      <c r="AD29" s="53">
        <f t="shared" si="3"/>
        <v>0</v>
      </c>
      <c r="AE29" s="100">
        <f t="shared" si="4"/>
        <v>1148.6100000000001</v>
      </c>
      <c r="AF29" s="53">
        <f t="shared" si="5"/>
        <v>151.667</v>
      </c>
      <c r="AG29" s="53">
        <v>10.23</v>
      </c>
      <c r="AH29" s="53">
        <f t="shared" si="6"/>
        <v>0</v>
      </c>
      <c r="AI29" s="100">
        <f t="shared" si="7"/>
        <v>1678.567</v>
      </c>
      <c r="AJ29" s="110"/>
      <c r="AK29" s="110"/>
      <c r="AL29" s="101">
        <f t="shared" si="8"/>
        <v>-1148.6100000000001</v>
      </c>
      <c r="AM29" s="56"/>
      <c r="AN29" s="56"/>
    </row>
    <row r="30" spans="1:40" s="28" customFormat="1">
      <c r="A30" s="56" t="s">
        <v>203</v>
      </c>
      <c r="B30" s="56" t="s">
        <v>252</v>
      </c>
      <c r="C30" s="56"/>
      <c r="D30" s="56"/>
      <c r="E30" s="56" t="s">
        <v>149</v>
      </c>
      <c r="F30" s="106">
        <v>42476</v>
      </c>
      <c r="G30" s="56"/>
      <c r="H30" s="102"/>
      <c r="I30" s="59">
        <v>577.38</v>
      </c>
      <c r="J30" s="114">
        <v>939.29</v>
      </c>
      <c r="K30" s="59">
        <f t="shared" si="0"/>
        <v>1516.67</v>
      </c>
      <c r="L30" s="59">
        <v>866.66</v>
      </c>
      <c r="M30" s="59"/>
      <c r="N30" s="59"/>
      <c r="O30" s="59"/>
      <c r="P30" s="88"/>
      <c r="Q30" s="100">
        <f t="shared" si="1"/>
        <v>2383.33</v>
      </c>
      <c r="R30" s="59"/>
      <c r="S30" s="59"/>
      <c r="T30" s="59"/>
      <c r="U30" s="59">
        <v>0</v>
      </c>
      <c r="V30" s="59"/>
      <c r="W30" s="59"/>
      <c r="X30" s="59"/>
      <c r="Y30" s="53"/>
      <c r="Z30" s="53"/>
      <c r="AA30" s="56"/>
      <c r="AB30" s="56">
        <v>0</v>
      </c>
      <c r="AC30" s="100">
        <f t="shared" si="2"/>
        <v>2383.33</v>
      </c>
      <c r="AD30" s="53">
        <f t="shared" si="3"/>
        <v>238.333</v>
      </c>
      <c r="AE30" s="100">
        <f t="shared" si="4"/>
        <v>2144.9969999999998</v>
      </c>
      <c r="AF30" s="53">
        <f t="shared" si="5"/>
        <v>0</v>
      </c>
      <c r="AG30" s="53">
        <v>10.23</v>
      </c>
      <c r="AH30" s="53">
        <f t="shared" si="6"/>
        <v>0</v>
      </c>
      <c r="AI30" s="100">
        <f t="shared" si="7"/>
        <v>2393.56</v>
      </c>
      <c r="AJ30" s="110"/>
      <c r="AK30" s="110"/>
      <c r="AL30" s="101">
        <f t="shared" si="8"/>
        <v>-2144.9969999999998</v>
      </c>
      <c r="AM30" s="56">
        <v>2919685839</v>
      </c>
      <c r="AN30" s="60"/>
    </row>
    <row r="31" spans="1:40" s="28" customFormat="1">
      <c r="A31" s="56" t="s">
        <v>84</v>
      </c>
      <c r="B31" s="56" t="s">
        <v>256</v>
      </c>
      <c r="C31" s="56"/>
      <c r="D31" s="56" t="s">
        <v>112</v>
      </c>
      <c r="E31" s="56" t="s">
        <v>156</v>
      </c>
      <c r="F31" s="106">
        <v>41227</v>
      </c>
      <c r="G31" s="56"/>
      <c r="H31" s="56"/>
      <c r="I31" s="59">
        <v>623.36</v>
      </c>
      <c r="J31" s="114"/>
      <c r="K31" s="59">
        <f t="shared" si="0"/>
        <v>623.36</v>
      </c>
      <c r="L31" s="59">
        <f>2019.636+2.599</f>
        <v>2022.2349999999999</v>
      </c>
      <c r="M31" s="59"/>
      <c r="N31" s="59"/>
      <c r="O31" s="59"/>
      <c r="P31" s="88"/>
      <c r="Q31" s="100">
        <f t="shared" si="1"/>
        <v>2645.5949999999998</v>
      </c>
      <c r="R31" s="59"/>
      <c r="S31" s="59"/>
      <c r="T31" s="59"/>
      <c r="U31" s="59">
        <v>500</v>
      </c>
      <c r="V31" s="59">
        <f>Q31*4.9%</f>
        <v>129.63415499999999</v>
      </c>
      <c r="W31" s="59">
        <f>Q31*1%</f>
        <v>26.455949999999998</v>
      </c>
      <c r="X31" s="59"/>
      <c r="Y31" s="53"/>
      <c r="Z31" s="53"/>
      <c r="AA31" s="56"/>
      <c r="AB31" s="56">
        <v>0</v>
      </c>
      <c r="AC31" s="100">
        <f t="shared" si="2"/>
        <v>1989.5048949999998</v>
      </c>
      <c r="AD31" s="53">
        <f t="shared" si="3"/>
        <v>264.55950000000001</v>
      </c>
      <c r="AE31" s="100">
        <f t="shared" si="4"/>
        <v>1724.9453949999997</v>
      </c>
      <c r="AF31" s="53">
        <f t="shared" si="5"/>
        <v>0</v>
      </c>
      <c r="AG31" s="53">
        <v>10.23</v>
      </c>
      <c r="AH31" s="53">
        <f t="shared" si="6"/>
        <v>129.63415499999999</v>
      </c>
      <c r="AI31" s="100">
        <f t="shared" si="7"/>
        <v>2785.459155</v>
      </c>
      <c r="AJ31" s="110"/>
      <c r="AK31" s="110"/>
      <c r="AL31" s="101">
        <f t="shared" si="8"/>
        <v>-1724.9453949999997</v>
      </c>
      <c r="AM31" s="56"/>
      <c r="AN31" s="60"/>
    </row>
    <row r="32" spans="1:40" s="28" customFormat="1">
      <c r="A32" s="56" t="s">
        <v>81</v>
      </c>
      <c r="B32" s="56" t="s">
        <v>259</v>
      </c>
      <c r="C32" s="56"/>
      <c r="D32" s="56"/>
      <c r="E32" s="56" t="s">
        <v>69</v>
      </c>
      <c r="F32" s="106">
        <v>42507</v>
      </c>
      <c r="G32" s="56"/>
      <c r="H32" s="56"/>
      <c r="I32" s="59">
        <v>513.33000000000004</v>
      </c>
      <c r="J32" s="114">
        <v>652.92999999999995</v>
      </c>
      <c r="K32" s="59">
        <f t="shared" si="0"/>
        <v>1166.26</v>
      </c>
      <c r="L32" s="59">
        <v>1909.2</v>
      </c>
      <c r="M32" s="59"/>
      <c r="N32" s="59"/>
      <c r="O32" s="59"/>
      <c r="P32" s="88"/>
      <c r="Q32" s="100">
        <f t="shared" si="1"/>
        <v>3075.46</v>
      </c>
      <c r="R32" s="59"/>
      <c r="S32" s="59">
        <v>166.6</v>
      </c>
      <c r="T32" s="59"/>
      <c r="U32" s="59">
        <v>0</v>
      </c>
      <c r="V32" s="59"/>
      <c r="W32" s="59"/>
      <c r="X32" s="59"/>
      <c r="Y32" s="53"/>
      <c r="Z32" s="53"/>
      <c r="AA32" s="56"/>
      <c r="AB32" s="56"/>
      <c r="AC32" s="100">
        <f t="shared" si="2"/>
        <v>2908.86</v>
      </c>
      <c r="AD32" s="53">
        <f t="shared" si="3"/>
        <v>307.54600000000005</v>
      </c>
      <c r="AE32" s="100">
        <f t="shared" si="4"/>
        <v>2601.3140000000003</v>
      </c>
      <c r="AF32" s="53">
        <f t="shared" si="5"/>
        <v>0</v>
      </c>
      <c r="AG32" s="53">
        <v>10.23</v>
      </c>
      <c r="AH32" s="53">
        <f t="shared" si="6"/>
        <v>0</v>
      </c>
      <c r="AI32" s="100">
        <f t="shared" si="7"/>
        <v>3085.69</v>
      </c>
      <c r="AJ32" s="110"/>
      <c r="AK32" s="110"/>
      <c r="AL32" s="101">
        <f t="shared" si="8"/>
        <v>-2601.3140000000003</v>
      </c>
      <c r="AM32" s="104">
        <v>2791168061</v>
      </c>
      <c r="AN32" s="60"/>
    </row>
    <row r="33" spans="1:40" s="28" customFormat="1">
      <c r="A33" s="56" t="s">
        <v>84</v>
      </c>
      <c r="B33" s="56" t="s">
        <v>188</v>
      </c>
      <c r="C33" s="56"/>
      <c r="D33" s="56" t="s">
        <v>113</v>
      </c>
      <c r="E33" s="56" t="s">
        <v>156</v>
      </c>
      <c r="F33" s="106">
        <v>41227</v>
      </c>
      <c r="G33" s="56"/>
      <c r="H33" s="56"/>
      <c r="I33" s="59">
        <v>623.36</v>
      </c>
      <c r="J33" s="114"/>
      <c r="K33" s="59">
        <f t="shared" si="0"/>
        <v>623.36</v>
      </c>
      <c r="L33" s="59">
        <f>695.802+2.972</f>
        <v>698.774</v>
      </c>
      <c r="M33" s="59"/>
      <c r="N33" s="59"/>
      <c r="O33" s="59"/>
      <c r="P33" s="88"/>
      <c r="Q33" s="100">
        <f t="shared" si="1"/>
        <v>1322.134</v>
      </c>
      <c r="R33" s="59"/>
      <c r="S33" s="59">
        <v>89.05</v>
      </c>
      <c r="T33" s="59"/>
      <c r="U33" s="59">
        <v>0</v>
      </c>
      <c r="V33" s="59">
        <f>Q33*4.9%</f>
        <v>64.784565999999998</v>
      </c>
      <c r="W33" s="59">
        <f>Q33*1%</f>
        <v>13.22134</v>
      </c>
      <c r="X33" s="59"/>
      <c r="Y33" s="53"/>
      <c r="Z33" s="53"/>
      <c r="AA33" s="102"/>
      <c r="AB33" s="56">
        <v>0</v>
      </c>
      <c r="AC33" s="100">
        <f t="shared" si="2"/>
        <v>1155.078094</v>
      </c>
      <c r="AD33" s="53">
        <f t="shared" si="3"/>
        <v>0</v>
      </c>
      <c r="AE33" s="100">
        <f t="shared" si="4"/>
        <v>1155.078094</v>
      </c>
      <c r="AF33" s="53">
        <f t="shared" si="5"/>
        <v>132.21340000000001</v>
      </c>
      <c r="AG33" s="53">
        <v>10.23</v>
      </c>
      <c r="AH33" s="53">
        <f t="shared" si="6"/>
        <v>64.784565999999998</v>
      </c>
      <c r="AI33" s="100">
        <f t="shared" si="7"/>
        <v>1529.3619660000002</v>
      </c>
      <c r="AJ33" s="110"/>
      <c r="AK33" s="111"/>
      <c r="AL33" s="101">
        <f t="shared" si="8"/>
        <v>-1155.078094</v>
      </c>
      <c r="AM33" s="56"/>
      <c r="AN33" s="60"/>
    </row>
    <row r="34" spans="1:40" s="28" customFormat="1">
      <c r="A34" s="56" t="s">
        <v>81</v>
      </c>
      <c r="B34" s="56" t="s">
        <v>271</v>
      </c>
      <c r="C34" s="56"/>
      <c r="D34" s="56"/>
      <c r="E34" s="56" t="s">
        <v>69</v>
      </c>
      <c r="F34" s="106">
        <v>42514</v>
      </c>
      <c r="G34" s="56"/>
      <c r="H34" s="56"/>
      <c r="I34" s="122">
        <v>1166.26</v>
      </c>
      <c r="J34" s="114"/>
      <c r="K34" s="59">
        <f t="shared" ref="K34:K37" si="9">+I34+J34</f>
        <v>1166.26</v>
      </c>
      <c r="L34" s="59">
        <v>1509.73</v>
      </c>
      <c r="M34" s="59"/>
      <c r="N34" s="59"/>
      <c r="O34" s="59"/>
      <c r="P34" s="88"/>
      <c r="Q34" s="100">
        <f t="shared" si="1"/>
        <v>2675.99</v>
      </c>
      <c r="R34" s="59"/>
      <c r="S34" s="59"/>
      <c r="T34" s="59"/>
      <c r="U34" s="59">
        <v>0</v>
      </c>
      <c r="V34" s="59"/>
      <c r="W34" s="59"/>
      <c r="X34" s="59"/>
      <c r="Y34" s="53"/>
      <c r="Z34" s="53"/>
      <c r="AA34" s="56"/>
      <c r="AB34" s="56">
        <v>0</v>
      </c>
      <c r="AC34" s="100">
        <f t="shared" si="2"/>
        <v>2675.99</v>
      </c>
      <c r="AD34" s="53">
        <f t="shared" si="3"/>
        <v>267.59899999999999</v>
      </c>
      <c r="AE34" s="100">
        <f t="shared" si="4"/>
        <v>2408.3909999999996</v>
      </c>
      <c r="AF34" s="53">
        <f t="shared" si="5"/>
        <v>0</v>
      </c>
      <c r="AG34" s="53">
        <v>11.23</v>
      </c>
      <c r="AH34" s="53">
        <f t="shared" si="6"/>
        <v>0</v>
      </c>
      <c r="AI34" s="100">
        <f t="shared" si="7"/>
        <v>2687.22</v>
      </c>
      <c r="AJ34" s="110"/>
      <c r="AK34" s="111"/>
      <c r="AL34" s="101"/>
      <c r="AM34" s="56">
        <v>2747910657</v>
      </c>
      <c r="AN34" s="60"/>
    </row>
    <row r="35" spans="1:40" s="28" customFormat="1">
      <c r="A35" s="56" t="s">
        <v>68</v>
      </c>
      <c r="B35" s="56" t="s">
        <v>251</v>
      </c>
      <c r="C35" s="56" t="s">
        <v>199</v>
      </c>
      <c r="D35" s="56"/>
      <c r="E35" s="56" t="s">
        <v>70</v>
      </c>
      <c r="F35" s="106">
        <v>42413</v>
      </c>
      <c r="G35" s="56"/>
      <c r="H35" s="56"/>
      <c r="I35" s="59">
        <v>513.33000000000004</v>
      </c>
      <c r="J35" s="114"/>
      <c r="K35" s="59">
        <f t="shared" si="9"/>
        <v>513.33000000000004</v>
      </c>
      <c r="L35" s="59">
        <v>0</v>
      </c>
      <c r="M35" s="59"/>
      <c r="N35" s="59"/>
      <c r="O35" s="59"/>
      <c r="P35" s="88"/>
      <c r="Q35" s="100">
        <f t="shared" si="1"/>
        <v>513.33000000000004</v>
      </c>
      <c r="R35" s="59"/>
      <c r="S35" s="59"/>
      <c r="T35" s="59"/>
      <c r="U35" s="59">
        <v>0</v>
      </c>
      <c r="V35" s="59"/>
      <c r="W35" s="59"/>
      <c r="X35" s="59"/>
      <c r="Y35" s="53"/>
      <c r="Z35" s="53"/>
      <c r="AA35" s="56"/>
      <c r="AB35" s="56">
        <v>0</v>
      </c>
      <c r="AC35" s="100">
        <f t="shared" si="2"/>
        <v>513.33000000000004</v>
      </c>
      <c r="AD35" s="53">
        <f t="shared" si="3"/>
        <v>0</v>
      </c>
      <c r="AE35" s="100">
        <f t="shared" si="4"/>
        <v>513.33000000000004</v>
      </c>
      <c r="AF35" s="53">
        <f t="shared" si="5"/>
        <v>51.333000000000006</v>
      </c>
      <c r="AG35" s="53">
        <v>13.23</v>
      </c>
      <c r="AH35" s="53">
        <f t="shared" si="6"/>
        <v>0</v>
      </c>
      <c r="AI35" s="100">
        <f t="shared" si="7"/>
        <v>577.89300000000003</v>
      </c>
      <c r="AJ35" s="110"/>
      <c r="AK35" s="111"/>
      <c r="AL35" s="101">
        <f>+AJ35+AK35-AE35</f>
        <v>-513.33000000000004</v>
      </c>
      <c r="AM35" s="56"/>
      <c r="AN35" s="56"/>
    </row>
    <row r="36" spans="1:40" s="28" customFormat="1">
      <c r="A36" s="56" t="s">
        <v>68</v>
      </c>
      <c r="B36" s="56" t="s">
        <v>275</v>
      </c>
      <c r="C36" s="56"/>
      <c r="D36" s="56"/>
      <c r="E36" s="56" t="s">
        <v>70</v>
      </c>
      <c r="F36" s="106">
        <v>42532</v>
      </c>
      <c r="G36" s="56"/>
      <c r="H36" s="56"/>
      <c r="I36" s="59">
        <v>513.33000000000004</v>
      </c>
      <c r="J36" s="114"/>
      <c r="K36" s="59">
        <f t="shared" si="9"/>
        <v>513.33000000000004</v>
      </c>
      <c r="L36" s="59">
        <v>2759.14</v>
      </c>
      <c r="M36" s="59"/>
      <c r="N36" s="59"/>
      <c r="O36" s="59"/>
      <c r="P36" s="88"/>
      <c r="Q36" s="100">
        <f t="shared" si="1"/>
        <v>3272.47</v>
      </c>
      <c r="R36" s="59"/>
      <c r="S36" s="59"/>
      <c r="T36" s="59"/>
      <c r="U36" s="59">
        <v>0</v>
      </c>
      <c r="V36" s="59"/>
      <c r="W36" s="59"/>
      <c r="X36" s="59"/>
      <c r="Y36" s="53"/>
      <c r="Z36" s="53"/>
      <c r="AA36" s="56"/>
      <c r="AB36" s="56">
        <v>0</v>
      </c>
      <c r="AC36" s="100">
        <f t="shared" si="2"/>
        <v>3272.47</v>
      </c>
      <c r="AD36" s="53">
        <f t="shared" si="3"/>
        <v>327.24700000000001</v>
      </c>
      <c r="AE36" s="100">
        <f t="shared" si="4"/>
        <v>2945.223</v>
      </c>
      <c r="AF36" s="53">
        <f t="shared" si="5"/>
        <v>0</v>
      </c>
      <c r="AG36" s="53">
        <v>13.23</v>
      </c>
      <c r="AH36" s="53">
        <f t="shared" si="6"/>
        <v>0</v>
      </c>
      <c r="AI36" s="100">
        <f t="shared" si="7"/>
        <v>3285.7</v>
      </c>
      <c r="AJ36" s="110"/>
      <c r="AK36" s="111"/>
      <c r="AL36" s="101">
        <f>+AJ36+AK36-AE36</f>
        <v>-2945.223</v>
      </c>
      <c r="AM36" s="56"/>
      <c r="AN36" s="56" t="s">
        <v>276</v>
      </c>
    </row>
    <row r="37" spans="1:40" s="28" customFormat="1">
      <c r="A37" s="56" t="s">
        <v>68</v>
      </c>
      <c r="B37" s="56" t="s">
        <v>266</v>
      </c>
      <c r="C37" s="56"/>
      <c r="D37" s="56"/>
      <c r="E37" s="56" t="s">
        <v>70</v>
      </c>
      <c r="F37" s="106">
        <v>42520</v>
      </c>
      <c r="G37" s="56"/>
      <c r="H37" s="56"/>
      <c r="I37" s="59">
        <v>513.33000000000004</v>
      </c>
      <c r="J37" s="114"/>
      <c r="K37" s="59">
        <f t="shared" si="9"/>
        <v>513.33000000000004</v>
      </c>
      <c r="L37" s="59">
        <v>212.57</v>
      </c>
      <c r="M37" s="59"/>
      <c r="N37" s="59"/>
      <c r="O37" s="59"/>
      <c r="P37" s="88"/>
      <c r="Q37" s="100">
        <f t="shared" si="1"/>
        <v>725.90000000000009</v>
      </c>
      <c r="R37" s="59"/>
      <c r="S37" s="59"/>
      <c r="T37" s="59"/>
      <c r="U37" s="59">
        <v>0</v>
      </c>
      <c r="V37" s="59"/>
      <c r="W37" s="59"/>
      <c r="X37" s="59"/>
      <c r="Y37" s="53"/>
      <c r="Z37" s="53"/>
      <c r="AA37" s="56"/>
      <c r="AB37" s="56">
        <v>0</v>
      </c>
      <c r="AC37" s="100">
        <f t="shared" si="2"/>
        <v>725.90000000000009</v>
      </c>
      <c r="AD37" s="53">
        <f t="shared" si="3"/>
        <v>0</v>
      </c>
      <c r="AE37" s="100">
        <f t="shared" si="4"/>
        <v>725.90000000000009</v>
      </c>
      <c r="AF37" s="53">
        <f t="shared" si="5"/>
        <v>72.590000000000018</v>
      </c>
      <c r="AG37" s="53">
        <v>14.23</v>
      </c>
      <c r="AH37" s="53">
        <f t="shared" si="6"/>
        <v>0</v>
      </c>
      <c r="AI37" s="100">
        <f t="shared" si="7"/>
        <v>812.72000000000014</v>
      </c>
      <c r="AJ37" s="110"/>
      <c r="AK37" s="111"/>
      <c r="AL37" s="101"/>
      <c r="AM37" s="56">
        <v>1175437504</v>
      </c>
      <c r="AN37" s="60"/>
    </row>
    <row r="38" spans="1:40" s="28" customFormat="1">
      <c r="A38" s="56" t="s">
        <v>68</v>
      </c>
      <c r="B38" s="56" t="s">
        <v>249</v>
      </c>
      <c r="C38" s="56" t="s">
        <v>199</v>
      </c>
      <c r="D38" s="56" t="s">
        <v>128</v>
      </c>
      <c r="E38" s="56" t="s">
        <v>70</v>
      </c>
      <c r="F38" s="106">
        <v>41906</v>
      </c>
      <c r="G38" s="56"/>
      <c r="H38" s="56"/>
      <c r="I38" s="59">
        <v>513.33000000000004</v>
      </c>
      <c r="J38" s="114"/>
      <c r="K38" s="59">
        <f t="shared" ref="K38:K73" si="10">+I38+J38</f>
        <v>513.33000000000004</v>
      </c>
      <c r="L38" s="59">
        <v>4007.23</v>
      </c>
      <c r="M38" s="59"/>
      <c r="N38" s="59"/>
      <c r="O38" s="59"/>
      <c r="P38" s="88"/>
      <c r="Q38" s="100">
        <f t="shared" si="1"/>
        <v>4520.5600000000004</v>
      </c>
      <c r="R38" s="59"/>
      <c r="S38" s="59"/>
      <c r="T38" s="59">
        <v>58.91</v>
      </c>
      <c r="U38" s="59">
        <v>0</v>
      </c>
      <c r="V38" s="59"/>
      <c r="W38" s="59"/>
      <c r="X38" s="59"/>
      <c r="Y38" s="53"/>
      <c r="Z38" s="53"/>
      <c r="AA38" s="56"/>
      <c r="AB38" s="56">
        <v>349.07</v>
      </c>
      <c r="AC38" s="100">
        <f t="shared" si="2"/>
        <v>4112.58</v>
      </c>
      <c r="AD38" s="53">
        <f t="shared" si="3"/>
        <v>452.05600000000004</v>
      </c>
      <c r="AE38" s="100">
        <f t="shared" si="4"/>
        <v>3660.5239999999999</v>
      </c>
      <c r="AF38" s="53">
        <f t="shared" si="5"/>
        <v>0</v>
      </c>
      <c r="AG38" s="53">
        <v>15.23</v>
      </c>
      <c r="AH38" s="53">
        <f t="shared" si="6"/>
        <v>0</v>
      </c>
      <c r="AI38" s="100">
        <f t="shared" si="7"/>
        <v>4535.79</v>
      </c>
      <c r="AJ38" s="110"/>
      <c r="AK38" s="111"/>
      <c r="AL38" s="101">
        <f t="shared" ref="AL38:AL43" si="11">+AJ38+AK38-AE38</f>
        <v>-3660.5239999999999</v>
      </c>
      <c r="AM38" s="56"/>
      <c r="AN38" s="56"/>
    </row>
    <row r="39" spans="1:40" s="28" customFormat="1">
      <c r="A39" s="56" t="s">
        <v>81</v>
      </c>
      <c r="B39" s="56" t="s">
        <v>262</v>
      </c>
      <c r="C39" s="56"/>
      <c r="D39" s="56"/>
      <c r="E39" s="56" t="s">
        <v>148</v>
      </c>
      <c r="F39" s="106">
        <v>42506</v>
      </c>
      <c r="G39" s="56"/>
      <c r="H39" s="56"/>
      <c r="I39" s="59">
        <v>513.33000000000004</v>
      </c>
      <c r="J39" s="114">
        <v>420</v>
      </c>
      <c r="K39" s="59">
        <f t="shared" si="10"/>
        <v>933.33</v>
      </c>
      <c r="L39" s="59">
        <v>700</v>
      </c>
      <c r="M39" s="59"/>
      <c r="N39" s="59"/>
      <c r="O39" s="59"/>
      <c r="P39" s="88"/>
      <c r="Q39" s="100">
        <f t="shared" si="1"/>
        <v>1633.33</v>
      </c>
      <c r="R39" s="59"/>
      <c r="S39" s="59"/>
      <c r="T39" s="59"/>
      <c r="U39" s="59">
        <v>0</v>
      </c>
      <c r="V39" s="59"/>
      <c r="W39" s="59"/>
      <c r="X39" s="59"/>
      <c r="Y39" s="53"/>
      <c r="Z39" s="53"/>
      <c r="AA39" s="56"/>
      <c r="AB39" s="56">
        <v>0</v>
      </c>
      <c r="AC39" s="100">
        <f t="shared" si="2"/>
        <v>1633.33</v>
      </c>
      <c r="AD39" s="53">
        <f t="shared" si="3"/>
        <v>0</v>
      </c>
      <c r="AE39" s="100">
        <f t="shared" si="4"/>
        <v>1633.33</v>
      </c>
      <c r="AF39" s="53">
        <f t="shared" si="5"/>
        <v>163.333</v>
      </c>
      <c r="AG39" s="53">
        <v>16.23</v>
      </c>
      <c r="AH39" s="53">
        <f t="shared" si="6"/>
        <v>0</v>
      </c>
      <c r="AI39" s="100">
        <f t="shared" si="7"/>
        <v>1812.893</v>
      </c>
      <c r="AJ39" s="110"/>
      <c r="AK39" s="126"/>
      <c r="AL39" s="101">
        <f t="shared" si="11"/>
        <v>-1633.33</v>
      </c>
      <c r="AM39" s="104">
        <v>1180560405</v>
      </c>
      <c r="AN39" s="60"/>
    </row>
    <row r="40" spans="1:40" s="28" customFormat="1">
      <c r="A40" s="56" t="s">
        <v>68</v>
      </c>
      <c r="B40" s="56" t="s">
        <v>263</v>
      </c>
      <c r="C40" s="56"/>
      <c r="D40" s="56"/>
      <c r="E40" s="56" t="s">
        <v>264</v>
      </c>
      <c r="F40" s="106">
        <v>42480</v>
      </c>
      <c r="G40" s="56"/>
      <c r="H40" s="56"/>
      <c r="I40" s="59">
        <v>513.33000000000004</v>
      </c>
      <c r="J40" s="114">
        <v>1470</v>
      </c>
      <c r="K40" s="59">
        <f t="shared" si="10"/>
        <v>1983.33</v>
      </c>
      <c r="L40" s="59"/>
      <c r="M40" s="59"/>
      <c r="N40" s="59"/>
      <c r="O40" s="59"/>
      <c r="P40" s="88"/>
      <c r="Q40" s="100">
        <f t="shared" ref="Q40:Q72" si="12">SUM(K40:O40)-P40</f>
        <v>1983.33</v>
      </c>
      <c r="R40" s="59">
        <v>250</v>
      </c>
      <c r="S40" s="59"/>
      <c r="T40" s="59"/>
      <c r="U40" s="59">
        <v>0</v>
      </c>
      <c r="V40" s="59"/>
      <c r="W40" s="59"/>
      <c r="X40" s="59"/>
      <c r="Y40" s="53"/>
      <c r="Z40" s="53"/>
      <c r="AA40" s="56"/>
      <c r="AB40" s="56">
        <v>0</v>
      </c>
      <c r="AC40" s="100">
        <f t="shared" ref="AC40:AC72" si="13">+Q40-SUM(R40:AB40)</f>
        <v>1733.33</v>
      </c>
      <c r="AD40" s="53">
        <f t="shared" ref="AD40:AD72" si="14">IF(Q40&gt;2250,Q40*0.1,0)</f>
        <v>0</v>
      </c>
      <c r="AE40" s="100">
        <f t="shared" ref="AE40:AE72" si="15">+AC40-AD40</f>
        <v>1733.33</v>
      </c>
      <c r="AF40" s="53">
        <f t="shared" ref="AF40:AF72" si="16">IF(Q40&lt;2250,Q40*0.1,0)</f>
        <v>198.333</v>
      </c>
      <c r="AG40" s="53">
        <v>17.23</v>
      </c>
      <c r="AH40" s="53">
        <f t="shared" ref="AH40:AH72" si="17">+V40</f>
        <v>0</v>
      </c>
      <c r="AI40" s="100">
        <f t="shared" ref="AI40:AI72" si="18">+Q40+AF40+AG40+AH40</f>
        <v>2198.893</v>
      </c>
      <c r="AJ40" s="125"/>
      <c r="AK40" s="126"/>
      <c r="AL40" s="101">
        <f t="shared" si="11"/>
        <v>-1733.33</v>
      </c>
      <c r="AM40" s="56">
        <v>1116618499</v>
      </c>
      <c r="AN40" s="60" t="s">
        <v>279</v>
      </c>
    </row>
    <row r="41" spans="1:40" s="28" customFormat="1">
      <c r="A41" s="56" t="s">
        <v>68</v>
      </c>
      <c r="B41" s="56" t="s">
        <v>200</v>
      </c>
      <c r="C41" s="56" t="s">
        <v>199</v>
      </c>
      <c r="D41" s="62"/>
      <c r="E41" s="56" t="s">
        <v>70</v>
      </c>
      <c r="F41" s="106">
        <v>42240</v>
      </c>
      <c r="G41" s="56"/>
      <c r="H41" s="56"/>
      <c r="I41" s="59">
        <v>513.33000000000004</v>
      </c>
      <c r="J41" s="114"/>
      <c r="K41" s="59">
        <f t="shared" si="10"/>
        <v>513.33000000000004</v>
      </c>
      <c r="L41" s="59"/>
      <c r="M41" s="59"/>
      <c r="N41" s="59"/>
      <c r="O41" s="59"/>
      <c r="P41" s="88"/>
      <c r="Q41" s="100">
        <f t="shared" si="12"/>
        <v>513.33000000000004</v>
      </c>
      <c r="R41" s="59"/>
      <c r="S41" s="59"/>
      <c r="T41" s="59"/>
      <c r="U41" s="59">
        <v>0</v>
      </c>
      <c r="V41" s="59"/>
      <c r="W41" s="59"/>
      <c r="X41" s="59"/>
      <c r="Y41" s="53"/>
      <c r="Z41" s="53"/>
      <c r="AA41" s="56"/>
      <c r="AB41" s="56">
        <v>0</v>
      </c>
      <c r="AC41" s="100">
        <f t="shared" si="13"/>
        <v>513.33000000000004</v>
      </c>
      <c r="AD41" s="53">
        <f t="shared" si="14"/>
        <v>0</v>
      </c>
      <c r="AE41" s="100">
        <f t="shared" si="15"/>
        <v>513.33000000000004</v>
      </c>
      <c r="AF41" s="53">
        <f t="shared" si="16"/>
        <v>51.333000000000006</v>
      </c>
      <c r="AG41" s="53">
        <v>18.23</v>
      </c>
      <c r="AH41" s="53">
        <f t="shared" si="17"/>
        <v>0</v>
      </c>
      <c r="AI41" s="100">
        <f t="shared" si="18"/>
        <v>582.89300000000003</v>
      </c>
      <c r="AJ41" s="112"/>
      <c r="AK41" s="112"/>
      <c r="AL41" s="101">
        <f t="shared" si="11"/>
        <v>-513.33000000000004</v>
      </c>
      <c r="AM41" s="56"/>
      <c r="AN41" s="60"/>
    </row>
    <row r="42" spans="1:40" s="28" customFormat="1">
      <c r="A42" s="56" t="s">
        <v>82</v>
      </c>
      <c r="B42" s="56" t="s">
        <v>189</v>
      </c>
      <c r="C42" s="56"/>
      <c r="D42" s="56" t="s">
        <v>88</v>
      </c>
      <c r="E42" s="56" t="s">
        <v>141</v>
      </c>
      <c r="F42" s="106">
        <v>42319</v>
      </c>
      <c r="G42" s="56"/>
      <c r="H42" s="56"/>
      <c r="I42" s="59">
        <v>739.23</v>
      </c>
      <c r="J42" s="114"/>
      <c r="K42" s="59">
        <f t="shared" si="10"/>
        <v>739.23</v>
      </c>
      <c r="L42" s="59">
        <f>2266.296+7.428</f>
        <v>2273.7239999999997</v>
      </c>
      <c r="M42" s="59"/>
      <c r="N42" s="59"/>
      <c r="O42" s="59"/>
      <c r="P42" s="88"/>
      <c r="Q42" s="100">
        <f t="shared" si="12"/>
        <v>3012.9539999999997</v>
      </c>
      <c r="R42" s="59"/>
      <c r="S42" s="59"/>
      <c r="T42" s="59"/>
      <c r="U42" s="59">
        <v>0</v>
      </c>
      <c r="V42" s="59"/>
      <c r="W42" s="59"/>
      <c r="X42" s="59"/>
      <c r="Y42" s="53"/>
      <c r="Z42" s="53"/>
      <c r="AA42" s="56"/>
      <c r="AB42" s="56">
        <v>0</v>
      </c>
      <c r="AC42" s="100">
        <f t="shared" si="13"/>
        <v>3012.9539999999997</v>
      </c>
      <c r="AD42" s="53">
        <f t="shared" si="14"/>
        <v>301.29539999999997</v>
      </c>
      <c r="AE42" s="100">
        <f t="shared" si="15"/>
        <v>2711.6585999999998</v>
      </c>
      <c r="AF42" s="53">
        <f t="shared" si="16"/>
        <v>0</v>
      </c>
      <c r="AG42" s="53">
        <v>19.23</v>
      </c>
      <c r="AH42" s="53">
        <f t="shared" si="17"/>
        <v>0</v>
      </c>
      <c r="AI42" s="100">
        <f t="shared" si="18"/>
        <v>3032.1839999999997</v>
      </c>
      <c r="AJ42" s="110"/>
      <c r="AK42" s="111"/>
      <c r="AL42" s="101">
        <f t="shared" si="11"/>
        <v>-2711.6585999999998</v>
      </c>
      <c r="AM42" s="56"/>
      <c r="AN42" s="60"/>
    </row>
    <row r="43" spans="1:40" s="28" customFormat="1">
      <c r="A43" s="56" t="s">
        <v>68</v>
      </c>
      <c r="B43" s="56" t="s">
        <v>185</v>
      </c>
      <c r="C43" s="56" t="s">
        <v>201</v>
      </c>
      <c r="D43" s="56" t="s">
        <v>129</v>
      </c>
      <c r="E43" s="56" t="s">
        <v>70</v>
      </c>
      <c r="F43" s="106">
        <v>41463</v>
      </c>
      <c r="G43" s="56"/>
      <c r="H43" s="56"/>
      <c r="I43" s="59">
        <v>513.33000000000004</v>
      </c>
      <c r="J43" s="114"/>
      <c r="K43" s="59">
        <f t="shared" si="10"/>
        <v>513.33000000000004</v>
      </c>
      <c r="L43" s="59">
        <f>1633.41+1000</f>
        <v>2633.41</v>
      </c>
      <c r="M43" s="59"/>
      <c r="N43" s="59"/>
      <c r="O43" s="59"/>
      <c r="P43" s="88"/>
      <c r="Q43" s="100">
        <f t="shared" si="12"/>
        <v>3146.74</v>
      </c>
      <c r="R43" s="59"/>
      <c r="S43" s="59"/>
      <c r="T43" s="59">
        <v>58.91</v>
      </c>
      <c r="U43" s="59">
        <v>0</v>
      </c>
      <c r="V43" s="59"/>
      <c r="W43" s="59"/>
      <c r="X43" s="59"/>
      <c r="Y43" s="53"/>
      <c r="Z43" s="53"/>
      <c r="AA43" s="56"/>
      <c r="AB43" s="56">
        <v>0</v>
      </c>
      <c r="AC43" s="100">
        <f t="shared" si="13"/>
        <v>3087.83</v>
      </c>
      <c r="AD43" s="53">
        <f t="shared" si="14"/>
        <v>314.67399999999998</v>
      </c>
      <c r="AE43" s="100">
        <f t="shared" si="15"/>
        <v>2773.1559999999999</v>
      </c>
      <c r="AF43" s="53">
        <f t="shared" si="16"/>
        <v>0</v>
      </c>
      <c r="AG43" s="53">
        <v>20.23</v>
      </c>
      <c r="AH43" s="53">
        <f t="shared" si="17"/>
        <v>0</v>
      </c>
      <c r="AI43" s="100">
        <f t="shared" si="18"/>
        <v>3166.97</v>
      </c>
      <c r="AJ43" s="110"/>
      <c r="AK43" s="111"/>
      <c r="AL43" s="101">
        <f t="shared" si="11"/>
        <v>-2773.1559999999999</v>
      </c>
      <c r="AM43" s="56"/>
      <c r="AN43" s="56"/>
    </row>
    <row r="44" spans="1:40" s="28" customFormat="1">
      <c r="A44" s="56" t="s">
        <v>66</v>
      </c>
      <c r="B44" s="56" t="s">
        <v>267</v>
      </c>
      <c r="C44" s="56"/>
      <c r="D44" s="56" t="s">
        <v>268</v>
      </c>
      <c r="E44" s="56" t="s">
        <v>269</v>
      </c>
      <c r="F44" s="113">
        <v>40618</v>
      </c>
      <c r="G44" s="56"/>
      <c r="H44" s="56"/>
      <c r="I44" s="59">
        <v>1633.33</v>
      </c>
      <c r="J44" s="114"/>
      <c r="K44" s="59">
        <f t="shared" si="10"/>
        <v>1633.33</v>
      </c>
      <c r="L44" s="59">
        <v>4117.46</v>
      </c>
      <c r="M44" s="59"/>
      <c r="N44" s="59"/>
      <c r="O44" s="59"/>
      <c r="P44" s="88"/>
      <c r="Q44" s="100">
        <f t="shared" si="12"/>
        <v>5750.79</v>
      </c>
      <c r="R44" s="59"/>
      <c r="S44" s="59"/>
      <c r="T44" s="59"/>
      <c r="U44" s="59">
        <v>0</v>
      </c>
      <c r="V44" s="59"/>
      <c r="W44" s="59"/>
      <c r="X44" s="59"/>
      <c r="Y44" s="53"/>
      <c r="Z44" s="53"/>
      <c r="AA44" s="56"/>
      <c r="AB44" s="56">
        <v>0</v>
      </c>
      <c r="AC44" s="100">
        <f t="shared" si="13"/>
        <v>5750.79</v>
      </c>
      <c r="AD44" s="53">
        <f t="shared" si="14"/>
        <v>575.07900000000006</v>
      </c>
      <c r="AE44" s="100">
        <f t="shared" si="15"/>
        <v>5175.7110000000002</v>
      </c>
      <c r="AF44" s="53">
        <f t="shared" si="16"/>
        <v>0</v>
      </c>
      <c r="AG44" s="53">
        <v>21.23</v>
      </c>
      <c r="AH44" s="53">
        <f t="shared" si="17"/>
        <v>0</v>
      </c>
      <c r="AI44" s="100">
        <f t="shared" si="18"/>
        <v>5772.0199999999995</v>
      </c>
      <c r="AJ44" s="110"/>
      <c r="AK44" s="111"/>
      <c r="AL44" s="101"/>
      <c r="AM44" s="56">
        <v>2659973974</v>
      </c>
      <c r="AN44" s="60"/>
    </row>
    <row r="45" spans="1:40" s="28" customFormat="1">
      <c r="A45" s="56" t="s">
        <v>68</v>
      </c>
      <c r="B45" s="56" t="s">
        <v>250</v>
      </c>
      <c r="C45" s="56" t="s">
        <v>204</v>
      </c>
      <c r="D45" s="56" t="s">
        <v>130</v>
      </c>
      <c r="E45" s="56" t="s">
        <v>70</v>
      </c>
      <c r="F45" s="106">
        <v>42296</v>
      </c>
      <c r="G45" s="56"/>
      <c r="H45" s="56"/>
      <c r="I45" s="59">
        <v>513.33000000000004</v>
      </c>
      <c r="J45" s="114"/>
      <c r="K45" s="59">
        <f t="shared" si="10"/>
        <v>513.33000000000004</v>
      </c>
      <c r="L45" s="59"/>
      <c r="M45" s="59"/>
      <c r="N45" s="59"/>
      <c r="O45" s="59"/>
      <c r="P45" s="88"/>
      <c r="Q45" s="100">
        <f t="shared" si="12"/>
        <v>513.33000000000004</v>
      </c>
      <c r="R45" s="59"/>
      <c r="S45" s="59"/>
      <c r="T45" s="59"/>
      <c r="U45" s="59">
        <v>0</v>
      </c>
      <c r="V45" s="59"/>
      <c r="W45" s="59"/>
      <c r="X45" s="59"/>
      <c r="Y45" s="53"/>
      <c r="Z45" s="53"/>
      <c r="AA45" s="56"/>
      <c r="AB45" s="56">
        <v>208.6</v>
      </c>
      <c r="AC45" s="100">
        <f t="shared" si="13"/>
        <v>304.73</v>
      </c>
      <c r="AD45" s="53">
        <f t="shared" si="14"/>
        <v>0</v>
      </c>
      <c r="AE45" s="100">
        <f t="shared" si="15"/>
        <v>304.73</v>
      </c>
      <c r="AF45" s="53">
        <f t="shared" si="16"/>
        <v>51.333000000000006</v>
      </c>
      <c r="AG45" s="53">
        <v>10.23</v>
      </c>
      <c r="AH45" s="53">
        <f t="shared" si="17"/>
        <v>0</v>
      </c>
      <c r="AI45" s="100">
        <f t="shared" si="18"/>
        <v>574.89300000000003</v>
      </c>
      <c r="AJ45" s="110"/>
      <c r="AK45" s="111"/>
      <c r="AL45" s="101">
        <f>+AJ45+AK45-AE45</f>
        <v>-304.73</v>
      </c>
      <c r="AM45" s="56"/>
      <c r="AN45" s="56"/>
    </row>
    <row r="46" spans="1:40" s="28" customFormat="1">
      <c r="A46" s="56" t="s">
        <v>67</v>
      </c>
      <c r="B46" s="56" t="s">
        <v>77</v>
      </c>
      <c r="C46" s="56" t="s">
        <v>228</v>
      </c>
      <c r="D46" s="56" t="s">
        <v>105</v>
      </c>
      <c r="E46" s="56" t="s">
        <v>150</v>
      </c>
      <c r="F46" s="106">
        <v>42199</v>
      </c>
      <c r="G46" s="56"/>
      <c r="H46" s="56"/>
      <c r="I46" s="59">
        <v>513.33000000000004</v>
      </c>
      <c r="J46" s="114"/>
      <c r="K46" s="59">
        <f t="shared" si="10"/>
        <v>513.33000000000004</v>
      </c>
      <c r="L46" s="59">
        <v>4672.04</v>
      </c>
      <c r="M46" s="59"/>
      <c r="N46" s="59"/>
      <c r="O46" s="59"/>
      <c r="P46" s="88"/>
      <c r="Q46" s="100">
        <f t="shared" si="12"/>
        <v>5185.37</v>
      </c>
      <c r="R46" s="59"/>
      <c r="S46" s="59"/>
      <c r="T46" s="59">
        <v>58.91</v>
      </c>
      <c r="U46" s="59">
        <v>0</v>
      </c>
      <c r="V46" s="59"/>
      <c r="W46" s="59"/>
      <c r="X46" s="59"/>
      <c r="Y46" s="53"/>
      <c r="Z46" s="53"/>
      <c r="AA46" s="56"/>
      <c r="AB46" s="56">
        <v>0</v>
      </c>
      <c r="AC46" s="100">
        <f t="shared" si="13"/>
        <v>5126.46</v>
      </c>
      <c r="AD46" s="53">
        <f t="shared" si="14"/>
        <v>518.53700000000003</v>
      </c>
      <c r="AE46" s="100">
        <f t="shared" si="15"/>
        <v>4607.9229999999998</v>
      </c>
      <c r="AF46" s="53">
        <f t="shared" si="16"/>
        <v>0</v>
      </c>
      <c r="AG46" s="53">
        <v>10.23</v>
      </c>
      <c r="AH46" s="53">
        <f t="shared" si="17"/>
        <v>0</v>
      </c>
      <c r="AI46" s="100">
        <f t="shared" si="18"/>
        <v>5195.5999999999995</v>
      </c>
      <c r="AJ46" s="110"/>
      <c r="AK46" s="111"/>
      <c r="AL46" s="101">
        <f>+AJ46+AK46-AE46</f>
        <v>-4607.9229999999998</v>
      </c>
      <c r="AM46" s="56"/>
      <c r="AN46" s="56"/>
    </row>
    <row r="47" spans="1:40" s="28" customFormat="1">
      <c r="A47" s="56" t="s">
        <v>68</v>
      </c>
      <c r="B47" s="56" t="s">
        <v>205</v>
      </c>
      <c r="C47" s="56" t="s">
        <v>204</v>
      </c>
      <c r="D47" s="56" t="s">
        <v>131</v>
      </c>
      <c r="E47" s="56" t="s">
        <v>70</v>
      </c>
      <c r="F47" s="106">
        <v>42304</v>
      </c>
      <c r="G47" s="56"/>
      <c r="H47" s="56"/>
      <c r="I47" s="59">
        <v>513.33000000000004</v>
      </c>
      <c r="J47" s="114"/>
      <c r="K47" s="59">
        <f t="shared" si="10"/>
        <v>513.33000000000004</v>
      </c>
      <c r="L47" s="59">
        <v>7850.87</v>
      </c>
      <c r="M47" s="59"/>
      <c r="N47" s="59"/>
      <c r="O47" s="59"/>
      <c r="P47" s="88"/>
      <c r="Q47" s="100">
        <f t="shared" si="12"/>
        <v>8364.2000000000007</v>
      </c>
      <c r="R47" s="59"/>
      <c r="S47" s="59"/>
      <c r="T47" s="59"/>
      <c r="U47" s="59">
        <v>0</v>
      </c>
      <c r="V47" s="59"/>
      <c r="W47" s="59"/>
      <c r="X47" s="59"/>
      <c r="Y47" s="53"/>
      <c r="Z47" s="53"/>
      <c r="AA47" s="56"/>
      <c r="AB47" s="56">
        <v>0</v>
      </c>
      <c r="AC47" s="100">
        <f t="shared" si="13"/>
        <v>8364.2000000000007</v>
      </c>
      <c r="AD47" s="53">
        <f t="shared" si="14"/>
        <v>836.42000000000007</v>
      </c>
      <c r="AE47" s="100">
        <f t="shared" si="15"/>
        <v>7527.7800000000007</v>
      </c>
      <c r="AF47" s="53">
        <f t="shared" si="16"/>
        <v>0</v>
      </c>
      <c r="AG47" s="53">
        <v>10.23</v>
      </c>
      <c r="AH47" s="53">
        <f t="shared" si="17"/>
        <v>0</v>
      </c>
      <c r="AI47" s="100">
        <f t="shared" si="18"/>
        <v>8374.43</v>
      </c>
      <c r="AJ47" s="101"/>
      <c r="AK47" s="101"/>
      <c r="AL47" s="101"/>
      <c r="AM47" s="56"/>
      <c r="AN47" s="56"/>
    </row>
    <row r="48" spans="1:40" s="28" customFormat="1">
      <c r="A48" s="56" t="s">
        <v>84</v>
      </c>
      <c r="B48" s="56" t="s">
        <v>283</v>
      </c>
      <c r="C48" s="56"/>
      <c r="D48" s="56"/>
      <c r="E48" s="56" t="s">
        <v>151</v>
      </c>
      <c r="F48" s="106">
        <v>42541</v>
      </c>
      <c r="G48" s="56"/>
      <c r="H48" s="56"/>
      <c r="I48" s="59">
        <v>556.78</v>
      </c>
      <c r="J48" s="114"/>
      <c r="K48" s="59">
        <f t="shared" si="10"/>
        <v>556.78</v>
      </c>
      <c r="L48" s="59">
        <f>2614.743+5.571</f>
        <v>2620.3139999999999</v>
      </c>
      <c r="M48" s="59"/>
      <c r="N48" s="59"/>
      <c r="O48" s="59"/>
      <c r="P48" s="88"/>
      <c r="Q48" s="100">
        <f t="shared" si="12"/>
        <v>3177.0940000000001</v>
      </c>
      <c r="R48" s="59"/>
      <c r="S48" s="59"/>
      <c r="T48" s="59"/>
      <c r="U48" s="59">
        <v>0</v>
      </c>
      <c r="V48" s="59">
        <f>Q48*4.9%</f>
        <v>155.677606</v>
      </c>
      <c r="W48" s="59">
        <f>Q48*1%</f>
        <v>31.77094</v>
      </c>
      <c r="X48" s="59"/>
      <c r="Y48" s="53"/>
      <c r="Z48" s="53"/>
      <c r="AA48" s="56"/>
      <c r="AB48" s="56">
        <v>0</v>
      </c>
      <c r="AC48" s="100">
        <f t="shared" si="13"/>
        <v>2989.645454</v>
      </c>
      <c r="AD48" s="53">
        <f t="shared" si="14"/>
        <v>317.70940000000002</v>
      </c>
      <c r="AE48" s="100">
        <f t="shared" si="15"/>
        <v>2671.9360539999998</v>
      </c>
      <c r="AF48" s="53">
        <f t="shared" si="16"/>
        <v>0</v>
      </c>
      <c r="AG48" s="53">
        <v>10.23</v>
      </c>
      <c r="AH48" s="53">
        <f t="shared" si="17"/>
        <v>155.677606</v>
      </c>
      <c r="AI48" s="100">
        <f t="shared" si="18"/>
        <v>3343.0016060000003</v>
      </c>
      <c r="AJ48" s="103"/>
      <c r="AK48" s="103"/>
      <c r="AL48" s="103"/>
      <c r="AM48" s="56">
        <v>1169744878</v>
      </c>
      <c r="AN48" s="56"/>
    </row>
    <row r="49" spans="1:40" s="144" customFormat="1">
      <c r="A49" s="134" t="s">
        <v>67</v>
      </c>
      <c r="B49" s="134" t="s">
        <v>287</v>
      </c>
      <c r="C49" s="134"/>
      <c r="D49" s="134"/>
      <c r="E49" s="134" t="s">
        <v>150</v>
      </c>
      <c r="F49" s="135">
        <v>42576</v>
      </c>
      <c r="G49" s="134"/>
      <c r="H49" s="134"/>
      <c r="I49" s="57">
        <v>146.66</v>
      </c>
      <c r="J49" s="137"/>
      <c r="K49" s="57">
        <f t="shared" si="10"/>
        <v>146.66</v>
      </c>
      <c r="L49" s="57"/>
      <c r="M49" s="57"/>
      <c r="N49" s="57"/>
      <c r="O49" s="57"/>
      <c r="P49" s="138"/>
      <c r="Q49" s="139">
        <f t="shared" si="12"/>
        <v>146.66</v>
      </c>
      <c r="R49" s="57"/>
      <c r="S49" s="57"/>
      <c r="T49" s="57"/>
      <c r="U49" s="57">
        <v>0</v>
      </c>
      <c r="V49" s="57"/>
      <c r="W49" s="57"/>
      <c r="X49" s="57"/>
      <c r="Y49" s="140"/>
      <c r="Z49" s="140"/>
      <c r="AA49" s="134"/>
      <c r="AB49" s="134">
        <v>0</v>
      </c>
      <c r="AC49" s="139">
        <f t="shared" si="13"/>
        <v>146.66</v>
      </c>
      <c r="AD49" s="140">
        <f t="shared" ref="AD49" si="19">IF(Q49&gt;2250,Q49*0.1,0)</f>
        <v>0</v>
      </c>
      <c r="AE49" s="139">
        <f t="shared" ref="AE49" si="20">+AC49-AD49</f>
        <v>146.66</v>
      </c>
      <c r="AF49" s="140">
        <f t="shared" ref="AF49" si="21">IF(Q49&lt;2250,Q49*0.1,0)</f>
        <v>14.666</v>
      </c>
      <c r="AG49" s="140">
        <v>11.23</v>
      </c>
      <c r="AH49" s="140">
        <f t="shared" ref="AH49" si="22">+V49</f>
        <v>0</v>
      </c>
      <c r="AI49" s="139">
        <f t="shared" ref="AI49" si="23">+Q49+AF49+AG49+AH49</f>
        <v>172.55599999999998</v>
      </c>
      <c r="AJ49" s="103"/>
      <c r="AK49" s="103"/>
      <c r="AL49" s="103"/>
      <c r="AM49" s="134">
        <v>2960710474</v>
      </c>
      <c r="AN49" s="134" t="s">
        <v>288</v>
      </c>
    </row>
    <row r="50" spans="1:40" s="28" customFormat="1">
      <c r="A50" s="56" t="s">
        <v>68</v>
      </c>
      <c r="B50" s="56" t="s">
        <v>209</v>
      </c>
      <c r="C50" s="56"/>
      <c r="D50" s="56" t="s">
        <v>133</v>
      </c>
      <c r="E50" s="56" t="s">
        <v>70</v>
      </c>
      <c r="F50" s="106">
        <v>42164</v>
      </c>
      <c r="G50" s="56"/>
      <c r="H50" s="56"/>
      <c r="I50" s="59">
        <v>513.33000000000004</v>
      </c>
      <c r="J50" s="114"/>
      <c r="K50" s="59">
        <f t="shared" si="10"/>
        <v>513.33000000000004</v>
      </c>
      <c r="L50" s="59">
        <v>11611.62</v>
      </c>
      <c r="M50" s="59"/>
      <c r="N50" s="59">
        <v>1132.55</v>
      </c>
      <c r="O50" s="59"/>
      <c r="P50" s="88"/>
      <c r="Q50" s="100">
        <f t="shared" si="12"/>
        <v>13257.5</v>
      </c>
      <c r="R50" s="59"/>
      <c r="S50" s="59"/>
      <c r="T50" s="59"/>
      <c r="U50" s="59">
        <v>0</v>
      </c>
      <c r="V50" s="59"/>
      <c r="W50" s="59"/>
      <c r="X50" s="59"/>
      <c r="Y50" s="53"/>
      <c r="Z50" s="53"/>
      <c r="AA50" s="56"/>
      <c r="AB50" s="56">
        <v>228.56</v>
      </c>
      <c r="AC50" s="100">
        <f t="shared" si="13"/>
        <v>13028.94</v>
      </c>
      <c r="AD50" s="53">
        <f t="shared" si="14"/>
        <v>1325.75</v>
      </c>
      <c r="AE50" s="100">
        <f t="shared" si="15"/>
        <v>11703.19</v>
      </c>
      <c r="AF50" s="53">
        <f t="shared" si="16"/>
        <v>0</v>
      </c>
      <c r="AG50" s="53">
        <v>10.23</v>
      </c>
      <c r="AH50" s="53">
        <f t="shared" si="17"/>
        <v>0</v>
      </c>
      <c r="AI50" s="100">
        <f t="shared" si="18"/>
        <v>13267.73</v>
      </c>
      <c r="AJ50" s="110"/>
      <c r="AK50" s="126"/>
      <c r="AL50" s="101">
        <f t="shared" ref="AL50:AL75" si="24">+AJ50+AK50-AE50</f>
        <v>-11703.19</v>
      </c>
      <c r="AM50" s="56"/>
      <c r="AN50" s="56"/>
    </row>
    <row r="51" spans="1:40" s="28" customFormat="1">
      <c r="A51" s="56" t="s">
        <v>84</v>
      </c>
      <c r="B51" s="56" t="s">
        <v>163</v>
      </c>
      <c r="C51" s="56"/>
      <c r="D51" s="56" t="s">
        <v>114</v>
      </c>
      <c r="E51" s="56" t="s">
        <v>151</v>
      </c>
      <c r="F51" s="106">
        <v>41981</v>
      </c>
      <c r="G51" s="56"/>
      <c r="H51" s="56"/>
      <c r="I51" s="59">
        <v>556.78</v>
      </c>
      <c r="J51" s="114"/>
      <c r="K51" s="59">
        <f t="shared" si="10"/>
        <v>556.78</v>
      </c>
      <c r="L51" s="59">
        <v>117.61499999999999</v>
      </c>
      <c r="M51" s="59"/>
      <c r="N51" s="59">
        <v>169.75</v>
      </c>
      <c r="O51" s="59"/>
      <c r="P51" s="88"/>
      <c r="Q51" s="100">
        <f t="shared" si="12"/>
        <v>844.14499999999998</v>
      </c>
      <c r="R51" s="59"/>
      <c r="S51" s="59"/>
      <c r="T51" s="59"/>
      <c r="U51" s="59">
        <v>100</v>
      </c>
      <c r="V51" s="59">
        <f>Q51*4.9%</f>
        <v>41.363104999999997</v>
      </c>
      <c r="W51" s="59">
        <f>Q51*1%</f>
        <v>8.4414499999999997</v>
      </c>
      <c r="X51" s="59"/>
      <c r="Y51" s="53"/>
      <c r="Z51" s="53"/>
      <c r="AA51" s="56"/>
      <c r="AB51" s="56">
        <v>0</v>
      </c>
      <c r="AC51" s="100">
        <f t="shared" si="13"/>
        <v>694.34044500000005</v>
      </c>
      <c r="AD51" s="53">
        <f t="shared" si="14"/>
        <v>0</v>
      </c>
      <c r="AE51" s="100">
        <f t="shared" si="15"/>
        <v>694.34044500000005</v>
      </c>
      <c r="AF51" s="53">
        <f t="shared" si="16"/>
        <v>84.414500000000004</v>
      </c>
      <c r="AG51" s="53">
        <v>10.23</v>
      </c>
      <c r="AH51" s="53">
        <f t="shared" si="17"/>
        <v>41.363104999999997</v>
      </c>
      <c r="AI51" s="100">
        <f t="shared" si="18"/>
        <v>980.15260499999999</v>
      </c>
      <c r="AJ51" s="110"/>
      <c r="AK51" s="110"/>
      <c r="AL51" s="101">
        <f t="shared" si="24"/>
        <v>-694.34044500000005</v>
      </c>
      <c r="AM51" s="56"/>
      <c r="AN51" s="56"/>
    </row>
    <row r="52" spans="1:40" s="28" customFormat="1">
      <c r="A52" s="56" t="s">
        <v>84</v>
      </c>
      <c r="B52" s="56" t="s">
        <v>211</v>
      </c>
      <c r="C52" s="56"/>
      <c r="D52" s="56" t="s">
        <v>212</v>
      </c>
      <c r="E52" s="56" t="s">
        <v>156</v>
      </c>
      <c r="F52" s="105">
        <v>41284</v>
      </c>
      <c r="G52" s="56"/>
      <c r="H52" s="56"/>
      <c r="I52" s="59">
        <v>623.36</v>
      </c>
      <c r="J52" s="114"/>
      <c r="K52" s="59">
        <f t="shared" si="10"/>
        <v>623.36</v>
      </c>
      <c r="L52" s="59">
        <f>3421+2.599</f>
        <v>3423.5990000000002</v>
      </c>
      <c r="M52" s="59"/>
      <c r="N52" s="59"/>
      <c r="O52" s="59"/>
      <c r="P52" s="88"/>
      <c r="Q52" s="100">
        <f t="shared" si="12"/>
        <v>4046.9590000000003</v>
      </c>
      <c r="R52" s="59"/>
      <c r="S52" s="59">
        <v>89.05</v>
      </c>
      <c r="T52" s="59"/>
      <c r="U52" s="59">
        <v>0</v>
      </c>
      <c r="V52" s="59">
        <f>Q52*4.9%</f>
        <v>198.30099100000001</v>
      </c>
      <c r="W52" s="59">
        <f>Q52*1%</f>
        <v>40.469590000000004</v>
      </c>
      <c r="X52" s="59"/>
      <c r="Y52" s="53"/>
      <c r="Z52" s="53"/>
      <c r="AA52" s="56"/>
      <c r="AB52" s="56">
        <v>0</v>
      </c>
      <c r="AC52" s="100">
        <f t="shared" si="13"/>
        <v>3719.1384190000003</v>
      </c>
      <c r="AD52" s="53">
        <f t="shared" si="14"/>
        <v>404.69590000000005</v>
      </c>
      <c r="AE52" s="100">
        <f t="shared" si="15"/>
        <v>3314.4425190000002</v>
      </c>
      <c r="AF52" s="53">
        <f t="shared" si="16"/>
        <v>0</v>
      </c>
      <c r="AG52" s="53">
        <v>10.23</v>
      </c>
      <c r="AH52" s="53">
        <f t="shared" si="17"/>
        <v>198.30099100000001</v>
      </c>
      <c r="AI52" s="100">
        <f t="shared" si="18"/>
        <v>4255.4899910000004</v>
      </c>
      <c r="AJ52" s="110"/>
      <c r="AK52" s="111"/>
      <c r="AL52" s="101">
        <f t="shared" si="24"/>
        <v>-3314.4425190000002</v>
      </c>
      <c r="AM52" s="56">
        <v>2948910731</v>
      </c>
      <c r="AN52" s="60"/>
    </row>
    <row r="53" spans="1:40" s="28" customFormat="1">
      <c r="A53" s="56" t="s">
        <v>84</v>
      </c>
      <c r="B53" s="56" t="s">
        <v>165</v>
      </c>
      <c r="C53" s="56"/>
      <c r="D53" s="56" t="s">
        <v>115</v>
      </c>
      <c r="E53" s="56" t="s">
        <v>153</v>
      </c>
      <c r="F53" s="105">
        <v>41227</v>
      </c>
      <c r="G53" s="56"/>
      <c r="H53" s="56"/>
      <c r="I53" s="59">
        <v>623.36</v>
      </c>
      <c r="J53" s="114"/>
      <c r="K53" s="59">
        <f t="shared" si="10"/>
        <v>623.36</v>
      </c>
      <c r="L53" s="59">
        <f>2508.896+7.428</f>
        <v>2516.3240000000001</v>
      </c>
      <c r="M53" s="59"/>
      <c r="N53" s="59"/>
      <c r="O53" s="59"/>
      <c r="P53" s="88"/>
      <c r="Q53" s="100">
        <f t="shared" si="12"/>
        <v>3139.6840000000002</v>
      </c>
      <c r="R53" s="59"/>
      <c r="S53" s="59"/>
      <c r="T53" s="59"/>
      <c r="U53" s="59">
        <v>0</v>
      </c>
      <c r="V53" s="59">
        <f>Q53*4.9%</f>
        <v>153.84451600000003</v>
      </c>
      <c r="W53" s="59">
        <f>Q53*1%</f>
        <v>31.396840000000001</v>
      </c>
      <c r="X53" s="59"/>
      <c r="Y53" s="53"/>
      <c r="Z53" s="53"/>
      <c r="AA53" s="56"/>
      <c r="AB53" s="56">
        <v>0</v>
      </c>
      <c r="AC53" s="100">
        <f t="shared" si="13"/>
        <v>2954.4426440000002</v>
      </c>
      <c r="AD53" s="53">
        <f t="shared" si="14"/>
        <v>313.96840000000003</v>
      </c>
      <c r="AE53" s="100">
        <f t="shared" si="15"/>
        <v>2640.474244</v>
      </c>
      <c r="AF53" s="53">
        <f t="shared" si="16"/>
        <v>0</v>
      </c>
      <c r="AG53" s="53">
        <v>10.23</v>
      </c>
      <c r="AH53" s="53">
        <f t="shared" si="17"/>
        <v>153.84451600000003</v>
      </c>
      <c r="AI53" s="100">
        <f t="shared" si="18"/>
        <v>3303.7585160000003</v>
      </c>
      <c r="AJ53" s="110"/>
      <c r="AK53" s="110"/>
      <c r="AL53" s="101">
        <f t="shared" si="24"/>
        <v>-2640.474244</v>
      </c>
      <c r="AM53" s="56"/>
      <c r="AN53" s="60"/>
    </row>
    <row r="54" spans="1:40" s="28" customFormat="1">
      <c r="A54" s="56" t="s">
        <v>82</v>
      </c>
      <c r="B54" s="56" t="s">
        <v>190</v>
      </c>
      <c r="C54" s="56"/>
      <c r="D54" s="56" t="s">
        <v>89</v>
      </c>
      <c r="E54" s="56" t="s">
        <v>142</v>
      </c>
      <c r="F54" s="105">
        <v>41493</v>
      </c>
      <c r="G54" s="56"/>
      <c r="H54" s="56"/>
      <c r="I54" s="59">
        <v>739.23</v>
      </c>
      <c r="J54" s="114"/>
      <c r="K54" s="59">
        <f t="shared" si="10"/>
        <v>739.23</v>
      </c>
      <c r="L54" s="59">
        <f>2676.822+13.099</f>
        <v>2689.9210000000003</v>
      </c>
      <c r="M54" s="59"/>
      <c r="N54" s="59"/>
      <c r="O54" s="59"/>
      <c r="P54" s="88"/>
      <c r="Q54" s="100">
        <f t="shared" si="12"/>
        <v>3429.1510000000003</v>
      </c>
      <c r="R54" s="59"/>
      <c r="S54" s="59">
        <v>105.6</v>
      </c>
      <c r="T54" s="59"/>
      <c r="U54" s="59">
        <v>0</v>
      </c>
      <c r="V54" s="59"/>
      <c r="W54" s="59"/>
      <c r="X54" s="59"/>
      <c r="Y54" s="53"/>
      <c r="Z54" s="53"/>
      <c r="AA54" s="56"/>
      <c r="AB54" s="56">
        <v>0</v>
      </c>
      <c r="AC54" s="100">
        <f t="shared" si="13"/>
        <v>3323.5510000000004</v>
      </c>
      <c r="AD54" s="53">
        <f t="shared" si="14"/>
        <v>342.91510000000005</v>
      </c>
      <c r="AE54" s="100">
        <f t="shared" si="15"/>
        <v>2980.6359000000002</v>
      </c>
      <c r="AF54" s="53">
        <f t="shared" si="16"/>
        <v>0</v>
      </c>
      <c r="AG54" s="53">
        <v>10.23</v>
      </c>
      <c r="AH54" s="53">
        <f t="shared" si="17"/>
        <v>0</v>
      </c>
      <c r="AI54" s="100">
        <f t="shared" si="18"/>
        <v>3439.3810000000003</v>
      </c>
      <c r="AJ54" s="110"/>
      <c r="AK54" s="111"/>
      <c r="AL54" s="101">
        <f t="shared" si="24"/>
        <v>-2980.6359000000002</v>
      </c>
      <c r="AM54" s="56"/>
      <c r="AN54" s="60"/>
    </row>
    <row r="55" spans="1:40" s="28" customFormat="1">
      <c r="A55" s="56" t="s">
        <v>83</v>
      </c>
      <c r="B55" s="56" t="s">
        <v>170</v>
      </c>
      <c r="C55" s="56"/>
      <c r="D55" s="56"/>
      <c r="E55" s="56" t="s">
        <v>149</v>
      </c>
      <c r="F55" s="106">
        <v>42413</v>
      </c>
      <c r="G55" s="56"/>
      <c r="H55" s="56"/>
      <c r="I55" s="59">
        <f>1237.24/15*7</f>
        <v>577.37866666666673</v>
      </c>
      <c r="J55" s="128">
        <v>939.29</v>
      </c>
      <c r="K55" s="59">
        <f t="shared" si="10"/>
        <v>1516.6686666666667</v>
      </c>
      <c r="L55" s="59">
        <v>1066.6600000000001</v>
      </c>
      <c r="M55" s="59"/>
      <c r="N55" s="59"/>
      <c r="O55" s="59"/>
      <c r="P55" s="88"/>
      <c r="Q55" s="100">
        <f t="shared" si="12"/>
        <v>2583.3286666666668</v>
      </c>
      <c r="R55" s="59"/>
      <c r="S55" s="59"/>
      <c r="T55" s="59"/>
      <c r="U55" s="59">
        <v>0</v>
      </c>
      <c r="V55" s="59"/>
      <c r="W55" s="59"/>
      <c r="X55" s="59"/>
      <c r="Y55" s="53"/>
      <c r="Z55" s="53"/>
      <c r="AA55" s="56"/>
      <c r="AB55" s="56">
        <v>0</v>
      </c>
      <c r="AC55" s="100">
        <f t="shared" si="13"/>
        <v>2583.3286666666668</v>
      </c>
      <c r="AD55" s="53">
        <f t="shared" si="14"/>
        <v>258.33286666666669</v>
      </c>
      <c r="AE55" s="100">
        <f t="shared" si="15"/>
        <v>2324.9958000000001</v>
      </c>
      <c r="AF55" s="53">
        <f t="shared" si="16"/>
        <v>0</v>
      </c>
      <c r="AG55" s="53">
        <v>10.23</v>
      </c>
      <c r="AH55" s="53">
        <f t="shared" si="17"/>
        <v>0</v>
      </c>
      <c r="AI55" s="100">
        <f t="shared" si="18"/>
        <v>2593.5586666666668</v>
      </c>
      <c r="AJ55" s="110"/>
      <c r="AK55" s="111"/>
      <c r="AL55" s="101">
        <f t="shared" si="24"/>
        <v>-2324.9958000000001</v>
      </c>
      <c r="AM55" s="56"/>
      <c r="AN55" s="60"/>
    </row>
    <row r="56" spans="1:40" s="28" customFormat="1">
      <c r="A56" s="56" t="s">
        <v>84</v>
      </c>
      <c r="B56" s="56" t="s">
        <v>284</v>
      </c>
      <c r="C56" s="56"/>
      <c r="D56" s="56"/>
      <c r="E56" s="56" t="s">
        <v>151</v>
      </c>
      <c r="F56" s="106">
        <v>42493</v>
      </c>
      <c r="G56" s="56"/>
      <c r="H56" s="56"/>
      <c r="I56" s="59">
        <v>513.33000000000004</v>
      </c>
      <c r="J56" s="114"/>
      <c r="K56" s="59">
        <f t="shared" si="10"/>
        <v>513.33000000000004</v>
      </c>
      <c r="L56" s="59">
        <v>706.16899999999998</v>
      </c>
      <c r="M56" s="59"/>
      <c r="N56" s="59"/>
      <c r="O56" s="59"/>
      <c r="P56" s="88"/>
      <c r="Q56" s="100">
        <f t="shared" si="12"/>
        <v>1219.499</v>
      </c>
      <c r="R56" s="59"/>
      <c r="S56" s="59"/>
      <c r="T56" s="59"/>
      <c r="U56" s="59">
        <v>0</v>
      </c>
      <c r="V56" s="59">
        <f>Q56*4.9%</f>
        <v>59.755451000000001</v>
      </c>
      <c r="W56" s="59">
        <f>Q56*1%</f>
        <v>12.194990000000001</v>
      </c>
      <c r="X56" s="59"/>
      <c r="Y56" s="53"/>
      <c r="Z56" s="53"/>
      <c r="AA56" s="56"/>
      <c r="AB56" s="56">
        <v>0</v>
      </c>
      <c r="AC56" s="100">
        <f t="shared" si="13"/>
        <v>1147.5485590000001</v>
      </c>
      <c r="AD56" s="53">
        <f t="shared" si="14"/>
        <v>0</v>
      </c>
      <c r="AE56" s="100">
        <f t="shared" si="15"/>
        <v>1147.5485590000001</v>
      </c>
      <c r="AF56" s="53">
        <f t="shared" si="16"/>
        <v>121.94990000000001</v>
      </c>
      <c r="AG56" s="53">
        <v>10.23</v>
      </c>
      <c r="AH56" s="53">
        <f t="shared" si="17"/>
        <v>59.755451000000001</v>
      </c>
      <c r="AI56" s="100">
        <f t="shared" si="18"/>
        <v>1411.4343510000001</v>
      </c>
      <c r="AJ56" s="110"/>
      <c r="AK56" s="110"/>
      <c r="AL56" s="101">
        <f t="shared" si="24"/>
        <v>-1147.5485590000001</v>
      </c>
      <c r="AM56" s="56"/>
      <c r="AN56" s="60"/>
    </row>
    <row r="57" spans="1:40" s="28" customFormat="1">
      <c r="A57" s="56" t="s">
        <v>68</v>
      </c>
      <c r="B57" s="56" t="s">
        <v>246</v>
      </c>
      <c r="C57" s="56" t="s">
        <v>204</v>
      </c>
      <c r="D57" s="56" t="s">
        <v>132</v>
      </c>
      <c r="E57" s="56" t="s">
        <v>70</v>
      </c>
      <c r="F57" s="106">
        <v>41622</v>
      </c>
      <c r="G57" s="56"/>
      <c r="H57" s="56"/>
      <c r="I57" s="59">
        <v>513.33000000000004</v>
      </c>
      <c r="J57" s="114"/>
      <c r="K57" s="59">
        <f t="shared" si="10"/>
        <v>513.33000000000004</v>
      </c>
      <c r="L57" s="59">
        <v>6689.33</v>
      </c>
      <c r="M57" s="59"/>
      <c r="N57" s="59"/>
      <c r="O57" s="59"/>
      <c r="P57" s="88"/>
      <c r="Q57" s="100">
        <f t="shared" si="12"/>
        <v>7202.66</v>
      </c>
      <c r="R57" s="59"/>
      <c r="S57" s="59"/>
      <c r="T57" s="59">
        <v>58.91</v>
      </c>
      <c r="U57" s="59">
        <v>0</v>
      </c>
      <c r="V57" s="59"/>
      <c r="W57" s="59"/>
      <c r="X57" s="59"/>
      <c r="Y57" s="53"/>
      <c r="Z57" s="53"/>
      <c r="AA57" s="56"/>
      <c r="AB57" s="56">
        <v>0</v>
      </c>
      <c r="AC57" s="100">
        <f t="shared" si="13"/>
        <v>7143.75</v>
      </c>
      <c r="AD57" s="53">
        <f t="shared" si="14"/>
        <v>720.26600000000008</v>
      </c>
      <c r="AE57" s="100">
        <f t="shared" si="15"/>
        <v>6423.4840000000004</v>
      </c>
      <c r="AF57" s="53">
        <f t="shared" si="16"/>
        <v>0</v>
      </c>
      <c r="AG57" s="53">
        <v>10.23</v>
      </c>
      <c r="AH57" s="53">
        <f t="shared" si="17"/>
        <v>0</v>
      </c>
      <c r="AI57" s="100">
        <f t="shared" si="18"/>
        <v>7212.8899999999994</v>
      </c>
      <c r="AJ57" s="110"/>
      <c r="AK57" s="110"/>
      <c r="AL57" s="101">
        <f t="shared" si="24"/>
        <v>-6423.4840000000004</v>
      </c>
      <c r="AM57" s="56"/>
      <c r="AN57" s="56"/>
    </row>
    <row r="58" spans="1:40" s="28" customFormat="1">
      <c r="A58" s="56" t="s">
        <v>68</v>
      </c>
      <c r="B58" s="56" t="s">
        <v>253</v>
      </c>
      <c r="C58" s="56" t="s">
        <v>201</v>
      </c>
      <c r="D58" s="56">
        <v>30</v>
      </c>
      <c r="E58" s="56" t="s">
        <v>70</v>
      </c>
      <c r="F58" s="106">
        <v>37834</v>
      </c>
      <c r="G58" s="56"/>
      <c r="H58" s="56"/>
      <c r="I58" s="59">
        <v>513.33000000000004</v>
      </c>
      <c r="J58" s="114"/>
      <c r="K58" s="59">
        <f t="shared" si="10"/>
        <v>513.33000000000004</v>
      </c>
      <c r="L58" s="59">
        <f>10099.87+1000</f>
        <v>11099.87</v>
      </c>
      <c r="M58" s="59"/>
      <c r="N58" s="59"/>
      <c r="O58" s="59"/>
      <c r="P58" s="88"/>
      <c r="Q58" s="100">
        <f t="shared" si="12"/>
        <v>11613.2</v>
      </c>
      <c r="R58" s="59"/>
      <c r="S58" s="59"/>
      <c r="T58" s="59"/>
      <c r="U58" s="59">
        <v>0</v>
      </c>
      <c r="V58" s="59"/>
      <c r="W58" s="59"/>
      <c r="X58" s="59"/>
      <c r="Y58" s="53"/>
      <c r="Z58" s="53"/>
      <c r="AA58" s="56"/>
      <c r="AB58" s="56">
        <v>0</v>
      </c>
      <c r="AC58" s="100">
        <f t="shared" si="13"/>
        <v>11613.2</v>
      </c>
      <c r="AD58" s="53">
        <f t="shared" si="14"/>
        <v>1161.3200000000002</v>
      </c>
      <c r="AE58" s="100">
        <f t="shared" si="15"/>
        <v>10451.880000000001</v>
      </c>
      <c r="AF58" s="53">
        <f t="shared" si="16"/>
        <v>0</v>
      </c>
      <c r="AG58" s="53">
        <v>10.23</v>
      </c>
      <c r="AH58" s="53">
        <f t="shared" si="17"/>
        <v>0</v>
      </c>
      <c r="AI58" s="100">
        <f t="shared" si="18"/>
        <v>11623.43</v>
      </c>
      <c r="AJ58" s="110"/>
      <c r="AK58" s="111"/>
      <c r="AL58" s="101">
        <f t="shared" si="24"/>
        <v>-10451.880000000001</v>
      </c>
      <c r="AM58" s="56"/>
      <c r="AN58" s="56"/>
    </row>
    <row r="59" spans="1:40" s="28" customFormat="1">
      <c r="A59" s="56" t="s">
        <v>68</v>
      </c>
      <c r="B59" s="56" t="s">
        <v>180</v>
      </c>
      <c r="C59" s="56" t="s">
        <v>199</v>
      </c>
      <c r="D59" s="56" t="s">
        <v>134</v>
      </c>
      <c r="E59" s="56" t="s">
        <v>70</v>
      </c>
      <c r="F59" s="106">
        <v>42394</v>
      </c>
      <c r="G59" s="56"/>
      <c r="H59" s="56"/>
      <c r="I59" s="59">
        <v>513.33000000000004</v>
      </c>
      <c r="J59" s="114"/>
      <c r="K59" s="59">
        <f t="shared" si="10"/>
        <v>513.33000000000004</v>
      </c>
      <c r="L59" s="59">
        <v>7716.2</v>
      </c>
      <c r="M59" s="59"/>
      <c r="N59" s="59"/>
      <c r="O59" s="59"/>
      <c r="P59" s="88"/>
      <c r="Q59" s="100">
        <f t="shared" si="12"/>
        <v>8229.5300000000007</v>
      </c>
      <c r="R59" s="59">
        <v>1748</v>
      </c>
      <c r="S59" s="59"/>
      <c r="T59" s="59"/>
      <c r="U59" s="59">
        <v>0</v>
      </c>
      <c r="V59" s="59"/>
      <c r="W59" s="59"/>
      <c r="X59" s="59"/>
      <c r="Y59" s="53"/>
      <c r="Z59" s="53"/>
      <c r="AA59" s="102"/>
      <c r="AB59" s="102">
        <v>875.69</v>
      </c>
      <c r="AC59" s="100">
        <f t="shared" si="13"/>
        <v>5605.84</v>
      </c>
      <c r="AD59" s="53">
        <f t="shared" si="14"/>
        <v>822.95300000000009</v>
      </c>
      <c r="AE59" s="100">
        <f t="shared" si="15"/>
        <v>4782.8869999999997</v>
      </c>
      <c r="AF59" s="53">
        <f t="shared" si="16"/>
        <v>0</v>
      </c>
      <c r="AG59" s="53">
        <v>10.23</v>
      </c>
      <c r="AH59" s="53">
        <f t="shared" si="17"/>
        <v>0</v>
      </c>
      <c r="AI59" s="100">
        <f t="shared" si="18"/>
        <v>8239.76</v>
      </c>
      <c r="AJ59" s="110"/>
      <c r="AK59" s="111"/>
      <c r="AL59" s="101">
        <f t="shared" si="24"/>
        <v>-4782.8869999999997</v>
      </c>
      <c r="AM59" s="56"/>
      <c r="AN59" s="60" t="s">
        <v>291</v>
      </c>
    </row>
    <row r="60" spans="1:40" s="28" customFormat="1">
      <c r="A60" s="56" t="s">
        <v>67</v>
      </c>
      <c r="B60" s="56" t="s">
        <v>186</v>
      </c>
      <c r="C60" s="56" t="s">
        <v>228</v>
      </c>
      <c r="D60" s="56" t="s">
        <v>106</v>
      </c>
      <c r="E60" s="56" t="s">
        <v>270</v>
      </c>
      <c r="F60" s="106">
        <v>42342</v>
      </c>
      <c r="G60" s="56"/>
      <c r="H60" s="56"/>
      <c r="I60" s="59">
        <v>513.33000000000004</v>
      </c>
      <c r="J60" s="114">
        <v>653.33000000000004</v>
      </c>
      <c r="K60" s="59">
        <f t="shared" si="10"/>
        <v>1166.6600000000001</v>
      </c>
      <c r="L60" s="59">
        <v>8500</v>
      </c>
      <c r="M60" s="59"/>
      <c r="N60" s="59"/>
      <c r="O60" s="59"/>
      <c r="P60" s="88"/>
      <c r="Q60" s="100">
        <f t="shared" si="12"/>
        <v>9666.66</v>
      </c>
      <c r="R60" s="59"/>
      <c r="S60" s="59"/>
      <c r="T60" s="59"/>
      <c r="U60" s="59">
        <v>0</v>
      </c>
      <c r="V60" s="59"/>
      <c r="W60" s="59"/>
      <c r="X60" s="59"/>
      <c r="Y60" s="53">
        <v>496.81</v>
      </c>
      <c r="Z60" s="53"/>
      <c r="AA60" s="56"/>
      <c r="AB60" s="56">
        <v>0</v>
      </c>
      <c r="AC60" s="100">
        <f t="shared" si="13"/>
        <v>9169.85</v>
      </c>
      <c r="AD60" s="53">
        <f t="shared" si="14"/>
        <v>966.66600000000005</v>
      </c>
      <c r="AE60" s="100">
        <f t="shared" si="15"/>
        <v>8203.1840000000011</v>
      </c>
      <c r="AF60" s="53">
        <f t="shared" si="16"/>
        <v>0</v>
      </c>
      <c r="AG60" s="53">
        <v>10.23</v>
      </c>
      <c r="AH60" s="53">
        <f t="shared" si="17"/>
        <v>0</v>
      </c>
      <c r="AI60" s="100">
        <f t="shared" si="18"/>
        <v>9676.89</v>
      </c>
      <c r="AJ60" s="110"/>
      <c r="AK60" s="110"/>
      <c r="AL60" s="101">
        <f t="shared" si="24"/>
        <v>-8203.1840000000011</v>
      </c>
      <c r="AM60" s="56"/>
      <c r="AN60" s="60"/>
    </row>
    <row r="61" spans="1:40" s="28" customFormat="1">
      <c r="A61" s="56" t="s">
        <v>84</v>
      </c>
      <c r="B61" s="56" t="s">
        <v>231</v>
      </c>
      <c r="C61" s="56"/>
      <c r="D61" s="56"/>
      <c r="E61" s="56" t="s">
        <v>151</v>
      </c>
      <c r="F61" s="106">
        <v>42444</v>
      </c>
      <c r="G61" s="56"/>
      <c r="H61" s="56"/>
      <c r="I61" s="122">
        <v>511.28</v>
      </c>
      <c r="J61" s="114"/>
      <c r="K61" s="59">
        <f t="shared" si="10"/>
        <v>511.28</v>
      </c>
      <c r="L61" s="59">
        <v>290.738</v>
      </c>
      <c r="M61" s="59"/>
      <c r="N61" s="59"/>
      <c r="O61" s="59"/>
      <c r="P61" s="88"/>
      <c r="Q61" s="100">
        <f t="shared" si="12"/>
        <v>802.01800000000003</v>
      </c>
      <c r="R61" s="59"/>
      <c r="S61" s="59">
        <v>73.040000000000006</v>
      </c>
      <c r="T61" s="59"/>
      <c r="U61" s="59">
        <v>0</v>
      </c>
      <c r="V61" s="59">
        <f>Q61*4.9%</f>
        <v>39.298882000000006</v>
      </c>
      <c r="W61" s="59">
        <f>Q61*1%</f>
        <v>8.0201799999999999</v>
      </c>
      <c r="X61" s="59"/>
      <c r="Y61" s="53"/>
      <c r="Z61" s="53"/>
      <c r="AA61" s="56"/>
      <c r="AB61" s="56">
        <v>0</v>
      </c>
      <c r="AC61" s="100">
        <f t="shared" si="13"/>
        <v>681.65893800000003</v>
      </c>
      <c r="AD61" s="53">
        <f t="shared" si="14"/>
        <v>0</v>
      </c>
      <c r="AE61" s="100">
        <f t="shared" si="15"/>
        <v>681.65893800000003</v>
      </c>
      <c r="AF61" s="53">
        <f t="shared" si="16"/>
        <v>80.201800000000006</v>
      </c>
      <c r="AG61" s="53">
        <v>10.23</v>
      </c>
      <c r="AH61" s="53">
        <f t="shared" si="17"/>
        <v>39.298882000000006</v>
      </c>
      <c r="AI61" s="100">
        <f t="shared" si="18"/>
        <v>931.74868200000014</v>
      </c>
      <c r="AJ61" s="110"/>
      <c r="AK61" s="110"/>
      <c r="AL61" s="101">
        <f t="shared" si="24"/>
        <v>-681.65893800000003</v>
      </c>
      <c r="AM61" s="71">
        <v>1159718206</v>
      </c>
      <c r="AN61" s="71"/>
    </row>
    <row r="62" spans="1:40" s="28" customFormat="1">
      <c r="A62" s="56" t="s">
        <v>84</v>
      </c>
      <c r="B62" s="56" t="s">
        <v>265</v>
      </c>
      <c r="C62" s="56"/>
      <c r="D62" s="56"/>
      <c r="E62" s="56" t="s">
        <v>216</v>
      </c>
      <c r="F62" s="106">
        <v>42494</v>
      </c>
      <c r="G62" s="56"/>
      <c r="H62" s="56"/>
      <c r="I62" s="59">
        <v>739.23</v>
      </c>
      <c r="J62" s="129"/>
      <c r="K62" s="59">
        <f t="shared" si="10"/>
        <v>739.23</v>
      </c>
      <c r="L62" s="59">
        <f>1301.358+5.571</f>
        <v>1306.9289999999999</v>
      </c>
      <c r="M62" s="59"/>
      <c r="N62" s="59"/>
      <c r="O62" s="59"/>
      <c r="P62" s="88"/>
      <c r="Q62" s="100">
        <f t="shared" si="12"/>
        <v>2046.1589999999999</v>
      </c>
      <c r="R62" s="59"/>
      <c r="S62" s="59">
        <v>105.6</v>
      </c>
      <c r="T62" s="59"/>
      <c r="U62" s="59">
        <v>0</v>
      </c>
      <c r="V62" s="59"/>
      <c r="W62" s="59"/>
      <c r="X62" s="59"/>
      <c r="Y62" s="53"/>
      <c r="Z62" s="53"/>
      <c r="AA62" s="56"/>
      <c r="AB62" s="56">
        <v>0</v>
      </c>
      <c r="AC62" s="100">
        <f t="shared" si="13"/>
        <v>1940.559</v>
      </c>
      <c r="AD62" s="53">
        <f t="shared" si="14"/>
        <v>0</v>
      </c>
      <c r="AE62" s="100">
        <f t="shared" si="15"/>
        <v>1940.559</v>
      </c>
      <c r="AF62" s="53">
        <f t="shared" si="16"/>
        <v>204.61590000000001</v>
      </c>
      <c r="AG62" s="53">
        <v>10.23</v>
      </c>
      <c r="AH62" s="53">
        <f t="shared" si="17"/>
        <v>0</v>
      </c>
      <c r="AI62" s="100">
        <f t="shared" si="18"/>
        <v>2261.0048999999999</v>
      </c>
      <c r="AJ62" s="110"/>
      <c r="AK62" s="111"/>
      <c r="AL62" s="101">
        <f t="shared" si="24"/>
        <v>-1940.559</v>
      </c>
      <c r="AM62" s="71">
        <v>2858432805</v>
      </c>
      <c r="AN62" s="60"/>
    </row>
    <row r="63" spans="1:40" s="28" customFormat="1">
      <c r="A63" s="71" t="s">
        <v>68</v>
      </c>
      <c r="B63" s="56" t="s">
        <v>232</v>
      </c>
      <c r="C63" s="56" t="s">
        <v>228</v>
      </c>
      <c r="D63" s="71" t="s">
        <v>223</v>
      </c>
      <c r="E63" s="56" t="s">
        <v>148</v>
      </c>
      <c r="F63" s="106">
        <v>42282</v>
      </c>
      <c r="G63" s="56"/>
      <c r="H63" s="56"/>
      <c r="I63" s="59">
        <v>513.33000000000004</v>
      </c>
      <c r="J63" s="114">
        <v>886.67</v>
      </c>
      <c r="K63" s="59">
        <f t="shared" si="10"/>
        <v>1400</v>
      </c>
      <c r="L63" s="59"/>
      <c r="M63" s="59"/>
      <c r="N63" s="59"/>
      <c r="O63" s="59"/>
      <c r="P63" s="88"/>
      <c r="Q63" s="100">
        <f t="shared" si="12"/>
        <v>1400</v>
      </c>
      <c r="R63" s="59"/>
      <c r="S63" s="59"/>
      <c r="T63" s="59"/>
      <c r="U63" s="59">
        <v>0</v>
      </c>
      <c r="V63" s="59"/>
      <c r="W63" s="59"/>
      <c r="X63" s="59"/>
      <c r="Y63" s="53"/>
      <c r="Z63" s="53"/>
      <c r="AA63" s="56"/>
      <c r="AB63" s="56">
        <v>0</v>
      </c>
      <c r="AC63" s="100">
        <f t="shared" si="13"/>
        <v>1400</v>
      </c>
      <c r="AD63" s="53">
        <f t="shared" si="14"/>
        <v>0</v>
      </c>
      <c r="AE63" s="100">
        <f t="shared" si="15"/>
        <v>1400</v>
      </c>
      <c r="AF63" s="53">
        <f t="shared" si="16"/>
        <v>140</v>
      </c>
      <c r="AG63" s="53">
        <v>10.23</v>
      </c>
      <c r="AH63" s="53">
        <f t="shared" si="17"/>
        <v>0</v>
      </c>
      <c r="AI63" s="100">
        <f t="shared" si="18"/>
        <v>1550.23</v>
      </c>
      <c r="AJ63" s="110"/>
      <c r="AK63" s="111"/>
      <c r="AL63" s="101">
        <f t="shared" si="24"/>
        <v>-1400</v>
      </c>
      <c r="AM63" s="56"/>
      <c r="AN63" s="60"/>
    </row>
    <row r="64" spans="1:40" s="28" customFormat="1">
      <c r="A64" s="56" t="s">
        <v>68</v>
      </c>
      <c r="B64" s="56" t="s">
        <v>210</v>
      </c>
      <c r="C64" s="56" t="s">
        <v>201</v>
      </c>
      <c r="D64" s="56" t="s">
        <v>135</v>
      </c>
      <c r="E64" s="56" t="s">
        <v>70</v>
      </c>
      <c r="F64" s="106">
        <v>42310</v>
      </c>
      <c r="G64" s="56"/>
      <c r="H64" s="56"/>
      <c r="I64" s="59">
        <v>513.33000000000004</v>
      </c>
      <c r="J64" s="114"/>
      <c r="K64" s="59">
        <f t="shared" si="10"/>
        <v>513.33000000000004</v>
      </c>
      <c r="L64" s="59">
        <v>2637.93</v>
      </c>
      <c r="M64" s="59"/>
      <c r="N64" s="59"/>
      <c r="O64" s="59"/>
      <c r="P64" s="88"/>
      <c r="Q64" s="100">
        <f t="shared" si="12"/>
        <v>3151.2599999999998</v>
      </c>
      <c r="R64" s="59"/>
      <c r="S64" s="59"/>
      <c r="T64" s="59"/>
      <c r="U64" s="59">
        <v>0</v>
      </c>
      <c r="V64" s="59"/>
      <c r="W64" s="59"/>
      <c r="X64" s="59"/>
      <c r="Y64" s="53">
        <v>460.45</v>
      </c>
      <c r="Z64" s="53"/>
      <c r="AA64" s="56"/>
      <c r="AB64" s="56">
        <v>517.25</v>
      </c>
      <c r="AC64" s="100">
        <f t="shared" si="13"/>
        <v>2173.5599999999995</v>
      </c>
      <c r="AD64" s="53">
        <f t="shared" si="14"/>
        <v>315.12599999999998</v>
      </c>
      <c r="AE64" s="100">
        <f t="shared" si="15"/>
        <v>1858.4339999999995</v>
      </c>
      <c r="AF64" s="53">
        <f t="shared" si="16"/>
        <v>0</v>
      </c>
      <c r="AG64" s="53">
        <v>10.23</v>
      </c>
      <c r="AH64" s="53">
        <f t="shared" si="17"/>
        <v>0</v>
      </c>
      <c r="AI64" s="100">
        <f t="shared" si="18"/>
        <v>3161.49</v>
      </c>
      <c r="AJ64" s="110"/>
      <c r="AK64" s="111"/>
      <c r="AL64" s="101">
        <f t="shared" si="24"/>
        <v>-1858.4339999999995</v>
      </c>
      <c r="AM64" s="56"/>
      <c r="AN64" s="56"/>
    </row>
    <row r="65" spans="1:40" s="28" customFormat="1">
      <c r="A65" s="56" t="s">
        <v>84</v>
      </c>
      <c r="B65" s="56" t="s">
        <v>195</v>
      </c>
      <c r="C65" s="56"/>
      <c r="D65" s="56" t="s">
        <v>116</v>
      </c>
      <c r="E65" s="56" t="s">
        <v>154</v>
      </c>
      <c r="F65" s="106">
        <v>42242</v>
      </c>
      <c r="G65" s="56"/>
      <c r="H65" s="56"/>
      <c r="I65" s="122">
        <v>556.78</v>
      </c>
      <c r="J65" s="114"/>
      <c r="K65" s="59">
        <f t="shared" si="10"/>
        <v>556.78</v>
      </c>
      <c r="L65" s="59">
        <v>388.35399999999998</v>
      </c>
      <c r="M65" s="59"/>
      <c r="N65" s="59"/>
      <c r="O65" s="59"/>
      <c r="P65" s="88"/>
      <c r="Q65" s="100">
        <f t="shared" si="12"/>
        <v>945.13400000000001</v>
      </c>
      <c r="R65" s="59"/>
      <c r="S65" s="59"/>
      <c r="T65" s="59"/>
      <c r="U65" s="59">
        <v>0</v>
      </c>
      <c r="V65" s="59">
        <f>Q65*4.9%</f>
        <v>46.311565999999999</v>
      </c>
      <c r="W65" s="59">
        <f>Q65*1%</f>
        <v>9.4513400000000001</v>
      </c>
      <c r="X65" s="59"/>
      <c r="Y65" s="53"/>
      <c r="Z65" s="53"/>
      <c r="AA65" s="56"/>
      <c r="AB65" s="56">
        <v>0</v>
      </c>
      <c r="AC65" s="100">
        <f t="shared" si="13"/>
        <v>889.37109399999997</v>
      </c>
      <c r="AD65" s="53">
        <f t="shared" si="14"/>
        <v>0</v>
      </c>
      <c r="AE65" s="100">
        <f t="shared" si="15"/>
        <v>889.37109399999997</v>
      </c>
      <c r="AF65" s="53">
        <f t="shared" si="16"/>
        <v>94.513400000000004</v>
      </c>
      <c r="AG65" s="53">
        <v>10.23</v>
      </c>
      <c r="AH65" s="53">
        <f t="shared" si="17"/>
        <v>46.311565999999999</v>
      </c>
      <c r="AI65" s="100">
        <f t="shared" si="18"/>
        <v>1096.1889660000002</v>
      </c>
      <c r="AJ65" s="110"/>
      <c r="AK65" s="110"/>
      <c r="AL65" s="101">
        <f t="shared" si="24"/>
        <v>-889.37109399999997</v>
      </c>
      <c r="AM65" s="56"/>
      <c r="AN65" s="56"/>
    </row>
    <row r="66" spans="1:40" s="28" customFormat="1">
      <c r="A66" s="56" t="s">
        <v>82</v>
      </c>
      <c r="B66" s="56" t="s">
        <v>244</v>
      </c>
      <c r="C66" s="56"/>
      <c r="D66" s="56" t="s">
        <v>90</v>
      </c>
      <c r="E66" s="56" t="s">
        <v>142</v>
      </c>
      <c r="F66" s="106">
        <v>42170</v>
      </c>
      <c r="G66" s="56"/>
      <c r="H66" s="56"/>
      <c r="I66" s="59">
        <v>739.23</v>
      </c>
      <c r="J66" s="114"/>
      <c r="K66" s="59">
        <f t="shared" si="10"/>
        <v>739.23</v>
      </c>
      <c r="L66" s="59">
        <f>2408.354+13.099</f>
        <v>2421.453</v>
      </c>
      <c r="M66" s="59"/>
      <c r="N66" s="59"/>
      <c r="O66" s="59"/>
      <c r="P66" s="88"/>
      <c r="Q66" s="100">
        <f t="shared" si="12"/>
        <v>3160.683</v>
      </c>
      <c r="R66" s="59"/>
      <c r="S66" s="59"/>
      <c r="T66" s="59"/>
      <c r="U66" s="59">
        <v>0</v>
      </c>
      <c r="V66" s="59"/>
      <c r="W66" s="59"/>
      <c r="X66" s="59"/>
      <c r="Y66" s="53"/>
      <c r="Z66" s="53"/>
      <c r="AA66" s="56"/>
      <c r="AB66" s="56">
        <v>0</v>
      </c>
      <c r="AC66" s="100">
        <f t="shared" si="13"/>
        <v>3160.683</v>
      </c>
      <c r="AD66" s="53">
        <f t="shared" si="14"/>
        <v>316.06830000000002</v>
      </c>
      <c r="AE66" s="100">
        <f t="shared" si="15"/>
        <v>2844.6147000000001</v>
      </c>
      <c r="AF66" s="53">
        <f t="shared" si="16"/>
        <v>0</v>
      </c>
      <c r="AG66" s="53">
        <v>10.23</v>
      </c>
      <c r="AH66" s="53">
        <f t="shared" si="17"/>
        <v>0</v>
      </c>
      <c r="AI66" s="100">
        <f t="shared" si="18"/>
        <v>3170.913</v>
      </c>
      <c r="AJ66" s="110"/>
      <c r="AK66" s="111"/>
      <c r="AL66" s="101">
        <f t="shared" si="24"/>
        <v>-2844.6147000000001</v>
      </c>
      <c r="AM66" s="56"/>
      <c r="AN66" s="60"/>
    </row>
    <row r="67" spans="1:40" s="28" customFormat="1">
      <c r="A67" s="56" t="s">
        <v>84</v>
      </c>
      <c r="B67" s="56" t="s">
        <v>173</v>
      </c>
      <c r="C67" s="56"/>
      <c r="D67" s="56" t="s">
        <v>117</v>
      </c>
      <c r="E67" s="56" t="s">
        <v>155</v>
      </c>
      <c r="F67" s="106">
        <v>36868</v>
      </c>
      <c r="G67" s="56"/>
      <c r="H67" s="56"/>
      <c r="I67" s="59">
        <v>623.36</v>
      </c>
      <c r="J67" s="114"/>
      <c r="K67" s="59">
        <f t="shared" si="10"/>
        <v>623.36</v>
      </c>
      <c r="L67" s="59">
        <f>4658.6+3.714</f>
        <v>4662.3140000000003</v>
      </c>
      <c r="M67" s="59"/>
      <c r="N67" s="59"/>
      <c r="O67" s="59"/>
      <c r="P67" s="88"/>
      <c r="Q67" s="100">
        <f t="shared" si="12"/>
        <v>5285.674</v>
      </c>
      <c r="R67" s="59"/>
      <c r="S67" s="59"/>
      <c r="T67" s="59"/>
      <c r="U67" s="59">
        <v>0</v>
      </c>
      <c r="V67" s="59">
        <f>Q67*4.9%</f>
        <v>258.99802599999998</v>
      </c>
      <c r="W67" s="59">
        <f>Q67*1%</f>
        <v>52.856740000000002</v>
      </c>
      <c r="X67" s="59"/>
      <c r="Y67" s="53"/>
      <c r="Z67" s="53"/>
      <c r="AA67" s="56"/>
      <c r="AB67" s="56">
        <v>0</v>
      </c>
      <c r="AC67" s="100">
        <f t="shared" si="13"/>
        <v>4973.8192339999996</v>
      </c>
      <c r="AD67" s="53">
        <f t="shared" si="14"/>
        <v>528.56740000000002</v>
      </c>
      <c r="AE67" s="100">
        <f t="shared" si="15"/>
        <v>4445.2518339999997</v>
      </c>
      <c r="AF67" s="53">
        <f t="shared" si="16"/>
        <v>0</v>
      </c>
      <c r="AG67" s="53">
        <v>10.23</v>
      </c>
      <c r="AH67" s="53">
        <f t="shared" si="17"/>
        <v>258.99802599999998</v>
      </c>
      <c r="AI67" s="100">
        <f t="shared" si="18"/>
        <v>5554.9020259999998</v>
      </c>
      <c r="AJ67" s="110"/>
      <c r="AK67" s="110"/>
      <c r="AL67" s="101">
        <f t="shared" si="24"/>
        <v>-4445.2518339999997</v>
      </c>
      <c r="AM67" s="56"/>
      <c r="AN67" s="56"/>
    </row>
    <row r="68" spans="1:40" s="28" customFormat="1">
      <c r="A68" s="56" t="s">
        <v>84</v>
      </c>
      <c r="B68" s="56" t="s">
        <v>169</v>
      </c>
      <c r="C68" s="56"/>
      <c r="D68" s="56" t="s">
        <v>118</v>
      </c>
      <c r="E68" s="56" t="s">
        <v>216</v>
      </c>
      <c r="F68" s="106">
        <v>41949</v>
      </c>
      <c r="G68" s="56"/>
      <c r="H68" s="56"/>
      <c r="I68" s="59">
        <v>511.28</v>
      </c>
      <c r="J68" s="114"/>
      <c r="K68" s="59">
        <f t="shared" si="10"/>
        <v>511.28</v>
      </c>
      <c r="L68" s="59">
        <f>2776.8+7.428</f>
        <v>2784.2280000000001</v>
      </c>
      <c r="M68" s="59"/>
      <c r="N68" s="59"/>
      <c r="O68" s="59"/>
      <c r="P68" s="88"/>
      <c r="Q68" s="100">
        <f t="shared" si="12"/>
        <v>3295.5079999999998</v>
      </c>
      <c r="R68" s="59"/>
      <c r="S68" s="59"/>
      <c r="T68" s="59"/>
      <c r="U68" s="59">
        <v>100</v>
      </c>
      <c r="V68" s="59">
        <f>Q68*4.9%</f>
        <v>161.47989200000001</v>
      </c>
      <c r="W68" s="59">
        <f>Q68*1%</f>
        <v>32.955079999999995</v>
      </c>
      <c r="X68" s="59"/>
      <c r="Y68" s="53"/>
      <c r="Z68" s="53"/>
      <c r="AA68" s="56"/>
      <c r="AB68" s="56">
        <v>0</v>
      </c>
      <c r="AC68" s="100">
        <f t="shared" si="13"/>
        <v>3001.0730279999998</v>
      </c>
      <c r="AD68" s="53">
        <f t="shared" si="14"/>
        <v>329.55079999999998</v>
      </c>
      <c r="AE68" s="100">
        <f t="shared" si="15"/>
        <v>2671.5222279999998</v>
      </c>
      <c r="AF68" s="53">
        <f t="shared" si="16"/>
        <v>0</v>
      </c>
      <c r="AG68" s="53">
        <v>10.23</v>
      </c>
      <c r="AH68" s="53">
        <f t="shared" si="17"/>
        <v>161.47989200000001</v>
      </c>
      <c r="AI68" s="100">
        <f t="shared" si="18"/>
        <v>3467.2178919999997</v>
      </c>
      <c r="AJ68" s="110"/>
      <c r="AK68" s="111"/>
      <c r="AL68" s="101">
        <f t="shared" si="24"/>
        <v>-2671.5222279999998</v>
      </c>
      <c r="AM68" s="56"/>
      <c r="AN68" s="56"/>
    </row>
    <row r="69" spans="1:40" s="28" customFormat="1">
      <c r="A69" s="56" t="s">
        <v>82</v>
      </c>
      <c r="B69" s="56" t="s">
        <v>255</v>
      </c>
      <c r="C69" s="56"/>
      <c r="D69" s="56"/>
      <c r="E69" s="56" t="s">
        <v>216</v>
      </c>
      <c r="F69" s="106">
        <v>42493</v>
      </c>
      <c r="G69" s="56"/>
      <c r="H69" s="56"/>
      <c r="I69" s="59">
        <v>739.23</v>
      </c>
      <c r="J69" s="114"/>
      <c r="K69" s="59">
        <f t="shared" si="10"/>
        <v>739.23</v>
      </c>
      <c r="L69" s="59">
        <f>1065.864+2.972</f>
        <v>1068.836</v>
      </c>
      <c r="M69" s="59"/>
      <c r="N69" s="59"/>
      <c r="O69" s="59"/>
      <c r="P69" s="88"/>
      <c r="Q69" s="100">
        <f t="shared" si="12"/>
        <v>1808.066</v>
      </c>
      <c r="R69" s="59"/>
      <c r="S69" s="59"/>
      <c r="T69" s="59"/>
      <c r="U69" s="59">
        <v>0</v>
      </c>
      <c r="V69" s="59"/>
      <c r="W69" s="59"/>
      <c r="X69" s="59"/>
      <c r="Y69" s="53"/>
      <c r="Z69" s="53"/>
      <c r="AA69" s="56"/>
      <c r="AB69" s="56">
        <v>0</v>
      </c>
      <c r="AC69" s="100">
        <f t="shared" si="13"/>
        <v>1808.066</v>
      </c>
      <c r="AD69" s="53">
        <f t="shared" si="14"/>
        <v>0</v>
      </c>
      <c r="AE69" s="100">
        <f t="shared" si="15"/>
        <v>1808.066</v>
      </c>
      <c r="AF69" s="53">
        <f t="shared" si="16"/>
        <v>180.8066</v>
      </c>
      <c r="AG69" s="53">
        <v>10.23</v>
      </c>
      <c r="AH69" s="53">
        <f t="shared" si="17"/>
        <v>0</v>
      </c>
      <c r="AI69" s="100">
        <f t="shared" si="18"/>
        <v>1999.1026000000002</v>
      </c>
      <c r="AJ69" s="110"/>
      <c r="AK69" s="110"/>
      <c r="AL69" s="101">
        <f t="shared" si="24"/>
        <v>-1808.066</v>
      </c>
      <c r="AM69" s="56">
        <v>2999103732</v>
      </c>
      <c r="AN69" s="60"/>
    </row>
    <row r="70" spans="1:40" s="28" customFormat="1">
      <c r="A70" s="56" t="s">
        <v>68</v>
      </c>
      <c r="B70" s="56" t="s">
        <v>221</v>
      </c>
      <c r="C70" s="56" t="s">
        <v>204</v>
      </c>
      <c r="D70" s="56" t="s">
        <v>136</v>
      </c>
      <c r="E70" s="56" t="s">
        <v>70</v>
      </c>
      <c r="F70" s="106">
        <v>42251</v>
      </c>
      <c r="G70" s="56"/>
      <c r="H70" s="56"/>
      <c r="I70" s="59">
        <v>513.33000000000004</v>
      </c>
      <c r="J70" s="114"/>
      <c r="K70" s="59">
        <f t="shared" si="10"/>
        <v>513.33000000000004</v>
      </c>
      <c r="L70" s="59">
        <v>7318.51</v>
      </c>
      <c r="M70" s="59"/>
      <c r="N70" s="59"/>
      <c r="O70" s="59"/>
      <c r="P70" s="88"/>
      <c r="Q70" s="100">
        <f t="shared" si="12"/>
        <v>7831.84</v>
      </c>
      <c r="R70" s="59"/>
      <c r="S70" s="59"/>
      <c r="T70" s="59"/>
      <c r="U70" s="59">
        <v>0</v>
      </c>
      <c r="V70" s="59"/>
      <c r="W70" s="59"/>
      <c r="X70" s="59"/>
      <c r="Y70" s="53"/>
      <c r="Z70" s="53"/>
      <c r="AA70" s="56"/>
      <c r="AB70" s="56">
        <v>0</v>
      </c>
      <c r="AC70" s="100">
        <f t="shared" si="13"/>
        <v>7831.84</v>
      </c>
      <c r="AD70" s="53">
        <f t="shared" si="14"/>
        <v>783.18400000000008</v>
      </c>
      <c r="AE70" s="100">
        <f t="shared" si="15"/>
        <v>7048.6559999999999</v>
      </c>
      <c r="AF70" s="53">
        <f t="shared" si="16"/>
        <v>0</v>
      </c>
      <c r="AG70" s="53">
        <v>10.23</v>
      </c>
      <c r="AH70" s="53">
        <f t="shared" si="17"/>
        <v>0</v>
      </c>
      <c r="AI70" s="100">
        <f t="shared" si="18"/>
        <v>7842.07</v>
      </c>
      <c r="AJ70" s="110"/>
      <c r="AK70" s="111"/>
      <c r="AL70" s="101">
        <f t="shared" si="24"/>
        <v>-7048.6559999999999</v>
      </c>
      <c r="AN70" s="56"/>
    </row>
    <row r="71" spans="1:40" s="28" customFormat="1">
      <c r="A71" s="56" t="s">
        <v>81</v>
      </c>
      <c r="B71" s="56" t="s">
        <v>261</v>
      </c>
      <c r="C71" s="56"/>
      <c r="D71" s="56"/>
      <c r="E71" s="56" t="s">
        <v>69</v>
      </c>
      <c r="F71" s="106">
        <v>42506</v>
      </c>
      <c r="G71" s="56"/>
      <c r="H71" s="56"/>
      <c r="I71" s="59">
        <v>1166.26</v>
      </c>
      <c r="J71" s="114"/>
      <c r="K71" s="59">
        <f t="shared" si="10"/>
        <v>1166.26</v>
      </c>
      <c r="L71" s="59">
        <v>1129.6199999999999</v>
      </c>
      <c r="M71" s="59"/>
      <c r="N71" s="59"/>
      <c r="O71" s="59"/>
      <c r="P71" s="88"/>
      <c r="Q71" s="100">
        <f t="shared" si="12"/>
        <v>2295.88</v>
      </c>
      <c r="R71" s="59"/>
      <c r="S71" s="59"/>
      <c r="T71" s="59"/>
      <c r="U71" s="59">
        <v>0</v>
      </c>
      <c r="V71" s="59"/>
      <c r="W71" s="59"/>
      <c r="X71" s="59"/>
      <c r="Y71" s="53"/>
      <c r="Z71" s="53"/>
      <c r="AA71" s="56"/>
      <c r="AB71" s="56">
        <v>0</v>
      </c>
      <c r="AC71" s="100">
        <f t="shared" si="13"/>
        <v>2295.88</v>
      </c>
      <c r="AD71" s="53">
        <f t="shared" si="14"/>
        <v>229.58800000000002</v>
      </c>
      <c r="AE71" s="100">
        <f t="shared" si="15"/>
        <v>2066.2919999999999</v>
      </c>
      <c r="AF71" s="53">
        <f t="shared" si="16"/>
        <v>0</v>
      </c>
      <c r="AG71" s="53">
        <v>10.23</v>
      </c>
      <c r="AH71" s="53">
        <f t="shared" si="17"/>
        <v>0</v>
      </c>
      <c r="AI71" s="100">
        <f t="shared" si="18"/>
        <v>2306.11</v>
      </c>
      <c r="AJ71" s="110"/>
      <c r="AK71" s="110"/>
      <c r="AL71" s="101">
        <f t="shared" si="24"/>
        <v>-2066.2919999999999</v>
      </c>
      <c r="AM71" s="71">
        <v>2928860106</v>
      </c>
      <c r="AN71" s="60"/>
    </row>
    <row r="72" spans="1:40" s="28" customFormat="1">
      <c r="A72" s="56" t="s">
        <v>82</v>
      </c>
      <c r="B72" s="56" t="s">
        <v>74</v>
      </c>
      <c r="C72" s="56"/>
      <c r="D72" s="56" t="s">
        <v>91</v>
      </c>
      <c r="E72" s="56" t="s">
        <v>143</v>
      </c>
      <c r="F72" s="106">
        <v>42129</v>
      </c>
      <c r="G72" s="56"/>
      <c r="H72" s="56"/>
      <c r="I72" s="59">
        <v>739.23</v>
      </c>
      <c r="J72" s="114"/>
      <c r="K72" s="59">
        <f t="shared" si="10"/>
        <v>739.23</v>
      </c>
      <c r="L72" s="59">
        <f>4288.94+13.099</f>
        <v>4302.0389999999998</v>
      </c>
      <c r="M72" s="59"/>
      <c r="N72" s="61"/>
      <c r="O72" s="59"/>
      <c r="P72" s="88"/>
      <c r="Q72" s="100">
        <f t="shared" si="12"/>
        <v>5041.2690000000002</v>
      </c>
      <c r="R72" s="59"/>
      <c r="S72" s="59"/>
      <c r="T72" s="59"/>
      <c r="U72" s="59">
        <v>0</v>
      </c>
      <c r="V72" s="59"/>
      <c r="W72" s="59"/>
      <c r="X72" s="59"/>
      <c r="Y72" s="53"/>
      <c r="Z72" s="53"/>
      <c r="AA72" s="56"/>
      <c r="AB72" s="56">
        <v>0</v>
      </c>
      <c r="AC72" s="100">
        <f t="shared" si="13"/>
        <v>5041.2690000000002</v>
      </c>
      <c r="AD72" s="53">
        <f t="shared" si="14"/>
        <v>504.12690000000003</v>
      </c>
      <c r="AE72" s="100">
        <f t="shared" si="15"/>
        <v>4537.1421</v>
      </c>
      <c r="AF72" s="53">
        <f t="shared" si="16"/>
        <v>0</v>
      </c>
      <c r="AG72" s="53">
        <v>10.23</v>
      </c>
      <c r="AH72" s="53">
        <f t="shared" si="17"/>
        <v>0</v>
      </c>
      <c r="AI72" s="100">
        <f t="shared" si="18"/>
        <v>5051.4989999999998</v>
      </c>
      <c r="AJ72" s="110"/>
      <c r="AK72" s="111"/>
      <c r="AL72" s="101">
        <f t="shared" si="24"/>
        <v>-4537.1421</v>
      </c>
      <c r="AM72" s="56"/>
      <c r="AN72" s="60"/>
    </row>
    <row r="73" spans="1:40" s="28" customFormat="1">
      <c r="A73" s="56" t="s">
        <v>81</v>
      </c>
      <c r="B73" s="56" t="s">
        <v>239</v>
      </c>
      <c r="C73" s="56"/>
      <c r="D73" s="56"/>
      <c r="E73" s="56" t="s">
        <v>69</v>
      </c>
      <c r="F73" s="106">
        <v>42472</v>
      </c>
      <c r="G73" s="56"/>
      <c r="H73" s="56"/>
      <c r="I73" s="59">
        <v>1166.26</v>
      </c>
      <c r="J73" s="114"/>
      <c r="K73" s="59">
        <f t="shared" si="10"/>
        <v>1166.26</v>
      </c>
      <c r="L73" s="59">
        <v>1424.04</v>
      </c>
      <c r="M73" s="59"/>
      <c r="N73" s="61"/>
      <c r="O73" s="59"/>
      <c r="P73" s="88"/>
      <c r="Q73" s="100">
        <f t="shared" ref="Q73:Q99" si="25">SUM(K73:O73)-P73</f>
        <v>2590.3000000000002</v>
      </c>
      <c r="R73" s="59"/>
      <c r="S73" s="59">
        <v>166.6</v>
      </c>
      <c r="T73" s="59"/>
      <c r="U73" s="59">
        <v>0</v>
      </c>
      <c r="V73" s="59"/>
      <c r="W73" s="59"/>
      <c r="X73" s="59"/>
      <c r="Y73" s="53"/>
      <c r="Z73" s="53"/>
      <c r="AA73" s="56"/>
      <c r="AB73" s="56">
        <v>0</v>
      </c>
      <c r="AC73" s="100">
        <f t="shared" ref="AC73:AC98" si="26">+Q73-SUM(R73:AB73)</f>
        <v>2423.7000000000003</v>
      </c>
      <c r="AD73" s="53">
        <f t="shared" ref="AD73:AD99" si="27">IF(Q73&gt;2250,Q73*0.1,0)</f>
        <v>259.03000000000003</v>
      </c>
      <c r="AE73" s="100">
        <f t="shared" ref="AE73:AE98" si="28">+AC73-AD73</f>
        <v>2164.67</v>
      </c>
      <c r="AF73" s="53">
        <f t="shared" ref="AF73:AF98" si="29">IF(Q73&lt;2250,Q73*0.1,0)</f>
        <v>0</v>
      </c>
      <c r="AG73" s="53">
        <v>10.23</v>
      </c>
      <c r="AH73" s="53">
        <f t="shared" ref="AH73:AH99" si="30">+V73</f>
        <v>0</v>
      </c>
      <c r="AI73" s="100">
        <f t="shared" ref="AI73:AI99" si="31">+Q73+AF73+AG73+AH73</f>
        <v>2600.5300000000002</v>
      </c>
      <c r="AJ73" s="110"/>
      <c r="AK73" s="111"/>
      <c r="AL73" s="101">
        <f t="shared" si="24"/>
        <v>-2164.67</v>
      </c>
      <c r="AM73" s="56">
        <v>1123036669</v>
      </c>
      <c r="AN73" s="60"/>
    </row>
    <row r="74" spans="1:40" s="28" customFormat="1">
      <c r="A74" s="56" t="s">
        <v>82</v>
      </c>
      <c r="B74" s="56" t="s">
        <v>218</v>
      </c>
      <c r="C74" s="56"/>
      <c r="D74" s="56"/>
      <c r="E74" s="56" t="s">
        <v>142</v>
      </c>
      <c r="F74" s="106">
        <v>42422</v>
      </c>
      <c r="G74" s="56"/>
      <c r="H74" s="56"/>
      <c r="I74" s="122">
        <v>739.23</v>
      </c>
      <c r="J74" s="114"/>
      <c r="K74" s="59">
        <f t="shared" ref="K74:K79" si="32">+I74+J74</f>
        <v>739.23</v>
      </c>
      <c r="L74" s="59">
        <f>4854.032+13.099</f>
        <v>4867.1310000000003</v>
      </c>
      <c r="M74" s="59"/>
      <c r="N74" s="59"/>
      <c r="O74" s="59"/>
      <c r="P74" s="88"/>
      <c r="Q74" s="100">
        <f t="shared" si="25"/>
        <v>5606.3610000000008</v>
      </c>
      <c r="R74" s="59"/>
      <c r="S74" s="59"/>
      <c r="T74" s="59"/>
      <c r="U74" s="59">
        <v>0</v>
      </c>
      <c r="V74" s="59"/>
      <c r="W74" s="59"/>
      <c r="X74" s="59"/>
      <c r="Y74" s="53"/>
      <c r="Z74" s="53"/>
      <c r="AA74" s="56"/>
      <c r="AB74" s="56">
        <v>0</v>
      </c>
      <c r="AC74" s="100">
        <f t="shared" si="26"/>
        <v>5606.3610000000008</v>
      </c>
      <c r="AD74" s="53">
        <f t="shared" si="27"/>
        <v>560.63610000000006</v>
      </c>
      <c r="AE74" s="100">
        <f t="shared" si="28"/>
        <v>5045.7249000000011</v>
      </c>
      <c r="AF74" s="53">
        <f t="shared" si="29"/>
        <v>0</v>
      </c>
      <c r="AG74" s="53">
        <v>10.23</v>
      </c>
      <c r="AH74" s="53">
        <f t="shared" si="30"/>
        <v>0</v>
      </c>
      <c r="AI74" s="100">
        <f t="shared" si="31"/>
        <v>5616.5910000000003</v>
      </c>
      <c r="AJ74" s="110"/>
      <c r="AK74" s="111"/>
      <c r="AL74" s="101">
        <f t="shared" si="24"/>
        <v>-5045.7249000000011</v>
      </c>
      <c r="AM74" s="56"/>
      <c r="AN74" s="60"/>
    </row>
    <row r="75" spans="1:40" s="28" customFormat="1">
      <c r="A75" s="56" t="s">
        <v>84</v>
      </c>
      <c r="B75" s="56" t="s">
        <v>245</v>
      </c>
      <c r="C75" s="56"/>
      <c r="D75" s="56" t="s">
        <v>119</v>
      </c>
      <c r="E75" s="56" t="s">
        <v>156</v>
      </c>
      <c r="F75" s="106">
        <v>41227</v>
      </c>
      <c r="G75" s="56"/>
      <c r="H75" s="56"/>
      <c r="I75" s="130">
        <v>623.36</v>
      </c>
      <c r="J75" s="114"/>
      <c r="K75" s="59">
        <f t="shared" si="32"/>
        <v>623.36</v>
      </c>
      <c r="L75" s="59">
        <f>3653.872+5.571</f>
        <v>3659.4429999999998</v>
      </c>
      <c r="M75" s="59"/>
      <c r="N75" s="59"/>
      <c r="O75" s="59"/>
      <c r="P75" s="88"/>
      <c r="Q75" s="100">
        <f t="shared" si="25"/>
        <v>4282.8029999999999</v>
      </c>
      <c r="R75" s="59"/>
      <c r="S75" s="59"/>
      <c r="T75" s="59"/>
      <c r="U75" s="59">
        <v>200</v>
      </c>
      <c r="V75" s="59">
        <f>Q75*4.9%</f>
        <v>209.857347</v>
      </c>
      <c r="W75" s="59">
        <f>Q75*1%</f>
        <v>42.828029999999998</v>
      </c>
      <c r="X75" s="59">
        <v>321.74</v>
      </c>
      <c r="Y75" s="53"/>
      <c r="Z75" s="53"/>
      <c r="AA75" s="56"/>
      <c r="AB75" s="56">
        <v>0</v>
      </c>
      <c r="AC75" s="100">
        <f t="shared" si="26"/>
        <v>3508.3776229999999</v>
      </c>
      <c r="AD75" s="53">
        <f t="shared" si="27"/>
        <v>428.28030000000001</v>
      </c>
      <c r="AE75" s="100">
        <f t="shared" si="28"/>
        <v>3080.097323</v>
      </c>
      <c r="AF75" s="53">
        <f t="shared" si="29"/>
        <v>0</v>
      </c>
      <c r="AG75" s="53">
        <v>10.23</v>
      </c>
      <c r="AH75" s="53">
        <f t="shared" si="30"/>
        <v>209.857347</v>
      </c>
      <c r="AI75" s="100">
        <f t="shared" si="31"/>
        <v>4502.8903469999996</v>
      </c>
      <c r="AJ75" s="110"/>
      <c r="AK75" s="110"/>
      <c r="AL75" s="101">
        <f t="shared" si="24"/>
        <v>-3080.097323</v>
      </c>
      <c r="AM75" s="56"/>
      <c r="AN75" s="60"/>
    </row>
    <row r="76" spans="1:40" s="28" customFormat="1">
      <c r="A76" s="56" t="s">
        <v>68</v>
      </c>
      <c r="B76" s="56" t="s">
        <v>273</v>
      </c>
      <c r="C76" s="56"/>
      <c r="D76" s="56"/>
      <c r="E76" s="56" t="s">
        <v>70</v>
      </c>
      <c r="F76" s="106">
        <v>42522</v>
      </c>
      <c r="G76" s="56"/>
      <c r="H76" s="56"/>
      <c r="I76" s="59">
        <v>513.33000000000004</v>
      </c>
      <c r="J76" s="114"/>
      <c r="K76" s="59">
        <f t="shared" si="32"/>
        <v>513.33000000000004</v>
      </c>
      <c r="L76" s="59">
        <v>3458.62</v>
      </c>
      <c r="M76" s="59"/>
      <c r="N76" s="59"/>
      <c r="O76" s="59"/>
      <c r="P76" s="88"/>
      <c r="Q76" s="100">
        <f t="shared" si="25"/>
        <v>3971.95</v>
      </c>
      <c r="R76" s="59"/>
      <c r="S76" s="59"/>
      <c r="T76" s="59"/>
      <c r="U76" s="59">
        <v>0</v>
      </c>
      <c r="V76" s="59"/>
      <c r="W76" s="59"/>
      <c r="X76" s="59"/>
      <c r="Y76" s="53"/>
      <c r="Z76" s="53"/>
      <c r="AA76" s="56"/>
      <c r="AB76" s="56">
        <v>0</v>
      </c>
      <c r="AC76" s="100">
        <f t="shared" si="26"/>
        <v>3971.95</v>
      </c>
      <c r="AD76" s="53">
        <f t="shared" si="27"/>
        <v>397.19499999999999</v>
      </c>
      <c r="AE76" s="100">
        <f t="shared" si="28"/>
        <v>3574.7549999999997</v>
      </c>
      <c r="AF76" s="53">
        <f t="shared" si="29"/>
        <v>0</v>
      </c>
      <c r="AG76" s="53">
        <v>10.23</v>
      </c>
      <c r="AH76" s="53">
        <f t="shared" si="30"/>
        <v>0</v>
      </c>
      <c r="AI76" s="100">
        <f t="shared" si="31"/>
        <v>3982.18</v>
      </c>
      <c r="AJ76" s="110"/>
      <c r="AK76" s="110"/>
      <c r="AL76" s="101"/>
      <c r="AM76" s="56">
        <v>2952708604</v>
      </c>
      <c r="AN76" s="60"/>
    </row>
    <row r="77" spans="1:40" s="28" customFormat="1">
      <c r="A77" s="56" t="s">
        <v>68</v>
      </c>
      <c r="B77" s="56" t="s">
        <v>181</v>
      </c>
      <c r="C77" s="56" t="s">
        <v>201</v>
      </c>
      <c r="D77" s="62" t="s">
        <v>182</v>
      </c>
      <c r="E77" s="56" t="s">
        <v>70</v>
      </c>
      <c r="F77" s="106">
        <v>42396</v>
      </c>
      <c r="G77" s="56"/>
      <c r="H77" s="56"/>
      <c r="I77" s="59">
        <v>513.33000000000004</v>
      </c>
      <c r="J77" s="114"/>
      <c r="K77" s="59">
        <f t="shared" si="32"/>
        <v>513.33000000000004</v>
      </c>
      <c r="L77" s="59">
        <f>5316.71-1000</f>
        <v>4316.71</v>
      </c>
      <c r="M77" s="59"/>
      <c r="N77" s="59"/>
      <c r="O77" s="59"/>
      <c r="P77" s="88"/>
      <c r="Q77" s="100">
        <f t="shared" si="25"/>
        <v>4830.04</v>
      </c>
      <c r="R77" s="59"/>
      <c r="S77" s="59"/>
      <c r="T77" s="59"/>
      <c r="U77" s="59">
        <v>0</v>
      </c>
      <c r="V77" s="59"/>
      <c r="W77" s="59"/>
      <c r="X77" s="59"/>
      <c r="Y77" s="53"/>
      <c r="Z77" s="53"/>
      <c r="AA77" s="56"/>
      <c r="AB77" s="56">
        <v>291.5</v>
      </c>
      <c r="AC77" s="100">
        <f t="shared" si="26"/>
        <v>4538.54</v>
      </c>
      <c r="AD77" s="53">
        <f t="shared" si="27"/>
        <v>483.00400000000002</v>
      </c>
      <c r="AE77" s="100">
        <f t="shared" si="28"/>
        <v>4055.5360000000001</v>
      </c>
      <c r="AF77" s="53">
        <f t="shared" si="29"/>
        <v>0</v>
      </c>
      <c r="AG77" s="53">
        <v>10.23</v>
      </c>
      <c r="AH77" s="53">
        <f t="shared" si="30"/>
        <v>0</v>
      </c>
      <c r="AI77" s="100">
        <f t="shared" si="31"/>
        <v>4840.2699999999995</v>
      </c>
      <c r="AJ77" s="110"/>
      <c r="AK77" s="110"/>
      <c r="AL77" s="101">
        <f t="shared" ref="AL77:AL87" si="33">+AJ77+AK77-AE77</f>
        <v>-4055.5360000000001</v>
      </c>
      <c r="AM77" s="56"/>
      <c r="AN77" s="60"/>
    </row>
    <row r="78" spans="1:40" s="28" customFormat="1">
      <c r="A78" s="56" t="s">
        <v>84</v>
      </c>
      <c r="B78" s="56" t="s">
        <v>166</v>
      </c>
      <c r="C78" s="56"/>
      <c r="D78" s="56" t="s">
        <v>121</v>
      </c>
      <c r="E78" s="56" t="s">
        <v>151</v>
      </c>
      <c r="F78" s="106">
        <v>41732</v>
      </c>
      <c r="G78" s="56"/>
      <c r="H78" s="56"/>
      <c r="I78" s="59">
        <v>556.78</v>
      </c>
      <c r="J78" s="114"/>
      <c r="K78" s="59">
        <f t="shared" si="32"/>
        <v>556.78</v>
      </c>
      <c r="L78" s="59">
        <v>363.923</v>
      </c>
      <c r="M78" s="59"/>
      <c r="N78" s="59"/>
      <c r="O78" s="59"/>
      <c r="P78" s="88"/>
      <c r="Q78" s="100">
        <f t="shared" si="25"/>
        <v>920.70299999999997</v>
      </c>
      <c r="R78" s="59"/>
      <c r="S78" s="59"/>
      <c r="T78" s="59"/>
      <c r="U78" s="59">
        <v>0</v>
      </c>
      <c r="V78" s="59">
        <f>Q78*4.9%</f>
        <v>45.114446999999998</v>
      </c>
      <c r="W78" s="59">
        <f>Q78*1%</f>
        <v>9.2070299999999996</v>
      </c>
      <c r="X78" s="59"/>
      <c r="Y78" s="53"/>
      <c r="Z78" s="53"/>
      <c r="AA78" s="56"/>
      <c r="AB78" s="56">
        <v>0</v>
      </c>
      <c r="AC78" s="100">
        <f t="shared" si="26"/>
        <v>866.38152300000002</v>
      </c>
      <c r="AD78" s="53">
        <f t="shared" si="27"/>
        <v>0</v>
      </c>
      <c r="AE78" s="100">
        <f t="shared" si="28"/>
        <v>866.38152300000002</v>
      </c>
      <c r="AF78" s="53">
        <f t="shared" si="29"/>
        <v>92.070300000000003</v>
      </c>
      <c r="AG78" s="53">
        <v>10.23</v>
      </c>
      <c r="AH78" s="53">
        <f t="shared" si="30"/>
        <v>45.114446999999998</v>
      </c>
      <c r="AI78" s="100">
        <f t="shared" si="31"/>
        <v>1068.117747</v>
      </c>
      <c r="AJ78" s="110"/>
      <c r="AK78" s="110"/>
      <c r="AL78" s="101">
        <f t="shared" si="33"/>
        <v>-866.38152300000002</v>
      </c>
      <c r="AM78" s="56"/>
      <c r="AN78" s="56"/>
    </row>
    <row r="79" spans="1:40" s="28" customFormat="1">
      <c r="A79" s="56" t="s">
        <v>81</v>
      </c>
      <c r="B79" s="56" t="s">
        <v>196</v>
      </c>
      <c r="C79" s="56"/>
      <c r="D79" s="56" t="s">
        <v>101</v>
      </c>
      <c r="E79" s="56" t="s">
        <v>149</v>
      </c>
      <c r="F79" s="106">
        <v>42321</v>
      </c>
      <c r="G79" s="56"/>
      <c r="H79" s="56"/>
      <c r="I79" s="59">
        <v>577.38</v>
      </c>
      <c r="J79" s="114">
        <v>939.29</v>
      </c>
      <c r="K79" s="59">
        <f t="shared" si="32"/>
        <v>1516.67</v>
      </c>
      <c r="L79" s="59">
        <v>433.33</v>
      </c>
      <c r="M79" s="59"/>
      <c r="N79" s="59"/>
      <c r="O79" s="59"/>
      <c r="P79" s="88"/>
      <c r="Q79" s="100">
        <f t="shared" si="25"/>
        <v>1950</v>
      </c>
      <c r="R79" s="59"/>
      <c r="S79" s="59"/>
      <c r="T79" s="59"/>
      <c r="U79" s="59">
        <v>0</v>
      </c>
      <c r="V79" s="59"/>
      <c r="W79" s="59"/>
      <c r="X79" s="59"/>
      <c r="Y79" s="53"/>
      <c r="Z79" s="53"/>
      <c r="AA79" s="56"/>
      <c r="AB79" s="56">
        <v>0</v>
      </c>
      <c r="AC79" s="100">
        <f t="shared" si="26"/>
        <v>1950</v>
      </c>
      <c r="AD79" s="53">
        <f t="shared" si="27"/>
        <v>0</v>
      </c>
      <c r="AE79" s="100">
        <f t="shared" si="28"/>
        <v>1950</v>
      </c>
      <c r="AF79" s="53">
        <f t="shared" si="29"/>
        <v>195</v>
      </c>
      <c r="AG79" s="53">
        <v>10.23</v>
      </c>
      <c r="AH79" s="53">
        <f t="shared" si="30"/>
        <v>0</v>
      </c>
      <c r="AI79" s="100">
        <f t="shared" si="31"/>
        <v>2155.23</v>
      </c>
      <c r="AJ79" s="110"/>
      <c r="AK79" s="111"/>
      <c r="AL79" s="101">
        <f t="shared" si="33"/>
        <v>-1950</v>
      </c>
      <c r="AM79" s="56"/>
      <c r="AN79" s="60"/>
    </row>
    <row r="80" spans="1:40" s="28" customFormat="1">
      <c r="A80" s="56" t="s">
        <v>84</v>
      </c>
      <c r="B80" s="56" t="s">
        <v>179</v>
      </c>
      <c r="C80" s="56"/>
      <c r="D80" s="56" t="s">
        <v>120</v>
      </c>
      <c r="E80" s="56" t="s">
        <v>157</v>
      </c>
      <c r="F80" s="106">
        <v>42228</v>
      </c>
      <c r="G80" s="56"/>
      <c r="H80" s="56"/>
      <c r="I80" s="59">
        <v>511.28</v>
      </c>
      <c r="J80" s="114"/>
      <c r="K80" s="59">
        <f t="shared" ref="K80:K87" si="34">+I80+J80</f>
        <v>511.28</v>
      </c>
      <c r="L80" s="59">
        <f>1215.918+5.571</f>
        <v>1221.4889999999998</v>
      </c>
      <c r="M80" s="59"/>
      <c r="N80" s="59"/>
      <c r="O80" s="59"/>
      <c r="P80" s="88"/>
      <c r="Q80" s="100">
        <f t="shared" si="25"/>
        <v>1732.7689999999998</v>
      </c>
      <c r="R80" s="59"/>
      <c r="S80" s="59"/>
      <c r="T80" s="59"/>
      <c r="U80" s="59">
        <v>0</v>
      </c>
      <c r="V80" s="59">
        <f>Q80*4.9%</f>
        <v>84.905680999999987</v>
      </c>
      <c r="W80" s="59">
        <f>Q80*1%</f>
        <v>17.327689999999997</v>
      </c>
      <c r="X80" s="59"/>
      <c r="Y80" s="53"/>
      <c r="Z80" s="53"/>
      <c r="AA80" s="56"/>
      <c r="AB80" s="56">
        <v>845</v>
      </c>
      <c r="AC80" s="100">
        <f t="shared" si="26"/>
        <v>785.53562899999974</v>
      </c>
      <c r="AD80" s="53">
        <f t="shared" si="27"/>
        <v>0</v>
      </c>
      <c r="AE80" s="100">
        <f t="shared" si="28"/>
        <v>785.53562899999974</v>
      </c>
      <c r="AF80" s="53">
        <f t="shared" si="29"/>
        <v>173.27689999999998</v>
      </c>
      <c r="AG80" s="53">
        <v>10.23</v>
      </c>
      <c r="AH80" s="53">
        <f t="shared" si="30"/>
        <v>84.905680999999987</v>
      </c>
      <c r="AI80" s="100">
        <f t="shared" si="31"/>
        <v>2001.1815809999998</v>
      </c>
      <c r="AJ80" s="110"/>
      <c r="AK80" s="110"/>
      <c r="AL80" s="101">
        <f t="shared" si="33"/>
        <v>-785.53562899999974</v>
      </c>
      <c r="AM80" s="56"/>
      <c r="AN80" s="56"/>
    </row>
    <row r="81" spans="1:40" s="28" customFormat="1">
      <c r="A81" s="56" t="s">
        <v>81</v>
      </c>
      <c r="B81" s="56" t="s">
        <v>192</v>
      </c>
      <c r="C81" s="56"/>
      <c r="D81" s="56" t="s">
        <v>86</v>
      </c>
      <c r="E81" s="56" t="s">
        <v>69</v>
      </c>
      <c r="F81" s="106">
        <v>42065</v>
      </c>
      <c r="G81" s="56"/>
      <c r="H81" s="56"/>
      <c r="I81" s="59">
        <v>1166.26</v>
      </c>
      <c r="J81" s="114"/>
      <c r="K81" s="59">
        <f t="shared" si="34"/>
        <v>1166.26</v>
      </c>
      <c r="L81" s="59">
        <v>4308.92</v>
      </c>
      <c r="M81" s="59"/>
      <c r="N81" s="59"/>
      <c r="O81" s="59"/>
      <c r="P81" s="88"/>
      <c r="Q81" s="100">
        <f t="shared" si="25"/>
        <v>5475.18</v>
      </c>
      <c r="R81" s="59"/>
      <c r="S81" s="59"/>
      <c r="T81" s="59"/>
      <c r="U81" s="59">
        <v>0</v>
      </c>
      <c r="V81" s="59"/>
      <c r="W81" s="59"/>
      <c r="X81" s="59"/>
      <c r="Y81" s="53"/>
      <c r="Z81" s="53"/>
      <c r="AA81" s="56"/>
      <c r="AB81" s="56">
        <v>0</v>
      </c>
      <c r="AC81" s="100">
        <f t="shared" si="26"/>
        <v>5475.18</v>
      </c>
      <c r="AD81" s="53">
        <f t="shared" si="27"/>
        <v>547.51800000000003</v>
      </c>
      <c r="AE81" s="100">
        <f t="shared" si="28"/>
        <v>4927.6620000000003</v>
      </c>
      <c r="AF81" s="53">
        <f t="shared" si="29"/>
        <v>0</v>
      </c>
      <c r="AG81" s="53">
        <v>10.23</v>
      </c>
      <c r="AH81" s="53">
        <f t="shared" si="30"/>
        <v>0</v>
      </c>
      <c r="AI81" s="100">
        <f t="shared" si="31"/>
        <v>5485.41</v>
      </c>
      <c r="AJ81" s="110"/>
      <c r="AK81" s="111"/>
      <c r="AL81" s="101">
        <f t="shared" si="33"/>
        <v>-4927.6620000000003</v>
      </c>
      <c r="AM81" s="56"/>
      <c r="AN81" s="56"/>
    </row>
    <row r="82" spans="1:40" s="28" customFormat="1">
      <c r="A82" s="56" t="s">
        <v>68</v>
      </c>
      <c r="B82" s="56" t="s">
        <v>79</v>
      </c>
      <c r="C82" s="56" t="s">
        <v>199</v>
      </c>
      <c r="D82" s="56" t="s">
        <v>137</v>
      </c>
      <c r="E82" s="56" t="s">
        <v>70</v>
      </c>
      <c r="F82" s="106">
        <v>41218</v>
      </c>
      <c r="G82" s="56"/>
      <c r="H82" s="56"/>
      <c r="I82" s="59">
        <v>513.33000000000004</v>
      </c>
      <c r="J82" s="114"/>
      <c r="K82" s="59">
        <f t="shared" si="34"/>
        <v>513.33000000000004</v>
      </c>
      <c r="L82" s="59"/>
      <c r="M82" s="59"/>
      <c r="N82" s="59"/>
      <c r="O82" s="59"/>
      <c r="P82" s="88"/>
      <c r="Q82" s="100">
        <f t="shared" si="25"/>
        <v>513.33000000000004</v>
      </c>
      <c r="R82" s="59"/>
      <c r="S82" s="59"/>
      <c r="T82" s="59">
        <v>58.91</v>
      </c>
      <c r="U82" s="59">
        <v>0</v>
      </c>
      <c r="V82" s="59"/>
      <c r="W82" s="59"/>
      <c r="X82" s="59"/>
      <c r="Y82" s="53"/>
      <c r="Z82" s="53"/>
      <c r="AA82" s="56"/>
      <c r="AB82" s="56">
        <v>0</v>
      </c>
      <c r="AC82" s="100">
        <f t="shared" si="26"/>
        <v>454.42000000000007</v>
      </c>
      <c r="AD82" s="53">
        <f t="shared" si="27"/>
        <v>0</v>
      </c>
      <c r="AE82" s="100">
        <f t="shared" si="28"/>
        <v>454.42000000000007</v>
      </c>
      <c r="AF82" s="53">
        <f t="shared" si="29"/>
        <v>51.333000000000006</v>
      </c>
      <c r="AG82" s="53">
        <v>10.23</v>
      </c>
      <c r="AH82" s="53">
        <f t="shared" si="30"/>
        <v>0</v>
      </c>
      <c r="AI82" s="100">
        <f t="shared" si="31"/>
        <v>574.89300000000003</v>
      </c>
      <c r="AJ82" s="110"/>
      <c r="AK82" s="111"/>
      <c r="AL82" s="101">
        <f t="shared" si="33"/>
        <v>-454.42000000000007</v>
      </c>
      <c r="AM82" s="56"/>
      <c r="AN82" s="56"/>
    </row>
    <row r="83" spans="1:40" s="28" customFormat="1">
      <c r="A83" s="56" t="s">
        <v>84</v>
      </c>
      <c r="B83" s="56" t="s">
        <v>247</v>
      </c>
      <c r="C83" s="56"/>
      <c r="D83" s="56" t="s">
        <v>122</v>
      </c>
      <c r="E83" s="56" t="s">
        <v>158</v>
      </c>
      <c r="F83" s="106">
        <v>41703</v>
      </c>
      <c r="G83" s="56"/>
      <c r="H83" s="56"/>
      <c r="I83" s="59">
        <v>556.78</v>
      </c>
      <c r="J83" s="114"/>
      <c r="K83" s="59">
        <f t="shared" si="34"/>
        <v>556.78</v>
      </c>
      <c r="L83" s="59">
        <v>1068.085</v>
      </c>
      <c r="M83" s="59"/>
      <c r="N83" s="59"/>
      <c r="O83" s="59"/>
      <c r="P83" s="88"/>
      <c r="Q83" s="100">
        <f t="shared" si="25"/>
        <v>1624.865</v>
      </c>
      <c r="R83" s="59"/>
      <c r="S83" s="59"/>
      <c r="T83" s="59"/>
      <c r="U83" s="59">
        <v>0</v>
      </c>
      <c r="V83" s="59">
        <f>Q83*4.9%</f>
        <v>79.618385000000004</v>
      </c>
      <c r="W83" s="59">
        <f>Q83*1%</f>
        <v>16.248650000000001</v>
      </c>
      <c r="X83" s="59"/>
      <c r="Y83" s="53"/>
      <c r="Z83" s="53"/>
      <c r="AA83" s="56"/>
      <c r="AB83" s="56">
        <v>0</v>
      </c>
      <c r="AC83" s="100">
        <f t="shared" si="26"/>
        <v>1528.997965</v>
      </c>
      <c r="AD83" s="53">
        <f t="shared" si="27"/>
        <v>0</v>
      </c>
      <c r="AE83" s="100">
        <f t="shared" si="28"/>
        <v>1528.997965</v>
      </c>
      <c r="AF83" s="53">
        <f t="shared" si="29"/>
        <v>162.48650000000001</v>
      </c>
      <c r="AG83" s="53">
        <v>10.23</v>
      </c>
      <c r="AH83" s="53">
        <f t="shared" si="30"/>
        <v>79.618385000000004</v>
      </c>
      <c r="AI83" s="100">
        <f t="shared" si="31"/>
        <v>1877.199885</v>
      </c>
      <c r="AJ83" s="110"/>
      <c r="AK83" s="110"/>
      <c r="AL83" s="101">
        <f t="shared" si="33"/>
        <v>-1528.997965</v>
      </c>
      <c r="AM83" s="56"/>
      <c r="AN83" s="56"/>
    </row>
    <row r="84" spans="1:40" s="28" customFormat="1">
      <c r="A84" s="56" t="s">
        <v>84</v>
      </c>
      <c r="B84" s="56" t="s">
        <v>164</v>
      </c>
      <c r="C84" s="56"/>
      <c r="D84" s="56" t="s">
        <v>123</v>
      </c>
      <c r="E84" s="56" t="s">
        <v>156</v>
      </c>
      <c r="F84" s="106">
        <v>41291</v>
      </c>
      <c r="G84" s="56"/>
      <c r="H84" s="56"/>
      <c r="I84" s="59">
        <v>623.36</v>
      </c>
      <c r="J84" s="114"/>
      <c r="K84" s="59">
        <f t="shared" si="34"/>
        <v>623.36</v>
      </c>
      <c r="L84" s="59">
        <f>2616.705+5.571</f>
        <v>2622.2759999999998</v>
      </c>
      <c r="M84" s="59"/>
      <c r="N84" s="59"/>
      <c r="O84" s="59"/>
      <c r="P84" s="88"/>
      <c r="Q84" s="100">
        <f t="shared" si="25"/>
        <v>3245.636</v>
      </c>
      <c r="R84" s="59"/>
      <c r="S84" s="59"/>
      <c r="T84" s="59"/>
      <c r="U84" s="59">
        <v>200</v>
      </c>
      <c r="V84" s="59">
        <f>Q84*4.9%</f>
        <v>159.03616400000001</v>
      </c>
      <c r="W84" s="59">
        <f>Q84*1%</f>
        <v>32.456360000000004</v>
      </c>
      <c r="X84" s="59">
        <v>257.64</v>
      </c>
      <c r="Y84" s="53"/>
      <c r="Z84" s="53"/>
      <c r="AA84" s="56">
        <v>201.24</v>
      </c>
      <c r="AB84" s="56">
        <v>0</v>
      </c>
      <c r="AC84" s="100">
        <f t="shared" si="26"/>
        <v>2395.2634760000001</v>
      </c>
      <c r="AD84" s="53">
        <f t="shared" si="27"/>
        <v>324.56360000000001</v>
      </c>
      <c r="AE84" s="100">
        <f t="shared" si="28"/>
        <v>2070.6998760000001</v>
      </c>
      <c r="AF84" s="53">
        <f t="shared" si="29"/>
        <v>0</v>
      </c>
      <c r="AG84" s="53">
        <v>10.23</v>
      </c>
      <c r="AH84" s="53">
        <f t="shared" si="30"/>
        <v>159.03616400000001</v>
      </c>
      <c r="AI84" s="100">
        <f t="shared" si="31"/>
        <v>3414.9021640000001</v>
      </c>
      <c r="AJ84" s="110"/>
      <c r="AK84" s="110"/>
      <c r="AL84" s="101">
        <f t="shared" si="33"/>
        <v>-2070.6998760000001</v>
      </c>
      <c r="AM84" s="56"/>
      <c r="AN84" s="60"/>
    </row>
    <row r="85" spans="1:40" s="28" customFormat="1">
      <c r="A85" s="56" t="s">
        <v>82</v>
      </c>
      <c r="B85" s="56" t="s">
        <v>176</v>
      </c>
      <c r="C85" s="56"/>
      <c r="D85" s="56" t="s">
        <v>93</v>
      </c>
      <c r="E85" s="56" t="s">
        <v>144</v>
      </c>
      <c r="F85" s="106">
        <v>41666</v>
      </c>
      <c r="G85" s="56"/>
      <c r="H85" s="56"/>
      <c r="I85" s="59">
        <v>739.23</v>
      </c>
      <c r="J85" s="114"/>
      <c r="K85" s="59">
        <f t="shared" si="34"/>
        <v>739.23</v>
      </c>
      <c r="L85" s="59">
        <f>1959.78+7.428</f>
        <v>1967.2080000000001</v>
      </c>
      <c r="M85" s="59"/>
      <c r="N85" s="59"/>
      <c r="O85" s="59"/>
      <c r="P85" s="88"/>
      <c r="Q85" s="100">
        <f t="shared" si="25"/>
        <v>2706.4380000000001</v>
      </c>
      <c r="R85" s="59"/>
      <c r="S85" s="59"/>
      <c r="T85" s="59"/>
      <c r="U85" s="59">
        <v>150</v>
      </c>
      <c r="V85" s="59"/>
      <c r="W85" s="59"/>
      <c r="X85" s="59"/>
      <c r="Y85" s="53"/>
      <c r="Z85" s="53"/>
      <c r="AA85" s="56"/>
      <c r="AB85" s="56">
        <v>0</v>
      </c>
      <c r="AC85" s="100">
        <f t="shared" si="26"/>
        <v>2556.4380000000001</v>
      </c>
      <c r="AD85" s="53">
        <f t="shared" si="27"/>
        <v>270.6438</v>
      </c>
      <c r="AE85" s="100">
        <f t="shared" si="28"/>
        <v>2285.7942000000003</v>
      </c>
      <c r="AF85" s="53">
        <f t="shared" si="29"/>
        <v>0</v>
      </c>
      <c r="AG85" s="53">
        <v>10.23</v>
      </c>
      <c r="AH85" s="53">
        <f t="shared" si="30"/>
        <v>0</v>
      </c>
      <c r="AI85" s="100">
        <f t="shared" si="31"/>
        <v>2716.6680000000001</v>
      </c>
      <c r="AJ85" s="110"/>
      <c r="AK85" s="111"/>
      <c r="AL85" s="101">
        <f t="shared" si="33"/>
        <v>-2285.7942000000003</v>
      </c>
      <c r="AM85" s="56"/>
      <c r="AN85" s="56"/>
    </row>
    <row r="86" spans="1:40" s="28" customFormat="1">
      <c r="A86" s="56" t="s">
        <v>83</v>
      </c>
      <c r="B86" s="56" t="s">
        <v>230</v>
      </c>
      <c r="C86" s="56"/>
      <c r="D86" s="56" t="s">
        <v>102</v>
      </c>
      <c r="E86" s="56" t="s">
        <v>149</v>
      </c>
      <c r="F86" s="106">
        <v>42333</v>
      </c>
      <c r="G86" s="56"/>
      <c r="H86" s="56"/>
      <c r="I86" s="59">
        <v>577.38</v>
      </c>
      <c r="J86" s="114">
        <v>939.29</v>
      </c>
      <c r="K86" s="59">
        <f t="shared" si="34"/>
        <v>1516.67</v>
      </c>
      <c r="L86" s="59">
        <v>200</v>
      </c>
      <c r="M86" s="59"/>
      <c r="N86" s="59"/>
      <c r="O86" s="59"/>
      <c r="P86" s="88"/>
      <c r="Q86" s="100">
        <f t="shared" si="25"/>
        <v>1716.67</v>
      </c>
      <c r="R86" s="59"/>
      <c r="S86" s="59"/>
      <c r="T86" s="59"/>
      <c r="U86" s="59">
        <v>0</v>
      </c>
      <c r="V86" s="59"/>
      <c r="W86" s="59"/>
      <c r="X86" s="59"/>
      <c r="Y86" s="53"/>
      <c r="Z86" s="53"/>
      <c r="AA86" s="56"/>
      <c r="AB86" s="56">
        <v>351.55</v>
      </c>
      <c r="AC86" s="100">
        <f t="shared" si="26"/>
        <v>1365.1200000000001</v>
      </c>
      <c r="AD86" s="53">
        <f t="shared" si="27"/>
        <v>0</v>
      </c>
      <c r="AE86" s="100">
        <f t="shared" si="28"/>
        <v>1365.1200000000001</v>
      </c>
      <c r="AF86" s="53">
        <f t="shared" si="29"/>
        <v>171.66700000000003</v>
      </c>
      <c r="AG86" s="53">
        <v>10.23</v>
      </c>
      <c r="AH86" s="53">
        <f t="shared" si="30"/>
        <v>0</v>
      </c>
      <c r="AI86" s="100">
        <f t="shared" si="31"/>
        <v>1898.567</v>
      </c>
      <c r="AJ86" s="110"/>
      <c r="AK86" s="111"/>
      <c r="AL86" s="101">
        <f t="shared" si="33"/>
        <v>-1365.1200000000001</v>
      </c>
      <c r="AM86" s="56"/>
      <c r="AN86" s="56"/>
    </row>
    <row r="87" spans="1:40" s="28" customFormat="1">
      <c r="A87" s="56" t="s">
        <v>68</v>
      </c>
      <c r="B87" s="56" t="s">
        <v>289</v>
      </c>
      <c r="C87" s="56"/>
      <c r="D87" s="56"/>
      <c r="E87" s="56" t="s">
        <v>70</v>
      </c>
      <c r="F87" s="106">
        <v>42459</v>
      </c>
      <c r="G87" s="56"/>
      <c r="H87" s="56"/>
      <c r="I87" s="59">
        <v>513.33000000000004</v>
      </c>
      <c r="J87" s="114"/>
      <c r="K87" s="59">
        <f t="shared" si="34"/>
        <v>513.33000000000004</v>
      </c>
      <c r="L87" s="59">
        <v>12119.62</v>
      </c>
      <c r="M87" s="59"/>
      <c r="N87" s="59"/>
      <c r="O87" s="59"/>
      <c r="P87" s="88"/>
      <c r="Q87" s="100">
        <f t="shared" si="25"/>
        <v>12632.95</v>
      </c>
      <c r="R87" s="59"/>
      <c r="S87" s="59"/>
      <c r="T87" s="59"/>
      <c r="U87" s="59">
        <v>0</v>
      </c>
      <c r="V87" s="59"/>
      <c r="W87" s="59"/>
      <c r="X87" s="59"/>
      <c r="Y87" s="53"/>
      <c r="Z87" s="53"/>
      <c r="AA87" s="56"/>
      <c r="AB87" s="56"/>
      <c r="AC87" s="100">
        <f t="shared" si="26"/>
        <v>12632.95</v>
      </c>
      <c r="AD87" s="53">
        <f t="shared" si="27"/>
        <v>1263.2950000000001</v>
      </c>
      <c r="AE87" s="100">
        <f t="shared" si="28"/>
        <v>11369.655000000001</v>
      </c>
      <c r="AF87" s="53">
        <f t="shared" si="29"/>
        <v>0</v>
      </c>
      <c r="AG87" s="53">
        <v>10.23</v>
      </c>
      <c r="AH87" s="53">
        <f t="shared" si="30"/>
        <v>0</v>
      </c>
      <c r="AI87" s="100">
        <f t="shared" si="31"/>
        <v>12643.18</v>
      </c>
      <c r="AJ87" s="125"/>
      <c r="AK87" s="111"/>
      <c r="AL87" s="101">
        <f t="shared" si="33"/>
        <v>-11369.655000000001</v>
      </c>
      <c r="AM87" s="56"/>
      <c r="AN87" s="60"/>
    </row>
    <row r="88" spans="1:40" s="28" customFormat="1">
      <c r="A88" s="56" t="s">
        <v>66</v>
      </c>
      <c r="B88" s="56" t="s">
        <v>277</v>
      </c>
      <c r="C88" s="56"/>
      <c r="D88" s="56"/>
      <c r="E88" s="56" t="s">
        <v>148</v>
      </c>
      <c r="F88" s="106">
        <v>42566</v>
      </c>
      <c r="G88" s="56"/>
      <c r="H88" s="56"/>
      <c r="I88" s="59">
        <v>513.33000000000004</v>
      </c>
      <c r="J88" s="114">
        <v>420</v>
      </c>
      <c r="K88" s="59">
        <f t="shared" ref="K88:K98" si="35">+I88+J88</f>
        <v>933.33</v>
      </c>
      <c r="L88" s="59"/>
      <c r="M88" s="59"/>
      <c r="N88" s="59"/>
      <c r="O88" s="59"/>
      <c r="P88" s="88"/>
      <c r="Q88" s="100">
        <f t="shared" si="25"/>
        <v>933.33</v>
      </c>
      <c r="R88" s="59"/>
      <c r="S88" s="59"/>
      <c r="T88" s="59"/>
      <c r="U88" s="59"/>
      <c r="V88" s="59"/>
      <c r="W88" s="59"/>
      <c r="X88" s="59"/>
      <c r="Y88" s="53"/>
      <c r="Z88" s="53"/>
      <c r="AA88" s="56"/>
      <c r="AB88" s="56"/>
      <c r="AC88" s="100">
        <f t="shared" si="26"/>
        <v>933.33</v>
      </c>
      <c r="AD88" s="53">
        <f t="shared" si="27"/>
        <v>0</v>
      </c>
      <c r="AE88" s="100">
        <f t="shared" si="28"/>
        <v>933.33</v>
      </c>
      <c r="AF88" s="53">
        <f t="shared" si="29"/>
        <v>93.333000000000013</v>
      </c>
      <c r="AG88" s="53">
        <v>21.23</v>
      </c>
      <c r="AH88" s="53">
        <f t="shared" si="30"/>
        <v>0</v>
      </c>
      <c r="AI88" s="100">
        <f t="shared" si="31"/>
        <v>1047.893</v>
      </c>
      <c r="AJ88" s="125"/>
      <c r="AK88" s="111"/>
      <c r="AL88" s="101"/>
      <c r="AM88" s="56">
        <v>2671903578</v>
      </c>
      <c r="AN88" s="60" t="s">
        <v>278</v>
      </c>
    </row>
    <row r="89" spans="1:40" s="28" customFormat="1">
      <c r="A89" s="56" t="s">
        <v>82</v>
      </c>
      <c r="B89" s="56" t="s">
        <v>217</v>
      </c>
      <c r="C89" s="56"/>
      <c r="D89" s="56" t="s">
        <v>92</v>
      </c>
      <c r="E89" s="56" t="s">
        <v>142</v>
      </c>
      <c r="F89" s="106">
        <v>42346</v>
      </c>
      <c r="G89" s="56"/>
      <c r="H89" s="56"/>
      <c r="I89" s="122">
        <v>739.23</v>
      </c>
      <c r="J89" s="114"/>
      <c r="K89" s="59">
        <f t="shared" si="35"/>
        <v>739.23</v>
      </c>
      <c r="L89" s="59">
        <v>2.972</v>
      </c>
      <c r="M89" s="59"/>
      <c r="N89" s="59"/>
      <c r="O89" s="59"/>
      <c r="P89" s="88"/>
      <c r="Q89" s="100">
        <f t="shared" si="25"/>
        <v>742.202</v>
      </c>
      <c r="R89" s="59"/>
      <c r="S89" s="59">
        <v>422.4</v>
      </c>
      <c r="T89" s="59"/>
      <c r="U89" s="59">
        <v>0</v>
      </c>
      <c r="V89" s="59"/>
      <c r="W89" s="59"/>
      <c r="X89" s="59"/>
      <c r="Y89" s="53"/>
      <c r="Z89" s="53"/>
      <c r="AA89" s="56"/>
      <c r="AB89" s="56">
        <v>0</v>
      </c>
      <c r="AC89" s="100">
        <f t="shared" si="26"/>
        <v>319.80200000000002</v>
      </c>
      <c r="AD89" s="53">
        <f t="shared" si="27"/>
        <v>0</v>
      </c>
      <c r="AE89" s="100">
        <f t="shared" si="28"/>
        <v>319.80200000000002</v>
      </c>
      <c r="AF89" s="53">
        <f t="shared" si="29"/>
        <v>74.220200000000006</v>
      </c>
      <c r="AG89" s="53">
        <v>10.23</v>
      </c>
      <c r="AH89" s="53">
        <f t="shared" si="30"/>
        <v>0</v>
      </c>
      <c r="AI89" s="100">
        <f t="shared" si="31"/>
        <v>826.65219999999999</v>
      </c>
      <c r="AJ89" s="110"/>
      <c r="AK89" s="111"/>
      <c r="AL89" s="101">
        <f t="shared" ref="AL89:AL99" si="36">+AJ89+AK89-AE89</f>
        <v>-319.80200000000002</v>
      </c>
      <c r="AM89" s="56"/>
      <c r="AN89" s="60"/>
    </row>
    <row r="90" spans="1:40" s="28" customFormat="1">
      <c r="A90" s="56" t="s">
        <v>82</v>
      </c>
      <c r="B90" s="56" t="s">
        <v>75</v>
      </c>
      <c r="C90" s="56"/>
      <c r="D90" s="56" t="s">
        <v>94</v>
      </c>
      <c r="E90" s="56" t="s">
        <v>145</v>
      </c>
      <c r="F90" s="106">
        <v>42100</v>
      </c>
      <c r="G90" s="56"/>
      <c r="H90" s="56"/>
      <c r="I90" s="122">
        <v>739.23</v>
      </c>
      <c r="J90" s="114"/>
      <c r="K90" s="59">
        <f t="shared" si="35"/>
        <v>739.23</v>
      </c>
      <c r="L90" s="59">
        <f>1938.863+13.099</f>
        <v>1951.962</v>
      </c>
      <c r="M90" s="59"/>
      <c r="N90" s="59"/>
      <c r="O90" s="59"/>
      <c r="P90" s="88"/>
      <c r="Q90" s="100">
        <f t="shared" si="25"/>
        <v>2691.192</v>
      </c>
      <c r="R90" s="59"/>
      <c r="S90" s="59">
        <v>105.6</v>
      </c>
      <c r="T90" s="59"/>
      <c r="U90" s="59">
        <v>0</v>
      </c>
      <c r="V90" s="59"/>
      <c r="W90" s="59"/>
      <c r="X90" s="59"/>
      <c r="Y90" s="53"/>
      <c r="Z90" s="53"/>
      <c r="AA90" s="56"/>
      <c r="AB90" s="56">
        <v>0</v>
      </c>
      <c r="AC90" s="100">
        <f t="shared" si="26"/>
        <v>2585.5920000000001</v>
      </c>
      <c r="AD90" s="53">
        <f t="shared" si="27"/>
        <v>269.11920000000003</v>
      </c>
      <c r="AE90" s="100">
        <f t="shared" si="28"/>
        <v>2316.4728</v>
      </c>
      <c r="AF90" s="53">
        <f t="shared" si="29"/>
        <v>0</v>
      </c>
      <c r="AG90" s="53">
        <v>10.23</v>
      </c>
      <c r="AH90" s="53">
        <f t="shared" si="30"/>
        <v>0</v>
      </c>
      <c r="AI90" s="100">
        <f t="shared" si="31"/>
        <v>2701.422</v>
      </c>
      <c r="AJ90" s="110"/>
      <c r="AK90" s="111"/>
      <c r="AL90" s="101">
        <f t="shared" si="36"/>
        <v>-2316.4728</v>
      </c>
      <c r="AM90" s="56"/>
      <c r="AN90" s="60"/>
    </row>
    <row r="91" spans="1:40" s="28" customFormat="1">
      <c r="A91" s="56" t="s">
        <v>81</v>
      </c>
      <c r="B91" s="56" t="s">
        <v>193</v>
      </c>
      <c r="C91" s="56"/>
      <c r="D91" s="62"/>
      <c r="E91" s="56" t="s">
        <v>194</v>
      </c>
      <c r="F91" s="106">
        <v>42328</v>
      </c>
      <c r="G91" s="56"/>
      <c r="H91" s="56"/>
      <c r="I91" s="122">
        <v>1166.26</v>
      </c>
      <c r="J91" s="114"/>
      <c r="K91" s="59">
        <f t="shared" si="35"/>
        <v>1166.26</v>
      </c>
      <c r="L91" s="59">
        <v>3268.2</v>
      </c>
      <c r="M91" s="59"/>
      <c r="N91" s="59"/>
      <c r="O91" s="59"/>
      <c r="P91" s="88"/>
      <c r="Q91" s="100">
        <f t="shared" si="25"/>
        <v>4434.46</v>
      </c>
      <c r="R91" s="59"/>
      <c r="S91" s="59">
        <v>63</v>
      </c>
      <c r="T91" s="59"/>
      <c r="U91" s="59">
        <v>0</v>
      </c>
      <c r="V91" s="59"/>
      <c r="W91" s="59"/>
      <c r="X91" s="59"/>
      <c r="Y91" s="53"/>
      <c r="Z91" s="53"/>
      <c r="AA91" s="56"/>
      <c r="AB91" s="56">
        <v>0</v>
      </c>
      <c r="AC91" s="100">
        <f t="shared" si="26"/>
        <v>4371.46</v>
      </c>
      <c r="AD91" s="53">
        <f t="shared" si="27"/>
        <v>443.44600000000003</v>
      </c>
      <c r="AE91" s="100">
        <f t="shared" si="28"/>
        <v>3928.0140000000001</v>
      </c>
      <c r="AF91" s="53">
        <f t="shared" si="29"/>
        <v>0</v>
      </c>
      <c r="AG91" s="53">
        <v>10.23</v>
      </c>
      <c r="AH91" s="53">
        <f t="shared" si="30"/>
        <v>0</v>
      </c>
      <c r="AI91" s="100">
        <f t="shared" si="31"/>
        <v>4444.6899999999996</v>
      </c>
      <c r="AJ91" s="110"/>
      <c r="AK91" s="111"/>
      <c r="AL91" s="101">
        <f t="shared" si="36"/>
        <v>-3928.0140000000001</v>
      </c>
      <c r="AM91" s="56"/>
      <c r="AN91" s="60"/>
    </row>
    <row r="92" spans="1:40" s="28" customFormat="1">
      <c r="A92" s="56" t="s">
        <v>68</v>
      </c>
      <c r="B92" s="56" t="s">
        <v>242</v>
      </c>
      <c r="C92" s="56" t="s">
        <v>201</v>
      </c>
      <c r="D92" s="56" t="s">
        <v>138</v>
      </c>
      <c r="E92" s="56" t="s">
        <v>70</v>
      </c>
      <c r="F92" s="106">
        <v>42327</v>
      </c>
      <c r="G92" s="56"/>
      <c r="H92" s="56"/>
      <c r="I92" s="59">
        <v>513.33000000000004</v>
      </c>
      <c r="J92" s="114"/>
      <c r="K92" s="59">
        <f t="shared" si="35"/>
        <v>513.33000000000004</v>
      </c>
      <c r="L92" s="59">
        <f>1239.72+1000+1000</f>
        <v>3239.7200000000003</v>
      </c>
      <c r="M92" s="59"/>
      <c r="N92" s="59"/>
      <c r="O92" s="59"/>
      <c r="P92" s="88"/>
      <c r="Q92" s="100">
        <f t="shared" si="25"/>
        <v>3753.05</v>
      </c>
      <c r="R92" s="59"/>
      <c r="S92" s="59"/>
      <c r="T92" s="59"/>
      <c r="U92" s="59">
        <v>0</v>
      </c>
      <c r="V92" s="59"/>
      <c r="W92" s="59"/>
      <c r="X92" s="59"/>
      <c r="Y92" s="53">
        <v>537.87</v>
      </c>
      <c r="Z92" s="53"/>
      <c r="AA92" s="56"/>
      <c r="AB92" s="131">
        <v>499.12</v>
      </c>
      <c r="AC92" s="100">
        <f t="shared" si="26"/>
        <v>2716.0600000000004</v>
      </c>
      <c r="AD92" s="53">
        <f t="shared" si="27"/>
        <v>375.30500000000006</v>
      </c>
      <c r="AE92" s="100">
        <f t="shared" si="28"/>
        <v>2340.7550000000001</v>
      </c>
      <c r="AF92" s="53">
        <f t="shared" si="29"/>
        <v>0</v>
      </c>
      <c r="AG92" s="53">
        <v>10.23</v>
      </c>
      <c r="AH92" s="53">
        <f t="shared" si="30"/>
        <v>0</v>
      </c>
      <c r="AI92" s="100">
        <f t="shared" si="31"/>
        <v>3763.28</v>
      </c>
      <c r="AJ92" s="110"/>
      <c r="AK92" s="111"/>
      <c r="AL92" s="101">
        <f t="shared" si="36"/>
        <v>-2340.7550000000001</v>
      </c>
      <c r="AM92" s="56"/>
      <c r="AN92" s="60"/>
    </row>
    <row r="93" spans="1:40" s="28" customFormat="1">
      <c r="A93" s="56" t="s">
        <v>67</v>
      </c>
      <c r="B93" s="56" t="s">
        <v>219</v>
      </c>
      <c r="C93" s="56" t="s">
        <v>202</v>
      </c>
      <c r="D93" s="56" t="s">
        <v>107</v>
      </c>
      <c r="E93" s="56" t="s">
        <v>229</v>
      </c>
      <c r="F93" s="106">
        <v>42173</v>
      </c>
      <c r="G93" s="56"/>
      <c r="H93" s="56"/>
      <c r="I93" s="59">
        <v>1633.33</v>
      </c>
      <c r="J93" s="114">
        <v>1500</v>
      </c>
      <c r="K93" s="59">
        <f t="shared" si="35"/>
        <v>3133.33</v>
      </c>
      <c r="L93" s="59">
        <v>5636.73</v>
      </c>
      <c r="M93" s="59"/>
      <c r="N93" s="59"/>
      <c r="O93" s="59"/>
      <c r="P93" s="88"/>
      <c r="Q93" s="100">
        <f t="shared" si="25"/>
        <v>8770.06</v>
      </c>
      <c r="R93" s="59"/>
      <c r="S93" s="59"/>
      <c r="T93" s="59">
        <v>58.91</v>
      </c>
      <c r="U93" s="59">
        <v>0</v>
      </c>
      <c r="V93" s="59"/>
      <c r="W93" s="59"/>
      <c r="X93" s="59"/>
      <c r="Y93" s="53"/>
      <c r="Z93" s="53"/>
      <c r="AA93" s="56"/>
      <c r="AB93" s="56">
        <v>0</v>
      </c>
      <c r="AC93" s="100">
        <f t="shared" si="26"/>
        <v>8711.15</v>
      </c>
      <c r="AD93" s="53">
        <f t="shared" si="27"/>
        <v>877.00599999999997</v>
      </c>
      <c r="AE93" s="100">
        <f t="shared" si="28"/>
        <v>7834.1439999999993</v>
      </c>
      <c r="AF93" s="53">
        <f t="shared" si="29"/>
        <v>0</v>
      </c>
      <c r="AG93" s="53">
        <v>10.23</v>
      </c>
      <c r="AH93" s="53">
        <f t="shared" si="30"/>
        <v>0</v>
      </c>
      <c r="AI93" s="100">
        <f t="shared" si="31"/>
        <v>8780.2899999999991</v>
      </c>
      <c r="AJ93" s="125"/>
      <c r="AK93" s="126"/>
      <c r="AL93" s="101">
        <f t="shared" si="36"/>
        <v>-7834.1439999999993</v>
      </c>
      <c r="AN93" s="56"/>
    </row>
    <row r="94" spans="1:40" s="28" customFormat="1">
      <c r="A94" s="56" t="s">
        <v>68</v>
      </c>
      <c r="B94" s="56" t="s">
        <v>260</v>
      </c>
      <c r="C94" s="56" t="s">
        <v>199</v>
      </c>
      <c r="D94" s="56"/>
      <c r="E94" s="56" t="s">
        <v>70</v>
      </c>
      <c r="F94" s="106">
        <v>42506</v>
      </c>
      <c r="G94" s="56"/>
      <c r="H94" s="56"/>
      <c r="I94" s="59">
        <v>513.33000000000004</v>
      </c>
      <c r="J94" s="114"/>
      <c r="K94" s="59">
        <f t="shared" si="35"/>
        <v>513.33000000000004</v>
      </c>
      <c r="L94" s="59">
        <v>1899.03</v>
      </c>
      <c r="M94" s="59"/>
      <c r="N94" s="59"/>
      <c r="O94" s="59"/>
      <c r="P94" s="88"/>
      <c r="Q94" s="100">
        <f t="shared" si="25"/>
        <v>2412.36</v>
      </c>
      <c r="R94" s="59"/>
      <c r="S94" s="59"/>
      <c r="T94" s="59"/>
      <c r="U94" s="59">
        <v>0</v>
      </c>
      <c r="V94" s="59"/>
      <c r="W94" s="59"/>
      <c r="X94" s="59"/>
      <c r="Y94" s="53"/>
      <c r="Z94" s="53"/>
      <c r="AA94" s="56"/>
      <c r="AB94" s="131">
        <v>0</v>
      </c>
      <c r="AC94" s="100">
        <f t="shared" si="26"/>
        <v>2412.36</v>
      </c>
      <c r="AD94" s="53">
        <f t="shared" si="27"/>
        <v>241.23600000000002</v>
      </c>
      <c r="AE94" s="100">
        <f t="shared" si="28"/>
        <v>2171.1240000000003</v>
      </c>
      <c r="AF94" s="53">
        <f t="shared" si="29"/>
        <v>0</v>
      </c>
      <c r="AG94" s="53">
        <v>10.23</v>
      </c>
      <c r="AH94" s="53">
        <f t="shared" si="30"/>
        <v>0</v>
      </c>
      <c r="AI94" s="100">
        <f t="shared" si="31"/>
        <v>2422.59</v>
      </c>
      <c r="AJ94" s="125"/>
      <c r="AK94" s="125"/>
      <c r="AL94" s="101">
        <f t="shared" si="36"/>
        <v>-2171.1240000000003</v>
      </c>
      <c r="AM94" s="71">
        <v>1179675078</v>
      </c>
      <c r="AN94" s="60"/>
    </row>
    <row r="95" spans="1:40" s="28" customFormat="1">
      <c r="A95" s="56" t="s">
        <v>84</v>
      </c>
      <c r="B95" s="56" t="s">
        <v>290</v>
      </c>
      <c r="C95" s="56"/>
      <c r="D95" s="56" t="s">
        <v>124</v>
      </c>
      <c r="E95" s="56" t="s">
        <v>155</v>
      </c>
      <c r="F95" s="106">
        <v>41227</v>
      </c>
      <c r="G95" s="56"/>
      <c r="H95" s="56"/>
      <c r="I95" s="59">
        <v>623.36</v>
      </c>
      <c r="J95" s="114"/>
      <c r="K95" s="59">
        <f t="shared" si="35"/>
        <v>623.36</v>
      </c>
      <c r="L95" s="59">
        <f>3100.679+3.714</f>
        <v>3104.393</v>
      </c>
      <c r="M95" s="59"/>
      <c r="N95" s="59"/>
      <c r="O95" s="59"/>
      <c r="P95" s="88"/>
      <c r="Q95" s="100">
        <f t="shared" si="25"/>
        <v>3727.7530000000002</v>
      </c>
      <c r="R95" s="59"/>
      <c r="S95" s="59"/>
      <c r="T95" s="59"/>
      <c r="U95" s="59">
        <v>200</v>
      </c>
      <c r="V95" s="59">
        <f>Q95*4.9%</f>
        <v>182.659897</v>
      </c>
      <c r="W95" s="59">
        <f>Q95*1%</f>
        <v>37.277530000000006</v>
      </c>
      <c r="X95" s="59"/>
      <c r="Y95" s="53"/>
      <c r="Z95" s="53"/>
      <c r="AA95" s="56"/>
      <c r="AB95" s="56">
        <v>0</v>
      </c>
      <c r="AC95" s="100">
        <f t="shared" si="26"/>
        <v>3307.8155730000003</v>
      </c>
      <c r="AD95" s="53">
        <f t="shared" si="27"/>
        <v>372.77530000000002</v>
      </c>
      <c r="AE95" s="100">
        <f t="shared" si="28"/>
        <v>2935.0402730000005</v>
      </c>
      <c r="AF95" s="53">
        <f t="shared" si="29"/>
        <v>0</v>
      </c>
      <c r="AG95" s="53">
        <v>10.23</v>
      </c>
      <c r="AH95" s="53">
        <f t="shared" si="30"/>
        <v>182.659897</v>
      </c>
      <c r="AI95" s="100">
        <f t="shared" si="31"/>
        <v>3920.6428970000002</v>
      </c>
      <c r="AJ95" s="110"/>
      <c r="AK95" s="111"/>
      <c r="AL95" s="101">
        <f t="shared" si="36"/>
        <v>-2935.0402730000005</v>
      </c>
      <c r="AM95" s="56"/>
      <c r="AN95" s="56"/>
    </row>
    <row r="96" spans="1:40" s="28" customFormat="1">
      <c r="A96" s="56" t="s">
        <v>81</v>
      </c>
      <c r="B96" s="56" t="s">
        <v>76</v>
      </c>
      <c r="C96" s="56"/>
      <c r="D96" s="56" t="s">
        <v>96</v>
      </c>
      <c r="E96" s="56" t="s">
        <v>147</v>
      </c>
      <c r="F96" s="106">
        <v>42361</v>
      </c>
      <c r="G96" s="56"/>
      <c r="H96" s="56"/>
      <c r="I96" s="59">
        <v>739.23</v>
      </c>
      <c r="J96" s="114"/>
      <c r="K96" s="59">
        <f t="shared" si="35"/>
        <v>739.23</v>
      </c>
      <c r="L96" s="59">
        <f>1907.448+7.428</f>
        <v>1914.8760000000002</v>
      </c>
      <c r="M96" s="59"/>
      <c r="N96" s="59"/>
      <c r="O96" s="59"/>
      <c r="P96" s="88"/>
      <c r="Q96" s="100">
        <f t="shared" si="25"/>
        <v>2654.1060000000002</v>
      </c>
      <c r="R96" s="59"/>
      <c r="S96" s="59"/>
      <c r="T96" s="59"/>
      <c r="U96" s="59">
        <v>0</v>
      </c>
      <c r="V96" s="59"/>
      <c r="W96" s="59"/>
      <c r="X96" s="59"/>
      <c r="Y96" s="53"/>
      <c r="Z96" s="53"/>
      <c r="AA96" s="56"/>
      <c r="AB96" s="56">
        <v>0</v>
      </c>
      <c r="AC96" s="100">
        <f t="shared" si="26"/>
        <v>2654.1060000000002</v>
      </c>
      <c r="AD96" s="53">
        <f t="shared" si="27"/>
        <v>265.41060000000004</v>
      </c>
      <c r="AE96" s="100">
        <f t="shared" si="28"/>
        <v>2388.6954000000001</v>
      </c>
      <c r="AF96" s="53">
        <f t="shared" si="29"/>
        <v>0</v>
      </c>
      <c r="AG96" s="53">
        <v>10.23</v>
      </c>
      <c r="AH96" s="53">
        <f t="shared" si="30"/>
        <v>0</v>
      </c>
      <c r="AI96" s="100">
        <f t="shared" si="31"/>
        <v>2664.3360000000002</v>
      </c>
      <c r="AJ96" s="110"/>
      <c r="AK96" s="125"/>
      <c r="AL96" s="101">
        <f t="shared" si="36"/>
        <v>-2388.6954000000001</v>
      </c>
      <c r="AM96" s="56"/>
      <c r="AN96" s="56"/>
    </row>
    <row r="97" spans="1:194" s="28" customFormat="1">
      <c r="A97" s="56" t="s">
        <v>68</v>
      </c>
      <c r="B97" s="56" t="s">
        <v>80</v>
      </c>
      <c r="C97" s="56" t="s">
        <v>204</v>
      </c>
      <c r="D97" s="56" t="s">
        <v>139</v>
      </c>
      <c r="E97" s="56" t="s">
        <v>70</v>
      </c>
      <c r="F97" s="106">
        <v>42333</v>
      </c>
      <c r="G97" s="56"/>
      <c r="H97" s="56"/>
      <c r="I97" s="59">
        <v>513.33000000000004</v>
      </c>
      <c r="J97" s="114"/>
      <c r="K97" s="59">
        <f t="shared" si="35"/>
        <v>513.33000000000004</v>
      </c>
      <c r="L97" s="59"/>
      <c r="M97" s="59"/>
      <c r="N97" s="59"/>
      <c r="O97" s="59"/>
      <c r="P97" s="88"/>
      <c r="Q97" s="100">
        <f t="shared" si="25"/>
        <v>513.33000000000004</v>
      </c>
      <c r="R97" s="59"/>
      <c r="S97" s="59"/>
      <c r="T97" s="59"/>
      <c r="U97" s="59">
        <v>0</v>
      </c>
      <c r="V97" s="59"/>
      <c r="W97" s="59"/>
      <c r="X97" s="59"/>
      <c r="Y97" s="53"/>
      <c r="Z97" s="53"/>
      <c r="AA97" s="56"/>
      <c r="AB97" s="56">
        <v>0</v>
      </c>
      <c r="AC97" s="100">
        <f t="shared" si="26"/>
        <v>513.33000000000004</v>
      </c>
      <c r="AD97" s="53">
        <f t="shared" si="27"/>
        <v>0</v>
      </c>
      <c r="AE97" s="100">
        <f t="shared" si="28"/>
        <v>513.33000000000004</v>
      </c>
      <c r="AF97" s="53">
        <f t="shared" si="29"/>
        <v>51.333000000000006</v>
      </c>
      <c r="AG97" s="53">
        <v>10.23</v>
      </c>
      <c r="AH97" s="53">
        <f t="shared" si="30"/>
        <v>0</v>
      </c>
      <c r="AI97" s="100">
        <f t="shared" si="31"/>
        <v>574.89300000000003</v>
      </c>
      <c r="AJ97" s="110"/>
      <c r="AK97" s="126"/>
      <c r="AL97" s="101">
        <f t="shared" si="36"/>
        <v>-513.33000000000004</v>
      </c>
      <c r="AM97" s="56"/>
      <c r="AN97" s="56"/>
    </row>
    <row r="98" spans="1:194" s="28" customFormat="1">
      <c r="A98" s="56" t="s">
        <v>82</v>
      </c>
      <c r="B98" s="56" t="s">
        <v>175</v>
      </c>
      <c r="C98" s="56"/>
      <c r="D98" s="56" t="s">
        <v>95</v>
      </c>
      <c r="E98" s="56" t="s">
        <v>145</v>
      </c>
      <c r="F98" s="106">
        <v>41549</v>
      </c>
      <c r="G98" s="56"/>
      <c r="H98" s="56"/>
      <c r="I98" s="59">
        <v>739.23</v>
      </c>
      <c r="J98" s="114"/>
      <c r="K98" s="59">
        <f t="shared" si="35"/>
        <v>739.23</v>
      </c>
      <c r="L98" s="59">
        <f>2842.487+13.099</f>
        <v>2855.5860000000002</v>
      </c>
      <c r="M98" s="59"/>
      <c r="N98" s="59"/>
      <c r="O98" s="59"/>
      <c r="P98" s="88"/>
      <c r="Q98" s="100">
        <f t="shared" si="25"/>
        <v>3594.8160000000003</v>
      </c>
      <c r="R98" s="59"/>
      <c r="S98" s="59"/>
      <c r="T98" s="59"/>
      <c r="U98" s="59">
        <v>0</v>
      </c>
      <c r="V98" s="59"/>
      <c r="W98" s="59"/>
      <c r="X98" s="59"/>
      <c r="Y98" s="53"/>
      <c r="Z98" s="53"/>
      <c r="AA98" s="56"/>
      <c r="AB98" s="56">
        <v>0</v>
      </c>
      <c r="AC98" s="100">
        <f t="shared" si="26"/>
        <v>3594.8160000000003</v>
      </c>
      <c r="AD98" s="53">
        <f t="shared" si="27"/>
        <v>359.48160000000007</v>
      </c>
      <c r="AE98" s="100">
        <f t="shared" si="28"/>
        <v>3235.3344000000002</v>
      </c>
      <c r="AF98" s="53">
        <f t="shared" si="29"/>
        <v>0</v>
      </c>
      <c r="AG98" s="53">
        <v>10.23</v>
      </c>
      <c r="AH98" s="53">
        <f t="shared" si="30"/>
        <v>0</v>
      </c>
      <c r="AI98" s="100">
        <f t="shared" si="31"/>
        <v>3605.0460000000003</v>
      </c>
      <c r="AJ98" s="110"/>
      <c r="AK98" s="111"/>
      <c r="AL98" s="101">
        <f t="shared" si="36"/>
        <v>-3235.3344000000002</v>
      </c>
      <c r="AM98" s="56"/>
      <c r="AN98" s="56"/>
    </row>
    <row r="99" spans="1:194" s="28" customFormat="1">
      <c r="A99" s="60"/>
      <c r="B99" s="56"/>
      <c r="C99" s="56"/>
      <c r="D99" s="56"/>
      <c r="E99" s="56"/>
      <c r="F99" s="56"/>
      <c r="G99" s="56"/>
      <c r="H99" s="56"/>
      <c r="I99" s="59"/>
      <c r="J99" s="114"/>
      <c r="K99" s="59"/>
      <c r="L99" s="59"/>
      <c r="M99" s="59"/>
      <c r="N99" s="59"/>
      <c r="O99" s="59"/>
      <c r="P99" s="88"/>
      <c r="Q99" s="100">
        <f t="shared" si="25"/>
        <v>0</v>
      </c>
      <c r="R99" s="59"/>
      <c r="S99" s="59"/>
      <c r="T99" s="59"/>
      <c r="U99" s="59"/>
      <c r="V99" s="59"/>
      <c r="W99" s="59"/>
      <c r="X99" s="59"/>
      <c r="Y99" s="53"/>
      <c r="Z99" s="53"/>
      <c r="AA99" s="53"/>
      <c r="AB99" s="53"/>
      <c r="AC99" s="100"/>
      <c r="AD99" s="53">
        <f t="shared" si="27"/>
        <v>0</v>
      </c>
      <c r="AE99" s="100"/>
      <c r="AF99" s="53">
        <f>IF(Q99&lt;3500,Q99*0.1,0)</f>
        <v>0</v>
      </c>
      <c r="AG99" s="53"/>
      <c r="AH99" s="53">
        <f t="shared" si="30"/>
        <v>0</v>
      </c>
      <c r="AI99" s="100">
        <f t="shared" si="31"/>
        <v>0</v>
      </c>
      <c r="AJ99" s="59"/>
      <c r="AK99" s="59"/>
      <c r="AL99" s="101">
        <f t="shared" si="36"/>
        <v>0</v>
      </c>
      <c r="AM99" s="56"/>
      <c r="AN99" s="56"/>
    </row>
    <row r="100" spans="1:194" s="28" customFormat="1">
      <c r="A100" s="43"/>
      <c r="B100" s="44"/>
      <c r="C100" s="44"/>
      <c r="D100" s="44"/>
      <c r="E100" s="44"/>
      <c r="F100" s="44"/>
      <c r="G100" s="44"/>
      <c r="H100" s="44"/>
      <c r="I100" s="45"/>
      <c r="J100" s="97"/>
      <c r="K100" s="45"/>
      <c r="L100" s="45"/>
      <c r="M100" s="45"/>
      <c r="N100" s="45"/>
      <c r="O100" s="45"/>
      <c r="P100" s="45"/>
      <c r="Q100" s="46"/>
      <c r="R100" s="45"/>
      <c r="S100" s="45"/>
      <c r="T100" s="45"/>
      <c r="U100" s="45"/>
      <c r="V100" s="45"/>
      <c r="W100" s="45"/>
      <c r="X100" s="45"/>
      <c r="Y100" s="63"/>
      <c r="Z100" s="63"/>
      <c r="AA100" s="63"/>
      <c r="AB100" s="63"/>
      <c r="AC100" s="46"/>
      <c r="AD100" s="63"/>
      <c r="AE100" s="46"/>
      <c r="AF100" s="63"/>
      <c r="AG100" s="63"/>
      <c r="AH100" s="63"/>
      <c r="AI100" s="46"/>
      <c r="AJ100" s="82"/>
      <c r="AK100" s="82"/>
      <c r="AL100" s="38"/>
    </row>
    <row r="101" spans="1:194">
      <c r="B101" s="64" t="s">
        <v>17</v>
      </c>
      <c r="C101" s="64"/>
      <c r="D101" s="64"/>
      <c r="E101" s="64"/>
      <c r="F101" s="64"/>
      <c r="G101" s="64"/>
      <c r="H101" s="64"/>
      <c r="I101" s="49"/>
      <c r="J101" s="98"/>
      <c r="K101" s="65">
        <f>SUM(K7:K98)</f>
        <v>73429.998666666725</v>
      </c>
      <c r="L101" s="65">
        <f>SUM(L7:L100)</f>
        <v>375340.45000000007</v>
      </c>
      <c r="M101" s="65"/>
      <c r="N101" s="65">
        <f>SUM(N7:N100)</f>
        <v>1302.3</v>
      </c>
      <c r="O101" s="65">
        <f>SUM(O7:O100)</f>
        <v>0</v>
      </c>
      <c r="P101" s="65">
        <f>SUM(P7:P100)</f>
        <v>0</v>
      </c>
      <c r="Q101" s="65">
        <f>SUM(Q7:Q100)</f>
        <v>450072.74866666656</v>
      </c>
      <c r="R101" s="65">
        <f>SUM(R7:R100)</f>
        <v>1998</v>
      </c>
      <c r="S101" s="65"/>
      <c r="T101" s="65"/>
      <c r="U101" s="66">
        <f t="shared" ref="U101:AL101" si="37">SUM(U7:U100)</f>
        <v>3800</v>
      </c>
      <c r="V101" s="66">
        <f t="shared" si="37"/>
        <v>2775.4091470000008</v>
      </c>
      <c r="W101" s="66">
        <f t="shared" si="37"/>
        <v>566.41003000000001</v>
      </c>
      <c r="X101" s="66">
        <f t="shared" si="37"/>
        <v>579.38</v>
      </c>
      <c r="Y101" s="65">
        <f t="shared" si="37"/>
        <v>1609.9499999999998</v>
      </c>
      <c r="Z101" s="65">
        <f t="shared" si="37"/>
        <v>335.5</v>
      </c>
      <c r="AA101" s="65">
        <f t="shared" si="37"/>
        <v>406.94</v>
      </c>
      <c r="AB101" s="65">
        <f t="shared" si="37"/>
        <v>6291.6100000000006</v>
      </c>
      <c r="AC101" s="65">
        <f t="shared" si="37"/>
        <v>428369.59948966658</v>
      </c>
      <c r="AD101" s="65">
        <f t="shared" si="37"/>
        <v>40703.830066666669</v>
      </c>
      <c r="AE101" s="65">
        <f t="shared" si="37"/>
        <v>387665.76942300005</v>
      </c>
      <c r="AF101" s="65">
        <f t="shared" si="37"/>
        <v>4303.4447999999993</v>
      </c>
      <c r="AG101" s="65">
        <f t="shared" si="37"/>
        <v>1020.1600000000011</v>
      </c>
      <c r="AH101" s="65">
        <f t="shared" si="37"/>
        <v>2775.4091470000008</v>
      </c>
      <c r="AI101" s="65">
        <f t="shared" si="37"/>
        <v>458171.76261366665</v>
      </c>
      <c r="AJ101" s="83">
        <f t="shared" si="37"/>
        <v>0</v>
      </c>
      <c r="AK101" s="83">
        <f t="shared" si="37"/>
        <v>0</v>
      </c>
      <c r="AL101" s="67">
        <f t="shared" si="37"/>
        <v>-362204.405569</v>
      </c>
      <c r="AM101" s="47"/>
      <c r="AN101" s="47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</row>
    <row r="102" spans="1:194">
      <c r="AI102" s="24">
        <f>AI101*0.16</f>
        <v>73307.482018186667</v>
      </c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</row>
    <row r="103" spans="1:194">
      <c r="A103" s="147" t="s">
        <v>224</v>
      </c>
      <c r="B103" s="147"/>
      <c r="C103" s="68"/>
      <c r="D103" s="47"/>
      <c r="E103" s="47"/>
      <c r="F103" s="47"/>
      <c r="G103" s="47"/>
      <c r="H103" s="47"/>
      <c r="I103" s="49"/>
      <c r="J103" s="96"/>
      <c r="K103" s="49"/>
      <c r="L103" s="49"/>
      <c r="M103" s="49"/>
      <c r="N103" s="49"/>
      <c r="O103" s="49"/>
      <c r="P103" s="49"/>
      <c r="Q103" s="65"/>
      <c r="R103" s="49"/>
      <c r="S103" s="49"/>
      <c r="T103" s="49"/>
      <c r="U103" s="59"/>
      <c r="V103" s="59"/>
      <c r="W103" s="59"/>
      <c r="X103" s="59"/>
      <c r="Y103" s="49"/>
      <c r="Z103" s="49"/>
      <c r="AA103" s="49"/>
      <c r="AB103" s="49"/>
      <c r="AC103" s="65"/>
      <c r="AD103" s="49"/>
      <c r="AE103" s="65"/>
      <c r="AF103" s="49"/>
      <c r="AG103" s="49"/>
      <c r="AH103" s="49"/>
      <c r="AI103" s="65">
        <f>+AI101+AI102</f>
        <v>531479.2446318533</v>
      </c>
      <c r="AJ103" s="83"/>
      <c r="AK103" s="83"/>
      <c r="AL103" s="67"/>
      <c r="AM103" s="47"/>
      <c r="AN103" s="47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</row>
    <row r="104" spans="1:194" s="31" customFormat="1">
      <c r="A104" s="109" t="s">
        <v>84</v>
      </c>
      <c r="B104" s="109" t="s">
        <v>225</v>
      </c>
      <c r="C104" s="109"/>
      <c r="D104" s="109"/>
      <c r="E104" s="109" t="s">
        <v>272</v>
      </c>
      <c r="F104" s="119">
        <v>41142</v>
      </c>
      <c r="G104" s="109"/>
      <c r="H104" s="109"/>
      <c r="I104" s="78"/>
      <c r="J104" s="115"/>
      <c r="K104" s="78">
        <v>623.36</v>
      </c>
      <c r="L104" s="78">
        <f>2754.431+5.571</f>
        <v>2760.002</v>
      </c>
      <c r="M104" s="78"/>
      <c r="N104" s="78"/>
      <c r="O104" s="78"/>
      <c r="P104" s="78"/>
      <c r="Q104" s="116">
        <f>SUM(K104:P104)</f>
        <v>3383.3620000000001</v>
      </c>
      <c r="R104" s="78"/>
      <c r="S104" s="78"/>
      <c r="T104" s="78"/>
      <c r="U104" s="78"/>
      <c r="V104" s="78">
        <f>Q104*4.9%</f>
        <v>165.784738</v>
      </c>
      <c r="W104" s="78">
        <f>Q104*1%</f>
        <v>33.833620000000003</v>
      </c>
      <c r="X104" s="78"/>
      <c r="Y104" s="117"/>
      <c r="Z104" s="117"/>
      <c r="AA104" s="117"/>
      <c r="AB104" s="117"/>
      <c r="AC104" s="116">
        <f>+Q104-SUM(R104:AB104)</f>
        <v>3183.7436419999999</v>
      </c>
      <c r="AD104" s="117">
        <f>+AC104*0.05</f>
        <v>159.1871821</v>
      </c>
      <c r="AE104" s="116">
        <f>+AC104-Y104-AB104</f>
        <v>3183.7436419999999</v>
      </c>
      <c r="AF104" s="117">
        <f>IF(AC104&lt;3000,AC104*0.1,0)</f>
        <v>0</v>
      </c>
      <c r="AG104" s="117">
        <v>0</v>
      </c>
      <c r="AH104" s="117"/>
      <c r="AI104" s="116">
        <f>+AC104+AF104+AG104</f>
        <v>3183.7436419999999</v>
      </c>
      <c r="AJ104" s="120"/>
      <c r="AK104" s="120"/>
      <c r="AL104" s="121"/>
      <c r="AM104" s="109"/>
      <c r="AN104" s="118"/>
    </row>
    <row r="105" spans="1:194">
      <c r="A105" s="56" t="s">
        <v>84</v>
      </c>
      <c r="B105" s="48" t="s">
        <v>238</v>
      </c>
      <c r="C105" s="48"/>
      <c r="D105" s="48"/>
      <c r="E105" s="48" t="s">
        <v>269</v>
      </c>
      <c r="F105" s="107">
        <v>40824</v>
      </c>
      <c r="G105" s="48"/>
      <c r="H105" s="48"/>
      <c r="I105" s="50"/>
      <c r="J105" s="93"/>
      <c r="K105" s="59">
        <v>1166.6600000000001</v>
      </c>
      <c r="L105" s="59">
        <v>4117.46</v>
      </c>
      <c r="M105" s="50"/>
      <c r="N105" s="50"/>
      <c r="O105" s="50"/>
      <c r="P105" s="50"/>
      <c r="Q105" s="51">
        <f>SUM(K105:P105)</f>
        <v>5284.12</v>
      </c>
      <c r="R105" s="78"/>
      <c r="S105" s="78"/>
      <c r="T105" s="78"/>
      <c r="U105" s="78"/>
      <c r="V105" s="78"/>
      <c r="W105" s="78"/>
      <c r="X105" s="78"/>
      <c r="Y105" s="117"/>
      <c r="Z105" s="117"/>
      <c r="AA105" s="117">
        <v>243.31</v>
      </c>
      <c r="AB105" s="117"/>
      <c r="AC105" s="116">
        <f t="shared" ref="AC105:AC106" si="38">+Q105-SUM(R105:AB105)</f>
        <v>5040.8099999999995</v>
      </c>
      <c r="AD105" s="117">
        <f t="shared" ref="AD105:AD106" si="39">+AC105*0.05</f>
        <v>252.04049999999998</v>
      </c>
      <c r="AE105" s="116">
        <f t="shared" ref="AE105:AE106" si="40">+AC105-Y105-AB105</f>
        <v>5040.8099999999995</v>
      </c>
      <c r="AF105" s="117">
        <f t="shared" ref="AF105:AF106" si="41">IF(AC105&lt;3000,AC105*0.1,0)</f>
        <v>0</v>
      </c>
      <c r="AG105" s="117"/>
      <c r="AH105" s="117"/>
      <c r="AI105" s="116">
        <f t="shared" ref="AI105:AI106" si="42">+AC105+AF105+AG105</f>
        <v>5040.8099999999995</v>
      </c>
      <c r="AJ105" s="84"/>
      <c r="AK105" s="84"/>
      <c r="AL105" s="70"/>
      <c r="AM105" s="47"/>
      <c r="AN105" s="10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</row>
    <row r="106" spans="1:194">
      <c r="A106" s="47" t="s">
        <v>68</v>
      </c>
      <c r="B106" s="47" t="s">
        <v>227</v>
      </c>
      <c r="C106" s="47"/>
      <c r="D106" s="47"/>
      <c r="E106" s="47" t="s">
        <v>149</v>
      </c>
      <c r="F106" s="133">
        <v>40813</v>
      </c>
      <c r="G106" s="47"/>
      <c r="H106" s="47"/>
      <c r="I106" s="49"/>
      <c r="J106" s="96"/>
      <c r="K106" s="49">
        <v>1516.66</v>
      </c>
      <c r="L106" s="49">
        <v>100</v>
      </c>
      <c r="M106" s="49"/>
      <c r="N106" s="49"/>
      <c r="O106" s="49"/>
      <c r="P106" s="49"/>
      <c r="Q106" s="51">
        <f>SUM(K106:P106)</f>
        <v>1616.66</v>
      </c>
      <c r="R106" s="78"/>
      <c r="S106" s="78"/>
      <c r="T106" s="78"/>
      <c r="U106" s="78"/>
      <c r="V106" s="78"/>
      <c r="W106" s="78"/>
      <c r="X106" s="78"/>
      <c r="Y106" s="117"/>
      <c r="Z106" s="117"/>
      <c r="AA106" s="117"/>
      <c r="AB106" s="117"/>
      <c r="AC106" s="116">
        <f t="shared" si="38"/>
        <v>1616.66</v>
      </c>
      <c r="AD106" s="117">
        <f t="shared" si="39"/>
        <v>80.833000000000013</v>
      </c>
      <c r="AE106" s="116">
        <f t="shared" si="40"/>
        <v>1616.66</v>
      </c>
      <c r="AF106" s="117">
        <f t="shared" si="41"/>
        <v>161.66600000000003</v>
      </c>
      <c r="AG106" s="117"/>
      <c r="AH106" s="117"/>
      <c r="AI106" s="116">
        <f t="shared" si="42"/>
        <v>1778.326</v>
      </c>
      <c r="AJ106" s="83"/>
      <c r="AK106" s="83"/>
      <c r="AL106" s="67"/>
      <c r="AM106" s="47"/>
      <c r="AN106" s="47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</row>
    <row r="107" spans="1:194">
      <c r="B107" s="30"/>
      <c r="C107" s="30"/>
      <c r="D107" s="30"/>
      <c r="AI107" s="24">
        <f>+AI106*0.16</f>
        <v>284.53216000000003</v>
      </c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</row>
    <row r="108" spans="1:194">
      <c r="A108" s="145" t="s">
        <v>237</v>
      </c>
      <c r="B108" s="145"/>
      <c r="C108" s="30"/>
      <c r="D108" s="30"/>
      <c r="AI108" s="24">
        <f>+AI106+AI107</f>
        <v>2062.8581600000002</v>
      </c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</row>
    <row r="109" spans="1:194" s="28" customFormat="1">
      <c r="A109" s="56"/>
      <c r="B109" s="56"/>
      <c r="C109" s="56"/>
      <c r="D109" s="62"/>
      <c r="E109" s="56"/>
      <c r="F109" s="58"/>
      <c r="G109" s="56"/>
      <c r="H109" s="56"/>
      <c r="I109" s="59"/>
      <c r="J109" s="94"/>
      <c r="K109" s="59"/>
      <c r="L109" s="59"/>
      <c r="M109" s="59"/>
      <c r="N109" s="59"/>
      <c r="O109" s="59"/>
      <c r="P109" s="88"/>
      <c r="Q109" s="100"/>
      <c r="R109" s="59"/>
      <c r="S109" s="59"/>
      <c r="T109" s="59"/>
      <c r="U109" s="59"/>
      <c r="V109" s="59"/>
      <c r="W109" s="59"/>
      <c r="X109" s="59"/>
      <c r="Y109" s="53"/>
      <c r="Z109" s="53"/>
      <c r="AA109" s="56"/>
      <c r="AB109" s="56"/>
      <c r="AC109" s="100"/>
      <c r="AD109" s="53"/>
      <c r="AE109" s="100"/>
      <c r="AF109" s="53"/>
      <c r="AG109" s="53"/>
      <c r="AH109" s="53"/>
      <c r="AI109" s="100"/>
      <c r="AJ109" s="85"/>
      <c r="AK109" s="86"/>
      <c r="AL109" s="55">
        <f t="shared" ref="AL109" si="43">+AJ109+AK109-AE109</f>
        <v>0</v>
      </c>
      <c r="AM109" s="56"/>
      <c r="AN109" s="87"/>
    </row>
    <row r="110" spans="1:194"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</row>
    <row r="111" spans="1:194"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</row>
    <row r="112" spans="1:194"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</row>
    <row r="113" spans="1:194"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</row>
    <row r="114" spans="1:194"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</row>
    <row r="115" spans="1:194"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</row>
    <row r="116" spans="1:194">
      <c r="A116" s="29" t="s">
        <v>54</v>
      </c>
      <c r="B116" s="23"/>
      <c r="C116" s="23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</row>
    <row r="117" spans="1:194">
      <c r="A117" s="29" t="s">
        <v>55</v>
      </c>
      <c r="B117" s="23"/>
      <c r="C117" s="23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</row>
    <row r="118" spans="1:194">
      <c r="A118" s="29" t="s">
        <v>56</v>
      </c>
      <c r="B118" s="23"/>
      <c r="C118" s="23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</row>
    <row r="119" spans="1:194">
      <c r="A119" s="29" t="s">
        <v>57</v>
      </c>
      <c r="B119" s="23"/>
      <c r="C119" s="23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</row>
    <row r="120" spans="1:194">
      <c r="A120" s="29" t="s">
        <v>58</v>
      </c>
      <c r="B120" s="23"/>
      <c r="C120" s="23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</row>
    <row r="121" spans="1:194">
      <c r="A121" s="29" t="s">
        <v>59</v>
      </c>
      <c r="B121" s="23"/>
      <c r="C121" s="23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</row>
    <row r="122" spans="1:194"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</row>
    <row r="123" spans="1:194"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</row>
    <row r="125" spans="1:194">
      <c r="B125" s="27"/>
      <c r="C125" s="34"/>
    </row>
    <row r="126" spans="1:194">
      <c r="B126" s="27"/>
      <c r="C126" s="34"/>
    </row>
    <row r="127" spans="1:194">
      <c r="B127" s="27"/>
      <c r="C127" s="34"/>
    </row>
  </sheetData>
  <sheetProtection selectLockedCells="1" selectUnlockedCells="1"/>
  <autoFilter ref="A5:AN99">
    <filterColumn colId="35" showButton="0"/>
    <sortState ref="A8:AN97">
      <sortCondition ref="B5:B97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A108:B108"/>
    <mergeCell ref="AN5:AN6"/>
    <mergeCell ref="A103:B103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7"/>
      <c r="AJ1" s="37"/>
      <c r="AK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7"/>
      <c r="AJ2" s="37"/>
      <c r="AK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234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7"/>
      <c r="AJ3" s="37"/>
      <c r="AK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233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57" t="s">
        <v>36</v>
      </c>
      <c r="B5" s="159" t="s">
        <v>37</v>
      </c>
      <c r="C5" s="157"/>
      <c r="D5" s="159" t="s">
        <v>38</v>
      </c>
      <c r="E5" s="159" t="s">
        <v>0</v>
      </c>
      <c r="F5" s="157" t="s">
        <v>198</v>
      </c>
      <c r="G5" s="148" t="s">
        <v>64</v>
      </c>
      <c r="H5" s="148" t="s">
        <v>62</v>
      </c>
      <c r="I5" s="161" t="s">
        <v>63</v>
      </c>
      <c r="J5" s="155" t="s">
        <v>65</v>
      </c>
      <c r="K5" s="148" t="s">
        <v>31</v>
      </c>
      <c r="L5" s="155" t="s">
        <v>72</v>
      </c>
      <c r="M5" s="76"/>
      <c r="N5" s="148" t="s">
        <v>32</v>
      </c>
      <c r="O5" s="148" t="s">
        <v>33</v>
      </c>
      <c r="P5" s="148" t="s">
        <v>60</v>
      </c>
      <c r="Q5" s="148" t="s">
        <v>34</v>
      </c>
      <c r="R5" s="148" t="s">
        <v>35</v>
      </c>
      <c r="S5" s="75"/>
      <c r="T5" s="153" t="s">
        <v>159</v>
      </c>
      <c r="U5" s="153" t="s">
        <v>178</v>
      </c>
      <c r="V5" s="153" t="s">
        <v>177</v>
      </c>
      <c r="W5" s="153" t="s">
        <v>160</v>
      </c>
      <c r="X5" s="148" t="s">
        <v>28</v>
      </c>
      <c r="Y5" s="148" t="s">
        <v>53</v>
      </c>
      <c r="Z5" s="148" t="s">
        <v>52</v>
      </c>
      <c r="AA5" s="148" t="s">
        <v>30</v>
      </c>
      <c r="AB5" s="148" t="s">
        <v>61</v>
      </c>
      <c r="AC5" s="148" t="s">
        <v>25</v>
      </c>
      <c r="AD5" s="148" t="s">
        <v>29</v>
      </c>
      <c r="AE5" s="148" t="s">
        <v>24</v>
      </c>
      <c r="AF5" s="148" t="s">
        <v>26</v>
      </c>
      <c r="AG5" s="74"/>
      <c r="AH5" s="148" t="s">
        <v>27</v>
      </c>
      <c r="AI5" s="163" t="s">
        <v>161</v>
      </c>
      <c r="AJ5" s="164"/>
      <c r="AK5" s="152" t="s">
        <v>162</v>
      </c>
      <c r="AL5" s="146" t="s">
        <v>206</v>
      </c>
      <c r="AM5" s="72"/>
      <c r="AN5" s="146" t="s">
        <v>207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3" customFormat="1" ht="39" customHeight="1">
      <c r="A6" s="158"/>
      <c r="B6" s="160"/>
      <c r="C6" s="158"/>
      <c r="D6" s="160"/>
      <c r="E6" s="160"/>
      <c r="F6" s="158"/>
      <c r="G6" s="149"/>
      <c r="H6" s="149"/>
      <c r="I6" s="162"/>
      <c r="J6" s="156"/>
      <c r="K6" s="149"/>
      <c r="L6" s="156"/>
      <c r="M6" s="77" t="s">
        <v>222</v>
      </c>
      <c r="N6" s="149"/>
      <c r="O6" s="149"/>
      <c r="P6" s="149"/>
      <c r="Q6" s="149"/>
      <c r="R6" s="149"/>
      <c r="S6" s="41" t="s">
        <v>220</v>
      </c>
      <c r="T6" s="154"/>
      <c r="U6" s="154"/>
      <c r="V6" s="154"/>
      <c r="W6" s="154"/>
      <c r="X6" s="149"/>
      <c r="Y6" s="149"/>
      <c r="Z6" s="149"/>
      <c r="AA6" s="149"/>
      <c r="AB6" s="149"/>
      <c r="AC6" s="149"/>
      <c r="AD6" s="149"/>
      <c r="AE6" s="149"/>
      <c r="AF6" s="149"/>
      <c r="AG6" s="75"/>
      <c r="AH6" s="149"/>
      <c r="AI6" s="42" t="s">
        <v>63</v>
      </c>
      <c r="AJ6" s="42" t="s">
        <v>65</v>
      </c>
      <c r="AK6" s="152"/>
      <c r="AL6" s="146"/>
      <c r="AM6" s="72" t="s">
        <v>235</v>
      </c>
      <c r="AN6" s="146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47" t="s">
        <v>224</v>
      </c>
      <c r="B8" s="147"/>
      <c r="C8" s="73"/>
      <c r="D8" s="47"/>
      <c r="E8" s="47"/>
      <c r="F8" s="47"/>
      <c r="G8" s="47"/>
      <c r="H8" s="47"/>
      <c r="I8" s="49"/>
      <c r="J8" s="47"/>
      <c r="K8" s="49"/>
      <c r="L8" s="49"/>
      <c r="M8" s="49"/>
      <c r="N8" s="49"/>
      <c r="O8" s="49"/>
      <c r="P8" s="49"/>
      <c r="Q8" s="65"/>
      <c r="R8" s="49"/>
      <c r="S8" s="49"/>
      <c r="T8" s="59"/>
      <c r="U8" s="59"/>
      <c r="V8" s="59"/>
      <c r="W8" s="59"/>
      <c r="X8" s="49"/>
      <c r="Y8" s="49"/>
      <c r="Z8" s="49"/>
      <c r="AA8" s="49"/>
      <c r="AB8" s="65"/>
      <c r="AC8" s="49"/>
      <c r="AD8" s="65"/>
      <c r="AE8" s="49"/>
      <c r="AF8" s="49"/>
      <c r="AG8" s="49"/>
      <c r="AH8" s="65" t="e">
        <f>+#REF!+AH7</f>
        <v>#REF!</v>
      </c>
      <c r="AI8" s="67"/>
      <c r="AJ8" s="67"/>
      <c r="AK8" s="67"/>
      <c r="AL8" s="47"/>
      <c r="AM8" s="47"/>
      <c r="AN8" s="47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60"/>
      <c r="B9" s="47" t="s">
        <v>225</v>
      </c>
      <c r="C9" s="47"/>
      <c r="D9" s="48"/>
      <c r="E9" s="47"/>
      <c r="F9" s="47"/>
      <c r="G9" s="47"/>
      <c r="H9" s="47"/>
      <c r="I9" s="49"/>
      <c r="J9" s="47"/>
      <c r="K9" s="49"/>
      <c r="L9" s="78">
        <v>533.29999999999995</v>
      </c>
      <c r="M9" s="49"/>
      <c r="N9" s="49"/>
      <c r="O9" s="49"/>
      <c r="P9" s="49"/>
      <c r="Q9" s="51">
        <f>SUM(K9:P9)</f>
        <v>533.29999999999995</v>
      </c>
      <c r="R9" s="52"/>
      <c r="S9" s="52"/>
      <c r="T9" s="59"/>
      <c r="U9" s="57">
        <f>Q9*4.9%</f>
        <v>26.131699999999999</v>
      </c>
      <c r="V9" s="57">
        <f>Q9*1%</f>
        <v>5.3329999999999993</v>
      </c>
      <c r="W9" s="59"/>
      <c r="X9" s="69"/>
      <c r="Y9" s="69"/>
      <c r="Z9" s="69"/>
      <c r="AA9" s="69"/>
      <c r="AB9" s="51">
        <f>+Q9-R9</f>
        <v>533.29999999999995</v>
      </c>
      <c r="AC9" s="53">
        <f>+AB9*0.05</f>
        <v>26.664999999999999</v>
      </c>
      <c r="AD9" s="51">
        <f>+AB9-X9-AA9</f>
        <v>533.29999999999995</v>
      </c>
      <c r="AE9" s="54">
        <f>IF(AB9&lt;3000,AB9*0.1,0)</f>
        <v>53.33</v>
      </c>
      <c r="AF9" s="53">
        <v>0</v>
      </c>
      <c r="AG9" s="53"/>
      <c r="AH9" s="51">
        <f>+AB9+AE9+AF9</f>
        <v>586.63</v>
      </c>
      <c r="AI9" s="70"/>
      <c r="AJ9" s="70"/>
      <c r="AK9" s="70"/>
      <c r="AL9" s="47"/>
      <c r="AM9" s="47"/>
      <c r="AN9" s="47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2016-07-28T21:26:08Z</dcterms:modified>
</cp:coreProperties>
</file>