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2045"/>
  </bookViews>
  <sheets>
    <sheet name="FORMATO NOMINA" sheetId="4" r:id="rId1"/>
    <sheet name="descuentos" sheetId="2" r:id="rId2"/>
    <sheet name="INFONAVIT" sheetId="3" r:id="rId3"/>
    <sheet name="COMPLEMENTO" sheetId="5" r:id="rId4"/>
  </sheets>
  <definedNames>
    <definedName name="_xlnm._FilterDatabase" localSheetId="3" hidden="1">COMPLEMENTO!$A$5:$AN$6</definedName>
    <definedName name="_xlnm._FilterDatabase" localSheetId="0" hidden="1">'FORMATO NOMINA'!$A$5:$AN$102</definedName>
  </definedNames>
  <calcPr calcId="124519"/>
</workbook>
</file>

<file path=xl/calcChain.xml><?xml version="1.0" encoding="utf-8"?>
<calcChain xmlns="http://schemas.openxmlformats.org/spreadsheetml/2006/main">
  <c r="L67" i="4"/>
  <c r="AH36"/>
  <c r="AI36" s="1"/>
  <c r="AF36"/>
  <c r="AE36"/>
  <c r="AD36"/>
  <c r="AC36"/>
  <c r="Q36"/>
  <c r="K36"/>
  <c r="L14"/>
  <c r="L69"/>
  <c r="L66"/>
  <c r="L72"/>
  <c r="L61"/>
  <c r="L75"/>
  <c r="L26"/>
  <c r="L54"/>
  <c r="L101"/>
  <c r="L24"/>
  <c r="L92"/>
  <c r="L88"/>
  <c r="L93"/>
  <c r="L74"/>
  <c r="L30"/>
  <c r="L43"/>
  <c r="L11"/>
  <c r="L76"/>
  <c r="L32"/>
  <c r="L18"/>
  <c r="L100"/>
  <c r="L68"/>
  <c r="L19"/>
  <c r="L98"/>
  <c r="L9"/>
  <c r="L53"/>
  <c r="L86"/>
  <c r="L52"/>
  <c r="L107"/>
  <c r="L22"/>
  <c r="AH37" l="1"/>
  <c r="Q37"/>
  <c r="K37"/>
  <c r="Q109"/>
  <c r="AC109" s="1"/>
  <c r="AF37" l="1"/>
  <c r="AI37" s="1"/>
  <c r="AC37"/>
  <c r="AD37"/>
  <c r="AE109"/>
  <c r="AF109"/>
  <c r="AI109" s="1"/>
  <c r="AD109"/>
  <c r="K34"/>
  <c r="AE37" l="1"/>
  <c r="AL37" s="1"/>
  <c r="K49"/>
  <c r="Q49" s="1"/>
  <c r="V49" l="1"/>
  <c r="AH49" s="1"/>
  <c r="W49"/>
  <c r="AD49"/>
  <c r="AF49"/>
  <c r="K28"/>
  <c r="AI49" l="1"/>
  <c r="AC49"/>
  <c r="AE49" s="1"/>
  <c r="K27" l="1"/>
  <c r="AH87" l="1"/>
  <c r="Q87"/>
  <c r="AC87" s="1"/>
  <c r="AH77"/>
  <c r="Q77"/>
  <c r="AC77" s="1"/>
  <c r="K38"/>
  <c r="AF77" l="1"/>
  <c r="AI77" s="1"/>
  <c r="AF87"/>
  <c r="AI87" s="1"/>
  <c r="AD87"/>
  <c r="AE87" s="1"/>
  <c r="AD77"/>
  <c r="AE77" s="1"/>
  <c r="I94"/>
  <c r="I93"/>
  <c r="I92"/>
  <c r="I76"/>
  <c r="I66"/>
  <c r="I61"/>
  <c r="I33"/>
  <c r="I24"/>
  <c r="K54" l="1"/>
  <c r="AH33"/>
  <c r="AH34"/>
  <c r="AH35"/>
  <c r="AH38"/>
  <c r="AH39"/>
  <c r="AH40"/>
  <c r="AH41"/>
  <c r="AH42"/>
  <c r="AH43"/>
  <c r="AH44"/>
  <c r="AH45"/>
  <c r="Q33"/>
  <c r="AC33" s="1"/>
  <c r="Q34"/>
  <c r="AF34" s="1"/>
  <c r="Q38"/>
  <c r="AD38" s="1"/>
  <c r="AI34" l="1"/>
  <c r="AC38"/>
  <c r="AE38" s="1"/>
  <c r="AD34"/>
  <c r="AC34"/>
  <c r="AF33"/>
  <c r="AI33" s="1"/>
  <c r="AF38"/>
  <c r="AI38" s="1"/>
  <c r="AD33"/>
  <c r="AE33" s="1"/>
  <c r="K63"/>
  <c r="K64"/>
  <c r="AE34" l="1"/>
  <c r="K45"/>
  <c r="Q45" s="1"/>
  <c r="K96"/>
  <c r="K95"/>
  <c r="K78"/>
  <c r="K74"/>
  <c r="K71"/>
  <c r="AF45" l="1"/>
  <c r="AI45" s="1"/>
  <c r="AC45"/>
  <c r="AD45"/>
  <c r="K68"/>
  <c r="AE45" l="1"/>
  <c r="K53"/>
  <c r="K52"/>
  <c r="K43"/>
  <c r="Q43" s="1"/>
  <c r="K40"/>
  <c r="Q40" s="1"/>
  <c r="AC43" l="1"/>
  <c r="AD43"/>
  <c r="AF43"/>
  <c r="AI43" s="1"/>
  <c r="AC40"/>
  <c r="AD40"/>
  <c r="AF40"/>
  <c r="AI40" s="1"/>
  <c r="K32"/>
  <c r="AE43" l="1"/>
  <c r="AE40"/>
  <c r="K80"/>
  <c r="AH96" l="1"/>
  <c r="Q96"/>
  <c r="K41"/>
  <c r="Q41" s="1"/>
  <c r="AH31"/>
  <c r="K31"/>
  <c r="Q31" s="1"/>
  <c r="AF31" s="1"/>
  <c r="AH71"/>
  <c r="Q71"/>
  <c r="K26"/>
  <c r="K18"/>
  <c r="Q18" s="1"/>
  <c r="AF41" l="1"/>
  <c r="AI41" s="1"/>
  <c r="AC41"/>
  <c r="AD41"/>
  <c r="AC18"/>
  <c r="AF18"/>
  <c r="AC96"/>
  <c r="AF96"/>
  <c r="AI96" s="1"/>
  <c r="AD71"/>
  <c r="AF71"/>
  <c r="AI71" s="1"/>
  <c r="AD96"/>
  <c r="AD31"/>
  <c r="AC31"/>
  <c r="AI31"/>
  <c r="AC71"/>
  <c r="AH80"/>
  <c r="Q80"/>
  <c r="AF80" s="1"/>
  <c r="AE41" l="1"/>
  <c r="AL41" s="1"/>
  <c r="AE96"/>
  <c r="AE71"/>
  <c r="AE31"/>
  <c r="AI80"/>
  <c r="AC80"/>
  <c r="AD80"/>
  <c r="AE80" l="1"/>
  <c r="AH18"/>
  <c r="AI18" s="1"/>
  <c r="AL40" l="1"/>
  <c r="AD18"/>
  <c r="AE18" s="1"/>
  <c r="AL18" s="1"/>
  <c r="AL96"/>
  <c r="AL31" l="1"/>
  <c r="AL71"/>
  <c r="AH90"/>
  <c r="K89"/>
  <c r="Q89" s="1"/>
  <c r="K86"/>
  <c r="K72"/>
  <c r="K67"/>
  <c r="I55"/>
  <c r="K55" s="1"/>
  <c r="AH69"/>
  <c r="K69"/>
  <c r="Q69" s="1"/>
  <c r="AF69" s="1"/>
  <c r="K14"/>
  <c r="AF89" l="1"/>
  <c r="V89"/>
  <c r="AH89" s="1"/>
  <c r="W89"/>
  <c r="AD89"/>
  <c r="Q61"/>
  <c r="AD69"/>
  <c r="AC69"/>
  <c r="AI69"/>
  <c r="AI89" l="1"/>
  <c r="V61"/>
  <c r="AH61" s="1"/>
  <c r="W61"/>
  <c r="AC89"/>
  <c r="AE89" s="1"/>
  <c r="AL89" s="1"/>
  <c r="AF61"/>
  <c r="AD61"/>
  <c r="AE69"/>
  <c r="AL69" s="1"/>
  <c r="AC61" l="1"/>
  <c r="AE61" s="1"/>
  <c r="AL61" s="1"/>
  <c r="AI61"/>
  <c r="K11"/>
  <c r="AH29" l="1"/>
  <c r="K29"/>
  <c r="Q29" s="1"/>
  <c r="AC29" l="1"/>
  <c r="AF29"/>
  <c r="AI29" s="1"/>
  <c r="AD29"/>
  <c r="K83"/>
  <c r="AE29" l="1"/>
  <c r="I62"/>
  <c r="K62" s="1"/>
  <c r="AL29" l="1"/>
  <c r="AH15" l="1"/>
  <c r="AH78"/>
  <c r="K15" l="1"/>
  <c r="Q15" s="1"/>
  <c r="AF15" s="1"/>
  <c r="AH73"/>
  <c r="K73"/>
  <c r="Q73" s="1"/>
  <c r="AF73" s="1"/>
  <c r="AC73" l="1"/>
  <c r="AI73"/>
  <c r="AI15"/>
  <c r="AC15"/>
  <c r="AD15"/>
  <c r="AD73"/>
  <c r="AH112"/>
  <c r="K112"/>
  <c r="Q112" s="1"/>
  <c r="AE15" l="1"/>
  <c r="AL15" s="1"/>
  <c r="AE73"/>
  <c r="AL73" s="1"/>
  <c r="AF112"/>
  <c r="AI112" s="1"/>
  <c r="AC112"/>
  <c r="AD112"/>
  <c r="AE112" l="1"/>
  <c r="AL112" s="1"/>
  <c r="K42"/>
  <c r="Q42" s="1"/>
  <c r="AD42" l="1"/>
  <c r="AF42"/>
  <c r="AI42" s="1"/>
  <c r="AC42"/>
  <c r="AH91"/>
  <c r="K91"/>
  <c r="Q91" s="1"/>
  <c r="AF91" s="1"/>
  <c r="AE42" l="1"/>
  <c r="AC91"/>
  <c r="AI91"/>
  <c r="AD91"/>
  <c r="AE91" l="1"/>
  <c r="AL91" s="1"/>
  <c r="AL102" l="1"/>
  <c r="Q9" i="5" l="1"/>
  <c r="V9" s="1"/>
  <c r="U9" l="1"/>
  <c r="AB9"/>
  <c r="AL34" i="4" l="1"/>
  <c r="AE9" i="5"/>
  <c r="AH9" s="1"/>
  <c r="AH10" s="1"/>
  <c r="AC9"/>
  <c r="AD9"/>
  <c r="AH11" l="1"/>
  <c r="AH12" s="1"/>
  <c r="AH7" l="1"/>
  <c r="AH8" s="1"/>
  <c r="AH14" s="1"/>
  <c r="Q102" i="4" l="1"/>
  <c r="AD102" s="1"/>
  <c r="K60"/>
  <c r="Q60" s="1"/>
  <c r="AF60" l="1"/>
  <c r="V60"/>
  <c r="AH60" s="1"/>
  <c r="W60"/>
  <c r="AD60"/>
  <c r="AI60" l="1"/>
  <c r="AC60"/>
  <c r="AE60" s="1"/>
  <c r="AL60" s="1"/>
  <c r="AH23"/>
  <c r="AH62" l="1"/>
  <c r="Q62"/>
  <c r="AD62" l="1"/>
  <c r="AF62"/>
  <c r="AI62" s="1"/>
  <c r="AC62"/>
  <c r="Q76"/>
  <c r="AD76" l="1"/>
  <c r="AF76"/>
  <c r="AE62"/>
  <c r="AL62" s="1"/>
  <c r="K23"/>
  <c r="Q23" s="1"/>
  <c r="AH102"/>
  <c r="AH63"/>
  <c r="AH94"/>
  <c r="AH101"/>
  <c r="AH99"/>
  <c r="AH100"/>
  <c r="AH97"/>
  <c r="AH95"/>
  <c r="AH93"/>
  <c r="AH92"/>
  <c r="AH88"/>
  <c r="AH84"/>
  <c r="AH83"/>
  <c r="AH82"/>
  <c r="AH75"/>
  <c r="AH74"/>
  <c r="AH72"/>
  <c r="AH70"/>
  <c r="AH66"/>
  <c r="AH64"/>
  <c r="AH59"/>
  <c r="AH58"/>
  <c r="AH57"/>
  <c r="AH56"/>
  <c r="AH54"/>
  <c r="AH55"/>
  <c r="AH50"/>
  <c r="AH48"/>
  <c r="AH47"/>
  <c r="AH46"/>
  <c r="AH28"/>
  <c r="AH27"/>
  <c r="AH26"/>
  <c r="AH25"/>
  <c r="AH24"/>
  <c r="AH22"/>
  <c r="AH20"/>
  <c r="AH17"/>
  <c r="AH16"/>
  <c r="AH12"/>
  <c r="AH13"/>
  <c r="AH11"/>
  <c r="AH10"/>
  <c r="AH8"/>
  <c r="AH7"/>
  <c r="AD23" l="1"/>
  <c r="AF23"/>
  <c r="AI23" s="1"/>
  <c r="AC23"/>
  <c r="V76"/>
  <c r="AH76" s="1"/>
  <c r="W76"/>
  <c r="Q63"/>
  <c r="AD63" l="1"/>
  <c r="AF63"/>
  <c r="AI63" s="1"/>
  <c r="AE23"/>
  <c r="AL23" s="1"/>
  <c r="AI76"/>
  <c r="AC76"/>
  <c r="AE76" s="1"/>
  <c r="AL76" s="1"/>
  <c r="AC63"/>
  <c r="AF102"/>
  <c r="AI102" s="1"/>
  <c r="K75"/>
  <c r="Q75" s="1"/>
  <c r="AD75" l="1"/>
  <c r="AF75"/>
  <c r="AI75" s="1"/>
  <c r="AE63"/>
  <c r="AL63" s="1"/>
  <c r="AG104"/>
  <c r="AC75"/>
  <c r="Q108"/>
  <c r="AC108" s="1"/>
  <c r="Q107"/>
  <c r="AK104"/>
  <c r="AJ104"/>
  <c r="Y104"/>
  <c r="X104"/>
  <c r="R104"/>
  <c r="P104"/>
  <c r="O104"/>
  <c r="N104"/>
  <c r="Q94"/>
  <c r="Q78"/>
  <c r="K101"/>
  <c r="Q101" s="1"/>
  <c r="K99"/>
  <c r="K100"/>
  <c r="Q100" s="1"/>
  <c r="K98"/>
  <c r="Q98" s="1"/>
  <c r="K97"/>
  <c r="Q97" s="1"/>
  <c r="Q93"/>
  <c r="Q92"/>
  <c r="K90"/>
  <c r="Q90" s="1"/>
  <c r="AF90" s="1"/>
  <c r="K88"/>
  <c r="Q88" s="1"/>
  <c r="Q86"/>
  <c r="K85"/>
  <c r="Q85" s="1"/>
  <c r="K84"/>
  <c r="Q84" s="1"/>
  <c r="Q83"/>
  <c r="K82"/>
  <c r="Q82" s="1"/>
  <c r="K81"/>
  <c r="Q81" s="1"/>
  <c r="K79"/>
  <c r="Q79" s="1"/>
  <c r="Q74"/>
  <c r="Q72"/>
  <c r="K70"/>
  <c r="Q70" s="1"/>
  <c r="Q68"/>
  <c r="Q67"/>
  <c r="Q66"/>
  <c r="K65"/>
  <c r="Q65" s="1"/>
  <c r="Q64"/>
  <c r="K59"/>
  <c r="Q59" s="1"/>
  <c r="K58"/>
  <c r="Q58" s="1"/>
  <c r="K57"/>
  <c r="Q57" s="1"/>
  <c r="K56"/>
  <c r="Q56" s="1"/>
  <c r="Q54"/>
  <c r="Q53"/>
  <c r="Q52"/>
  <c r="K51"/>
  <c r="Q51" s="1"/>
  <c r="Q55"/>
  <c r="K50"/>
  <c r="Q50" s="1"/>
  <c r="K48"/>
  <c r="Q48" s="1"/>
  <c r="K47"/>
  <c r="Q47" s="1"/>
  <c r="K46"/>
  <c r="Q46" s="1"/>
  <c r="K44"/>
  <c r="Q44" s="1"/>
  <c r="K39"/>
  <c r="Q39" s="1"/>
  <c r="K35"/>
  <c r="Q32"/>
  <c r="Q30"/>
  <c r="Q27"/>
  <c r="Q26"/>
  <c r="K25"/>
  <c r="Q25" s="1"/>
  <c r="Q24"/>
  <c r="K22"/>
  <c r="Q22" s="1"/>
  <c r="K21"/>
  <c r="Q21" s="1"/>
  <c r="W21" s="1"/>
  <c r="K20"/>
  <c r="Q20" s="1"/>
  <c r="K19"/>
  <c r="Q19" s="1"/>
  <c r="K17"/>
  <c r="K16"/>
  <c r="Q16" s="1"/>
  <c r="Q14"/>
  <c r="K12"/>
  <c r="K13"/>
  <c r="Q13" s="1"/>
  <c r="Q11"/>
  <c r="K10"/>
  <c r="Q10" s="1"/>
  <c r="K9"/>
  <c r="Q9" s="1"/>
  <c r="K8"/>
  <c r="Q8" s="1"/>
  <c r="K7"/>
  <c r="AD108" l="1"/>
  <c r="AF108"/>
  <c r="AI108" s="1"/>
  <c r="AE108"/>
  <c r="V65"/>
  <c r="AH65" s="1"/>
  <c r="W65"/>
  <c r="V81"/>
  <c r="AH81" s="1"/>
  <c r="W81"/>
  <c r="Q35"/>
  <c r="AC39"/>
  <c r="AD39"/>
  <c r="AF39"/>
  <c r="AI39" s="1"/>
  <c r="AC44"/>
  <c r="AD44"/>
  <c r="AF44"/>
  <c r="AI44" s="1"/>
  <c r="AD70"/>
  <c r="AF70"/>
  <c r="AI70" s="1"/>
  <c r="AD55"/>
  <c r="AF55"/>
  <c r="AI55" s="1"/>
  <c r="AD47"/>
  <c r="AF47"/>
  <c r="AI47" s="1"/>
  <c r="AD48"/>
  <c r="AF48"/>
  <c r="AD58"/>
  <c r="AF58"/>
  <c r="AI58" s="1"/>
  <c r="AD64"/>
  <c r="AF64"/>
  <c r="AI64" s="1"/>
  <c r="AD22"/>
  <c r="AF22"/>
  <c r="AD59"/>
  <c r="AF59"/>
  <c r="AI59" s="1"/>
  <c r="AD46"/>
  <c r="AF46"/>
  <c r="AD50"/>
  <c r="AF50"/>
  <c r="AD56"/>
  <c r="AF56"/>
  <c r="AI56" s="1"/>
  <c r="AD57"/>
  <c r="AF57"/>
  <c r="AD25"/>
  <c r="AF25"/>
  <c r="AI25" s="1"/>
  <c r="AD13"/>
  <c r="AF13"/>
  <c r="AI13" s="1"/>
  <c r="AD8"/>
  <c r="AF8"/>
  <c r="AI8" s="1"/>
  <c r="AD10"/>
  <c r="AF10"/>
  <c r="AI10" s="1"/>
  <c r="AD20"/>
  <c r="AF20"/>
  <c r="AI20" s="1"/>
  <c r="AD14"/>
  <c r="AF14"/>
  <c r="AD72"/>
  <c r="AF72"/>
  <c r="AI72" s="1"/>
  <c r="AD26"/>
  <c r="AF26"/>
  <c r="AI26" s="1"/>
  <c r="AD11"/>
  <c r="AF11"/>
  <c r="AI11" s="1"/>
  <c r="AD19"/>
  <c r="AF19"/>
  <c r="AD67"/>
  <c r="AF67"/>
  <c r="AD65"/>
  <c r="AF65"/>
  <c r="AD21"/>
  <c r="AF21"/>
  <c r="AD9"/>
  <c r="AF9"/>
  <c r="AD51"/>
  <c r="AF51"/>
  <c r="AD30"/>
  <c r="AF30"/>
  <c r="AD66"/>
  <c r="AF66"/>
  <c r="AI66" s="1"/>
  <c r="AD24"/>
  <c r="AF24"/>
  <c r="AI24" s="1"/>
  <c r="AD54"/>
  <c r="AF54"/>
  <c r="AI54" s="1"/>
  <c r="AD16"/>
  <c r="AF16"/>
  <c r="AI16" s="1"/>
  <c r="AD27"/>
  <c r="AF27"/>
  <c r="AI27" s="1"/>
  <c r="AD79"/>
  <c r="AF79"/>
  <c r="AD84"/>
  <c r="AF84"/>
  <c r="AD98"/>
  <c r="AF98"/>
  <c r="AD88"/>
  <c r="AF88"/>
  <c r="AI88" s="1"/>
  <c r="AD97"/>
  <c r="AF97"/>
  <c r="AI97" s="1"/>
  <c r="AD101"/>
  <c r="AF101"/>
  <c r="AI101" s="1"/>
  <c r="AD82"/>
  <c r="AF82"/>
  <c r="AI82" s="1"/>
  <c r="AD86"/>
  <c r="AF86"/>
  <c r="AD93"/>
  <c r="AF93"/>
  <c r="AI93" s="1"/>
  <c r="AD83"/>
  <c r="AF83"/>
  <c r="AI83" s="1"/>
  <c r="AD81"/>
  <c r="AF81"/>
  <c r="AD85"/>
  <c r="AF85"/>
  <c r="AD92"/>
  <c r="AF92"/>
  <c r="AI92" s="1"/>
  <c r="AD94"/>
  <c r="AF94"/>
  <c r="AI94" s="1"/>
  <c r="AD100"/>
  <c r="AF100"/>
  <c r="AI100" s="1"/>
  <c r="AC78"/>
  <c r="AF78"/>
  <c r="AI78" s="1"/>
  <c r="AD74"/>
  <c r="AF74"/>
  <c r="AI74" s="1"/>
  <c r="AD68"/>
  <c r="AF68"/>
  <c r="AD53"/>
  <c r="AF53"/>
  <c r="AD52"/>
  <c r="AF52"/>
  <c r="AD32"/>
  <c r="AF32"/>
  <c r="AD90"/>
  <c r="AD78"/>
  <c r="Q17"/>
  <c r="AF17" s="1"/>
  <c r="Q95"/>
  <c r="Q99"/>
  <c r="Q12"/>
  <c r="W107"/>
  <c r="V107"/>
  <c r="Z104"/>
  <c r="Q28"/>
  <c r="AE75"/>
  <c r="AL75" s="1"/>
  <c r="W52"/>
  <c r="V52"/>
  <c r="AH52" s="1"/>
  <c r="AI90"/>
  <c r="AC72"/>
  <c r="V30"/>
  <c r="AH30" s="1"/>
  <c r="W86"/>
  <c r="W53"/>
  <c r="AA104"/>
  <c r="AC11"/>
  <c r="AC55"/>
  <c r="V19"/>
  <c r="AH19" s="1"/>
  <c r="AC58"/>
  <c r="W19"/>
  <c r="AC66"/>
  <c r="AL42"/>
  <c r="AC10"/>
  <c r="W51"/>
  <c r="AC59"/>
  <c r="AC88"/>
  <c r="AC97"/>
  <c r="AC20"/>
  <c r="V53"/>
  <c r="AH53" s="1"/>
  <c r="AC100"/>
  <c r="L104"/>
  <c r="V51"/>
  <c r="AH51" s="1"/>
  <c r="AC8"/>
  <c r="AC16"/>
  <c r="AC54"/>
  <c r="K104"/>
  <c r="Q7"/>
  <c r="W9"/>
  <c r="W14"/>
  <c r="V14"/>
  <c r="AH14" s="1"/>
  <c r="AC25"/>
  <c r="V32"/>
  <c r="AH32" s="1"/>
  <c r="W32"/>
  <c r="U65"/>
  <c r="V79"/>
  <c r="AH79" s="1"/>
  <c r="W79"/>
  <c r="AC92"/>
  <c r="AC94"/>
  <c r="V9"/>
  <c r="AH9" s="1"/>
  <c r="AC13"/>
  <c r="AC24"/>
  <c r="AC93"/>
  <c r="V21"/>
  <c r="AH21" s="1"/>
  <c r="U21"/>
  <c r="AC64"/>
  <c r="AL80"/>
  <c r="W67"/>
  <c r="AC26"/>
  <c r="AC56"/>
  <c r="V67"/>
  <c r="AH67" s="1"/>
  <c r="W68"/>
  <c r="V68"/>
  <c r="AH68" s="1"/>
  <c r="AC83"/>
  <c r="V98"/>
  <c r="AH98" s="1"/>
  <c r="AC27"/>
  <c r="W30"/>
  <c r="AC47"/>
  <c r="AC74"/>
  <c r="AC82"/>
  <c r="V85"/>
  <c r="AH85" s="1"/>
  <c r="W85"/>
  <c r="V86"/>
  <c r="AH86" s="1"/>
  <c r="W98"/>
  <c r="AC70"/>
  <c r="AC90"/>
  <c r="AC101"/>
  <c r="AC35" l="1"/>
  <c r="AF35"/>
  <c r="AI35" s="1"/>
  <c r="AD35"/>
  <c r="AE44"/>
  <c r="AE39"/>
  <c r="AE24"/>
  <c r="AL24" s="1"/>
  <c r="AE13"/>
  <c r="AL13" s="1"/>
  <c r="AE97"/>
  <c r="AL97" s="1"/>
  <c r="AE101"/>
  <c r="AL101" s="1"/>
  <c r="AE16"/>
  <c r="AL16" s="1"/>
  <c r="AE70"/>
  <c r="AL70" s="1"/>
  <c r="AE47"/>
  <c r="AL47" s="1"/>
  <c r="AE54"/>
  <c r="AL54" s="1"/>
  <c r="AE64"/>
  <c r="AL64" s="1"/>
  <c r="AE55"/>
  <c r="AL55" s="1"/>
  <c r="AD28"/>
  <c r="AF28"/>
  <c r="AI28" s="1"/>
  <c r="AF12"/>
  <c r="AI12" s="1"/>
  <c r="AD7"/>
  <c r="AF7"/>
  <c r="AI7" s="1"/>
  <c r="AE27"/>
  <c r="AL27" s="1"/>
  <c r="AD99"/>
  <c r="AF99"/>
  <c r="AI99" s="1"/>
  <c r="AE100"/>
  <c r="AL100" s="1"/>
  <c r="AD95"/>
  <c r="AF95"/>
  <c r="AI95" s="1"/>
  <c r="AD17"/>
  <c r="AC17"/>
  <c r="AC107"/>
  <c r="AD107" s="1"/>
  <c r="AE78"/>
  <c r="AL78" s="1"/>
  <c r="AC12"/>
  <c r="AD12"/>
  <c r="AC95"/>
  <c r="AI17"/>
  <c r="AC99"/>
  <c r="AC28"/>
  <c r="AE94"/>
  <c r="AL94" s="1"/>
  <c r="AL43"/>
  <c r="AE66"/>
  <c r="AL66" s="1"/>
  <c r="AE83"/>
  <c r="AL83" s="1"/>
  <c r="AE56"/>
  <c r="AL56" s="1"/>
  <c r="AE59"/>
  <c r="AL59" s="1"/>
  <c r="AE74"/>
  <c r="AL74" s="1"/>
  <c r="AE20"/>
  <c r="AL20" s="1"/>
  <c r="AE8"/>
  <c r="AL8" s="1"/>
  <c r="AE72"/>
  <c r="AL72" s="1"/>
  <c r="AE25"/>
  <c r="AL25" s="1"/>
  <c r="AE92"/>
  <c r="AL92" s="1"/>
  <c r="AE58"/>
  <c r="AL58" s="1"/>
  <c r="AE26"/>
  <c r="AL26" s="1"/>
  <c r="AE88"/>
  <c r="AL88" s="1"/>
  <c r="AE93"/>
  <c r="AL93" s="1"/>
  <c r="AE82"/>
  <c r="AL82" s="1"/>
  <c r="AE10"/>
  <c r="AL10" s="1"/>
  <c r="AE11"/>
  <c r="AL11" s="1"/>
  <c r="AE90"/>
  <c r="AL90" s="1"/>
  <c r="AI32"/>
  <c r="AI98"/>
  <c r="AI86"/>
  <c r="AI52"/>
  <c r="AI51"/>
  <c r="AI65"/>
  <c r="AI53"/>
  <c r="AI79"/>
  <c r="AI19"/>
  <c r="AI9"/>
  <c r="AI67"/>
  <c r="AI21"/>
  <c r="AI30"/>
  <c r="AI14"/>
  <c r="AI68"/>
  <c r="AI85"/>
  <c r="AH104"/>
  <c r="AC52"/>
  <c r="AE52" s="1"/>
  <c r="AL52" s="1"/>
  <c r="AC53"/>
  <c r="AE53" s="1"/>
  <c r="AL53" s="1"/>
  <c r="AC86"/>
  <c r="AE86" s="1"/>
  <c r="AL86" s="1"/>
  <c r="AC30"/>
  <c r="AE30" s="1"/>
  <c r="AL30" s="1"/>
  <c r="AC46"/>
  <c r="AI46"/>
  <c r="AI22"/>
  <c r="AI84"/>
  <c r="AC50"/>
  <c r="AI50"/>
  <c r="AC48"/>
  <c r="AI48"/>
  <c r="AC57"/>
  <c r="AI57"/>
  <c r="AC81"/>
  <c r="AI81"/>
  <c r="AC19"/>
  <c r="AE19" s="1"/>
  <c r="AL19" s="1"/>
  <c r="AC22"/>
  <c r="AC67"/>
  <c r="AE67" s="1"/>
  <c r="AL67" s="1"/>
  <c r="AC68"/>
  <c r="AE68" s="1"/>
  <c r="AL68" s="1"/>
  <c r="AC51"/>
  <c r="AE51" s="1"/>
  <c r="AL51" s="1"/>
  <c r="AC32"/>
  <c r="AE32" s="1"/>
  <c r="AL32" s="1"/>
  <c r="AC14"/>
  <c r="AE14" s="1"/>
  <c r="AL14" s="1"/>
  <c r="U104"/>
  <c r="AC65"/>
  <c r="AE65" s="1"/>
  <c r="AL65" s="1"/>
  <c r="AC79"/>
  <c r="AE79" s="1"/>
  <c r="AL79" s="1"/>
  <c r="AC98"/>
  <c r="AE98" s="1"/>
  <c r="AL98" s="1"/>
  <c r="V104"/>
  <c r="W104"/>
  <c r="AC7"/>
  <c r="Q104"/>
  <c r="AC84"/>
  <c r="AC21"/>
  <c r="AE21" s="1"/>
  <c r="AL21" s="1"/>
  <c r="AC9"/>
  <c r="AE9" s="1"/>
  <c r="AL9" s="1"/>
  <c r="AC85"/>
  <c r="AE85" s="1"/>
  <c r="AL85" s="1"/>
  <c r="AE35" l="1"/>
  <c r="AL35" s="1"/>
  <c r="AE99"/>
  <c r="AL99" s="1"/>
  <c r="AE28"/>
  <c r="AL28" s="1"/>
  <c r="AL39"/>
  <c r="AE17"/>
  <c r="AL17" s="1"/>
  <c r="AE95"/>
  <c r="AL95" s="1"/>
  <c r="AE107"/>
  <c r="AF107"/>
  <c r="AI107" s="1"/>
  <c r="AI110" s="1"/>
  <c r="AI111" s="1"/>
  <c r="AE12"/>
  <c r="AL12" s="1"/>
  <c r="AL44"/>
  <c r="AE22"/>
  <c r="AL22" s="1"/>
  <c r="AE48"/>
  <c r="AE46"/>
  <c r="AL46" s="1"/>
  <c r="AE84"/>
  <c r="AL84" s="1"/>
  <c r="AE50"/>
  <c r="AL50" s="1"/>
  <c r="AE57"/>
  <c r="AL57" s="1"/>
  <c r="AE81"/>
  <c r="AL81" s="1"/>
  <c r="AB104"/>
  <c r="AC104"/>
  <c r="AE7"/>
  <c r="AL7" s="1"/>
  <c r="AD104"/>
  <c r="AI104"/>
  <c r="AF104"/>
  <c r="AL104" l="1"/>
  <c r="AI105"/>
  <c r="AI106" s="1"/>
  <c r="AE104"/>
  <c r="D21" i="3" l="1"/>
  <c r="E21" s="1"/>
  <c r="G21" s="1"/>
  <c r="D20"/>
  <c r="E20" s="1"/>
  <c r="G20" s="1"/>
  <c r="D13"/>
  <c r="E13" s="1"/>
  <c r="G13" s="1"/>
  <c r="D12"/>
  <c r="E12" s="1"/>
  <c r="G12" s="1"/>
  <c r="D8"/>
  <c r="E8" s="1"/>
  <c r="G8" s="1"/>
  <c r="D26"/>
  <c r="E26" s="1"/>
  <c r="G26" s="1"/>
  <c r="D25"/>
  <c r="E25" s="1"/>
  <c r="G25" s="1"/>
  <c r="D24"/>
  <c r="E24" s="1"/>
  <c r="G24" s="1"/>
  <c r="D23"/>
  <c r="E23" s="1"/>
  <c r="G23" s="1"/>
  <c r="D22"/>
  <c r="E22" s="1"/>
  <c r="G22" s="1"/>
  <c r="D19"/>
  <c r="E19" s="1"/>
  <c r="G19" s="1"/>
  <c r="D18"/>
  <c r="E18" s="1"/>
  <c r="D17"/>
  <c r="E17" s="1"/>
  <c r="G17" s="1"/>
  <c r="D16"/>
  <c r="E16" s="1"/>
  <c r="G16" s="1"/>
  <c r="D15"/>
  <c r="E15" s="1"/>
  <c r="G15" s="1"/>
  <c r="D14"/>
  <c r="E14" s="1"/>
  <c r="G14" s="1"/>
  <c r="D11"/>
  <c r="E11" s="1"/>
  <c r="G11" s="1"/>
  <c r="D10"/>
  <c r="E10" s="1"/>
  <c r="G10" s="1"/>
  <c r="D9"/>
  <c r="E9" s="1"/>
  <c r="G9" s="1"/>
  <c r="D7"/>
  <c r="E7" s="1"/>
  <c r="G7" s="1"/>
  <c r="C9" i="2"/>
  <c r="C8"/>
  <c r="D28" i="3" l="1"/>
  <c r="G28"/>
</calcChain>
</file>

<file path=xl/sharedStrings.xml><?xml version="1.0" encoding="utf-8"?>
<sst xmlns="http://schemas.openxmlformats.org/spreadsheetml/2006/main" count="538" uniqueCount="299">
  <si>
    <t>Puesto</t>
  </si>
  <si>
    <t xml:space="preserve">García Espinoza Ma De la Luz </t>
  </si>
  <si>
    <t>Sánchez Villeda Ma. Del Rosario</t>
  </si>
  <si>
    <t xml:space="preserve">Garnica Téllez Adriana Miriam </t>
  </si>
  <si>
    <t>Padron Lorenzo Christian Josue</t>
  </si>
  <si>
    <t xml:space="preserve">Suarez Martínez Salvador </t>
  </si>
  <si>
    <t xml:space="preserve">Gómez López Jaime </t>
  </si>
  <si>
    <t>Islas Romero Juan Carlos</t>
  </si>
  <si>
    <t>Joachin Cardenas Epifanio</t>
  </si>
  <si>
    <t>Garcia Barrera Luis Alberto</t>
  </si>
  <si>
    <t>Bautista Valencia Jorge</t>
  </si>
  <si>
    <t xml:space="preserve">González Mejía Jesús Eduardo </t>
  </si>
  <si>
    <t>Godinez Aviles Efrén</t>
  </si>
  <si>
    <t>Farias Delgado Marco Polo</t>
  </si>
  <si>
    <t>Martinez Gaytan Erika</t>
  </si>
  <si>
    <t>Martinez Barragan Enoc</t>
  </si>
  <si>
    <t>Escamilla Hinojosa Ma. Esther</t>
  </si>
  <si>
    <t>TOTAL NOMINA</t>
  </si>
  <si>
    <t>Orozco Ordoñez Jose Domingo</t>
  </si>
  <si>
    <t>Rodriguez Ponce Zozimo Enoch</t>
  </si>
  <si>
    <t>Diaz Gutierrez Juan Francisco</t>
  </si>
  <si>
    <t>Cortes Trejo German</t>
  </si>
  <si>
    <t>Consultores &amp; Asesores Integrales S.C.</t>
  </si>
  <si>
    <t>Servicios Prestados a :  ALECSA PACHUCA S DE RL DE CV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</si>
  <si>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</si>
  <si>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</si>
  <si>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</si>
  <si>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</si>
  <si>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</si>
  <si>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</si>
  <si>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</si>
  <si>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Sueldo Quincenal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</si>
  <si>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</si>
  <si>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</si>
  <si>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</si>
  <si>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</si>
  <si>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</si>
  <si>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</si>
  <si>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</si>
  <si>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CORONA ESCOBAR GUADALUPE</t>
  </si>
  <si>
    <t>SOLIS MEDINA GUADALUPE BEATRIZ</t>
  </si>
  <si>
    <t>QUINCENAL</t>
  </si>
  <si>
    <t>ANUAL</t>
  </si>
  <si>
    <t>GASTOS MEDICOS MAYORES</t>
  </si>
  <si>
    <t>Descuentos Infonavit 2016</t>
  </si>
  <si>
    <t>25 %</t>
  </si>
  <si>
    <t>Leon Sanchez Ernesto</t>
  </si>
  <si>
    <t>%</t>
  </si>
  <si>
    <t>CF</t>
  </si>
  <si>
    <t>VSM</t>
  </si>
  <si>
    <t>MENSUAL</t>
  </si>
  <si>
    <t>BAJA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</si>
  <si>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</si>
  <si>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</si>
  <si>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</si>
  <si>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</si>
  <si>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</si>
  <si>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</si>
  <si>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</si>
  <si>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</si>
  <si>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</si>
  <si>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</si>
  <si>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sub   S/N</t>
  </si>
  <si>
    <t>CONSULTORES</t>
  </si>
  <si>
    <t>FIJO / VARIABLE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</si>
  <si>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</si>
  <si>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</si>
  <si>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</si>
  <si>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</si>
  <si>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</si>
  <si>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</si>
  <si>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</si>
  <si>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</si>
  <si>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</si>
  <si>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</si>
  <si>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</si>
  <si>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</si>
  <si>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</si>
  <si>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</si>
  <si>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</si>
  <si>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</si>
  <si>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</si>
  <si>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</si>
  <si>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</si>
  <si>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</si>
  <si>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</si>
  <si>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</si>
  <si>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CHG</t>
  </si>
  <si>
    <t>HS11</t>
  </si>
  <si>
    <t>ML23</t>
  </si>
  <si>
    <t>OB15</t>
  </si>
  <si>
    <t>PP05</t>
  </si>
  <si>
    <t>RB08</t>
  </si>
  <si>
    <t>SL08</t>
  </si>
  <si>
    <t>SR27</t>
  </si>
  <si>
    <t>TG06</t>
  </si>
  <si>
    <t>VM21</t>
  </si>
  <si>
    <t>VR23</t>
  </si>
  <si>
    <t>BC22</t>
  </si>
  <si>
    <t>CO16</t>
  </si>
  <si>
    <t>CO02</t>
  </si>
  <si>
    <t>DC20</t>
  </si>
  <si>
    <t>RA13</t>
  </si>
  <si>
    <t>RV23</t>
  </si>
  <si>
    <t>SC25</t>
  </si>
  <si>
    <t>CM22</t>
  </si>
  <si>
    <t>CO24</t>
  </si>
  <si>
    <t>LO14</t>
  </si>
  <si>
    <t>MPJ04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</si>
  <si>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</si>
  <si>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</si>
  <si>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</si>
  <si>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</si>
  <si>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</si>
  <si>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</si>
  <si>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</si>
  <si>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</si>
  <si>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</si>
  <si>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</si>
  <si>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</si>
  <si>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</si>
  <si>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</si>
  <si>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RG12</t>
  </si>
  <si>
    <t>RH14</t>
  </si>
  <si>
    <t>SG05</t>
  </si>
  <si>
    <t>SH17</t>
  </si>
  <si>
    <t>VM14</t>
  </si>
  <si>
    <t>AG07</t>
  </si>
  <si>
    <t>AZ14</t>
  </si>
  <si>
    <t>BL011</t>
  </si>
  <si>
    <t>GO01</t>
  </si>
  <si>
    <t>HS08</t>
  </si>
  <si>
    <t>JH19</t>
  </si>
  <si>
    <t>LR05</t>
  </si>
  <si>
    <t>MC14</t>
  </si>
  <si>
    <t>MH09</t>
  </si>
  <si>
    <t>MH25</t>
  </si>
  <si>
    <t>NB02</t>
  </si>
  <si>
    <t>PG04</t>
  </si>
  <si>
    <t>RR05</t>
  </si>
  <si>
    <t>TS31</t>
  </si>
  <si>
    <t>VG25</t>
  </si>
  <si>
    <t>HOJALATERO Y PINTOR</t>
  </si>
  <si>
    <t>PREPARADOR</t>
  </si>
  <si>
    <t>HOJALATERO</t>
  </si>
  <si>
    <t>HOJALATERO PINTOR</t>
  </si>
  <si>
    <t>ARMADOR</t>
  </si>
  <si>
    <t>PINTOR</t>
  </si>
  <si>
    <t>AYUDANTE DE HOJALATE</t>
  </si>
  <si>
    <t>AYUDANTE GENERAL</t>
  </si>
  <si>
    <t>TELEMARKETING</t>
  </si>
  <si>
    <t>VIGILANTE</t>
  </si>
  <si>
    <t>ASESOR DE VENTAS SEM</t>
  </si>
  <si>
    <t>AYUDANTE DE MECANICO</t>
  </si>
  <si>
    <t>AYUDANTE DE GENERAL</t>
  </si>
  <si>
    <t>OPERARIO B</t>
  </si>
  <si>
    <t>AYUDANTE GENERAL DE</t>
  </si>
  <si>
    <t>OPERARIO A</t>
  </si>
  <si>
    <t>TECNICO C</t>
  </si>
  <si>
    <t>ESTETICAS</t>
  </si>
  <si>
    <t>OPERARIO</t>
  </si>
  <si>
    <t>AHORRO CTM</t>
  </si>
  <si>
    <t>PRESTAMO CTM</t>
  </si>
  <si>
    <t>DISPERCION</t>
  </si>
  <si>
    <t>DIFERENCIA</t>
  </si>
  <si>
    <t>MARTINEZ ALVARADO ADRIAN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</si>
  <si>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</si>
  <si>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</si>
  <si>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</si>
  <si>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</si>
  <si>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</si>
  <si>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</si>
  <si>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</si>
  <si>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</si>
  <si>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</si>
  <si>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</si>
  <si>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CORTES HERNANDEZ GERMAN</t>
  </si>
  <si>
    <t>VIGUERAS MARTINEZ JUAN CARLOS</t>
  </si>
  <si>
    <t>SANCHEZ RODRIGUEZ FREDY</t>
  </si>
  <si>
    <t>CUOTA SINDICAL 1%</t>
  </si>
  <si>
    <t>FONDO DE AHORRO 4.9%</t>
  </si>
  <si>
    <t>RIVERA GONZALEZ JOSE ADAN</t>
  </si>
  <si>
    <t>MIJANGOS HERNANDEZ JULIO CESAR</t>
  </si>
  <si>
    <t>REYES FLORES ALAN RICARDO</t>
  </si>
  <si>
    <t>RF27</t>
  </si>
  <si>
    <t>AGUILAR GONZALEZ ANAEL</t>
  </si>
  <si>
    <t>ARROYO ZARAZUA GILBERTO</t>
  </si>
  <si>
    <t>HERNANDEZ SOLIS GUMERCINDO</t>
  </si>
  <si>
    <t>MIRANDA PEON JULIO CESAR</t>
  </si>
  <si>
    <t>CRUZ ORTIZ JUAN ANTONIO</t>
  </si>
  <si>
    <t>FONSECA GUILLEN JOSE FELIPE</t>
  </si>
  <si>
    <t>HERNANDEZ SILVA EDGAR SAMUEL</t>
  </si>
  <si>
    <t>RAMIREZ BAUTISTA MARCOS SAMUEL</t>
  </si>
  <si>
    <t>MARTINEZ LORENZO LUIS ALEJANDRO</t>
  </si>
  <si>
    <t>AGUILAR BRAVO CRISTIAN SAUL</t>
  </si>
  <si>
    <t>RODRIGUEZ RODRIGUEZ ANUAR</t>
  </si>
  <si>
    <t>TINOCO LOPEZ ALFREDO</t>
  </si>
  <si>
    <t>ASESOR SERVICIO</t>
  </si>
  <si>
    <t>NUÑEZ DE JESUS JOSE DANIEL</t>
  </si>
  <si>
    <t>RIVERA AGUILAR GABRIEL</t>
  </si>
  <si>
    <t>CASTILLO ORDOÑEZ JORGE</t>
  </si>
  <si>
    <t>FECHA DE INICIO</t>
  </si>
  <si>
    <t>ANAEL</t>
  </si>
  <si>
    <t xml:space="preserve">HERNANDEZ CHAVEZ PEDRO </t>
  </si>
  <si>
    <t>ARTURO</t>
  </si>
  <si>
    <t>COACH</t>
  </si>
  <si>
    <t>ADMON VENTAS</t>
  </si>
  <si>
    <t>MOISES</t>
  </si>
  <si>
    <t>LOBATO RECAMIER ROSELLIN</t>
  </si>
  <si>
    <t>CUENTA</t>
  </si>
  <si>
    <t>OBSERVACIONES</t>
  </si>
  <si>
    <t>BERDEJA LEON FRANCISCO</t>
  </si>
  <si>
    <t>MALDONADO HERNANDEZ ERICK</t>
  </si>
  <si>
    <t>NORIA BADILLO JUAN JOSE</t>
  </si>
  <si>
    <t>MARTINEZ GALLEGOS LUIS FERNANDO</t>
  </si>
  <si>
    <t>MG</t>
  </si>
  <si>
    <t>CARRASCO TOVAR ARTURO</t>
  </si>
  <si>
    <t>CASTAÑON TAVARES MANUEL</t>
  </si>
  <si>
    <t>ARMENTA LUJANO CARLOS</t>
  </si>
  <si>
    <t>LAVADOR</t>
  </si>
  <si>
    <t>SUAREZ LUNA EFREN AGUSTIN</t>
  </si>
  <si>
    <t>RESENDIZ CAMPUZANO ISRAEL</t>
  </si>
  <si>
    <t>TORIBIO DEL ANGEL OSCAR</t>
  </si>
  <si>
    <t>UNIFORMES</t>
  </si>
  <si>
    <t>PALETA GUADARRAMA RICARDO</t>
  </si>
  <si>
    <t>Subsidio</t>
  </si>
  <si>
    <t>NM01</t>
  </si>
  <si>
    <t>ESPECIALES</t>
  </si>
  <si>
    <t xml:space="preserve">AGUILAR PEREZ MARCOS ARTEMIO </t>
  </si>
  <si>
    <t>CORONEL DE LEON JONATHAN</t>
  </si>
  <si>
    <t>MORALES SANCHEZ ANGEL</t>
  </si>
  <si>
    <t>MS00</t>
  </si>
  <si>
    <t>OSCAR</t>
  </si>
  <si>
    <t>COACH DE VENTAS SEMINUEVOS</t>
  </si>
  <si>
    <t>SERENO CUELLAR JUVENAL</t>
  </si>
  <si>
    <t>MONTES DE OCA JUAREZ JOSE ANTONIO</t>
  </si>
  <si>
    <t>NIETO MEDINA PEDRO EMMANUEL</t>
  </si>
  <si>
    <t>23/03/2016 AL 29/03/2016</t>
  </si>
  <si>
    <t>Periodo Semana 13</t>
  </si>
  <si>
    <t>Num. Cuenta</t>
  </si>
  <si>
    <t>GARCIA HUERTA ALAN</t>
  </si>
  <si>
    <t>AYUDANTE DE HOJALATERIA</t>
  </si>
  <si>
    <t>DISPERSION</t>
  </si>
  <si>
    <t>Incapacidad</t>
  </si>
  <si>
    <t>INCAPACIDADES</t>
  </si>
  <si>
    <t>HUGO RANGEL ZUÑIGA</t>
  </si>
  <si>
    <t>QUILLO ARRIAGA OSIEL JONATHAN</t>
  </si>
  <si>
    <t>BARRAGAN SERRANO HECTOR TONATIUH</t>
  </si>
  <si>
    <t>RODRIGUEZ VENTURA CARLOS JAVIER</t>
  </si>
  <si>
    <t>CORTES MIRANDA CARLOS ARMANDO</t>
  </si>
  <si>
    <t>TIRADO SAAVEDRA CARLOS ALEJANDRO</t>
  </si>
  <si>
    <t>CORTEZ OVANDO FAUSTINO ALI</t>
  </si>
  <si>
    <t>OLVERA BAUTISTA J. DOLORES GILBERTO</t>
  </si>
  <si>
    <t>ARIS</t>
  </si>
  <si>
    <t>VALDEZ MARTINEZ JOSE MARTIN</t>
  </si>
  <si>
    <t>RESENDIZ ECHEVERRIA MARIO ALBERTO</t>
  </si>
  <si>
    <t>MEDINA CASTRO CARLOS MANUEL</t>
  </si>
  <si>
    <t>SALDAÑA GARCIA MARCO ANTONIO</t>
  </si>
  <si>
    <t>ARVIZU RODRIGUEZ ALEJANDRO URIEL</t>
  </si>
  <si>
    <t>GUTIERREZ OLVERA MARIHURI</t>
  </si>
  <si>
    <t>JIMENEZ HERNANDEZ JULIO CESAR</t>
  </si>
  <si>
    <t>BARCENAS COMENERO JORGE ALEJANDRO</t>
  </si>
  <si>
    <t>GRANADOS PEREZ BRENDA LAURA</t>
  </si>
  <si>
    <t>DOMINGUEZ ALCANTARA MIGUEL ANGEL</t>
  </si>
  <si>
    <t>MELENDEZ PADILLA CLAUDIA CRISTINA</t>
  </si>
  <si>
    <t>Sueldo Semanal</t>
  </si>
  <si>
    <t>OLVERA TAPIA SERGIO ANIRAK</t>
  </si>
  <si>
    <t>ENRIQUEZ RUBIO FERNANDO</t>
  </si>
  <si>
    <t>SANTIAGO MATILDE URIEL</t>
  </si>
  <si>
    <t>BLANCO SALOMON RACIEL</t>
  </si>
  <si>
    <t>AYUDANTE DE HyP</t>
  </si>
  <si>
    <t>FEREGRINO RAMIREZ JUAN MANUEL</t>
  </si>
  <si>
    <t>TRONCOSO PEÑA GERARDO</t>
  </si>
  <si>
    <t>PATIÑO NAVARRO OSCAR MARTIN</t>
  </si>
  <si>
    <t>HEREDIA HERNANDEZ ANDREA</t>
  </si>
  <si>
    <t>HERNANDEZ ARREOLA RODOLFO MAYOLO</t>
  </si>
  <si>
    <t>ENCARGADO DE MTTO.</t>
  </si>
  <si>
    <t>MORALES ROSAS ISRAEL</t>
  </si>
  <si>
    <t>SANCHEZ LOPEZ GABRIEL</t>
  </si>
  <si>
    <t>GUTIERREZ OLVERA ARMANDO</t>
  </si>
  <si>
    <t>HURTADO PAJARO JOSE</t>
  </si>
  <si>
    <t>HP16</t>
  </si>
  <si>
    <t>JEFE DE TALLER</t>
  </si>
  <si>
    <t>VALUADOR</t>
  </si>
  <si>
    <t>GALLEGOS RAMIREZ JOSE</t>
  </si>
  <si>
    <t>TECNICO</t>
  </si>
  <si>
    <t>REYES ARMADILLO JORGE ANDRES</t>
  </si>
  <si>
    <t>SIFUNTES SARDUA DAYAN JESUS</t>
  </si>
  <si>
    <t>LOPEZ MIRELES ERICK</t>
  </si>
  <si>
    <t>FALTAS</t>
  </si>
  <si>
    <t>INCAPACIDAD TODA LA SEMANA</t>
  </si>
  <si>
    <t>GUERRERO GOMEZ MARVIN NOE</t>
  </si>
  <si>
    <t>NUMERO DE CUENTA BANCOMER: 1171646753</t>
  </si>
  <si>
    <t>Periodo Semana 27</t>
  </si>
  <si>
    <t>27/06/2016 AL 05/07/2016</t>
  </si>
  <si>
    <t>GUALITO GARCIA GERARDO</t>
  </si>
  <si>
    <t xml:space="preserve"> CTA  2948779422 </t>
  </si>
  <si>
    <t>INCAPACIDAD DE 28 DIAS</t>
  </si>
  <si>
    <t>NO SE LE DESCONTO EL SEGUNDO BIMESTRE EL SUA $1813.54 + LO DE ESTE BIMESTRE $226.69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</si>
</sst>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.00_);\-#,##0.00"/>
    <numFmt numFmtId="165" formatCode="dd/mm/yy"/>
  </numFmts>
  <fonts count="20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Verdana"/>
      <family val="2"/>
    </font>
    <font>
      <b/>
      <sz val="18"/>
      <color indexed="60"/>
      <name val="Verdana"/>
      <family val="2"/>
    </font>
    <font>
      <b/>
      <sz val="14"/>
      <color indexed="48"/>
      <name val="Verdana"/>
      <family val="2"/>
    </font>
    <font>
      <b/>
      <sz val="12"/>
      <color indexed="60"/>
      <name val="Verdana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43" fontId="1" fillId="0" borderId="0" applyFill="0" applyBorder="0" applyAlignment="0" applyProtection="0"/>
    <xf numFmtId="0" fontId="3" fillId="0" borderId="0"/>
    <xf numFmtId="0" fontId="1" fillId="0" borderId="0"/>
  </cellStyleXfs>
  <cellXfs count="162">
    <xf numFmtId="0" fontId="0" fillId="0" borderId="0" xfId="0"/>
    <xf numFmtId="0" fontId="4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left"/>
    </xf>
    <xf numFmtId="15" fontId="6" fillId="0" borderId="0" xfId="3" applyNumberFormat="1" applyFont="1" applyFill="1" applyAlignment="1" applyProtection="1">
      <alignment horizontal="left"/>
    </xf>
    <xf numFmtId="43" fontId="1" fillId="0" borderId="0" xfId="2"/>
    <xf numFmtId="0" fontId="2" fillId="0" borderId="1" xfId="0" applyFont="1" applyFill="1" applyBorder="1"/>
    <xf numFmtId="49" fontId="2" fillId="0" borderId="1" xfId="0" applyNumberFormat="1" applyFont="1" applyFill="1" applyBorder="1"/>
    <xf numFmtId="4" fontId="2" fillId="0" borderId="1" xfId="0" applyNumberFormat="1" applyFont="1" applyFill="1" applyBorder="1"/>
    <xf numFmtId="4" fontId="2" fillId="0" borderId="0" xfId="0" applyNumberFormat="1" applyFont="1" applyFill="1" applyBorder="1"/>
    <xf numFmtId="164" fontId="8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43" fontId="0" fillId="0" borderId="0" xfId="2" applyFont="1"/>
    <xf numFmtId="0" fontId="10" fillId="0" borderId="0" xfId="3" applyFont="1" applyFill="1" applyAlignment="1" applyProtection="1">
      <alignment horizontal="left"/>
    </xf>
    <xf numFmtId="0" fontId="10" fillId="0" borderId="0" xfId="3" applyFont="1" applyFill="1" applyAlignment="1" applyProtection="1">
      <alignment horizontal="center"/>
    </xf>
    <xf numFmtId="43" fontId="11" fillId="0" borderId="0" xfId="2" applyFont="1" applyFill="1" applyAlignment="1" applyProtection="1">
      <alignment horizontal="center"/>
    </xf>
    <xf numFmtId="43" fontId="12" fillId="0" borderId="0" xfId="2" applyFont="1" applyFill="1" applyAlignment="1" applyProtection="1">
      <alignment horizontal="center"/>
    </xf>
    <xf numFmtId="0" fontId="11" fillId="0" borderId="0" xfId="0" applyFont="1" applyFill="1" applyProtection="1"/>
    <xf numFmtId="0" fontId="11" fillId="0" borderId="0" xfId="0" applyFont="1" applyProtection="1"/>
    <xf numFmtId="0" fontId="13" fillId="0" borderId="0" xfId="3" applyFont="1" applyFill="1" applyAlignment="1" applyProtection="1">
      <alignment horizontal="left"/>
    </xf>
    <xf numFmtId="0" fontId="13" fillId="0" borderId="0" xfId="3" applyFont="1" applyFill="1" applyAlignment="1" applyProtection="1">
      <alignment horizontal="center"/>
    </xf>
    <xf numFmtId="15" fontId="10" fillId="0" borderId="0" xfId="3" applyNumberFormat="1" applyFont="1" applyFill="1" applyAlignment="1" applyProtection="1">
      <alignment horizontal="left"/>
    </xf>
    <xf numFmtId="15" fontId="10" fillId="0" borderId="0" xfId="3" applyNumberFormat="1" applyFont="1" applyFill="1" applyAlignment="1" applyProtection="1">
      <alignment horizontal="center"/>
    </xf>
    <xf numFmtId="0" fontId="12" fillId="0" borderId="0" xfId="0" applyFont="1"/>
    <xf numFmtId="43" fontId="11" fillId="0" borderId="0" xfId="2" applyFont="1"/>
    <xf numFmtId="43" fontId="12" fillId="0" borderId="0" xfId="2" applyFont="1"/>
    <xf numFmtId="43" fontId="11" fillId="0" borderId="0" xfId="2" applyFont="1" applyFill="1"/>
    <xf numFmtId="0" fontId="12" fillId="0" borderId="0" xfId="0" applyFont="1" applyFill="1"/>
    <xf numFmtId="0" fontId="11" fillId="0" borderId="1" xfId="0" applyFont="1" applyBorder="1"/>
    <xf numFmtId="0" fontId="11" fillId="0" borderId="0" xfId="0" applyFont="1" applyFill="1"/>
    <xf numFmtId="0" fontId="11" fillId="0" borderId="0" xfId="0" applyFont="1"/>
    <xf numFmtId="0" fontId="14" fillId="0" borderId="0" xfId="0" applyFont="1"/>
    <xf numFmtId="0" fontId="11" fillId="10" borderId="0" xfId="0" applyFont="1" applyFill="1"/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Border="1"/>
    <xf numFmtId="43" fontId="12" fillId="8" borderId="2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vertical="center" wrapText="1"/>
    </xf>
    <xf numFmtId="43" fontId="1" fillId="0" borderId="0" xfId="2" applyProtection="1"/>
    <xf numFmtId="43" fontId="1" fillId="0" borderId="0" xfId="2" applyFill="1"/>
    <xf numFmtId="43" fontId="12" fillId="8" borderId="1" xfId="2" applyFont="1" applyFill="1" applyBorder="1" applyAlignment="1">
      <alignment horizontal="center" wrapText="1"/>
    </xf>
    <xf numFmtId="43" fontId="12" fillId="8" borderId="8" xfId="2" applyFont="1" applyFill="1" applyBorder="1" applyAlignment="1">
      <alignment horizontal="center" vertical="center" wrapText="1"/>
    </xf>
    <xf numFmtId="43" fontId="12" fillId="8" borderId="8" xfId="2" applyFont="1" applyFill="1" applyBorder="1" applyAlignment="1">
      <alignment horizontal="center" wrapText="1"/>
    </xf>
    <xf numFmtId="43" fontId="1" fillId="8" borderId="2" xfId="2" applyFill="1" applyBorder="1" applyAlignment="1">
      <alignment horizontal="center" vertical="center" wrapText="1"/>
    </xf>
    <xf numFmtId="0" fontId="12" fillId="0" borderId="6" xfId="0" applyFont="1" applyFill="1" applyBorder="1"/>
    <xf numFmtId="0" fontId="11" fillId="0" borderId="8" xfId="0" applyFont="1" applyFill="1" applyBorder="1"/>
    <xf numFmtId="43" fontId="11" fillId="0" borderId="8" xfId="2" applyFont="1" applyFill="1" applyBorder="1"/>
    <xf numFmtId="43" fontId="12" fillId="0" borderId="8" xfId="2" applyFont="1" applyFill="1" applyBorder="1"/>
    <xf numFmtId="0" fontId="11" fillId="0" borderId="7" xfId="0" applyFont="1" applyBorder="1"/>
    <xf numFmtId="0" fontId="11" fillId="2" borderId="7" xfId="0" applyFont="1" applyFill="1" applyBorder="1"/>
    <xf numFmtId="43" fontId="11" fillId="0" borderId="7" xfId="2" applyFont="1" applyBorder="1"/>
    <xf numFmtId="43" fontId="11" fillId="2" borderId="7" xfId="2" applyFont="1" applyFill="1" applyBorder="1"/>
    <xf numFmtId="43" fontId="12" fillId="3" borderId="7" xfId="2" applyFont="1" applyFill="1" applyBorder="1"/>
    <xf numFmtId="43" fontId="11" fillId="4" borderId="7" xfId="2" applyFont="1" applyFill="1" applyBorder="1"/>
    <xf numFmtId="43" fontId="11" fillId="0" borderId="7" xfId="2" applyFont="1" applyFill="1" applyBorder="1" applyAlignment="1">
      <alignment horizontal="center"/>
    </xf>
    <xf numFmtId="43" fontId="11" fillId="6" borderId="7" xfId="2" applyFont="1" applyFill="1" applyBorder="1" applyAlignment="1">
      <alignment horizontal="center"/>
    </xf>
    <xf numFmtId="43" fontId="1" fillId="0" borderId="7" xfId="2" applyFill="1" applyBorder="1"/>
    <xf numFmtId="0" fontId="11" fillId="0" borderId="7" xfId="0" applyFont="1" applyFill="1" applyBorder="1"/>
    <xf numFmtId="43" fontId="11" fillId="11" borderId="7" xfId="2" applyFont="1" applyFill="1" applyBorder="1"/>
    <xf numFmtId="14" fontId="11" fillId="0" borderId="7" xfId="0" applyNumberFormat="1" applyFont="1" applyFill="1" applyBorder="1"/>
    <xf numFmtId="43" fontId="11" fillId="0" borderId="7" xfId="2" applyFont="1" applyFill="1" applyBorder="1"/>
    <xf numFmtId="0" fontId="12" fillId="0" borderId="7" xfId="0" applyFont="1" applyFill="1" applyBorder="1"/>
    <xf numFmtId="12" fontId="11" fillId="0" borderId="7" xfId="2" applyNumberFormat="1" applyFont="1" applyFill="1" applyBorder="1"/>
    <xf numFmtId="0" fontId="11" fillId="0" borderId="7" xfId="0" applyFont="1" applyFill="1" applyBorder="1" applyAlignment="1">
      <alignment horizontal="right"/>
    </xf>
    <xf numFmtId="43" fontId="11" fillId="0" borderId="8" xfId="2" applyFont="1" applyFill="1" applyBorder="1" applyAlignment="1">
      <alignment horizontal="center"/>
    </xf>
    <xf numFmtId="0" fontId="12" fillId="0" borderId="7" xfId="0" applyFont="1" applyBorder="1"/>
    <xf numFmtId="43" fontId="12" fillId="0" borderId="7" xfId="2" applyFont="1" applyBorder="1"/>
    <xf numFmtId="43" fontId="12" fillId="12" borderId="7" xfId="2" applyFont="1" applyFill="1" applyBorder="1"/>
    <xf numFmtId="43" fontId="1" fillId="0" borderId="7" xfId="2" applyBorder="1"/>
    <xf numFmtId="0" fontId="12" fillId="7" borderId="7" xfId="0" applyFont="1" applyFill="1" applyBorder="1" applyAlignment="1">
      <alignment horizontal="center"/>
    </xf>
    <xf numFmtId="43" fontId="11" fillId="5" borderId="7" xfId="2" applyFont="1" applyFill="1" applyBorder="1" applyAlignment="1">
      <alignment horizontal="center"/>
    </xf>
    <xf numFmtId="43" fontId="1" fillId="3" borderId="7" xfId="2" applyFill="1" applyBorder="1"/>
    <xf numFmtId="0" fontId="0" fillId="0" borderId="7" xfId="0" applyFill="1" applyBorder="1"/>
    <xf numFmtId="0" fontId="12" fillId="7" borderId="5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43" fontId="12" fillId="8" borderId="1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vertical="center" wrapText="1"/>
    </xf>
    <xf numFmtId="43" fontId="12" fillId="8" borderId="8" xfId="2" applyFont="1" applyFill="1" applyBorder="1" applyAlignment="1">
      <alignment horizontal="center" vertical="center" wrapText="1"/>
    </xf>
    <xf numFmtId="43" fontId="11" fillId="10" borderId="7" xfId="2" applyFont="1" applyFill="1" applyBorder="1"/>
    <xf numFmtId="43" fontId="15" fillId="8" borderId="2" xfId="2" applyFont="1" applyFill="1" applyBorder="1" applyAlignment="1">
      <alignment horizontal="center" vertical="center" wrapText="1"/>
    </xf>
    <xf numFmtId="43" fontId="16" fillId="0" borderId="0" xfId="2" applyFont="1" applyProtection="1"/>
    <xf numFmtId="43" fontId="16" fillId="0" borderId="0" xfId="2" applyFont="1"/>
    <xf numFmtId="43" fontId="16" fillId="0" borderId="0" xfId="2" applyFont="1" applyFill="1"/>
    <xf numFmtId="43" fontId="16" fillId="0" borderId="7" xfId="2" applyFont="1" applyBorder="1"/>
    <xf numFmtId="43" fontId="16" fillId="3" borderId="7" xfId="2" applyFont="1" applyFill="1" applyBorder="1"/>
    <xf numFmtId="0" fontId="17" fillId="0" borderId="7" xfId="0" applyFont="1" applyFill="1" applyBorder="1"/>
    <xf numFmtId="4" fontId="17" fillId="0" borderId="7" xfId="0" applyNumberFormat="1" applyFont="1" applyFill="1" applyBorder="1"/>
    <xf numFmtId="0" fontId="12" fillId="13" borderId="7" xfId="0" applyFont="1" applyFill="1" applyBorder="1"/>
    <xf numFmtId="43" fontId="9" fillId="0" borderId="7" xfId="2" applyFont="1" applyFill="1" applyBorder="1"/>
    <xf numFmtId="0" fontId="10" fillId="0" borderId="0" xfId="3" applyFont="1" applyFill="1" applyAlignment="1" applyProtection="1">
      <alignment horizontal="center" vertical="center"/>
    </xf>
    <xf numFmtId="0" fontId="13" fillId="0" borderId="0" xfId="3" applyFont="1" applyFill="1" applyAlignment="1" applyProtection="1">
      <alignment horizontal="center" vertical="center"/>
    </xf>
    <xf numFmtId="15" fontId="10" fillId="0" borderId="0" xfId="3" applyNumberFormat="1" applyFont="1" applyFill="1" applyAlignment="1" applyProtection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2" fontId="11" fillId="0" borderId="7" xfId="0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3" fontId="12" fillId="0" borderId="7" xfId="2" applyFont="1" applyFill="1" applyBorder="1"/>
    <xf numFmtId="43" fontId="18" fillId="0" borderId="7" xfId="2" applyFont="1" applyFill="1" applyBorder="1"/>
    <xf numFmtId="2" fontId="11" fillId="0" borderId="7" xfId="0" applyNumberFormat="1" applyFont="1" applyFill="1" applyBorder="1"/>
    <xf numFmtId="43" fontId="18" fillId="11" borderId="7" xfId="2" applyFont="1" applyFill="1" applyBorder="1"/>
    <xf numFmtId="0" fontId="0" fillId="0" borderId="0" xfId="0" applyFill="1"/>
    <xf numFmtId="14" fontId="18" fillId="0" borderId="7" xfId="0" applyNumberFormat="1" applyFont="1" applyFill="1" applyBorder="1"/>
    <xf numFmtId="165" fontId="18" fillId="0" borderId="7" xfId="0" applyNumberFormat="1" applyFont="1" applyFill="1" applyBorder="1"/>
    <xf numFmtId="14" fontId="11" fillId="0" borderId="7" xfId="0" applyNumberFormat="1" applyFont="1" applyFill="1" applyBorder="1" applyAlignment="1"/>
    <xf numFmtId="0" fontId="12" fillId="14" borderId="7" xfId="0" applyFont="1" applyFill="1" applyBorder="1"/>
    <xf numFmtId="0" fontId="11" fillId="10" borderId="7" xfId="0" applyFont="1" applyFill="1" applyBorder="1"/>
    <xf numFmtId="0" fontId="18" fillId="0" borderId="7" xfId="0" applyFont="1" applyFill="1" applyBorder="1" applyAlignment="1">
      <alignment wrapText="1"/>
    </xf>
    <xf numFmtId="4" fontId="18" fillId="0" borderId="7" xfId="0" applyNumberFormat="1" applyFont="1" applyFill="1" applyBorder="1" applyAlignment="1">
      <alignment wrapText="1"/>
    </xf>
    <xf numFmtId="0" fontId="19" fillId="0" borderId="7" xfId="0" applyFont="1" applyFill="1" applyBorder="1"/>
    <xf numFmtId="165" fontId="18" fillId="0" borderId="7" xfId="0" applyNumberFormat="1" applyFont="1" applyFill="1" applyBorder="1" applyAlignment="1">
      <alignment horizontal="right" vertical="center"/>
    </xf>
    <xf numFmtId="43" fontId="1" fillId="0" borderId="7" xfId="2" applyFill="1" applyBorder="1" applyAlignment="1">
      <alignment horizontal="center" vertical="center"/>
    </xf>
    <xf numFmtId="0" fontId="11" fillId="10" borderId="7" xfId="0" applyFont="1" applyFill="1" applyBorder="1" applyAlignment="1">
      <alignment horizontal="center" vertical="center"/>
    </xf>
    <xf numFmtId="43" fontId="12" fillId="10" borderId="7" xfId="2" applyFont="1" applyFill="1" applyBorder="1"/>
    <xf numFmtId="43" fontId="11" fillId="10" borderId="7" xfId="2" applyFont="1" applyFill="1" applyBorder="1" applyAlignment="1">
      <alignment horizontal="center"/>
    </xf>
    <xf numFmtId="0" fontId="12" fillId="10" borderId="7" xfId="0" applyFont="1" applyFill="1" applyBorder="1"/>
    <xf numFmtId="14" fontId="11" fillId="10" borderId="7" xfId="4" applyNumberFormat="1" applyFont="1" applyFill="1" applyBorder="1" applyAlignment="1"/>
    <xf numFmtId="43" fontId="16" fillId="10" borderId="7" xfId="2" applyFont="1" applyFill="1" applyBorder="1"/>
    <xf numFmtId="43" fontId="1" fillId="10" borderId="7" xfId="2" applyFill="1" applyBorder="1"/>
    <xf numFmtId="43" fontId="11" fillId="0" borderId="1" xfId="2" applyFont="1" applyFill="1" applyBorder="1"/>
    <xf numFmtId="0" fontId="18" fillId="0" borderId="0" xfId="0" applyFont="1" applyFill="1"/>
    <xf numFmtId="4" fontId="11" fillId="0" borderId="7" xfId="0" applyNumberFormat="1" applyFont="1" applyFill="1" applyBorder="1" applyAlignment="1">
      <alignment horizontal="center" vertical="center"/>
    </xf>
    <xf numFmtId="0" fontId="18" fillId="0" borderId="7" xfId="0" applyFont="1" applyFill="1" applyBorder="1"/>
    <xf numFmtId="4" fontId="18" fillId="0" borderId="7" xfId="0" applyNumberFormat="1" applyFont="1" applyFill="1" applyBorder="1"/>
    <xf numFmtId="4" fontId="11" fillId="0" borderId="7" xfId="0" applyNumberFormat="1" applyFont="1" applyFill="1" applyBorder="1"/>
    <xf numFmtId="43" fontId="1" fillId="0" borderId="4" xfId="2" applyFill="1" applyBorder="1"/>
    <xf numFmtId="43" fontId="1" fillId="0" borderId="9" xfId="2" applyFill="1" applyBorder="1" applyAlignment="1">
      <alignment horizontal="center" vertical="center"/>
    </xf>
    <xf numFmtId="43" fontId="11" fillId="0" borderId="0" xfId="2" applyFont="1" applyFill="1" applyBorder="1"/>
    <xf numFmtId="43" fontId="11" fillId="0" borderId="7" xfId="0" applyNumberFormat="1" applyFont="1" applyFill="1" applyBorder="1"/>
    <xf numFmtId="43" fontId="12" fillId="8" borderId="2" xfId="2" applyFont="1" applyFill="1" applyBorder="1" applyAlignment="1">
      <alignment horizontal="center" wrapText="1"/>
    </xf>
    <xf numFmtId="14" fontId="11" fillId="0" borderId="7" xfId="0" applyNumberFormat="1" applyFont="1" applyBorder="1"/>
    <xf numFmtId="0" fontId="11" fillId="11" borderId="7" xfId="0" applyFont="1" applyFill="1" applyBorder="1"/>
    <xf numFmtId="165" fontId="18" fillId="11" borderId="7" xfId="0" applyNumberFormat="1" applyFont="1" applyFill="1" applyBorder="1"/>
    <xf numFmtId="43" fontId="1" fillId="11" borderId="7" xfId="2" applyFill="1" applyBorder="1" applyAlignment="1">
      <alignment horizontal="center" vertical="center"/>
    </xf>
    <xf numFmtId="43" fontId="9" fillId="11" borderId="7" xfId="2" applyFont="1" applyFill="1" applyBorder="1"/>
    <xf numFmtId="43" fontId="11" fillId="11" borderId="7" xfId="2" applyFont="1" applyFill="1" applyBorder="1" applyAlignment="1">
      <alignment horizontal="center"/>
    </xf>
    <xf numFmtId="0" fontId="18" fillId="11" borderId="7" xfId="0" applyFont="1" applyFill="1" applyBorder="1" applyAlignment="1">
      <alignment wrapText="1"/>
    </xf>
    <xf numFmtId="4" fontId="18" fillId="11" borderId="7" xfId="0" applyNumberFormat="1" applyFont="1" applyFill="1" applyBorder="1" applyAlignment="1">
      <alignment wrapText="1"/>
    </xf>
    <xf numFmtId="0" fontId="11" fillId="11" borderId="0" xfId="0" applyFont="1" applyFill="1"/>
    <xf numFmtId="0" fontId="12" fillId="13" borderId="7" xfId="0" applyFont="1" applyFill="1" applyBorder="1" applyAlignment="1">
      <alignment horizontal="center"/>
    </xf>
    <xf numFmtId="0" fontId="12" fillId="7" borderId="5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43" fontId="12" fillId="8" borderId="1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wrapText="1"/>
    </xf>
    <xf numFmtId="43" fontId="15" fillId="8" borderId="3" xfId="2" applyFont="1" applyFill="1" applyBorder="1" applyAlignment="1">
      <alignment horizontal="center" wrapText="1"/>
    </xf>
    <xf numFmtId="43" fontId="15" fillId="8" borderId="4" xfId="2" applyFont="1" applyFill="1" applyBorder="1" applyAlignment="1">
      <alignment horizontal="center" wrapText="1"/>
    </xf>
    <xf numFmtId="43" fontId="1" fillId="7" borderId="5" xfId="2" applyFill="1" applyBorder="1" applyAlignment="1">
      <alignment horizontal="center"/>
    </xf>
    <xf numFmtId="0" fontId="12" fillId="9" borderId="2" xfId="0" applyFont="1" applyFill="1" applyBorder="1" applyAlignment="1">
      <alignment horizontal="center" vertical="center" wrapText="1"/>
    </xf>
    <xf numFmtId="0" fontId="12" fillId="9" borderId="8" xfId="0" applyFont="1" applyFill="1" applyBorder="1" applyAlignment="1">
      <alignment horizontal="center" vertical="center" wrapText="1"/>
    </xf>
    <xf numFmtId="43" fontId="12" fillId="8" borderId="2" xfId="2" applyFont="1" applyFill="1" applyBorder="1" applyAlignment="1">
      <alignment horizontal="center" vertical="center" wrapText="1"/>
    </xf>
    <xf numFmtId="43" fontId="12" fillId="8" borderId="8" xfId="2" applyFont="1" applyFill="1" applyBorder="1" applyAlignment="1">
      <alignment horizontal="center" vertical="center" wrapText="1"/>
    </xf>
    <xf numFmtId="3" fontId="12" fillId="8" borderId="2" xfId="0" applyNumberFormat="1" applyFont="1" applyFill="1" applyBorder="1" applyAlignment="1">
      <alignment horizontal="center"/>
    </xf>
    <xf numFmtId="3" fontId="12" fillId="8" borderId="8" xfId="0" applyNumberFormat="1" applyFont="1" applyFill="1" applyBorder="1" applyAlignment="1">
      <alignment horizontal="center"/>
    </xf>
    <xf numFmtId="3" fontId="12" fillId="8" borderId="1" xfId="0" applyNumberFormat="1" applyFont="1" applyFill="1" applyBorder="1"/>
    <xf numFmtId="3" fontId="12" fillId="8" borderId="2" xfId="0" applyNumberFormat="1" applyFont="1" applyFill="1" applyBorder="1"/>
    <xf numFmtId="43" fontId="11" fillId="8" borderId="2" xfId="2" applyFont="1" applyFill="1" applyBorder="1" applyAlignment="1">
      <alignment horizontal="center" vertical="center" wrapText="1"/>
    </xf>
    <xf numFmtId="43" fontId="11" fillId="8" borderId="8" xfId="2" applyFont="1" applyFill="1" applyBorder="1" applyAlignment="1">
      <alignment horizontal="center" vertical="center" wrapText="1"/>
    </xf>
    <xf numFmtId="43" fontId="1" fillId="8" borderId="3" xfId="2" applyFill="1" applyBorder="1" applyAlignment="1">
      <alignment horizontal="center" wrapText="1"/>
    </xf>
    <xf numFmtId="43" fontId="1" fillId="8" borderId="4" xfId="2" applyFill="1" applyBorder="1" applyAlignment="1">
      <alignment horizontal="center" wrapText="1"/>
    </xf>
  </cellXfs>
  <cellStyles count="5">
    <cellStyle name="Excel Built-in Normal" xfId="1"/>
    <cellStyle name="Millares" xfId="2" builtinId="3"/>
    <cellStyle name="Normal" xfId="0" builtinId="0"/>
    <cellStyle name="Normal 4" xfId="4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F4B082"/>
      <color rgb="FFFF00FF"/>
      <color rgb="FF9999FF"/>
      <color rgb="FFBCD6EE"/>
      <color rgb="FF66CC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L130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5" sqref="B5:B6"/>
    </sheetView>
  </sheetViews>
  <sheetFormatPr baseColWidth="10" defaultColWidth="11.5703125" defaultRowHeight="15"/>
  <cols>
    <col min="1" max="1" width="28.7109375" style="29" customWidth="1"/>
    <col min="2" max="2" width="39.140625" style="29" customWidth="1"/>
    <col min="3" max="3" width="8.140625" style="29" customWidth="1"/>
    <col min="4" max="4" width="8.85546875" style="29" customWidth="1"/>
    <col min="5" max="5" width="31.5703125" style="29" customWidth="1"/>
    <col min="6" max="6" width="20.140625" style="29" customWidth="1"/>
    <col min="7" max="7" width="13" style="29" customWidth="1"/>
    <col min="8" max="8" width="11.7109375" style="29" customWidth="1"/>
    <col min="9" max="9" width="17.140625" style="23" customWidth="1"/>
    <col min="10" max="10" width="11.7109375" style="99" customWidth="1"/>
    <col min="11" max="13" width="13.85546875" style="23" customWidth="1"/>
    <col min="14" max="16" width="13.5703125" style="23" customWidth="1"/>
    <col min="17" max="17" width="17" style="24" customWidth="1"/>
    <col min="18" max="20" width="13.5703125" style="23" customWidth="1"/>
    <col min="21" max="21" width="13.5703125" style="25" customWidth="1"/>
    <col min="22" max="22" width="19.28515625" style="25" customWidth="1"/>
    <col min="23" max="23" width="16.85546875" style="25" customWidth="1"/>
    <col min="24" max="24" width="16.140625" style="25" customWidth="1"/>
    <col min="25" max="28" width="13.5703125" style="23" customWidth="1"/>
    <col min="29" max="29" width="16.7109375" style="24" customWidth="1"/>
    <col min="30" max="30" width="16.7109375" style="23" customWidth="1"/>
    <col min="31" max="31" width="15.42578125" style="24" customWidth="1"/>
    <col min="32" max="34" width="13.5703125" style="23" customWidth="1"/>
    <col min="35" max="35" width="15.42578125" style="24" customWidth="1"/>
    <col min="36" max="36" width="15.28515625" style="81" hidden="1" customWidth="1"/>
    <col min="37" max="37" width="12.7109375" style="81" hidden="1" customWidth="1"/>
    <col min="38" max="38" width="11.5703125" style="4" hidden="1" customWidth="1"/>
    <col min="39" max="39" width="58.7109375" style="29" bestFit="1" customWidth="1"/>
    <col min="40" max="40" width="101.7109375" style="29" bestFit="1" customWidth="1"/>
    <col min="41" max="54" width="11.5703125" style="28"/>
    <col min="55" max="16384" width="11.5703125" style="29"/>
  </cols>
  <sheetData>
    <row r="1" spans="1:54" s="17" customFormat="1">
      <c r="A1" s="12" t="s">
        <v>22</v>
      </c>
      <c r="B1" s="12"/>
      <c r="C1" s="12"/>
      <c r="D1" s="12"/>
      <c r="E1" s="13"/>
      <c r="F1" s="13"/>
      <c r="G1" s="13"/>
      <c r="H1" s="13"/>
      <c r="I1" s="14"/>
      <c r="J1" s="89"/>
      <c r="K1" s="14"/>
      <c r="L1" s="14"/>
      <c r="M1" s="14"/>
      <c r="N1" s="14"/>
      <c r="O1" s="14"/>
      <c r="P1" s="14"/>
      <c r="Q1" s="15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5"/>
      <c r="AD1" s="14"/>
      <c r="AE1" s="15"/>
      <c r="AF1" s="14"/>
      <c r="AG1" s="14"/>
      <c r="AH1" s="14"/>
      <c r="AI1" s="15"/>
      <c r="AJ1" s="80"/>
      <c r="AK1" s="80"/>
      <c r="AL1" s="37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</row>
    <row r="2" spans="1:54" s="17" customFormat="1">
      <c r="A2" s="18" t="s">
        <v>73</v>
      </c>
      <c r="B2" s="18"/>
      <c r="C2" s="18"/>
      <c r="D2" s="18"/>
      <c r="E2" s="19"/>
      <c r="F2" s="19"/>
      <c r="G2" s="19"/>
      <c r="H2" s="19"/>
      <c r="I2" s="14"/>
      <c r="J2" s="90"/>
      <c r="K2" s="14"/>
      <c r="L2" s="14"/>
      <c r="M2" s="14"/>
      <c r="N2" s="14"/>
      <c r="O2" s="14"/>
      <c r="P2" s="14"/>
      <c r="Q2" s="15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5"/>
      <c r="AD2" s="14"/>
      <c r="AE2" s="15"/>
      <c r="AF2" s="14"/>
      <c r="AG2" s="14"/>
      <c r="AH2" s="14"/>
      <c r="AI2" s="15"/>
      <c r="AJ2" s="80"/>
      <c r="AK2" s="80"/>
      <c r="AL2" s="37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</row>
    <row r="3" spans="1:54" s="17" customFormat="1">
      <c r="A3" s="20" t="s">
        <v>293</v>
      </c>
      <c r="B3" s="20"/>
      <c r="C3" s="20"/>
      <c r="D3" s="20"/>
      <c r="E3" s="21"/>
      <c r="F3" s="21"/>
      <c r="G3" s="21"/>
      <c r="H3" s="21"/>
      <c r="I3" s="14"/>
      <c r="J3" s="91"/>
      <c r="K3" s="14"/>
      <c r="L3" s="14"/>
      <c r="M3" s="14"/>
      <c r="N3" s="14"/>
      <c r="O3" s="14"/>
      <c r="P3" s="14"/>
      <c r="Q3" s="15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5"/>
      <c r="AD3" s="14"/>
      <c r="AE3" s="15"/>
      <c r="AF3" s="14"/>
      <c r="AG3" s="14"/>
      <c r="AH3" s="14"/>
      <c r="AI3" s="15"/>
      <c r="AJ3" s="80"/>
      <c r="AK3" s="80"/>
      <c r="AL3" s="37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</row>
    <row r="4" spans="1:54" s="22" customFormat="1">
      <c r="A4" s="22" t="s">
        <v>294</v>
      </c>
      <c r="I4" s="23"/>
      <c r="J4" s="92"/>
      <c r="K4" s="23"/>
      <c r="L4" s="23"/>
      <c r="M4" s="23"/>
      <c r="N4" s="23"/>
      <c r="O4" s="23"/>
      <c r="P4" s="23"/>
      <c r="Q4" s="24"/>
      <c r="R4" s="23"/>
      <c r="S4" s="23"/>
      <c r="T4" s="23"/>
      <c r="U4" s="25"/>
      <c r="V4" s="25"/>
      <c r="W4" s="25"/>
      <c r="X4" s="25"/>
      <c r="Y4" s="23"/>
      <c r="Z4" s="23"/>
      <c r="AA4" s="23"/>
      <c r="AB4" s="23"/>
      <c r="AC4" s="24"/>
      <c r="AD4" s="23"/>
      <c r="AE4" s="24"/>
      <c r="AF4" s="23"/>
      <c r="AG4" s="23"/>
      <c r="AH4" s="23"/>
      <c r="AI4" s="24"/>
      <c r="AJ4" s="81"/>
      <c r="AK4" s="81"/>
      <c r="AL4" s="4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</row>
    <row r="5" spans="1:54" s="22" customFormat="1" ht="28.5" customHeight="1">
      <c r="A5" s="154" t="s">
        <v>36</v>
      </c>
      <c r="B5" s="156" t="s">
        <v>37</v>
      </c>
      <c r="C5" s="154" t="s">
        <v>205</v>
      </c>
      <c r="D5" s="156" t="s">
        <v>38</v>
      </c>
      <c r="E5" s="156" t="s">
        <v>0</v>
      </c>
      <c r="F5" s="154" t="s">
        <v>201</v>
      </c>
      <c r="G5" s="145" t="s">
        <v>64</v>
      </c>
      <c r="H5" s="145" t="s">
        <v>62</v>
      </c>
      <c r="I5" s="158" t="s">
        <v>63</v>
      </c>
      <c r="J5" s="152" t="s">
        <v>65</v>
      </c>
      <c r="K5" s="145" t="s">
        <v>265</v>
      </c>
      <c r="L5" s="152" t="s">
        <v>72</v>
      </c>
      <c r="M5" s="36"/>
      <c r="N5" s="145" t="s">
        <v>32</v>
      </c>
      <c r="O5" s="145" t="s">
        <v>33</v>
      </c>
      <c r="P5" s="145" t="s">
        <v>60</v>
      </c>
      <c r="Q5" s="145" t="s">
        <v>34</v>
      </c>
      <c r="R5" s="145" t="s">
        <v>35</v>
      </c>
      <c r="S5" s="132"/>
      <c r="T5" s="35"/>
      <c r="U5" s="150" t="s">
        <v>161</v>
      </c>
      <c r="V5" s="150" t="s">
        <v>180</v>
      </c>
      <c r="W5" s="150" t="s">
        <v>179</v>
      </c>
      <c r="X5" s="150" t="s">
        <v>162</v>
      </c>
      <c r="Y5" s="145" t="s">
        <v>28</v>
      </c>
      <c r="Z5" s="145" t="s">
        <v>53</v>
      </c>
      <c r="AA5" s="145" t="s">
        <v>52</v>
      </c>
      <c r="AB5" s="145" t="s">
        <v>30</v>
      </c>
      <c r="AC5" s="145" t="s">
        <v>61</v>
      </c>
      <c r="AD5" s="145" t="s">
        <v>25</v>
      </c>
      <c r="AE5" s="145" t="s">
        <v>29</v>
      </c>
      <c r="AF5" s="145" t="s">
        <v>24</v>
      </c>
      <c r="AG5" s="145" t="s">
        <v>26</v>
      </c>
      <c r="AH5" s="39"/>
      <c r="AI5" s="145" t="s">
        <v>27</v>
      </c>
      <c r="AJ5" s="147" t="s">
        <v>242</v>
      </c>
      <c r="AK5" s="148"/>
      <c r="AL5" s="149" t="s">
        <v>164</v>
      </c>
      <c r="AM5" s="143" t="s">
        <v>209</v>
      </c>
      <c r="AN5" s="143" t="s">
        <v>210</v>
      </c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</row>
    <row r="6" spans="1:54" s="33" customFormat="1" ht="39" customHeight="1">
      <c r="A6" s="155"/>
      <c r="B6" s="157"/>
      <c r="C6" s="155"/>
      <c r="D6" s="157"/>
      <c r="E6" s="157"/>
      <c r="F6" s="155"/>
      <c r="G6" s="146"/>
      <c r="H6" s="146"/>
      <c r="I6" s="159"/>
      <c r="J6" s="153"/>
      <c r="K6" s="146"/>
      <c r="L6" s="153"/>
      <c r="M6" s="40" t="s">
        <v>225</v>
      </c>
      <c r="N6" s="146"/>
      <c r="O6" s="146"/>
      <c r="P6" s="146"/>
      <c r="Q6" s="146"/>
      <c r="R6" s="146"/>
      <c r="S6" s="41" t="s">
        <v>289</v>
      </c>
      <c r="T6" s="41" t="s">
        <v>223</v>
      </c>
      <c r="U6" s="151"/>
      <c r="V6" s="151"/>
      <c r="W6" s="151"/>
      <c r="X6" s="151"/>
      <c r="Y6" s="146"/>
      <c r="Z6" s="146"/>
      <c r="AA6" s="146"/>
      <c r="AB6" s="146"/>
      <c r="AC6" s="146"/>
      <c r="AD6" s="146"/>
      <c r="AE6" s="146"/>
      <c r="AF6" s="146"/>
      <c r="AG6" s="146"/>
      <c r="AH6" s="35"/>
      <c r="AI6" s="146"/>
      <c r="AJ6" s="79" t="s">
        <v>63</v>
      </c>
      <c r="AK6" s="79" t="s">
        <v>65</v>
      </c>
      <c r="AL6" s="149"/>
      <c r="AM6" s="143"/>
      <c r="AN6" s="143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</row>
    <row r="7" spans="1:54" s="28" customFormat="1">
      <c r="A7" s="56" t="s">
        <v>81</v>
      </c>
      <c r="B7" s="56" t="s">
        <v>194</v>
      </c>
      <c r="C7" s="56"/>
      <c r="D7" s="56" t="s">
        <v>85</v>
      </c>
      <c r="E7" s="56" t="s">
        <v>69</v>
      </c>
      <c r="F7" s="106">
        <v>42062</v>
      </c>
      <c r="G7" s="56"/>
      <c r="H7" s="56"/>
      <c r="I7" s="59">
        <v>1166.26</v>
      </c>
      <c r="J7" s="124"/>
      <c r="K7" s="59">
        <f t="shared" ref="K7:K42" si="0">+I7+J7</f>
        <v>1166.26</v>
      </c>
      <c r="L7" s="59">
        <v>1608.95</v>
      </c>
      <c r="M7" s="59"/>
      <c r="N7" s="59"/>
      <c r="O7" s="59"/>
      <c r="P7" s="88">
        <v>45.13</v>
      </c>
      <c r="Q7" s="100">
        <f t="shared" ref="Q7:Q45" si="1">SUM(K7:O7)-P7</f>
        <v>2730.08</v>
      </c>
      <c r="R7" s="59"/>
      <c r="S7" s="59"/>
      <c r="T7" s="59"/>
      <c r="U7" s="59">
        <v>0</v>
      </c>
      <c r="V7" s="59"/>
      <c r="W7" s="59"/>
      <c r="X7" s="59"/>
      <c r="Y7" s="53"/>
      <c r="Z7" s="53"/>
      <c r="AA7" s="56"/>
      <c r="AB7" s="56">
        <v>0</v>
      </c>
      <c r="AC7" s="100">
        <f t="shared" ref="AC7:AC40" si="2">+Q7-SUM(R7:AB7)</f>
        <v>2730.08</v>
      </c>
      <c r="AD7" s="53">
        <f>IF(Q7&gt;2250,Q7*0.1,0)</f>
        <v>273.00799999999998</v>
      </c>
      <c r="AE7" s="100">
        <f t="shared" ref="AE7:AE32" si="3">+AC7-AD7</f>
        <v>2457.0720000000001</v>
      </c>
      <c r="AF7" s="53">
        <f>IF(Q7&lt;2250,Q7*0.1,0)</f>
        <v>0</v>
      </c>
      <c r="AG7" s="53">
        <v>10.23</v>
      </c>
      <c r="AH7" s="53">
        <f t="shared" ref="AH7:AH32" si="4">+V7</f>
        <v>0</v>
      </c>
      <c r="AI7" s="100">
        <f t="shared" ref="AI7:AI40" si="5">+Q7+AF7+AG7+AH7</f>
        <v>2740.31</v>
      </c>
      <c r="AJ7" s="110"/>
      <c r="AK7" s="111"/>
      <c r="AL7" s="101">
        <f t="shared" ref="AL7:AL75" si="6">+AJ7+AK7-AE7</f>
        <v>-2457.0720000000001</v>
      </c>
      <c r="AM7" s="56"/>
      <c r="AN7" s="56"/>
    </row>
    <row r="8" spans="1:54" s="28" customFormat="1">
      <c r="A8" s="56" t="s">
        <v>68</v>
      </c>
      <c r="B8" s="56" t="s">
        <v>185</v>
      </c>
      <c r="C8" s="56" t="s">
        <v>205</v>
      </c>
      <c r="D8" s="56" t="s">
        <v>127</v>
      </c>
      <c r="E8" s="56" t="s">
        <v>71</v>
      </c>
      <c r="F8" s="106">
        <v>41797</v>
      </c>
      <c r="G8" s="56"/>
      <c r="H8" s="56"/>
      <c r="I8" s="59">
        <v>1633.33</v>
      </c>
      <c r="J8" s="94"/>
      <c r="K8" s="59">
        <f t="shared" si="0"/>
        <v>1633.33</v>
      </c>
      <c r="L8" s="59">
        <v>2431.64</v>
      </c>
      <c r="M8" s="59"/>
      <c r="N8" s="59"/>
      <c r="O8" s="59"/>
      <c r="P8" s="88">
        <v>45.13</v>
      </c>
      <c r="Q8" s="100">
        <f t="shared" si="1"/>
        <v>4019.8399999999997</v>
      </c>
      <c r="R8" s="59"/>
      <c r="S8" s="59"/>
      <c r="T8" s="123">
        <v>334.75</v>
      </c>
      <c r="U8" s="59">
        <v>0</v>
      </c>
      <c r="V8" s="59"/>
      <c r="W8" s="59"/>
      <c r="X8" s="59"/>
      <c r="Y8" s="53"/>
      <c r="Z8" s="53"/>
      <c r="AA8" s="56"/>
      <c r="AB8" s="56">
        <v>0</v>
      </c>
      <c r="AC8" s="100">
        <f t="shared" si="2"/>
        <v>3685.0899999999997</v>
      </c>
      <c r="AD8" s="53">
        <f t="shared" ref="AD8:AD76" si="7">IF(Q8&gt;2250,Q8*0.1,0)</f>
        <v>401.98399999999998</v>
      </c>
      <c r="AE8" s="100">
        <f t="shared" si="3"/>
        <v>3283.1059999999998</v>
      </c>
      <c r="AF8" s="53">
        <f t="shared" ref="AF8:AF72" si="8">IF(Q8&lt;2250,Q8*0.1,0)</f>
        <v>0</v>
      </c>
      <c r="AG8" s="53">
        <v>10.23</v>
      </c>
      <c r="AH8" s="53">
        <f t="shared" si="4"/>
        <v>0</v>
      </c>
      <c r="AI8" s="100">
        <f t="shared" si="5"/>
        <v>4030.0699999999997</v>
      </c>
      <c r="AJ8" s="110"/>
      <c r="AK8" s="111"/>
      <c r="AL8" s="101">
        <f t="shared" si="6"/>
        <v>-3283.1059999999998</v>
      </c>
      <c r="AM8" s="56"/>
      <c r="AN8" s="56"/>
    </row>
    <row r="9" spans="1:54" s="28" customFormat="1">
      <c r="A9" s="56" t="s">
        <v>84</v>
      </c>
      <c r="B9" s="56" t="s">
        <v>169</v>
      </c>
      <c r="C9" s="56"/>
      <c r="D9" s="56" t="s">
        <v>110</v>
      </c>
      <c r="E9" s="56" t="s">
        <v>158</v>
      </c>
      <c r="F9" s="106">
        <v>41381</v>
      </c>
      <c r="G9" s="56"/>
      <c r="H9" s="56"/>
      <c r="I9" s="59">
        <v>623.36</v>
      </c>
      <c r="J9" s="94"/>
      <c r="K9" s="59">
        <f t="shared" si="0"/>
        <v>623.36</v>
      </c>
      <c r="L9" s="59">
        <f>5790.891+2.599</f>
        <v>5793.49</v>
      </c>
      <c r="M9" s="59"/>
      <c r="N9" s="59"/>
      <c r="O9" s="59"/>
      <c r="P9" s="88">
        <v>45.13</v>
      </c>
      <c r="Q9" s="100">
        <f t="shared" si="1"/>
        <v>6371.7199999999993</v>
      </c>
      <c r="R9" s="59"/>
      <c r="S9" s="59"/>
      <c r="T9" s="59"/>
      <c r="U9" s="59"/>
      <c r="V9" s="59">
        <f>Q9*4.9%</f>
        <v>312.21427999999997</v>
      </c>
      <c r="W9" s="59">
        <f>Q9*1%</f>
        <v>63.717199999999998</v>
      </c>
      <c r="X9" s="59"/>
      <c r="Y9" s="53"/>
      <c r="Z9" s="53"/>
      <c r="AA9" s="56"/>
      <c r="AB9" s="56">
        <v>0</v>
      </c>
      <c r="AC9" s="100">
        <f t="shared" si="2"/>
        <v>5995.7885199999992</v>
      </c>
      <c r="AD9" s="53">
        <f t="shared" si="7"/>
        <v>637.17200000000003</v>
      </c>
      <c r="AE9" s="100">
        <f t="shared" si="3"/>
        <v>5358.6165199999996</v>
      </c>
      <c r="AF9" s="53">
        <f t="shared" si="8"/>
        <v>0</v>
      </c>
      <c r="AG9" s="53">
        <v>10.23</v>
      </c>
      <c r="AH9" s="53">
        <f t="shared" si="4"/>
        <v>312.21427999999997</v>
      </c>
      <c r="AI9" s="100">
        <f t="shared" si="5"/>
        <v>6694.1642799999991</v>
      </c>
      <c r="AJ9" s="110"/>
      <c r="AK9" s="111"/>
      <c r="AL9" s="101">
        <f t="shared" si="6"/>
        <v>-5358.6165199999996</v>
      </c>
      <c r="AM9" s="56"/>
      <c r="AN9" s="56"/>
    </row>
    <row r="10" spans="1:54" s="28" customFormat="1">
      <c r="A10" s="56" t="s">
        <v>68</v>
      </c>
      <c r="B10" s="56" t="s">
        <v>78</v>
      </c>
      <c r="C10" s="56" t="s">
        <v>205</v>
      </c>
      <c r="D10" s="56">
        <v>16</v>
      </c>
      <c r="E10" s="56" t="s">
        <v>71</v>
      </c>
      <c r="F10" s="106">
        <v>39508</v>
      </c>
      <c r="G10" s="56"/>
      <c r="H10" s="56"/>
      <c r="I10" s="59">
        <v>1633.33</v>
      </c>
      <c r="J10" s="94"/>
      <c r="K10" s="59">
        <f t="shared" si="0"/>
        <v>1633.33</v>
      </c>
      <c r="L10" s="59"/>
      <c r="M10" s="59"/>
      <c r="N10" s="59"/>
      <c r="O10" s="59"/>
      <c r="P10" s="88">
        <v>45.13</v>
      </c>
      <c r="Q10" s="100">
        <f t="shared" si="1"/>
        <v>1588.1999999999998</v>
      </c>
      <c r="R10" s="59"/>
      <c r="S10" s="59"/>
      <c r="T10" s="59"/>
      <c r="U10" s="59">
        <v>0</v>
      </c>
      <c r="V10" s="59"/>
      <c r="W10" s="59"/>
      <c r="X10" s="59"/>
      <c r="Y10" s="53"/>
      <c r="Z10" s="53"/>
      <c r="AA10" s="56"/>
      <c r="AB10" s="56">
        <v>0</v>
      </c>
      <c r="AC10" s="100">
        <f t="shared" si="2"/>
        <v>1588.1999999999998</v>
      </c>
      <c r="AD10" s="53">
        <f t="shared" si="7"/>
        <v>0</v>
      </c>
      <c r="AE10" s="100">
        <f t="shared" si="3"/>
        <v>1588.1999999999998</v>
      </c>
      <c r="AF10" s="53">
        <f t="shared" si="8"/>
        <v>158.82</v>
      </c>
      <c r="AG10" s="53">
        <v>10.23</v>
      </c>
      <c r="AH10" s="53">
        <f t="shared" si="4"/>
        <v>0</v>
      </c>
      <c r="AI10" s="100">
        <f t="shared" si="5"/>
        <v>1757.2499999999998</v>
      </c>
      <c r="AJ10" s="110"/>
      <c r="AK10" s="111"/>
      <c r="AL10" s="101">
        <f t="shared" si="6"/>
        <v>-1588.1999999999998</v>
      </c>
      <c r="AM10" s="56"/>
      <c r="AN10" s="56"/>
    </row>
    <row r="11" spans="1:54" s="28" customFormat="1">
      <c r="A11" s="56" t="s">
        <v>81</v>
      </c>
      <c r="B11" s="56" t="s">
        <v>218</v>
      </c>
      <c r="C11" s="56"/>
      <c r="D11" s="56"/>
      <c r="E11" s="56" t="s">
        <v>219</v>
      </c>
      <c r="F11" s="106">
        <v>42422</v>
      </c>
      <c r="G11" s="56"/>
      <c r="H11" s="56"/>
      <c r="I11" s="59">
        <v>739.23</v>
      </c>
      <c r="J11" s="94"/>
      <c r="K11" s="59">
        <f t="shared" si="0"/>
        <v>739.23</v>
      </c>
      <c r="L11" s="59">
        <f>1004.454+2.972</f>
        <v>1007.4259999999999</v>
      </c>
      <c r="M11" s="59"/>
      <c r="N11" s="59"/>
      <c r="O11" s="59"/>
      <c r="P11" s="88"/>
      <c r="Q11" s="100">
        <f t="shared" si="1"/>
        <v>1746.6559999999999</v>
      </c>
      <c r="R11" s="59"/>
      <c r="S11" s="59">
        <v>105.6</v>
      </c>
      <c r="T11" s="59"/>
      <c r="U11" s="59">
        <v>0</v>
      </c>
      <c r="V11" s="59"/>
      <c r="W11" s="59"/>
      <c r="X11" s="59"/>
      <c r="Y11" s="53"/>
      <c r="Z11" s="53"/>
      <c r="AA11" s="56"/>
      <c r="AB11" s="56">
        <v>0</v>
      </c>
      <c r="AC11" s="100">
        <f t="shared" si="2"/>
        <v>1641.056</v>
      </c>
      <c r="AD11" s="53">
        <f t="shared" si="7"/>
        <v>0</v>
      </c>
      <c r="AE11" s="100">
        <f t="shared" si="3"/>
        <v>1641.056</v>
      </c>
      <c r="AF11" s="53">
        <f t="shared" si="8"/>
        <v>174.66560000000001</v>
      </c>
      <c r="AG11" s="53">
        <v>10.23</v>
      </c>
      <c r="AH11" s="53">
        <f t="shared" si="4"/>
        <v>0</v>
      </c>
      <c r="AI11" s="100">
        <f t="shared" si="5"/>
        <v>1931.5516</v>
      </c>
      <c r="AJ11" s="110"/>
      <c r="AK11" s="111"/>
      <c r="AL11" s="101">
        <f t="shared" si="6"/>
        <v>-1641.056</v>
      </c>
      <c r="AM11" s="56">
        <v>1456104819</v>
      </c>
      <c r="AN11" s="60"/>
    </row>
    <row r="12" spans="1:54" s="28" customFormat="1">
      <c r="A12" s="56" t="s">
        <v>68</v>
      </c>
      <c r="B12" s="56" t="s">
        <v>186</v>
      </c>
      <c r="C12" s="56" t="s">
        <v>202</v>
      </c>
      <c r="D12" s="56" t="s">
        <v>128</v>
      </c>
      <c r="E12" s="56" t="s">
        <v>70</v>
      </c>
      <c r="F12" s="106">
        <v>42383</v>
      </c>
      <c r="G12" s="56"/>
      <c r="H12" s="56"/>
      <c r="I12" s="59">
        <v>513.33000000000004</v>
      </c>
      <c r="J12" s="94">
        <v>653.33000000000004</v>
      </c>
      <c r="K12" s="59">
        <f t="shared" si="0"/>
        <v>1166.6600000000001</v>
      </c>
      <c r="L12" s="59">
        <v>3540.1</v>
      </c>
      <c r="M12" s="59"/>
      <c r="N12" s="59"/>
      <c r="O12" s="59"/>
      <c r="P12" s="88">
        <v>45.13</v>
      </c>
      <c r="Q12" s="100">
        <f t="shared" si="1"/>
        <v>4661.63</v>
      </c>
      <c r="R12" s="59">
        <v>187.5</v>
      </c>
      <c r="S12" s="59"/>
      <c r="T12" s="59"/>
      <c r="U12" s="59">
        <v>0</v>
      </c>
      <c r="V12" s="59"/>
      <c r="W12" s="59"/>
      <c r="X12" s="59"/>
      <c r="Y12" s="53"/>
      <c r="Z12" s="53"/>
      <c r="AA12" s="56"/>
      <c r="AB12" s="56">
        <v>368.35</v>
      </c>
      <c r="AC12" s="100">
        <f t="shared" si="2"/>
        <v>4105.78</v>
      </c>
      <c r="AD12" s="53">
        <f t="shared" si="7"/>
        <v>466.16300000000001</v>
      </c>
      <c r="AE12" s="100">
        <f t="shared" si="3"/>
        <v>3639.6169999999997</v>
      </c>
      <c r="AF12" s="53">
        <f t="shared" si="8"/>
        <v>0</v>
      </c>
      <c r="AG12" s="53">
        <v>10.23</v>
      </c>
      <c r="AH12" s="53">
        <f t="shared" si="4"/>
        <v>0</v>
      </c>
      <c r="AI12" s="100">
        <f t="shared" si="5"/>
        <v>4671.8599999999997</v>
      </c>
      <c r="AJ12" s="110"/>
      <c r="AK12" s="111"/>
      <c r="AL12" s="101">
        <f t="shared" si="6"/>
        <v>-3639.6169999999997</v>
      </c>
      <c r="AM12" s="56"/>
      <c r="AN12" s="56"/>
    </row>
    <row r="13" spans="1:54" s="28" customFormat="1">
      <c r="A13" s="56" t="s">
        <v>67</v>
      </c>
      <c r="B13" s="56" t="s">
        <v>173</v>
      </c>
      <c r="C13" s="56" t="s">
        <v>232</v>
      </c>
      <c r="D13" s="56"/>
      <c r="E13" s="56" t="s">
        <v>152</v>
      </c>
      <c r="F13" s="106">
        <v>42416</v>
      </c>
      <c r="G13" s="56"/>
      <c r="H13" s="56"/>
      <c r="I13" s="59">
        <v>513.33000000000004</v>
      </c>
      <c r="J13" s="94">
        <v>653.33000000000004</v>
      </c>
      <c r="K13" s="59">
        <f t="shared" si="0"/>
        <v>1166.6600000000001</v>
      </c>
      <c r="L13" s="59"/>
      <c r="M13" s="59"/>
      <c r="N13" s="59"/>
      <c r="O13" s="59"/>
      <c r="P13" s="88"/>
      <c r="Q13" s="100">
        <f t="shared" si="1"/>
        <v>1166.6600000000001</v>
      </c>
      <c r="R13" s="59"/>
      <c r="S13" s="59"/>
      <c r="T13" s="59"/>
      <c r="U13" s="59">
        <v>0</v>
      </c>
      <c r="V13" s="59"/>
      <c r="W13" s="59"/>
      <c r="X13" s="59"/>
      <c r="Y13" s="53">
        <v>114.82</v>
      </c>
      <c r="Z13" s="53"/>
      <c r="AA13" s="56"/>
      <c r="AB13" s="56">
        <v>0</v>
      </c>
      <c r="AC13" s="100">
        <f t="shared" si="2"/>
        <v>1051.8400000000001</v>
      </c>
      <c r="AD13" s="53">
        <f t="shared" si="7"/>
        <v>0</v>
      </c>
      <c r="AE13" s="100">
        <f t="shared" si="3"/>
        <v>1051.8400000000001</v>
      </c>
      <c r="AF13" s="53">
        <f t="shared" si="8"/>
        <v>116.66600000000001</v>
      </c>
      <c r="AG13" s="53">
        <v>10.23</v>
      </c>
      <c r="AH13" s="53">
        <f t="shared" si="4"/>
        <v>0</v>
      </c>
      <c r="AI13" s="100">
        <f t="shared" si="5"/>
        <v>1293.556</v>
      </c>
      <c r="AJ13" s="110"/>
      <c r="AK13" s="111"/>
      <c r="AL13" s="101">
        <f t="shared" si="6"/>
        <v>-1051.8400000000001</v>
      </c>
      <c r="AM13" s="56"/>
      <c r="AN13" s="56"/>
    </row>
    <row r="14" spans="1:54" s="28" customFormat="1">
      <c r="A14" s="56" t="s">
        <v>84</v>
      </c>
      <c r="B14" s="56" t="s">
        <v>258</v>
      </c>
      <c r="C14" s="56"/>
      <c r="D14" s="56" t="s">
        <v>111</v>
      </c>
      <c r="E14" s="56" t="s">
        <v>153</v>
      </c>
      <c r="F14" s="106">
        <v>41740</v>
      </c>
      <c r="G14" s="56"/>
      <c r="H14" s="56"/>
      <c r="I14" s="59">
        <v>623.36</v>
      </c>
      <c r="J14" s="94"/>
      <c r="K14" s="59">
        <f t="shared" si="0"/>
        <v>623.36</v>
      </c>
      <c r="L14" s="59">
        <f>1666.352+5.571</f>
        <v>1671.923</v>
      </c>
      <c r="M14" s="59"/>
      <c r="N14" s="59">
        <v>1130.99</v>
      </c>
      <c r="O14" s="59"/>
      <c r="P14" s="88">
        <v>45.13</v>
      </c>
      <c r="Q14" s="100">
        <f t="shared" si="1"/>
        <v>3381.143</v>
      </c>
      <c r="R14" s="59"/>
      <c r="S14" s="59"/>
      <c r="T14" s="59"/>
      <c r="U14" s="59">
        <v>250</v>
      </c>
      <c r="V14" s="59">
        <f>Q14*4.9%</f>
        <v>165.676007</v>
      </c>
      <c r="W14" s="59">
        <f>Q14*1%</f>
        <v>33.811430000000001</v>
      </c>
      <c r="X14" s="59"/>
      <c r="Y14" s="53"/>
      <c r="Z14" s="53"/>
      <c r="AA14" s="56"/>
      <c r="AB14" s="56">
        <v>0</v>
      </c>
      <c r="AC14" s="100">
        <f t="shared" si="2"/>
        <v>2931.6555630000003</v>
      </c>
      <c r="AD14" s="53">
        <f t="shared" si="7"/>
        <v>338.11430000000001</v>
      </c>
      <c r="AE14" s="100">
        <f t="shared" si="3"/>
        <v>2593.5412630000001</v>
      </c>
      <c r="AF14" s="53">
        <f t="shared" si="8"/>
        <v>0</v>
      </c>
      <c r="AG14" s="53">
        <v>10.23</v>
      </c>
      <c r="AH14" s="53">
        <f t="shared" si="4"/>
        <v>165.676007</v>
      </c>
      <c r="AI14" s="100">
        <f t="shared" si="5"/>
        <v>3557.0490070000001</v>
      </c>
      <c r="AJ14" s="110"/>
      <c r="AK14" s="111"/>
      <c r="AL14" s="101">
        <f t="shared" si="6"/>
        <v>-2593.5412630000001</v>
      </c>
      <c r="AM14" s="56"/>
      <c r="AN14" s="60"/>
    </row>
    <row r="15" spans="1:54" s="28" customFormat="1">
      <c r="A15" s="56" t="s">
        <v>68</v>
      </c>
      <c r="B15" s="56" t="s">
        <v>247</v>
      </c>
      <c r="C15" s="56"/>
      <c r="D15" s="56"/>
      <c r="E15" s="56" t="s">
        <v>70</v>
      </c>
      <c r="F15" s="106">
        <v>42472</v>
      </c>
      <c r="G15" s="56"/>
      <c r="H15" s="56"/>
      <c r="I15" s="59">
        <v>513.33000000000004</v>
      </c>
      <c r="J15" s="94">
        <v>653.33000000000004</v>
      </c>
      <c r="K15" s="59">
        <f t="shared" si="0"/>
        <v>1166.6600000000001</v>
      </c>
      <c r="L15" s="59">
        <v>890</v>
      </c>
      <c r="M15" s="59"/>
      <c r="N15" s="59"/>
      <c r="O15" s="59"/>
      <c r="P15" s="88"/>
      <c r="Q15" s="100">
        <f t="shared" si="1"/>
        <v>2056.66</v>
      </c>
      <c r="R15" s="59"/>
      <c r="S15" s="59"/>
      <c r="T15" s="59"/>
      <c r="U15" s="59"/>
      <c r="V15" s="59"/>
      <c r="W15" s="59"/>
      <c r="X15" s="59"/>
      <c r="Y15" s="53"/>
      <c r="Z15" s="53"/>
      <c r="AA15" s="56"/>
      <c r="AB15" s="56">
        <v>0</v>
      </c>
      <c r="AC15" s="100">
        <f t="shared" si="2"/>
        <v>2056.66</v>
      </c>
      <c r="AD15" s="53">
        <f t="shared" si="7"/>
        <v>0</v>
      </c>
      <c r="AE15" s="100">
        <f t="shared" si="3"/>
        <v>2056.66</v>
      </c>
      <c r="AF15" s="53">
        <f t="shared" si="8"/>
        <v>205.666</v>
      </c>
      <c r="AG15" s="53">
        <v>10.23</v>
      </c>
      <c r="AH15" s="53">
        <f t="shared" ref="AH15" si="9">+V15</f>
        <v>0</v>
      </c>
      <c r="AI15" s="100">
        <f t="shared" si="5"/>
        <v>2272.556</v>
      </c>
      <c r="AJ15" s="125"/>
      <c r="AK15" s="126"/>
      <c r="AL15" s="101">
        <f t="shared" si="6"/>
        <v>-2056.66</v>
      </c>
      <c r="AM15" s="56">
        <v>2899146091</v>
      </c>
      <c r="AN15" s="60"/>
    </row>
    <row r="16" spans="1:54" s="28" customFormat="1">
      <c r="A16" s="56" t="s">
        <v>66</v>
      </c>
      <c r="B16" s="56" t="s">
        <v>261</v>
      </c>
      <c r="C16" s="56"/>
      <c r="D16" s="56" t="s">
        <v>98</v>
      </c>
      <c r="E16" s="56" t="s">
        <v>150</v>
      </c>
      <c r="F16" s="106">
        <v>42116</v>
      </c>
      <c r="G16" s="56"/>
      <c r="H16" s="56"/>
      <c r="I16" s="59">
        <v>513.33000000000004</v>
      </c>
      <c r="J16" s="94">
        <v>486.67</v>
      </c>
      <c r="K16" s="59">
        <f t="shared" si="0"/>
        <v>1000</v>
      </c>
      <c r="L16" s="59">
        <v>700</v>
      </c>
      <c r="M16" s="59"/>
      <c r="N16" s="59"/>
      <c r="O16" s="59"/>
      <c r="P16" s="88">
        <v>45.13</v>
      </c>
      <c r="Q16" s="100">
        <f t="shared" si="1"/>
        <v>1654.87</v>
      </c>
      <c r="R16" s="59"/>
      <c r="S16" s="59"/>
      <c r="T16" s="59">
        <v>58.91</v>
      </c>
      <c r="U16" s="59">
        <v>0</v>
      </c>
      <c r="V16" s="59"/>
      <c r="W16" s="59"/>
      <c r="X16" s="59"/>
      <c r="Y16" s="53"/>
      <c r="Z16" s="53"/>
      <c r="AA16" s="102"/>
      <c r="AB16" s="56">
        <v>0</v>
      </c>
      <c r="AC16" s="100">
        <f t="shared" si="2"/>
        <v>1595.9599999999998</v>
      </c>
      <c r="AD16" s="53">
        <f t="shared" si="7"/>
        <v>0</v>
      </c>
      <c r="AE16" s="100">
        <f t="shared" si="3"/>
        <v>1595.9599999999998</v>
      </c>
      <c r="AF16" s="53">
        <f t="shared" si="8"/>
        <v>165.48699999999999</v>
      </c>
      <c r="AG16" s="53">
        <v>10.23</v>
      </c>
      <c r="AH16" s="53">
        <f t="shared" si="4"/>
        <v>0</v>
      </c>
      <c r="AI16" s="100">
        <f t="shared" si="5"/>
        <v>1830.587</v>
      </c>
      <c r="AJ16" s="125"/>
      <c r="AK16" s="125"/>
      <c r="AL16" s="101">
        <f t="shared" si="6"/>
        <v>-1595.9599999999998</v>
      </c>
      <c r="AM16" s="56"/>
      <c r="AN16" s="56"/>
    </row>
    <row r="17" spans="1:40" s="28" customFormat="1" ht="15" customHeight="1">
      <c r="A17" s="56" t="s">
        <v>68</v>
      </c>
      <c r="B17" s="56" t="s">
        <v>211</v>
      </c>
      <c r="C17" s="56" t="s">
        <v>204</v>
      </c>
      <c r="D17" s="56" t="s">
        <v>129</v>
      </c>
      <c r="E17" s="56" t="s">
        <v>70</v>
      </c>
      <c r="F17" s="106">
        <v>41831</v>
      </c>
      <c r="G17" s="56"/>
      <c r="H17" s="56"/>
      <c r="I17" s="59">
        <v>513.33000000000004</v>
      </c>
      <c r="J17" s="95">
        <v>653.33000000000004</v>
      </c>
      <c r="K17" s="59">
        <f t="shared" si="0"/>
        <v>1166.6600000000001</v>
      </c>
      <c r="L17" s="59">
        <v>894.7</v>
      </c>
      <c r="M17" s="59"/>
      <c r="N17" s="59"/>
      <c r="O17" s="59"/>
      <c r="P17" s="88">
        <v>45.13</v>
      </c>
      <c r="Q17" s="100">
        <f t="shared" si="1"/>
        <v>2016.23</v>
      </c>
      <c r="R17" s="59"/>
      <c r="S17" s="59"/>
      <c r="T17" s="59">
        <v>58.91</v>
      </c>
      <c r="U17" s="59">
        <v>500</v>
      </c>
      <c r="V17" s="59"/>
      <c r="W17" s="59"/>
      <c r="X17" s="59"/>
      <c r="Y17" s="53"/>
      <c r="Z17" s="53">
        <v>167.44</v>
      </c>
      <c r="AA17" s="56"/>
      <c r="AB17" s="127">
        <v>940.31</v>
      </c>
      <c r="AC17" s="100">
        <f t="shared" si="2"/>
        <v>349.57000000000016</v>
      </c>
      <c r="AD17" s="53">
        <f t="shared" si="7"/>
        <v>0</v>
      </c>
      <c r="AE17" s="100">
        <f t="shared" si="3"/>
        <v>349.57000000000016</v>
      </c>
      <c r="AF17" s="53">
        <f t="shared" si="8"/>
        <v>201.62300000000002</v>
      </c>
      <c r="AG17" s="53">
        <v>10.23</v>
      </c>
      <c r="AH17" s="53">
        <f t="shared" si="4"/>
        <v>0</v>
      </c>
      <c r="AI17" s="100">
        <f t="shared" si="5"/>
        <v>2228.0830000000001</v>
      </c>
      <c r="AJ17" s="112"/>
      <c r="AK17" s="110"/>
      <c r="AL17" s="101">
        <f t="shared" si="6"/>
        <v>-349.57000000000016</v>
      </c>
      <c r="AM17" s="56"/>
      <c r="AN17" s="60"/>
    </row>
    <row r="18" spans="1:40" s="28" customFormat="1" ht="15" customHeight="1">
      <c r="A18" s="56"/>
      <c r="B18" s="56" t="s">
        <v>269</v>
      </c>
      <c r="C18" s="56"/>
      <c r="D18" s="56"/>
      <c r="E18" s="56" t="s">
        <v>270</v>
      </c>
      <c r="F18" s="106">
        <v>42506</v>
      </c>
      <c r="G18" s="56"/>
      <c r="H18" s="56"/>
      <c r="I18" s="59">
        <v>739.23</v>
      </c>
      <c r="J18" s="95"/>
      <c r="K18" s="59">
        <f t="shared" si="0"/>
        <v>739.23</v>
      </c>
      <c r="L18" s="59">
        <f>1334.466+5.571</f>
        <v>1340.0369999999998</v>
      </c>
      <c r="M18" s="59"/>
      <c r="N18" s="59"/>
      <c r="O18" s="59"/>
      <c r="P18" s="88"/>
      <c r="Q18" s="100">
        <f t="shared" si="1"/>
        <v>2079.2669999999998</v>
      </c>
      <c r="R18" s="59"/>
      <c r="S18" s="59"/>
      <c r="T18" s="59"/>
      <c r="U18" s="59"/>
      <c r="V18" s="59"/>
      <c r="W18" s="59"/>
      <c r="X18" s="59"/>
      <c r="Y18" s="53"/>
      <c r="Z18" s="53"/>
      <c r="AA18" s="56"/>
      <c r="AB18" s="127"/>
      <c r="AC18" s="100">
        <f t="shared" si="2"/>
        <v>2079.2669999999998</v>
      </c>
      <c r="AD18" s="53">
        <f t="shared" ref="AD18" si="10">IF(Q18&gt;2250,Q18*0.1,0)</f>
        <v>0</v>
      </c>
      <c r="AE18" s="100">
        <f t="shared" ref="AE18" si="11">+AC18-AD18</f>
        <v>2079.2669999999998</v>
      </c>
      <c r="AF18" s="53">
        <f t="shared" si="8"/>
        <v>207.92669999999998</v>
      </c>
      <c r="AG18" s="53">
        <v>10.23</v>
      </c>
      <c r="AH18" s="53">
        <f t="shared" ref="AH18" si="12">+V18</f>
        <v>0</v>
      </c>
      <c r="AI18" s="100">
        <f t="shared" si="5"/>
        <v>2297.4236999999998</v>
      </c>
      <c r="AJ18" s="110"/>
      <c r="AK18" s="110"/>
      <c r="AL18" s="101">
        <f t="shared" si="6"/>
        <v>-2079.2669999999998</v>
      </c>
      <c r="AM18" s="104">
        <v>14058709719</v>
      </c>
      <c r="AN18" s="60"/>
    </row>
    <row r="19" spans="1:40" s="28" customFormat="1">
      <c r="A19" s="56" t="s">
        <v>84</v>
      </c>
      <c r="B19" s="56" t="s">
        <v>170</v>
      </c>
      <c r="C19" s="56"/>
      <c r="D19" s="56" t="s">
        <v>112</v>
      </c>
      <c r="E19" s="56" t="s">
        <v>143</v>
      </c>
      <c r="F19" s="106">
        <v>41227</v>
      </c>
      <c r="G19" s="56"/>
      <c r="H19" s="56"/>
      <c r="I19" s="59">
        <v>511.28</v>
      </c>
      <c r="J19" s="94"/>
      <c r="K19" s="59">
        <f t="shared" si="0"/>
        <v>511.28</v>
      </c>
      <c r="L19" s="59">
        <f>3951.6+7.428</f>
        <v>3959.0279999999998</v>
      </c>
      <c r="M19" s="59"/>
      <c r="N19" s="59"/>
      <c r="O19" s="59"/>
      <c r="P19" s="88">
        <v>45.13</v>
      </c>
      <c r="Q19" s="100">
        <f t="shared" si="1"/>
        <v>4425.1779999999999</v>
      </c>
      <c r="R19" s="59"/>
      <c r="S19" s="59"/>
      <c r="T19" s="59"/>
      <c r="U19" s="59">
        <v>700</v>
      </c>
      <c r="V19" s="59">
        <f>Q19*4.9%</f>
        <v>216.83372199999999</v>
      </c>
      <c r="W19" s="59">
        <f>Q19*1%</f>
        <v>44.251779999999997</v>
      </c>
      <c r="X19" s="59"/>
      <c r="Y19" s="53"/>
      <c r="Z19" s="53"/>
      <c r="AA19" s="56"/>
      <c r="AB19" s="56">
        <v>0</v>
      </c>
      <c r="AC19" s="100">
        <f t="shared" si="2"/>
        <v>3464.092498</v>
      </c>
      <c r="AD19" s="53">
        <f t="shared" si="7"/>
        <v>442.51780000000002</v>
      </c>
      <c r="AE19" s="100">
        <f t="shared" si="3"/>
        <v>3021.5746979999999</v>
      </c>
      <c r="AF19" s="53">
        <f t="shared" si="8"/>
        <v>0</v>
      </c>
      <c r="AG19" s="53">
        <v>10.23</v>
      </c>
      <c r="AH19" s="53">
        <f t="shared" si="4"/>
        <v>216.83372199999999</v>
      </c>
      <c r="AI19" s="100">
        <f t="shared" si="5"/>
        <v>4652.2417219999998</v>
      </c>
      <c r="AJ19" s="110"/>
      <c r="AK19" s="110"/>
      <c r="AL19" s="101">
        <f t="shared" si="6"/>
        <v>-3021.5746979999999</v>
      </c>
      <c r="AM19" s="56"/>
      <c r="AN19" s="56"/>
    </row>
    <row r="20" spans="1:40" s="28" customFormat="1">
      <c r="A20" s="56" t="s">
        <v>68</v>
      </c>
      <c r="B20" s="56" t="s">
        <v>216</v>
      </c>
      <c r="C20" s="56" t="s">
        <v>205</v>
      </c>
      <c r="D20" s="56">
        <v>18</v>
      </c>
      <c r="E20" s="56" t="s">
        <v>71</v>
      </c>
      <c r="F20" s="106">
        <v>39699</v>
      </c>
      <c r="G20" s="56"/>
      <c r="H20" s="56"/>
      <c r="I20" s="59">
        <v>1633.33</v>
      </c>
      <c r="J20" s="94"/>
      <c r="K20" s="59">
        <f t="shared" si="0"/>
        <v>1633.33</v>
      </c>
      <c r="L20" s="59"/>
      <c r="M20" s="59"/>
      <c r="N20" s="59"/>
      <c r="O20" s="59"/>
      <c r="P20" s="88">
        <v>45.13</v>
      </c>
      <c r="Q20" s="100">
        <f t="shared" si="1"/>
        <v>1588.1999999999998</v>
      </c>
      <c r="R20" s="59"/>
      <c r="S20" s="59"/>
      <c r="T20" s="59"/>
      <c r="U20" s="59">
        <v>700</v>
      </c>
      <c r="V20" s="59"/>
      <c r="W20" s="59"/>
      <c r="X20" s="59"/>
      <c r="Y20" s="53"/>
      <c r="Z20" s="53"/>
      <c r="AA20" s="56">
        <v>205.7</v>
      </c>
      <c r="AB20" s="56">
        <v>0</v>
      </c>
      <c r="AC20" s="100">
        <f t="shared" si="2"/>
        <v>682.49999999999977</v>
      </c>
      <c r="AD20" s="53">
        <f t="shared" si="7"/>
        <v>0</v>
      </c>
      <c r="AE20" s="100">
        <f t="shared" si="3"/>
        <v>682.49999999999977</v>
      </c>
      <c r="AF20" s="53">
        <f t="shared" si="8"/>
        <v>158.82</v>
      </c>
      <c r="AG20" s="53">
        <v>10.23</v>
      </c>
      <c r="AH20" s="53">
        <f t="shared" si="4"/>
        <v>0</v>
      </c>
      <c r="AI20" s="100">
        <f t="shared" si="5"/>
        <v>1757.2499999999998</v>
      </c>
      <c r="AJ20" s="110"/>
      <c r="AK20" s="111"/>
      <c r="AL20" s="101">
        <f t="shared" si="6"/>
        <v>-682.49999999999977</v>
      </c>
      <c r="AM20" s="56"/>
      <c r="AN20" s="56"/>
    </row>
    <row r="21" spans="1:40" s="28" customFormat="1">
      <c r="A21" s="56" t="s">
        <v>84</v>
      </c>
      <c r="B21" s="56" t="s">
        <v>217</v>
      </c>
      <c r="C21" s="56"/>
      <c r="D21" s="56" t="s">
        <v>113</v>
      </c>
      <c r="E21" s="56" t="s">
        <v>154</v>
      </c>
      <c r="F21" s="106">
        <v>42242</v>
      </c>
      <c r="G21" s="56"/>
      <c r="H21" s="56"/>
      <c r="I21" s="59">
        <v>1100</v>
      </c>
      <c r="J21" s="94"/>
      <c r="K21" s="59">
        <f t="shared" si="0"/>
        <v>1100</v>
      </c>
      <c r="L21" s="59">
        <v>472</v>
      </c>
      <c r="M21" s="59"/>
      <c r="N21" s="59"/>
      <c r="O21" s="59"/>
      <c r="P21" s="88">
        <v>45.13</v>
      </c>
      <c r="Q21" s="100">
        <f t="shared" si="1"/>
        <v>1526.87</v>
      </c>
      <c r="R21" s="59"/>
      <c r="S21" s="59"/>
      <c r="T21" s="59"/>
      <c r="U21" s="59">
        <f>+Q21*1%</f>
        <v>15.268699999999999</v>
      </c>
      <c r="V21" s="59">
        <f>+Q21*4.9%</f>
        <v>74.816630000000004</v>
      </c>
      <c r="W21" s="59">
        <f>Q21*1%</f>
        <v>15.268699999999999</v>
      </c>
      <c r="X21" s="59"/>
      <c r="Y21" s="53"/>
      <c r="Z21" s="53"/>
      <c r="AA21" s="56"/>
      <c r="AB21" s="56">
        <v>0</v>
      </c>
      <c r="AC21" s="100">
        <f t="shared" si="2"/>
        <v>1421.5159699999999</v>
      </c>
      <c r="AD21" s="53">
        <f t="shared" si="7"/>
        <v>0</v>
      </c>
      <c r="AE21" s="100">
        <f t="shared" si="3"/>
        <v>1421.5159699999999</v>
      </c>
      <c r="AF21" s="53">
        <f t="shared" si="8"/>
        <v>152.68699999999998</v>
      </c>
      <c r="AG21" s="53">
        <v>10.23</v>
      </c>
      <c r="AH21" s="53">
        <f t="shared" si="4"/>
        <v>74.816630000000004</v>
      </c>
      <c r="AI21" s="100">
        <f t="shared" si="5"/>
        <v>1764.6036299999998</v>
      </c>
      <c r="AJ21" s="110"/>
      <c r="AK21" s="111"/>
      <c r="AL21" s="101">
        <f t="shared" si="6"/>
        <v>-1421.5159699999999</v>
      </c>
      <c r="AM21" s="56"/>
      <c r="AN21" s="56"/>
    </row>
    <row r="22" spans="1:40" s="28" customFormat="1">
      <c r="A22" s="56" t="s">
        <v>67</v>
      </c>
      <c r="B22" s="56" t="s">
        <v>200</v>
      </c>
      <c r="C22" s="56" t="s">
        <v>232</v>
      </c>
      <c r="D22" s="56" t="s">
        <v>106</v>
      </c>
      <c r="E22" s="56" t="s">
        <v>152</v>
      </c>
      <c r="F22" s="106">
        <v>42332</v>
      </c>
      <c r="G22" s="56"/>
      <c r="H22" s="56"/>
      <c r="I22" s="59">
        <v>513.33000000000004</v>
      </c>
      <c r="J22" s="94">
        <v>653.33000000000004</v>
      </c>
      <c r="K22" s="59">
        <f t="shared" si="0"/>
        <v>1166.6600000000001</v>
      </c>
      <c r="L22" s="59">
        <f>2265.4+350+350+1000+1000</f>
        <v>4965.3999999999996</v>
      </c>
      <c r="M22" s="59"/>
      <c r="N22" s="59"/>
      <c r="O22" s="59"/>
      <c r="P22" s="88">
        <v>45.13</v>
      </c>
      <c r="Q22" s="100">
        <f t="shared" si="1"/>
        <v>6086.9299999999994</v>
      </c>
      <c r="R22" s="59">
        <v>375</v>
      </c>
      <c r="S22" s="59"/>
      <c r="T22" s="59"/>
      <c r="U22" s="59">
        <v>0</v>
      </c>
      <c r="V22" s="59"/>
      <c r="W22" s="59"/>
      <c r="X22" s="59"/>
      <c r="Y22" s="53"/>
      <c r="Z22" s="53"/>
      <c r="AA22" s="56"/>
      <c r="AB22" s="56">
        <v>566.61</v>
      </c>
      <c r="AC22" s="100">
        <f t="shared" si="2"/>
        <v>5145.32</v>
      </c>
      <c r="AD22" s="53">
        <f t="shared" si="7"/>
        <v>608.69299999999998</v>
      </c>
      <c r="AE22" s="100">
        <f t="shared" si="3"/>
        <v>4536.6269999999995</v>
      </c>
      <c r="AF22" s="53">
        <f t="shared" si="8"/>
        <v>0</v>
      </c>
      <c r="AG22" s="53">
        <v>10.23</v>
      </c>
      <c r="AH22" s="53">
        <f t="shared" si="4"/>
        <v>0</v>
      </c>
      <c r="AI22" s="100">
        <f t="shared" si="5"/>
        <v>6097.1599999999989</v>
      </c>
      <c r="AJ22" s="110"/>
      <c r="AK22" s="111"/>
      <c r="AL22" s="101">
        <f t="shared" si="6"/>
        <v>-4536.6269999999995</v>
      </c>
      <c r="AM22" s="56"/>
      <c r="AN22" s="56"/>
    </row>
    <row r="23" spans="1:40" s="28" customFormat="1">
      <c r="A23" s="56" t="s">
        <v>68</v>
      </c>
      <c r="B23" s="56" t="s">
        <v>229</v>
      </c>
      <c r="C23" s="56" t="s">
        <v>207</v>
      </c>
      <c r="D23" s="56"/>
      <c r="E23" s="56" t="s">
        <v>70</v>
      </c>
      <c r="F23" s="106">
        <v>42437</v>
      </c>
      <c r="G23" s="56"/>
      <c r="H23" s="56"/>
      <c r="I23" s="59">
        <v>513.33000000000004</v>
      </c>
      <c r="J23" s="94">
        <v>653.33000000000004</v>
      </c>
      <c r="K23" s="59">
        <f t="shared" si="0"/>
        <v>1166.6600000000001</v>
      </c>
      <c r="L23" s="59"/>
      <c r="M23" s="59"/>
      <c r="N23" s="59"/>
      <c r="O23" s="59"/>
      <c r="P23" s="88"/>
      <c r="Q23" s="100">
        <f t="shared" si="1"/>
        <v>1166.6600000000001</v>
      </c>
      <c r="R23" s="59"/>
      <c r="S23" s="59"/>
      <c r="T23" s="59"/>
      <c r="U23" s="59">
        <v>0</v>
      </c>
      <c r="V23" s="59"/>
      <c r="W23" s="59"/>
      <c r="X23" s="59"/>
      <c r="Y23" s="53"/>
      <c r="Z23" s="53"/>
      <c r="AA23" s="56"/>
      <c r="AB23" s="56">
        <v>0</v>
      </c>
      <c r="AC23" s="100">
        <f t="shared" si="2"/>
        <v>1166.6600000000001</v>
      </c>
      <c r="AD23" s="53">
        <f t="shared" si="7"/>
        <v>0</v>
      </c>
      <c r="AE23" s="100">
        <f t="shared" si="3"/>
        <v>1166.6600000000001</v>
      </c>
      <c r="AF23" s="53">
        <f t="shared" si="8"/>
        <v>116.66600000000001</v>
      </c>
      <c r="AG23" s="53">
        <v>10.23</v>
      </c>
      <c r="AH23" s="53">
        <f t="shared" si="4"/>
        <v>0</v>
      </c>
      <c r="AI23" s="100">
        <f t="shared" si="5"/>
        <v>1293.556</v>
      </c>
      <c r="AJ23" s="110"/>
      <c r="AK23" s="111"/>
      <c r="AL23" s="101">
        <f t="shared" si="6"/>
        <v>-1166.6600000000001</v>
      </c>
      <c r="AM23" s="56"/>
      <c r="AN23" s="60"/>
    </row>
    <row r="24" spans="1:40" s="28" customFormat="1">
      <c r="A24" s="56" t="s">
        <v>82</v>
      </c>
      <c r="B24" s="56" t="s">
        <v>176</v>
      </c>
      <c r="C24" s="56"/>
      <c r="D24" s="56" t="s">
        <v>87</v>
      </c>
      <c r="E24" s="56" t="s">
        <v>142</v>
      </c>
      <c r="F24" s="106">
        <v>41885</v>
      </c>
      <c r="G24" s="56"/>
      <c r="H24" s="56"/>
      <c r="I24" s="122">
        <f>+K24</f>
        <v>633.62</v>
      </c>
      <c r="J24" s="114"/>
      <c r="K24" s="59">
        <v>633.62</v>
      </c>
      <c r="L24" s="59">
        <f>3220.961+13.099</f>
        <v>3234.06</v>
      </c>
      <c r="M24" s="59"/>
      <c r="N24" s="59"/>
      <c r="O24" s="59"/>
      <c r="P24" s="88">
        <v>45.13</v>
      </c>
      <c r="Q24" s="100">
        <f t="shared" si="1"/>
        <v>3822.5499999999997</v>
      </c>
      <c r="R24" s="59"/>
      <c r="S24" s="59"/>
      <c r="T24" s="59"/>
      <c r="U24" s="59">
        <v>0</v>
      </c>
      <c r="V24" s="59"/>
      <c r="W24" s="59"/>
      <c r="X24" s="59"/>
      <c r="Y24" s="53"/>
      <c r="Z24" s="53"/>
      <c r="AA24" s="56"/>
      <c r="AB24" s="56">
        <v>0</v>
      </c>
      <c r="AC24" s="100">
        <f t="shared" si="2"/>
        <v>3822.5499999999997</v>
      </c>
      <c r="AD24" s="53">
        <f t="shared" si="7"/>
        <v>382.255</v>
      </c>
      <c r="AE24" s="100">
        <f t="shared" si="3"/>
        <v>3440.2949999999996</v>
      </c>
      <c r="AF24" s="53">
        <f t="shared" si="8"/>
        <v>0</v>
      </c>
      <c r="AG24" s="53">
        <v>10.23</v>
      </c>
      <c r="AH24" s="53">
        <f t="shared" si="4"/>
        <v>0</v>
      </c>
      <c r="AI24" s="100">
        <f t="shared" si="5"/>
        <v>3832.7799999999997</v>
      </c>
      <c r="AJ24" s="110"/>
      <c r="AK24" s="111"/>
      <c r="AL24" s="101">
        <f t="shared" si="6"/>
        <v>-3440.2949999999996</v>
      </c>
      <c r="AM24" s="56"/>
      <c r="AN24" s="60"/>
    </row>
    <row r="25" spans="1:40" s="28" customFormat="1">
      <c r="A25" s="56" t="s">
        <v>67</v>
      </c>
      <c r="B25" s="56" t="s">
        <v>249</v>
      </c>
      <c r="C25" s="56" t="s">
        <v>232</v>
      </c>
      <c r="D25" s="56" t="s">
        <v>105</v>
      </c>
      <c r="E25" s="56" t="s">
        <v>152</v>
      </c>
      <c r="F25" s="106">
        <v>42304</v>
      </c>
      <c r="G25" s="56"/>
      <c r="H25" s="56"/>
      <c r="I25" s="59">
        <v>513.33000000000004</v>
      </c>
      <c r="J25" s="114">
        <v>653.33000000000004</v>
      </c>
      <c r="K25" s="59">
        <f t="shared" si="0"/>
        <v>1166.6600000000001</v>
      </c>
      <c r="L25" s="59"/>
      <c r="M25" s="59"/>
      <c r="N25" s="59"/>
      <c r="O25" s="59"/>
      <c r="P25" s="88">
        <v>45.13</v>
      </c>
      <c r="Q25" s="100">
        <f t="shared" si="1"/>
        <v>1121.53</v>
      </c>
      <c r="R25" s="59"/>
      <c r="S25" s="59"/>
      <c r="T25" s="59"/>
      <c r="U25" s="59">
        <v>0</v>
      </c>
      <c r="V25" s="59"/>
      <c r="W25" s="59"/>
      <c r="X25" s="59"/>
      <c r="Y25" s="53"/>
      <c r="Z25" s="53"/>
      <c r="AA25" s="56"/>
      <c r="AB25" s="56">
        <v>0</v>
      </c>
      <c r="AC25" s="100">
        <f t="shared" si="2"/>
        <v>1121.53</v>
      </c>
      <c r="AD25" s="53">
        <f t="shared" si="7"/>
        <v>0</v>
      </c>
      <c r="AE25" s="100">
        <f t="shared" si="3"/>
        <v>1121.53</v>
      </c>
      <c r="AF25" s="53">
        <f t="shared" si="8"/>
        <v>112.15300000000001</v>
      </c>
      <c r="AG25" s="53">
        <v>10.23</v>
      </c>
      <c r="AH25" s="53">
        <f t="shared" si="4"/>
        <v>0</v>
      </c>
      <c r="AI25" s="100">
        <f t="shared" si="5"/>
        <v>1243.913</v>
      </c>
      <c r="AJ25" s="110"/>
      <c r="AK25" s="110"/>
      <c r="AL25" s="101">
        <f t="shared" si="6"/>
        <v>-1121.53</v>
      </c>
      <c r="AM25" s="56"/>
      <c r="AN25" s="56"/>
    </row>
    <row r="26" spans="1:40" s="28" customFormat="1">
      <c r="A26" s="56" t="s">
        <v>82</v>
      </c>
      <c r="B26" s="56" t="s">
        <v>251</v>
      </c>
      <c r="C26" s="56"/>
      <c r="D26" s="56" t="s">
        <v>100</v>
      </c>
      <c r="E26" s="56" t="s">
        <v>148</v>
      </c>
      <c r="F26" s="106">
        <v>42338</v>
      </c>
      <c r="G26" s="56"/>
      <c r="H26" s="56"/>
      <c r="I26" s="59">
        <v>739.23</v>
      </c>
      <c r="J26" s="114"/>
      <c r="K26" s="59">
        <f t="shared" si="0"/>
        <v>739.23</v>
      </c>
      <c r="L26" s="59">
        <f>1120.332+5.571</f>
        <v>1125.903</v>
      </c>
      <c r="M26" s="59"/>
      <c r="N26" s="59"/>
      <c r="O26" s="59"/>
      <c r="P26" s="88">
        <v>45.13</v>
      </c>
      <c r="Q26" s="100">
        <f t="shared" si="1"/>
        <v>1820.0029999999999</v>
      </c>
      <c r="R26" s="59"/>
      <c r="S26" s="59"/>
      <c r="T26" s="59"/>
      <c r="U26" s="59">
        <v>0</v>
      </c>
      <c r="V26" s="59"/>
      <c r="W26" s="59"/>
      <c r="X26" s="59"/>
      <c r="Y26" s="53"/>
      <c r="Z26" s="53"/>
      <c r="AA26" s="56"/>
      <c r="AB26" s="56">
        <v>0</v>
      </c>
      <c r="AC26" s="100">
        <f t="shared" si="2"/>
        <v>1820.0029999999999</v>
      </c>
      <c r="AD26" s="53">
        <f t="shared" si="7"/>
        <v>0</v>
      </c>
      <c r="AE26" s="100">
        <f t="shared" si="3"/>
        <v>1820.0029999999999</v>
      </c>
      <c r="AF26" s="53">
        <f t="shared" si="8"/>
        <v>182.00030000000001</v>
      </c>
      <c r="AG26" s="53">
        <v>10.23</v>
      </c>
      <c r="AH26" s="53">
        <f t="shared" si="4"/>
        <v>0</v>
      </c>
      <c r="AI26" s="100">
        <f t="shared" si="5"/>
        <v>2012.2332999999999</v>
      </c>
      <c r="AJ26" s="110"/>
      <c r="AK26" s="111"/>
      <c r="AL26" s="101">
        <f t="shared" si="6"/>
        <v>-1820.0029999999999</v>
      </c>
      <c r="AM26" s="56"/>
      <c r="AN26" s="60"/>
    </row>
    <row r="27" spans="1:40" s="28" customFormat="1">
      <c r="A27" s="56" t="s">
        <v>66</v>
      </c>
      <c r="B27" s="56" t="s">
        <v>189</v>
      </c>
      <c r="C27" s="56"/>
      <c r="D27" s="56" t="s">
        <v>99</v>
      </c>
      <c r="E27" s="56" t="s">
        <v>150</v>
      </c>
      <c r="F27" s="106">
        <v>42110</v>
      </c>
      <c r="G27" s="56"/>
      <c r="H27" s="56"/>
      <c r="I27" s="59">
        <v>513.33000000000004</v>
      </c>
      <c r="J27" s="114">
        <v>486.67</v>
      </c>
      <c r="K27" s="59">
        <f>+I27+J27</f>
        <v>1000</v>
      </c>
      <c r="L27" s="59">
        <v>700</v>
      </c>
      <c r="M27" s="59"/>
      <c r="N27" s="59"/>
      <c r="O27" s="59"/>
      <c r="P27" s="88">
        <v>45.13</v>
      </c>
      <c r="Q27" s="100">
        <f t="shared" si="1"/>
        <v>1654.87</v>
      </c>
      <c r="R27" s="59">
        <v>250</v>
      </c>
      <c r="S27" s="59"/>
      <c r="T27" s="59">
        <v>58.91</v>
      </c>
      <c r="U27" s="59">
        <v>0</v>
      </c>
      <c r="V27" s="59"/>
      <c r="W27" s="59"/>
      <c r="X27" s="59"/>
      <c r="Y27" s="53"/>
      <c r="Z27" s="53"/>
      <c r="AA27" s="56"/>
      <c r="AB27" s="56">
        <v>0</v>
      </c>
      <c r="AC27" s="100">
        <f t="shared" si="2"/>
        <v>1345.96</v>
      </c>
      <c r="AD27" s="53">
        <f t="shared" si="7"/>
        <v>0</v>
      </c>
      <c r="AE27" s="100">
        <f t="shared" si="3"/>
        <v>1345.96</v>
      </c>
      <c r="AF27" s="53">
        <f t="shared" si="8"/>
        <v>165.48699999999999</v>
      </c>
      <c r="AG27" s="53">
        <v>10.23</v>
      </c>
      <c r="AH27" s="53">
        <f t="shared" si="4"/>
        <v>0</v>
      </c>
      <c r="AI27" s="100">
        <f t="shared" si="5"/>
        <v>1830.587</v>
      </c>
      <c r="AJ27" s="110"/>
      <c r="AK27" s="110"/>
      <c r="AL27" s="101">
        <f t="shared" si="6"/>
        <v>-1345.96</v>
      </c>
      <c r="AM27" s="56"/>
      <c r="AN27" s="60"/>
    </row>
    <row r="28" spans="1:40" s="28" customFormat="1">
      <c r="A28" s="56" t="s">
        <v>206</v>
      </c>
      <c r="B28" s="56" t="s">
        <v>174</v>
      </c>
      <c r="C28" s="56"/>
      <c r="D28" s="56" t="s">
        <v>101</v>
      </c>
      <c r="E28" s="56" t="s">
        <v>151</v>
      </c>
      <c r="F28" s="106">
        <v>42205</v>
      </c>
      <c r="G28" s="56"/>
      <c r="H28" s="102"/>
      <c r="I28" s="59">
        <v>577.38</v>
      </c>
      <c r="J28" s="114">
        <v>1047.6199999999999</v>
      </c>
      <c r="K28" s="59">
        <f>+I28+J28</f>
        <v>1625</v>
      </c>
      <c r="L28" s="59"/>
      <c r="M28" s="59"/>
      <c r="N28" s="59"/>
      <c r="O28" s="59"/>
      <c r="P28" s="88">
        <v>45.13</v>
      </c>
      <c r="Q28" s="100">
        <f t="shared" si="1"/>
        <v>1579.87</v>
      </c>
      <c r="R28" s="59"/>
      <c r="S28" s="59"/>
      <c r="T28" s="59"/>
      <c r="U28" s="59">
        <v>200</v>
      </c>
      <c r="V28" s="59"/>
      <c r="W28" s="59"/>
      <c r="X28" s="59"/>
      <c r="Y28" s="53"/>
      <c r="Z28" s="53">
        <v>168.06</v>
      </c>
      <c r="AA28" s="56"/>
      <c r="AB28" s="56">
        <v>0</v>
      </c>
      <c r="AC28" s="100">
        <f t="shared" si="2"/>
        <v>1211.81</v>
      </c>
      <c r="AD28" s="53">
        <f t="shared" si="7"/>
        <v>0</v>
      </c>
      <c r="AE28" s="100">
        <f t="shared" si="3"/>
        <v>1211.81</v>
      </c>
      <c r="AF28" s="53">
        <f t="shared" si="8"/>
        <v>157.98699999999999</v>
      </c>
      <c r="AG28" s="53">
        <v>10.23</v>
      </c>
      <c r="AH28" s="53">
        <f t="shared" si="4"/>
        <v>0</v>
      </c>
      <c r="AI28" s="100">
        <f t="shared" si="5"/>
        <v>1748.087</v>
      </c>
      <c r="AJ28" s="110"/>
      <c r="AK28" s="110"/>
      <c r="AL28" s="101">
        <f t="shared" si="6"/>
        <v>-1211.81</v>
      </c>
      <c r="AM28" s="56"/>
      <c r="AN28" s="56"/>
    </row>
    <row r="29" spans="1:40" s="28" customFormat="1">
      <c r="A29" s="56" t="s">
        <v>206</v>
      </c>
      <c r="B29" s="56" t="s">
        <v>263</v>
      </c>
      <c r="C29" s="56"/>
      <c r="D29" s="56"/>
      <c r="E29" s="56" t="s">
        <v>151</v>
      </c>
      <c r="F29" s="106">
        <v>42476</v>
      </c>
      <c r="G29" s="56"/>
      <c r="H29" s="102"/>
      <c r="I29" s="59">
        <v>577.38</v>
      </c>
      <c r="J29" s="114">
        <v>822.62</v>
      </c>
      <c r="K29" s="59">
        <f t="shared" si="0"/>
        <v>1400</v>
      </c>
      <c r="L29" s="59"/>
      <c r="M29" s="59"/>
      <c r="N29" s="59"/>
      <c r="O29" s="59"/>
      <c r="P29" s="88"/>
      <c r="Q29" s="100">
        <f t="shared" si="1"/>
        <v>1400</v>
      </c>
      <c r="R29" s="59"/>
      <c r="S29" s="59"/>
      <c r="T29" s="59"/>
      <c r="U29" s="59"/>
      <c r="V29" s="59"/>
      <c r="W29" s="59"/>
      <c r="X29" s="59"/>
      <c r="Y29" s="53"/>
      <c r="Z29" s="53"/>
      <c r="AA29" s="56"/>
      <c r="AB29" s="56">
        <v>0</v>
      </c>
      <c r="AC29" s="100">
        <f t="shared" si="2"/>
        <v>1400</v>
      </c>
      <c r="AD29" s="53">
        <f t="shared" ref="AD29" si="13">IF(Q29&gt;2250,Q29*0.1,0)</f>
        <v>0</v>
      </c>
      <c r="AE29" s="100">
        <f t="shared" ref="AE29" si="14">+AC29-AD29</f>
        <v>1400</v>
      </c>
      <c r="AF29" s="53">
        <f t="shared" si="8"/>
        <v>140</v>
      </c>
      <c r="AG29" s="53">
        <v>10.23</v>
      </c>
      <c r="AH29" s="53">
        <f t="shared" ref="AH29" si="15">+V29</f>
        <v>0</v>
      </c>
      <c r="AI29" s="100">
        <f t="shared" si="5"/>
        <v>1550.23</v>
      </c>
      <c r="AJ29" s="110"/>
      <c r="AK29" s="110"/>
      <c r="AL29" s="101">
        <f t="shared" si="6"/>
        <v>-1400</v>
      </c>
      <c r="AM29" s="56">
        <v>2919685839</v>
      </c>
      <c r="AN29" s="60"/>
    </row>
    <row r="30" spans="1:40" s="28" customFormat="1">
      <c r="A30" s="56" t="s">
        <v>84</v>
      </c>
      <c r="B30" s="56" t="s">
        <v>267</v>
      </c>
      <c r="C30" s="56"/>
      <c r="D30" s="56" t="s">
        <v>114</v>
      </c>
      <c r="E30" s="56" t="s">
        <v>158</v>
      </c>
      <c r="F30" s="106">
        <v>41227</v>
      </c>
      <c r="G30" s="56"/>
      <c r="H30" s="56"/>
      <c r="I30" s="59">
        <v>608.16</v>
      </c>
      <c r="J30" s="114"/>
      <c r="K30" s="59">
        <v>608.16</v>
      </c>
      <c r="L30" s="59">
        <f>1873.442+2.599</f>
        <v>1876.0409999999999</v>
      </c>
      <c r="M30" s="59"/>
      <c r="N30" s="59"/>
      <c r="O30" s="59"/>
      <c r="P30" s="88">
        <v>45.13</v>
      </c>
      <c r="Q30" s="100">
        <f t="shared" si="1"/>
        <v>2439.0709999999999</v>
      </c>
      <c r="R30" s="59"/>
      <c r="S30" s="59"/>
      <c r="T30" s="59"/>
      <c r="U30" s="59">
        <v>500</v>
      </c>
      <c r="V30" s="59">
        <f>Q30*4.9%</f>
        <v>119.51447899999999</v>
      </c>
      <c r="W30" s="59">
        <f>Q30*1%</f>
        <v>24.390709999999999</v>
      </c>
      <c r="X30" s="59"/>
      <c r="Y30" s="53"/>
      <c r="Z30" s="53"/>
      <c r="AA30" s="56"/>
      <c r="AB30" s="56">
        <v>0</v>
      </c>
      <c r="AC30" s="100">
        <f t="shared" si="2"/>
        <v>1795.1658109999998</v>
      </c>
      <c r="AD30" s="53">
        <f t="shared" si="7"/>
        <v>243.90710000000001</v>
      </c>
      <c r="AE30" s="100">
        <f>+AC30-AD30</f>
        <v>1551.2587109999999</v>
      </c>
      <c r="AF30" s="53">
        <f t="shared" si="8"/>
        <v>0</v>
      </c>
      <c r="AG30" s="53">
        <v>10.23</v>
      </c>
      <c r="AH30" s="53">
        <f t="shared" si="4"/>
        <v>119.51447899999999</v>
      </c>
      <c r="AI30" s="100">
        <f t="shared" si="5"/>
        <v>2568.8154789999999</v>
      </c>
      <c r="AJ30" s="110"/>
      <c r="AK30" s="110"/>
      <c r="AL30" s="101">
        <f t="shared" si="6"/>
        <v>-1551.2587109999999</v>
      </c>
      <c r="AM30" s="56"/>
      <c r="AN30" s="60"/>
    </row>
    <row r="31" spans="1:40" s="28" customFormat="1">
      <c r="A31" s="56"/>
      <c r="B31" s="56" t="s">
        <v>271</v>
      </c>
      <c r="C31" s="56"/>
      <c r="D31" s="56"/>
      <c r="E31" s="56" t="s">
        <v>69</v>
      </c>
      <c r="F31" s="106">
        <v>42507</v>
      </c>
      <c r="G31" s="56"/>
      <c r="H31" s="56"/>
      <c r="I31" s="59">
        <v>513.33000000000004</v>
      </c>
      <c r="J31" s="114">
        <v>653.33000000000004</v>
      </c>
      <c r="K31" s="59">
        <f>+I31+J31</f>
        <v>1166.6600000000001</v>
      </c>
      <c r="L31" s="59">
        <v>1416.38</v>
      </c>
      <c r="M31" s="59"/>
      <c r="N31" s="59"/>
      <c r="O31" s="59"/>
      <c r="P31" s="88"/>
      <c r="Q31" s="100">
        <f t="shared" si="1"/>
        <v>2583.04</v>
      </c>
      <c r="R31" s="59"/>
      <c r="S31" s="59"/>
      <c r="T31" s="59"/>
      <c r="U31" s="59"/>
      <c r="V31" s="59"/>
      <c r="W31" s="59"/>
      <c r="X31" s="59"/>
      <c r="Y31" s="53"/>
      <c r="Z31" s="53"/>
      <c r="AA31" s="56"/>
      <c r="AB31" s="56"/>
      <c r="AC31" s="100">
        <f t="shared" si="2"/>
        <v>2583.04</v>
      </c>
      <c r="AD31" s="53">
        <f t="shared" ref="AD31" si="16">IF(Q31&gt;2250,Q31*0.1,0)</f>
        <v>258.30400000000003</v>
      </c>
      <c r="AE31" s="100">
        <f>+AC31-AD31</f>
        <v>2324.7359999999999</v>
      </c>
      <c r="AF31" s="53">
        <f t="shared" si="8"/>
        <v>0</v>
      </c>
      <c r="AG31" s="53">
        <v>10.23</v>
      </c>
      <c r="AH31" s="53">
        <f t="shared" ref="AH31" si="17">+V31</f>
        <v>0</v>
      </c>
      <c r="AI31" s="100">
        <f t="shared" si="5"/>
        <v>2593.27</v>
      </c>
      <c r="AJ31" s="110"/>
      <c r="AK31" s="110"/>
      <c r="AL31" s="101">
        <f t="shared" si="6"/>
        <v>-2324.7359999999999</v>
      </c>
      <c r="AM31" s="104">
        <v>2791168061</v>
      </c>
      <c r="AN31" s="60"/>
    </row>
    <row r="32" spans="1:40" s="28" customFormat="1">
      <c r="A32" s="56" t="s">
        <v>84</v>
      </c>
      <c r="B32" s="56" t="s">
        <v>190</v>
      </c>
      <c r="C32" s="56"/>
      <c r="D32" s="56" t="s">
        <v>115</v>
      </c>
      <c r="E32" s="56" t="s">
        <v>158</v>
      </c>
      <c r="F32" s="106">
        <v>41227</v>
      </c>
      <c r="G32" s="56"/>
      <c r="H32" s="56"/>
      <c r="I32" s="59">
        <v>608.16</v>
      </c>
      <c r="J32" s="114"/>
      <c r="K32" s="59">
        <f>+I32+J32</f>
        <v>608.16</v>
      </c>
      <c r="L32" s="59">
        <f>3641.88+2.972</f>
        <v>3644.8520000000003</v>
      </c>
      <c r="M32" s="59"/>
      <c r="N32" s="59"/>
      <c r="O32" s="59"/>
      <c r="P32" s="88">
        <v>45.13</v>
      </c>
      <c r="Q32" s="100">
        <f t="shared" si="1"/>
        <v>4207.8820000000005</v>
      </c>
      <c r="R32" s="59"/>
      <c r="S32" s="59"/>
      <c r="T32" s="59"/>
      <c r="U32" s="59">
        <v>0</v>
      </c>
      <c r="V32" s="59">
        <f>Q32*4.9%</f>
        <v>206.18621800000003</v>
      </c>
      <c r="W32" s="59">
        <f>Q32*1%</f>
        <v>42.078820000000007</v>
      </c>
      <c r="X32" s="59"/>
      <c r="Y32" s="53"/>
      <c r="Z32" s="53"/>
      <c r="AA32" s="102"/>
      <c r="AB32" s="56">
        <v>0</v>
      </c>
      <c r="AC32" s="100">
        <f t="shared" si="2"/>
        <v>3959.6169620000005</v>
      </c>
      <c r="AD32" s="53">
        <f t="shared" si="7"/>
        <v>420.78820000000007</v>
      </c>
      <c r="AE32" s="100">
        <f t="shared" si="3"/>
        <v>3538.8287620000006</v>
      </c>
      <c r="AF32" s="53">
        <f t="shared" si="8"/>
        <v>0</v>
      </c>
      <c r="AG32" s="53">
        <v>10.23</v>
      </c>
      <c r="AH32" s="53">
        <f t="shared" si="4"/>
        <v>206.18621800000003</v>
      </c>
      <c r="AI32" s="100">
        <f t="shared" si="5"/>
        <v>4424.2982179999999</v>
      </c>
      <c r="AJ32" s="110"/>
      <c r="AK32" s="111"/>
      <c r="AL32" s="101">
        <f t="shared" si="6"/>
        <v>-3538.8287620000006</v>
      </c>
      <c r="AM32" s="56"/>
      <c r="AN32" s="60"/>
    </row>
    <row r="33" spans="1:40" s="28" customFormat="1">
      <c r="A33" s="56" t="s">
        <v>81</v>
      </c>
      <c r="B33" s="56" t="s">
        <v>284</v>
      </c>
      <c r="C33" s="56"/>
      <c r="D33" s="56"/>
      <c r="E33" s="56" t="s">
        <v>69</v>
      </c>
      <c r="F33" s="106">
        <v>42514</v>
      </c>
      <c r="G33" s="56"/>
      <c r="H33" s="56"/>
      <c r="I33" s="122">
        <f>+K33</f>
        <v>1332.86</v>
      </c>
      <c r="J33" s="114"/>
      <c r="K33" s="59">
        <v>1332.86</v>
      </c>
      <c r="L33" s="59">
        <v>1063.97</v>
      </c>
      <c r="M33" s="59"/>
      <c r="N33" s="59"/>
      <c r="O33" s="59"/>
      <c r="P33" s="88"/>
      <c r="Q33" s="100">
        <f t="shared" si="1"/>
        <v>2396.83</v>
      </c>
      <c r="R33" s="59"/>
      <c r="S33" s="59"/>
      <c r="T33" s="59"/>
      <c r="U33" s="59">
        <v>0</v>
      </c>
      <c r="V33" s="59"/>
      <c r="W33" s="59"/>
      <c r="X33" s="59"/>
      <c r="Y33" s="53"/>
      <c r="Z33" s="53"/>
      <c r="AA33" s="56"/>
      <c r="AB33" s="56">
        <v>0</v>
      </c>
      <c r="AC33" s="100">
        <f t="shared" si="2"/>
        <v>2396.83</v>
      </c>
      <c r="AD33" s="53">
        <f t="shared" ref="AD33:AD45" si="18">IF(Q33&gt;2250,Q33*0.1,0)</f>
        <v>239.68299999999999</v>
      </c>
      <c r="AE33" s="100">
        <f t="shared" ref="AE33:AE45" si="19">+AC33-AD33</f>
        <v>2157.1469999999999</v>
      </c>
      <c r="AF33" s="53">
        <f t="shared" ref="AF33:AF45" si="20">IF(Q33&lt;2250,Q33*0.1,0)</f>
        <v>0</v>
      </c>
      <c r="AG33" s="53">
        <v>11.23</v>
      </c>
      <c r="AH33" s="53">
        <f t="shared" ref="AH33:AH45" si="21">+V33</f>
        <v>0</v>
      </c>
      <c r="AI33" s="100">
        <f t="shared" si="5"/>
        <v>2408.06</v>
      </c>
      <c r="AJ33" s="110"/>
      <c r="AK33" s="111"/>
      <c r="AL33" s="101"/>
      <c r="AM33" s="56">
        <v>2747910657</v>
      </c>
      <c r="AN33" s="60"/>
    </row>
    <row r="34" spans="1:40" s="28" customFormat="1">
      <c r="A34" s="56" t="s">
        <v>82</v>
      </c>
      <c r="B34" s="56" t="s">
        <v>240</v>
      </c>
      <c r="C34" s="56"/>
      <c r="D34" s="56"/>
      <c r="E34" s="56" t="s">
        <v>241</v>
      </c>
      <c r="F34" s="106">
        <v>42457</v>
      </c>
      <c r="G34" s="56"/>
      <c r="H34" s="56"/>
      <c r="I34" s="59">
        <v>513.33000000000004</v>
      </c>
      <c r="J34" s="114">
        <v>586.66999999999996</v>
      </c>
      <c r="K34" s="59">
        <f t="shared" si="0"/>
        <v>1100</v>
      </c>
      <c r="L34" s="59"/>
      <c r="M34" s="59"/>
      <c r="N34" s="59"/>
      <c r="O34" s="59"/>
      <c r="P34" s="88"/>
      <c r="Q34" s="100">
        <f t="shared" si="1"/>
        <v>1100</v>
      </c>
      <c r="R34" s="59"/>
      <c r="S34" s="59"/>
      <c r="T34" s="59"/>
      <c r="U34" s="59">
        <v>0</v>
      </c>
      <c r="V34" s="59"/>
      <c r="W34" s="59"/>
      <c r="X34" s="59"/>
      <c r="Y34" s="53">
        <v>482.25</v>
      </c>
      <c r="Z34" s="53"/>
      <c r="AA34" s="56"/>
      <c r="AB34" s="56">
        <v>0</v>
      </c>
      <c r="AC34" s="100">
        <f t="shared" si="2"/>
        <v>617.75</v>
      </c>
      <c r="AD34" s="53">
        <f t="shared" si="18"/>
        <v>0</v>
      </c>
      <c r="AE34" s="100">
        <f t="shared" si="19"/>
        <v>617.75</v>
      </c>
      <c r="AF34" s="53">
        <f t="shared" si="20"/>
        <v>110</v>
      </c>
      <c r="AG34" s="53">
        <v>12.23</v>
      </c>
      <c r="AH34" s="53">
        <f t="shared" si="21"/>
        <v>0</v>
      </c>
      <c r="AI34" s="100">
        <f t="shared" si="5"/>
        <v>1222.23</v>
      </c>
      <c r="AJ34" s="110"/>
      <c r="AK34" s="110"/>
      <c r="AL34" s="101">
        <f t="shared" si="6"/>
        <v>-617.75</v>
      </c>
      <c r="AM34" s="56"/>
      <c r="AN34" s="60"/>
    </row>
    <row r="35" spans="1:40" s="28" customFormat="1">
      <c r="A35" s="56" t="s">
        <v>68</v>
      </c>
      <c r="B35" s="56" t="s">
        <v>262</v>
      </c>
      <c r="C35" s="56" t="s">
        <v>202</v>
      </c>
      <c r="D35" s="56"/>
      <c r="E35" s="56" t="s">
        <v>70</v>
      </c>
      <c r="F35" s="106">
        <v>42413</v>
      </c>
      <c r="G35" s="56"/>
      <c r="H35" s="56"/>
      <c r="I35" s="59">
        <v>513.33000000000004</v>
      </c>
      <c r="J35" s="114">
        <v>653.33000000000004</v>
      </c>
      <c r="K35" s="59">
        <f t="shared" si="0"/>
        <v>1166.6600000000001</v>
      </c>
      <c r="L35" s="59">
        <v>1041.54</v>
      </c>
      <c r="M35" s="59"/>
      <c r="N35" s="59"/>
      <c r="O35" s="59"/>
      <c r="P35" s="88"/>
      <c r="Q35" s="100">
        <f t="shared" si="1"/>
        <v>2208.1999999999998</v>
      </c>
      <c r="R35" s="59"/>
      <c r="S35" s="59"/>
      <c r="T35" s="59"/>
      <c r="U35" s="59">
        <v>0</v>
      </c>
      <c r="V35" s="59"/>
      <c r="W35" s="59"/>
      <c r="X35" s="59"/>
      <c r="Y35" s="53"/>
      <c r="Z35" s="53"/>
      <c r="AA35" s="56"/>
      <c r="AB35" s="56">
        <v>0</v>
      </c>
      <c r="AC35" s="100">
        <f t="shared" si="2"/>
        <v>2208.1999999999998</v>
      </c>
      <c r="AD35" s="53">
        <f t="shared" si="18"/>
        <v>0</v>
      </c>
      <c r="AE35" s="100">
        <f t="shared" si="19"/>
        <v>2208.1999999999998</v>
      </c>
      <c r="AF35" s="53">
        <f t="shared" si="20"/>
        <v>220.82</v>
      </c>
      <c r="AG35" s="53">
        <v>13.23</v>
      </c>
      <c r="AH35" s="53">
        <f t="shared" si="21"/>
        <v>0</v>
      </c>
      <c r="AI35" s="100">
        <f t="shared" si="5"/>
        <v>2442.25</v>
      </c>
      <c r="AJ35" s="110"/>
      <c r="AK35" s="111"/>
      <c r="AL35" s="101">
        <f t="shared" si="6"/>
        <v>-2208.1999999999998</v>
      </c>
      <c r="AM35" s="56"/>
      <c r="AN35" s="56"/>
    </row>
    <row r="36" spans="1:40" s="141" customFormat="1">
      <c r="A36" s="134"/>
      <c r="B36" s="134" t="s">
        <v>295</v>
      </c>
      <c r="C36" s="134"/>
      <c r="D36" s="134"/>
      <c r="E36" s="134"/>
      <c r="F36" s="135">
        <v>42550</v>
      </c>
      <c r="G36" s="134"/>
      <c r="H36" s="134"/>
      <c r="I36" s="57">
        <v>739.23</v>
      </c>
      <c r="J36" s="136"/>
      <c r="K36" s="59">
        <f t="shared" si="0"/>
        <v>739.23</v>
      </c>
      <c r="L36" s="57"/>
      <c r="M36" s="57"/>
      <c r="N36" s="57"/>
      <c r="O36" s="57"/>
      <c r="P36" s="137"/>
      <c r="Q36" s="100">
        <f t="shared" si="1"/>
        <v>739.23</v>
      </c>
      <c r="R36" s="57"/>
      <c r="S36" s="57"/>
      <c r="T36" s="57"/>
      <c r="U36" s="57"/>
      <c r="V36" s="57"/>
      <c r="W36" s="57"/>
      <c r="X36" s="57"/>
      <c r="Y36" s="138"/>
      <c r="Z36" s="138"/>
      <c r="AA36" s="134"/>
      <c r="AB36" s="134"/>
      <c r="AC36" s="100">
        <f t="shared" si="2"/>
        <v>739.23</v>
      </c>
      <c r="AD36" s="53">
        <f t="shared" si="18"/>
        <v>0</v>
      </c>
      <c r="AE36" s="100">
        <f t="shared" si="19"/>
        <v>739.23</v>
      </c>
      <c r="AF36" s="53">
        <f t="shared" si="20"/>
        <v>73.923000000000002</v>
      </c>
      <c r="AG36" s="53">
        <v>13.23</v>
      </c>
      <c r="AH36" s="53">
        <f t="shared" ref="AH36" si="22">+V36</f>
        <v>0</v>
      </c>
      <c r="AI36" s="100">
        <f t="shared" ref="AI36" si="23">+Q36+AF36+AG36+AH36</f>
        <v>826.38300000000004</v>
      </c>
      <c r="AJ36" s="139"/>
      <c r="AK36" s="140"/>
      <c r="AL36" s="103"/>
      <c r="AM36" s="134"/>
      <c r="AN36" s="134" t="s">
        <v>296</v>
      </c>
    </row>
    <row r="37" spans="1:40" s="28" customFormat="1">
      <c r="A37" s="56"/>
      <c r="B37" s="56" t="s">
        <v>291</v>
      </c>
      <c r="C37" s="56"/>
      <c r="D37" s="56"/>
      <c r="E37" s="56" t="s">
        <v>70</v>
      </c>
      <c r="F37" s="106">
        <v>42532</v>
      </c>
      <c r="G37" s="56"/>
      <c r="H37" s="56"/>
      <c r="I37" s="59">
        <v>513.33000000000004</v>
      </c>
      <c r="J37" s="114">
        <v>653.33000000000004</v>
      </c>
      <c r="K37" s="59">
        <f t="shared" ref="K37" si="24">+I37+J37</f>
        <v>1166.6600000000001</v>
      </c>
      <c r="L37" s="59"/>
      <c r="M37" s="59"/>
      <c r="N37" s="59"/>
      <c r="O37" s="59"/>
      <c r="P37" s="88"/>
      <c r="Q37" s="100">
        <f t="shared" ref="Q37" si="25">SUM(K37:O37)-P37</f>
        <v>1166.6600000000001</v>
      </c>
      <c r="R37" s="59"/>
      <c r="S37" s="59"/>
      <c r="T37" s="59"/>
      <c r="U37" s="59">
        <v>0</v>
      </c>
      <c r="V37" s="59"/>
      <c r="W37" s="59"/>
      <c r="X37" s="59"/>
      <c r="Y37" s="53"/>
      <c r="Z37" s="53"/>
      <c r="AA37" s="56"/>
      <c r="AB37" s="56">
        <v>0</v>
      </c>
      <c r="AC37" s="100">
        <f t="shared" ref="AC37" si="26">+Q37-SUM(R37:AB37)</f>
        <v>1166.6600000000001</v>
      </c>
      <c r="AD37" s="53">
        <f t="shared" ref="AD37" si="27">IF(Q37&gt;2250,Q37*0.1,0)</f>
        <v>0</v>
      </c>
      <c r="AE37" s="100">
        <f t="shared" ref="AE37" si="28">+AC37-AD37</f>
        <v>1166.6600000000001</v>
      </c>
      <c r="AF37" s="53">
        <f t="shared" ref="AF37" si="29">IF(Q37&lt;2250,Q37*0.1,0)</f>
        <v>116.66600000000001</v>
      </c>
      <c r="AG37" s="53">
        <v>13.23</v>
      </c>
      <c r="AH37" s="53">
        <f t="shared" ref="AH37" si="30">+V37</f>
        <v>0</v>
      </c>
      <c r="AI37" s="100">
        <f t="shared" ref="AI37" si="31">+Q37+AF37+AG37+AH37</f>
        <v>1296.556</v>
      </c>
      <c r="AJ37" s="110"/>
      <c r="AK37" s="111"/>
      <c r="AL37" s="101">
        <f t="shared" ref="AL37" si="32">+AJ37+AK37-AE37</f>
        <v>-1166.6600000000001</v>
      </c>
      <c r="AM37" s="56"/>
      <c r="AN37" s="56" t="s">
        <v>292</v>
      </c>
    </row>
    <row r="38" spans="1:40" s="28" customFormat="1">
      <c r="A38" s="56" t="s">
        <v>68</v>
      </c>
      <c r="B38" s="56" t="s">
        <v>279</v>
      </c>
      <c r="C38" s="56"/>
      <c r="D38" s="56"/>
      <c r="E38" s="56" t="s">
        <v>70</v>
      </c>
      <c r="F38" s="106">
        <v>42520</v>
      </c>
      <c r="G38" s="56"/>
      <c r="H38" s="56"/>
      <c r="I38" s="59">
        <v>513.33000000000004</v>
      </c>
      <c r="J38" s="114">
        <v>653.33000000000004</v>
      </c>
      <c r="K38" s="59">
        <f>+I38</f>
        <v>513.33000000000004</v>
      </c>
      <c r="L38" s="59">
        <v>581</v>
      </c>
      <c r="M38" s="59"/>
      <c r="N38" s="59"/>
      <c r="O38" s="59"/>
      <c r="P38" s="88"/>
      <c r="Q38" s="100">
        <f t="shared" si="1"/>
        <v>1094.33</v>
      </c>
      <c r="R38" s="59"/>
      <c r="S38" s="59"/>
      <c r="T38" s="59"/>
      <c r="U38" s="59">
        <v>0</v>
      </c>
      <c r="V38" s="59"/>
      <c r="W38" s="59"/>
      <c r="X38" s="59"/>
      <c r="Y38" s="53"/>
      <c r="Z38" s="53"/>
      <c r="AA38" s="56"/>
      <c r="AB38" s="56">
        <v>0</v>
      </c>
      <c r="AC38" s="100">
        <f t="shared" si="2"/>
        <v>1094.33</v>
      </c>
      <c r="AD38" s="53">
        <f t="shared" si="18"/>
        <v>0</v>
      </c>
      <c r="AE38" s="100">
        <f t="shared" si="19"/>
        <v>1094.33</v>
      </c>
      <c r="AF38" s="53">
        <f t="shared" si="20"/>
        <v>109.43299999999999</v>
      </c>
      <c r="AG38" s="53">
        <v>14.23</v>
      </c>
      <c r="AH38" s="53">
        <f t="shared" si="21"/>
        <v>0</v>
      </c>
      <c r="AI38" s="100">
        <f t="shared" si="5"/>
        <v>1217.9929999999999</v>
      </c>
      <c r="AJ38" s="110"/>
      <c r="AK38" s="111"/>
      <c r="AL38" s="101"/>
      <c r="AM38" s="56">
        <v>1175437504</v>
      </c>
      <c r="AN38" s="60"/>
    </row>
    <row r="39" spans="1:40" s="28" customFormat="1">
      <c r="A39" s="56" t="s">
        <v>68</v>
      </c>
      <c r="B39" s="56" t="s">
        <v>259</v>
      </c>
      <c r="C39" s="56" t="s">
        <v>202</v>
      </c>
      <c r="D39" s="56" t="s">
        <v>130</v>
      </c>
      <c r="E39" s="56" t="s">
        <v>70</v>
      </c>
      <c r="F39" s="106">
        <v>41906</v>
      </c>
      <c r="G39" s="56"/>
      <c r="H39" s="56"/>
      <c r="I39" s="59">
        <v>513.33000000000004</v>
      </c>
      <c r="J39" s="114">
        <v>653.33000000000004</v>
      </c>
      <c r="K39" s="59">
        <f t="shared" si="0"/>
        <v>1166.6600000000001</v>
      </c>
      <c r="L39" s="59">
        <v>3818.36</v>
      </c>
      <c r="M39" s="59"/>
      <c r="N39" s="59"/>
      <c r="O39" s="59"/>
      <c r="P39" s="88">
        <v>45.13</v>
      </c>
      <c r="Q39" s="100">
        <f t="shared" si="1"/>
        <v>4939.8900000000003</v>
      </c>
      <c r="R39" s="59"/>
      <c r="S39" s="59"/>
      <c r="T39" s="59">
        <v>58.91</v>
      </c>
      <c r="U39" s="59">
        <v>0</v>
      </c>
      <c r="V39" s="59"/>
      <c r="W39" s="59"/>
      <c r="X39" s="59"/>
      <c r="Y39" s="53"/>
      <c r="Z39" s="53"/>
      <c r="AA39" s="56"/>
      <c r="AB39" s="56">
        <v>349.07</v>
      </c>
      <c r="AC39" s="100">
        <f t="shared" si="2"/>
        <v>4531.91</v>
      </c>
      <c r="AD39" s="53">
        <f t="shared" si="18"/>
        <v>493.98900000000003</v>
      </c>
      <c r="AE39" s="100">
        <f t="shared" si="19"/>
        <v>4037.9209999999998</v>
      </c>
      <c r="AF39" s="53">
        <f t="shared" si="20"/>
        <v>0</v>
      </c>
      <c r="AG39" s="53">
        <v>15.23</v>
      </c>
      <c r="AH39" s="53">
        <f t="shared" si="21"/>
        <v>0</v>
      </c>
      <c r="AI39" s="100">
        <f t="shared" si="5"/>
        <v>4955.12</v>
      </c>
      <c r="AJ39" s="110"/>
      <c r="AK39" s="111"/>
      <c r="AL39" s="101">
        <f t="shared" si="6"/>
        <v>-4037.9209999999998</v>
      </c>
      <c r="AM39" s="56"/>
      <c r="AN39" s="56"/>
    </row>
    <row r="40" spans="1:40" s="28" customFormat="1">
      <c r="A40" s="56"/>
      <c r="B40" s="56" t="s">
        <v>274</v>
      </c>
      <c r="C40" s="56"/>
      <c r="D40" s="56"/>
      <c r="E40" s="56" t="s">
        <v>150</v>
      </c>
      <c r="F40" s="106">
        <v>42506</v>
      </c>
      <c r="G40" s="56"/>
      <c r="H40" s="56"/>
      <c r="I40" s="59">
        <v>513.33000000000004</v>
      </c>
      <c r="J40" s="114">
        <v>486.67</v>
      </c>
      <c r="K40" s="59">
        <f t="shared" si="0"/>
        <v>1000</v>
      </c>
      <c r="L40" s="59">
        <v>700</v>
      </c>
      <c r="M40" s="59"/>
      <c r="N40" s="59"/>
      <c r="O40" s="59"/>
      <c r="P40" s="88"/>
      <c r="Q40" s="100">
        <f t="shared" si="1"/>
        <v>1700</v>
      </c>
      <c r="R40" s="59"/>
      <c r="S40" s="59"/>
      <c r="T40" s="59"/>
      <c r="U40" s="59"/>
      <c r="V40" s="59"/>
      <c r="W40" s="59"/>
      <c r="X40" s="59"/>
      <c r="Y40" s="53"/>
      <c r="Z40" s="53"/>
      <c r="AA40" s="56"/>
      <c r="AB40" s="56">
        <v>0</v>
      </c>
      <c r="AC40" s="100">
        <f t="shared" si="2"/>
        <v>1700</v>
      </c>
      <c r="AD40" s="53">
        <f t="shared" si="18"/>
        <v>0</v>
      </c>
      <c r="AE40" s="100">
        <f t="shared" si="19"/>
        <v>1700</v>
      </c>
      <c r="AF40" s="53">
        <f t="shared" si="20"/>
        <v>170</v>
      </c>
      <c r="AG40" s="53">
        <v>16.23</v>
      </c>
      <c r="AH40" s="53">
        <f t="shared" si="21"/>
        <v>0</v>
      </c>
      <c r="AI40" s="100">
        <f t="shared" si="5"/>
        <v>1886.23</v>
      </c>
      <c r="AJ40" s="110"/>
      <c r="AK40" s="126"/>
      <c r="AL40" s="101">
        <f t="shared" si="6"/>
        <v>-1700</v>
      </c>
      <c r="AM40" s="104">
        <v>1180560405</v>
      </c>
      <c r="AN40" s="60"/>
    </row>
    <row r="41" spans="1:40" s="28" customFormat="1">
      <c r="A41" s="56" t="s">
        <v>68</v>
      </c>
      <c r="B41" s="56" t="s">
        <v>275</v>
      </c>
      <c r="C41" s="56"/>
      <c r="D41" s="56"/>
      <c r="E41" s="56" t="s">
        <v>276</v>
      </c>
      <c r="F41" s="106">
        <v>42480</v>
      </c>
      <c r="G41" s="56"/>
      <c r="H41" s="56"/>
      <c r="I41" s="59">
        <v>513.33000000000004</v>
      </c>
      <c r="J41" s="114">
        <v>1470</v>
      </c>
      <c r="K41" s="59">
        <f t="shared" ref="K41:K78" si="33">+I41+J41</f>
        <v>1983.33</v>
      </c>
      <c r="L41" s="59"/>
      <c r="M41" s="59"/>
      <c r="N41" s="59"/>
      <c r="O41" s="59"/>
      <c r="P41" s="88"/>
      <c r="Q41" s="100">
        <f t="shared" si="1"/>
        <v>1983.33</v>
      </c>
      <c r="R41" s="59"/>
      <c r="S41" s="59"/>
      <c r="T41" s="59"/>
      <c r="U41" s="59"/>
      <c r="V41" s="59"/>
      <c r="W41" s="59"/>
      <c r="X41" s="59"/>
      <c r="Y41" s="53"/>
      <c r="Z41" s="53"/>
      <c r="AA41" s="56"/>
      <c r="AB41" s="56">
        <v>0</v>
      </c>
      <c r="AC41" s="100">
        <f t="shared" ref="AC41:AC72" si="34">+Q41-SUM(R41:AB41)</f>
        <v>1983.33</v>
      </c>
      <c r="AD41" s="53">
        <f t="shared" si="18"/>
        <v>0</v>
      </c>
      <c r="AE41" s="100">
        <f t="shared" si="19"/>
        <v>1983.33</v>
      </c>
      <c r="AF41" s="53">
        <f t="shared" si="20"/>
        <v>198.333</v>
      </c>
      <c r="AG41" s="53">
        <v>17.23</v>
      </c>
      <c r="AH41" s="53">
        <f t="shared" si="21"/>
        <v>0</v>
      </c>
      <c r="AI41" s="100">
        <f t="shared" ref="AI41:AI72" si="35">+Q41+AF41+AG41+AH41</f>
        <v>2198.893</v>
      </c>
      <c r="AJ41" s="125"/>
      <c r="AK41" s="126"/>
      <c r="AL41" s="101">
        <f t="shared" si="6"/>
        <v>-1983.33</v>
      </c>
      <c r="AM41" s="56">
        <v>1116618499</v>
      </c>
      <c r="AN41" s="60"/>
    </row>
    <row r="42" spans="1:40" s="28" customFormat="1">
      <c r="A42" s="56" t="s">
        <v>68</v>
      </c>
      <c r="B42" s="56" t="s">
        <v>203</v>
      </c>
      <c r="C42" s="56" t="s">
        <v>202</v>
      </c>
      <c r="D42" s="62"/>
      <c r="E42" s="56" t="s">
        <v>70</v>
      </c>
      <c r="F42" s="106">
        <v>42240</v>
      </c>
      <c r="G42" s="56"/>
      <c r="H42" s="56"/>
      <c r="I42" s="59"/>
      <c r="J42" s="114"/>
      <c r="K42" s="59">
        <f t="shared" si="0"/>
        <v>0</v>
      </c>
      <c r="L42" s="59"/>
      <c r="M42" s="59"/>
      <c r="N42" s="59"/>
      <c r="O42" s="59"/>
      <c r="P42" s="88">
        <v>45.13</v>
      </c>
      <c r="Q42" s="100">
        <f t="shared" si="1"/>
        <v>-45.13</v>
      </c>
      <c r="R42" s="59"/>
      <c r="S42" s="59"/>
      <c r="T42" s="59"/>
      <c r="U42" s="59">
        <v>0</v>
      </c>
      <c r="V42" s="59"/>
      <c r="W42" s="59"/>
      <c r="X42" s="59"/>
      <c r="Y42" s="53"/>
      <c r="Z42" s="53"/>
      <c r="AA42" s="56"/>
      <c r="AB42" s="56">
        <v>0</v>
      </c>
      <c r="AC42" s="100">
        <f t="shared" si="34"/>
        <v>-45.13</v>
      </c>
      <c r="AD42" s="53">
        <f t="shared" si="18"/>
        <v>0</v>
      </c>
      <c r="AE42" s="100">
        <f t="shared" si="19"/>
        <v>-45.13</v>
      </c>
      <c r="AF42" s="53">
        <f t="shared" si="20"/>
        <v>-4.5130000000000008</v>
      </c>
      <c r="AG42" s="53">
        <v>18.23</v>
      </c>
      <c r="AH42" s="53">
        <f t="shared" si="21"/>
        <v>0</v>
      </c>
      <c r="AI42" s="100">
        <f t="shared" si="35"/>
        <v>-31.413</v>
      </c>
      <c r="AJ42" s="112"/>
      <c r="AK42" s="112"/>
      <c r="AL42" s="101">
        <f t="shared" si="6"/>
        <v>45.13</v>
      </c>
      <c r="AM42" s="56"/>
      <c r="AN42" s="60" t="s">
        <v>297</v>
      </c>
    </row>
    <row r="43" spans="1:40" s="28" customFormat="1">
      <c r="A43" s="56" t="s">
        <v>82</v>
      </c>
      <c r="B43" s="56" t="s">
        <v>191</v>
      </c>
      <c r="C43" s="56"/>
      <c r="D43" s="56" t="s">
        <v>88</v>
      </c>
      <c r="E43" s="56" t="s">
        <v>143</v>
      </c>
      <c r="F43" s="106">
        <v>42319</v>
      </c>
      <c r="G43" s="56"/>
      <c r="H43" s="56"/>
      <c r="I43" s="59">
        <v>739.23</v>
      </c>
      <c r="J43" s="114"/>
      <c r="K43" s="59">
        <f t="shared" si="33"/>
        <v>739.23</v>
      </c>
      <c r="L43" s="59">
        <f>2270.568+7.428</f>
        <v>2277.9960000000001</v>
      </c>
      <c r="M43" s="59"/>
      <c r="N43" s="59"/>
      <c r="O43" s="59"/>
      <c r="P43" s="88">
        <v>45.13</v>
      </c>
      <c r="Q43" s="100">
        <f t="shared" si="1"/>
        <v>2972.096</v>
      </c>
      <c r="R43" s="59"/>
      <c r="S43" s="59"/>
      <c r="T43" s="59"/>
      <c r="U43" s="59">
        <v>0</v>
      </c>
      <c r="V43" s="59"/>
      <c r="W43" s="59"/>
      <c r="X43" s="59"/>
      <c r="Y43" s="53"/>
      <c r="Z43" s="53"/>
      <c r="AA43" s="56"/>
      <c r="AB43" s="56">
        <v>0</v>
      </c>
      <c r="AC43" s="100">
        <f t="shared" si="34"/>
        <v>2972.096</v>
      </c>
      <c r="AD43" s="53">
        <f t="shared" si="18"/>
        <v>297.20960000000002</v>
      </c>
      <c r="AE43" s="100">
        <f t="shared" si="19"/>
        <v>2674.8863999999999</v>
      </c>
      <c r="AF43" s="53">
        <f t="shared" si="20"/>
        <v>0</v>
      </c>
      <c r="AG43" s="53">
        <v>19.23</v>
      </c>
      <c r="AH43" s="53">
        <f t="shared" si="21"/>
        <v>0</v>
      </c>
      <c r="AI43" s="100">
        <f t="shared" si="35"/>
        <v>2991.326</v>
      </c>
      <c r="AJ43" s="110"/>
      <c r="AK43" s="111"/>
      <c r="AL43" s="101">
        <f t="shared" si="6"/>
        <v>-2674.8863999999999</v>
      </c>
      <c r="AM43" s="56"/>
      <c r="AN43" s="60"/>
    </row>
    <row r="44" spans="1:40" s="28" customFormat="1">
      <c r="A44" s="56" t="s">
        <v>68</v>
      </c>
      <c r="B44" s="56" t="s">
        <v>187</v>
      </c>
      <c r="C44" s="56" t="s">
        <v>204</v>
      </c>
      <c r="D44" s="56" t="s">
        <v>131</v>
      </c>
      <c r="E44" s="56" t="s">
        <v>70</v>
      </c>
      <c r="F44" s="106">
        <v>41463</v>
      </c>
      <c r="G44" s="56"/>
      <c r="H44" s="56"/>
      <c r="I44" s="59">
        <v>513.33000000000004</v>
      </c>
      <c r="J44" s="114">
        <v>653.33000000000004</v>
      </c>
      <c r="K44" s="59">
        <f t="shared" si="33"/>
        <v>1166.6600000000001</v>
      </c>
      <c r="L44" s="59">
        <v>125.34</v>
      </c>
      <c r="M44" s="59"/>
      <c r="N44" s="59"/>
      <c r="O44" s="59"/>
      <c r="P44" s="88">
        <v>45.13</v>
      </c>
      <c r="Q44" s="100">
        <f t="shared" si="1"/>
        <v>1246.8699999999999</v>
      </c>
      <c r="R44" s="59"/>
      <c r="S44" s="59"/>
      <c r="T44" s="59">
        <v>58.91</v>
      </c>
      <c r="U44" s="59">
        <v>0</v>
      </c>
      <c r="V44" s="59"/>
      <c r="W44" s="59"/>
      <c r="X44" s="59"/>
      <c r="Y44" s="53"/>
      <c r="Z44" s="53"/>
      <c r="AA44" s="56"/>
      <c r="AB44" s="56">
        <v>0</v>
      </c>
      <c r="AC44" s="100">
        <f t="shared" si="34"/>
        <v>1187.9599999999998</v>
      </c>
      <c r="AD44" s="53">
        <f t="shared" si="18"/>
        <v>0</v>
      </c>
      <c r="AE44" s="100">
        <f t="shared" si="19"/>
        <v>1187.9599999999998</v>
      </c>
      <c r="AF44" s="53">
        <f t="shared" si="20"/>
        <v>124.687</v>
      </c>
      <c r="AG44" s="53">
        <v>20.23</v>
      </c>
      <c r="AH44" s="53">
        <f t="shared" si="21"/>
        <v>0</v>
      </c>
      <c r="AI44" s="100">
        <f t="shared" si="35"/>
        <v>1391.7869999999998</v>
      </c>
      <c r="AJ44" s="110"/>
      <c r="AK44" s="111"/>
      <c r="AL44" s="101">
        <f t="shared" si="6"/>
        <v>-1187.9599999999998</v>
      </c>
      <c r="AM44" s="56"/>
      <c r="AN44" s="56"/>
    </row>
    <row r="45" spans="1:40" s="28" customFormat="1">
      <c r="A45" s="56" t="s">
        <v>66</v>
      </c>
      <c r="B45" s="56" t="s">
        <v>280</v>
      </c>
      <c r="C45" s="56"/>
      <c r="D45" s="56" t="s">
        <v>281</v>
      </c>
      <c r="E45" s="56" t="s">
        <v>282</v>
      </c>
      <c r="F45" s="113">
        <v>40618</v>
      </c>
      <c r="G45" s="56"/>
      <c r="H45" s="56"/>
      <c r="I45" s="59">
        <v>1750</v>
      </c>
      <c r="J45" s="114"/>
      <c r="K45" s="59">
        <f t="shared" si="33"/>
        <v>1750</v>
      </c>
      <c r="L45" s="59">
        <v>2770.01</v>
      </c>
      <c r="M45" s="59"/>
      <c r="N45" s="59"/>
      <c r="O45" s="59"/>
      <c r="P45" s="88"/>
      <c r="Q45" s="100">
        <f t="shared" si="1"/>
        <v>4520.01</v>
      </c>
      <c r="R45" s="59"/>
      <c r="S45" s="59"/>
      <c r="T45" s="59"/>
      <c r="U45" s="59">
        <v>0</v>
      </c>
      <c r="V45" s="59"/>
      <c r="W45" s="59"/>
      <c r="X45" s="59"/>
      <c r="Y45" s="53"/>
      <c r="Z45" s="53"/>
      <c r="AA45" s="56"/>
      <c r="AB45" s="56">
        <v>0</v>
      </c>
      <c r="AC45" s="100">
        <f t="shared" si="34"/>
        <v>4520.01</v>
      </c>
      <c r="AD45" s="53">
        <f t="shared" si="18"/>
        <v>452.00100000000003</v>
      </c>
      <c r="AE45" s="100">
        <f t="shared" si="19"/>
        <v>4068.009</v>
      </c>
      <c r="AF45" s="53">
        <f t="shared" si="20"/>
        <v>0</v>
      </c>
      <c r="AG45" s="53">
        <v>21.23</v>
      </c>
      <c r="AH45" s="53">
        <f t="shared" si="21"/>
        <v>0</v>
      </c>
      <c r="AI45" s="100">
        <f t="shared" si="35"/>
        <v>4541.24</v>
      </c>
      <c r="AJ45" s="110"/>
      <c r="AK45" s="111"/>
      <c r="AL45" s="101"/>
      <c r="AM45" s="56">
        <v>2659973974</v>
      </c>
      <c r="AN45" s="60"/>
    </row>
    <row r="46" spans="1:40" s="28" customFormat="1">
      <c r="A46" s="56" t="s">
        <v>68</v>
      </c>
      <c r="B46" s="56" t="s">
        <v>260</v>
      </c>
      <c r="C46" s="56" t="s">
        <v>207</v>
      </c>
      <c r="D46" s="56" t="s">
        <v>132</v>
      </c>
      <c r="E46" s="56" t="s">
        <v>70</v>
      </c>
      <c r="F46" s="106">
        <v>42296</v>
      </c>
      <c r="G46" s="56"/>
      <c r="H46" s="56"/>
      <c r="I46" s="59">
        <v>513.33000000000004</v>
      </c>
      <c r="J46" s="114">
        <v>653.33000000000004</v>
      </c>
      <c r="K46" s="59">
        <f t="shared" si="33"/>
        <v>1166.6600000000001</v>
      </c>
      <c r="L46" s="59"/>
      <c r="M46" s="59"/>
      <c r="N46" s="59"/>
      <c r="O46" s="59"/>
      <c r="P46" s="88">
        <v>45.13</v>
      </c>
      <c r="Q46" s="100">
        <f t="shared" ref="Q46:Q78" si="36">SUM(K46:O46)-P46</f>
        <v>1121.53</v>
      </c>
      <c r="R46" s="59"/>
      <c r="S46" s="59"/>
      <c r="T46" s="59"/>
      <c r="U46" s="59">
        <v>0</v>
      </c>
      <c r="V46" s="59"/>
      <c r="W46" s="59"/>
      <c r="X46" s="59"/>
      <c r="Y46" s="53"/>
      <c r="Z46" s="53"/>
      <c r="AA46" s="56"/>
      <c r="AB46" s="56">
        <v>208.6</v>
      </c>
      <c r="AC46" s="100">
        <f t="shared" si="34"/>
        <v>912.93</v>
      </c>
      <c r="AD46" s="53">
        <f t="shared" si="7"/>
        <v>0</v>
      </c>
      <c r="AE46" s="100">
        <f t="shared" ref="AE46:AE76" si="37">+AC46-AD46</f>
        <v>912.93</v>
      </c>
      <c r="AF46" s="53">
        <f t="shared" si="8"/>
        <v>112.15300000000001</v>
      </c>
      <c r="AG46" s="53">
        <v>10.23</v>
      </c>
      <c r="AH46" s="53">
        <f t="shared" ref="AH46:AH76" si="38">+V46</f>
        <v>0</v>
      </c>
      <c r="AI46" s="100">
        <f t="shared" si="35"/>
        <v>1243.913</v>
      </c>
      <c r="AJ46" s="110"/>
      <c r="AK46" s="111"/>
      <c r="AL46" s="101">
        <f t="shared" si="6"/>
        <v>-912.93</v>
      </c>
      <c r="AM46" s="56"/>
      <c r="AN46" s="56"/>
    </row>
    <row r="47" spans="1:40" s="28" customFormat="1">
      <c r="A47" s="56" t="s">
        <v>67</v>
      </c>
      <c r="B47" s="56" t="s">
        <v>77</v>
      </c>
      <c r="C47" s="56" t="s">
        <v>232</v>
      </c>
      <c r="D47" s="56" t="s">
        <v>107</v>
      </c>
      <c r="E47" s="56" t="s">
        <v>152</v>
      </c>
      <c r="F47" s="106">
        <v>42199</v>
      </c>
      <c r="G47" s="56"/>
      <c r="H47" s="56"/>
      <c r="I47" s="59">
        <v>513.33000000000004</v>
      </c>
      <c r="J47" s="114">
        <v>653.33000000000004</v>
      </c>
      <c r="K47" s="59">
        <f t="shared" si="33"/>
        <v>1166.6600000000001</v>
      </c>
      <c r="L47" s="59"/>
      <c r="M47" s="59"/>
      <c r="N47" s="59"/>
      <c r="O47" s="59"/>
      <c r="P47" s="88">
        <v>45.13</v>
      </c>
      <c r="Q47" s="100">
        <f t="shared" si="36"/>
        <v>1121.53</v>
      </c>
      <c r="R47" s="59"/>
      <c r="S47" s="59"/>
      <c r="T47" s="59">
        <v>58.91</v>
      </c>
      <c r="U47" s="59">
        <v>0</v>
      </c>
      <c r="V47" s="59"/>
      <c r="W47" s="59"/>
      <c r="X47" s="59"/>
      <c r="Y47" s="53"/>
      <c r="Z47" s="53"/>
      <c r="AA47" s="56"/>
      <c r="AB47" s="56">
        <v>0</v>
      </c>
      <c r="AC47" s="100">
        <f t="shared" si="34"/>
        <v>1062.6199999999999</v>
      </c>
      <c r="AD47" s="53">
        <f t="shared" si="7"/>
        <v>0</v>
      </c>
      <c r="AE47" s="100">
        <f t="shared" si="37"/>
        <v>1062.6199999999999</v>
      </c>
      <c r="AF47" s="53">
        <f t="shared" si="8"/>
        <v>112.15300000000001</v>
      </c>
      <c r="AG47" s="53">
        <v>10.23</v>
      </c>
      <c r="AH47" s="53">
        <f t="shared" si="38"/>
        <v>0</v>
      </c>
      <c r="AI47" s="100">
        <f t="shared" si="35"/>
        <v>1243.913</v>
      </c>
      <c r="AJ47" s="110"/>
      <c r="AK47" s="111"/>
      <c r="AL47" s="101">
        <f t="shared" si="6"/>
        <v>-1062.6199999999999</v>
      </c>
      <c r="AM47" s="56"/>
      <c r="AN47" s="56"/>
    </row>
    <row r="48" spans="1:40" s="28" customFormat="1">
      <c r="A48" s="56" t="s">
        <v>68</v>
      </c>
      <c r="B48" s="56" t="s">
        <v>208</v>
      </c>
      <c r="C48" s="56" t="s">
        <v>207</v>
      </c>
      <c r="D48" s="56" t="s">
        <v>133</v>
      </c>
      <c r="E48" s="56" t="s">
        <v>70</v>
      </c>
      <c r="F48" s="106">
        <v>42304</v>
      </c>
      <c r="G48" s="56"/>
      <c r="H48" s="56"/>
      <c r="I48" s="59">
        <v>513.33000000000004</v>
      </c>
      <c r="J48" s="114">
        <v>653.33000000000004</v>
      </c>
      <c r="K48" s="59">
        <f t="shared" si="33"/>
        <v>1166.6600000000001</v>
      </c>
      <c r="L48" s="59"/>
      <c r="M48" s="59"/>
      <c r="N48" s="59"/>
      <c r="O48" s="59"/>
      <c r="P48" s="88">
        <v>45.13</v>
      </c>
      <c r="Q48" s="100">
        <f t="shared" si="36"/>
        <v>1121.53</v>
      </c>
      <c r="R48" s="59"/>
      <c r="S48" s="59"/>
      <c r="T48" s="59"/>
      <c r="U48" s="59">
        <v>0</v>
      </c>
      <c r="V48" s="59"/>
      <c r="W48" s="59"/>
      <c r="X48" s="59"/>
      <c r="Y48" s="53"/>
      <c r="Z48" s="53"/>
      <c r="AA48" s="56"/>
      <c r="AB48" s="56">
        <v>0</v>
      </c>
      <c r="AC48" s="100">
        <f t="shared" si="34"/>
        <v>1121.53</v>
      </c>
      <c r="AD48" s="53">
        <f t="shared" si="7"/>
        <v>0</v>
      </c>
      <c r="AE48" s="100">
        <f t="shared" si="37"/>
        <v>1121.53</v>
      </c>
      <c r="AF48" s="53">
        <f t="shared" si="8"/>
        <v>112.15300000000001</v>
      </c>
      <c r="AG48" s="53">
        <v>10.23</v>
      </c>
      <c r="AH48" s="53">
        <f t="shared" si="38"/>
        <v>0</v>
      </c>
      <c r="AI48" s="100">
        <f t="shared" si="35"/>
        <v>1243.913</v>
      </c>
      <c r="AJ48" s="101"/>
      <c r="AK48" s="101"/>
      <c r="AL48" s="101"/>
      <c r="AM48" s="56"/>
      <c r="AN48" s="56"/>
    </row>
    <row r="49" spans="1:40" s="28" customFormat="1">
      <c r="A49" s="56" t="s">
        <v>84</v>
      </c>
      <c r="B49" s="56" t="s">
        <v>288</v>
      </c>
      <c r="C49" s="56"/>
      <c r="D49" s="56"/>
      <c r="E49" s="56" t="s">
        <v>153</v>
      </c>
      <c r="F49" s="106">
        <v>42541</v>
      </c>
      <c r="G49" s="56"/>
      <c r="H49" s="56"/>
      <c r="I49" s="59">
        <v>556.78</v>
      </c>
      <c r="J49" s="114"/>
      <c r="K49" s="59">
        <f t="shared" ref="K49" si="39">+I49+J49</f>
        <v>556.78</v>
      </c>
      <c r="L49" s="59">
        <v>306.78500000000003</v>
      </c>
      <c r="M49" s="59"/>
      <c r="N49" s="59"/>
      <c r="O49" s="59"/>
      <c r="P49" s="88"/>
      <c r="Q49" s="100">
        <f t="shared" ref="Q49" si="40">SUM(K49:O49)-P49</f>
        <v>863.56500000000005</v>
      </c>
      <c r="R49" s="59"/>
      <c r="S49" s="59"/>
      <c r="T49" s="59"/>
      <c r="U49" s="59">
        <v>0</v>
      </c>
      <c r="V49" s="59">
        <f>Q49*4.9%</f>
        <v>42.314685000000004</v>
      </c>
      <c r="W49" s="59">
        <f>Q49*1%</f>
        <v>8.63565</v>
      </c>
      <c r="X49" s="59"/>
      <c r="Y49" s="53"/>
      <c r="Z49" s="53"/>
      <c r="AA49" s="56"/>
      <c r="AB49" s="56">
        <v>0</v>
      </c>
      <c r="AC49" s="100">
        <f t="shared" si="34"/>
        <v>812.61466500000006</v>
      </c>
      <c r="AD49" s="53">
        <f t="shared" ref="AD49" si="41">IF(Q49&gt;2250,Q49*0.1,0)</f>
        <v>0</v>
      </c>
      <c r="AE49" s="100">
        <f t="shared" ref="AE49" si="42">+AC49-AD49</f>
        <v>812.61466500000006</v>
      </c>
      <c r="AF49" s="53">
        <f t="shared" ref="AF49" si="43">IF(Q49&lt;2250,Q49*0.1,0)</f>
        <v>86.356500000000011</v>
      </c>
      <c r="AG49" s="53">
        <v>10.23</v>
      </c>
      <c r="AH49" s="53">
        <f t="shared" ref="AH49" si="44">+V49</f>
        <v>42.314685000000004</v>
      </c>
      <c r="AI49" s="100">
        <f t="shared" si="35"/>
        <v>1002.4661850000001</v>
      </c>
      <c r="AJ49" s="103"/>
      <c r="AK49" s="103"/>
      <c r="AL49" s="103"/>
      <c r="AM49" s="56">
        <v>1169744878</v>
      </c>
      <c r="AN49" s="56"/>
    </row>
    <row r="50" spans="1:40" s="28" customFormat="1">
      <c r="A50" s="56" t="s">
        <v>68</v>
      </c>
      <c r="B50" s="56" t="s">
        <v>212</v>
      </c>
      <c r="C50" s="56"/>
      <c r="D50" s="56" t="s">
        <v>135</v>
      </c>
      <c r="E50" s="56" t="s">
        <v>70</v>
      </c>
      <c r="F50" s="106">
        <v>42164</v>
      </c>
      <c r="G50" s="56"/>
      <c r="H50" s="56"/>
      <c r="I50" s="59">
        <v>513.33000000000004</v>
      </c>
      <c r="J50" s="114">
        <v>653.33000000000004</v>
      </c>
      <c r="K50" s="59">
        <f t="shared" si="33"/>
        <v>1166.6600000000001</v>
      </c>
      <c r="L50" s="59">
        <v>10740.28</v>
      </c>
      <c r="M50" s="59"/>
      <c r="N50" s="59"/>
      <c r="O50" s="59"/>
      <c r="P50" s="88">
        <v>45.13</v>
      </c>
      <c r="Q50" s="100">
        <f t="shared" si="36"/>
        <v>11861.810000000001</v>
      </c>
      <c r="R50" s="59"/>
      <c r="S50" s="59"/>
      <c r="T50" s="59"/>
      <c r="U50" s="59">
        <v>0</v>
      </c>
      <c r="V50" s="59"/>
      <c r="W50" s="59"/>
      <c r="X50" s="59"/>
      <c r="Y50" s="53"/>
      <c r="Z50" s="53"/>
      <c r="AA50" s="56"/>
      <c r="AB50" s="56">
        <v>2040.23</v>
      </c>
      <c r="AC50" s="100">
        <f t="shared" si="34"/>
        <v>9821.5800000000017</v>
      </c>
      <c r="AD50" s="53">
        <f t="shared" si="7"/>
        <v>1186.1810000000003</v>
      </c>
      <c r="AE50" s="100">
        <f t="shared" si="37"/>
        <v>8635.3990000000013</v>
      </c>
      <c r="AF50" s="53">
        <f t="shared" si="8"/>
        <v>0</v>
      </c>
      <c r="AG50" s="53">
        <v>10.23</v>
      </c>
      <c r="AH50" s="53">
        <f t="shared" si="38"/>
        <v>0</v>
      </c>
      <c r="AI50" s="100">
        <f t="shared" si="35"/>
        <v>11872.04</v>
      </c>
      <c r="AJ50" s="110"/>
      <c r="AK50" s="126"/>
      <c r="AL50" s="101">
        <f t="shared" si="6"/>
        <v>-8635.3990000000013</v>
      </c>
      <c r="AM50" s="56"/>
      <c r="AN50" s="56" t="s">
        <v>298</v>
      </c>
    </row>
    <row r="51" spans="1:40" s="28" customFormat="1">
      <c r="A51" s="56" t="s">
        <v>84</v>
      </c>
      <c r="B51" s="56" t="s">
        <v>165</v>
      </c>
      <c r="C51" s="56"/>
      <c r="D51" s="56" t="s">
        <v>116</v>
      </c>
      <c r="E51" s="56" t="s">
        <v>153</v>
      </c>
      <c r="F51" s="106">
        <v>41981</v>
      </c>
      <c r="G51" s="56"/>
      <c r="H51" s="56"/>
      <c r="I51" s="59">
        <v>556.78</v>
      </c>
      <c r="J51" s="114"/>
      <c r="K51" s="59">
        <f t="shared" si="33"/>
        <v>556.78</v>
      </c>
      <c r="L51" s="59">
        <v>218.74600000000001</v>
      </c>
      <c r="M51" s="59"/>
      <c r="N51" s="59"/>
      <c r="O51" s="59"/>
      <c r="P51" s="88">
        <v>45.13</v>
      </c>
      <c r="Q51" s="100">
        <f t="shared" si="36"/>
        <v>730.39599999999996</v>
      </c>
      <c r="R51" s="59"/>
      <c r="S51" s="59"/>
      <c r="T51" s="59"/>
      <c r="U51" s="59">
        <v>100</v>
      </c>
      <c r="V51" s="59">
        <f>Q51*4.9%</f>
        <v>35.789403999999998</v>
      </c>
      <c r="W51" s="59">
        <f>Q51*1%</f>
        <v>7.30396</v>
      </c>
      <c r="X51" s="59"/>
      <c r="Y51" s="53"/>
      <c r="Z51" s="53"/>
      <c r="AA51" s="56"/>
      <c r="AB51" s="56">
        <v>0</v>
      </c>
      <c r="AC51" s="100">
        <f t="shared" si="34"/>
        <v>587.30263600000001</v>
      </c>
      <c r="AD51" s="53">
        <f t="shared" si="7"/>
        <v>0</v>
      </c>
      <c r="AE51" s="100">
        <f t="shared" si="37"/>
        <v>587.30263600000001</v>
      </c>
      <c r="AF51" s="53">
        <f t="shared" si="8"/>
        <v>73.039599999999993</v>
      </c>
      <c r="AG51" s="53">
        <v>10.23</v>
      </c>
      <c r="AH51" s="53">
        <f t="shared" si="38"/>
        <v>35.789403999999998</v>
      </c>
      <c r="AI51" s="100">
        <f t="shared" si="35"/>
        <v>849.45500399999992</v>
      </c>
      <c r="AJ51" s="110"/>
      <c r="AK51" s="110"/>
      <c r="AL51" s="101">
        <f t="shared" si="6"/>
        <v>-587.30263600000001</v>
      </c>
      <c r="AM51" s="56"/>
      <c r="AN51" s="56"/>
    </row>
    <row r="52" spans="1:40" s="28" customFormat="1">
      <c r="A52" s="56" t="s">
        <v>84</v>
      </c>
      <c r="B52" s="56" t="s">
        <v>214</v>
      </c>
      <c r="C52" s="56"/>
      <c r="D52" s="56" t="s">
        <v>215</v>
      </c>
      <c r="E52" s="56" t="s">
        <v>158</v>
      </c>
      <c r="F52" s="105">
        <v>41284</v>
      </c>
      <c r="G52" s="56"/>
      <c r="H52" s="56"/>
      <c r="I52" s="59">
        <v>608.16</v>
      </c>
      <c r="J52" s="114"/>
      <c r="K52" s="59">
        <f t="shared" si="33"/>
        <v>608.16</v>
      </c>
      <c r="L52" s="59">
        <f>3344.305+2.599</f>
        <v>3346.904</v>
      </c>
      <c r="M52" s="59"/>
      <c r="N52" s="59"/>
      <c r="O52" s="59"/>
      <c r="P52" s="88">
        <v>45.13</v>
      </c>
      <c r="Q52" s="100">
        <f t="shared" si="36"/>
        <v>3909.9339999999997</v>
      </c>
      <c r="R52" s="59"/>
      <c r="S52" s="59"/>
      <c r="T52" s="59"/>
      <c r="U52" s="59">
        <v>0</v>
      </c>
      <c r="V52" s="59">
        <f>Q52*4.9%</f>
        <v>191.58676599999998</v>
      </c>
      <c r="W52" s="59">
        <f>Q52*1%</f>
        <v>39.099339999999998</v>
      </c>
      <c r="X52" s="59"/>
      <c r="Y52" s="53"/>
      <c r="Z52" s="53"/>
      <c r="AA52" s="56"/>
      <c r="AB52" s="56">
        <v>0</v>
      </c>
      <c r="AC52" s="100">
        <f t="shared" si="34"/>
        <v>3679.2478939999996</v>
      </c>
      <c r="AD52" s="53">
        <f t="shared" si="7"/>
        <v>390.99340000000001</v>
      </c>
      <c r="AE52" s="100">
        <f t="shared" si="37"/>
        <v>3288.2544939999998</v>
      </c>
      <c r="AF52" s="53">
        <f t="shared" si="8"/>
        <v>0</v>
      </c>
      <c r="AG52" s="53">
        <v>10.23</v>
      </c>
      <c r="AH52" s="53">
        <f t="shared" si="38"/>
        <v>191.58676599999998</v>
      </c>
      <c r="AI52" s="100">
        <f t="shared" si="35"/>
        <v>4111.7507660000001</v>
      </c>
      <c r="AJ52" s="110"/>
      <c r="AK52" s="111"/>
      <c r="AL52" s="101">
        <f t="shared" si="6"/>
        <v>-3288.2544939999998</v>
      </c>
      <c r="AM52" s="56">
        <v>2948910731</v>
      </c>
      <c r="AN52" s="60"/>
    </row>
    <row r="53" spans="1:40" s="28" customFormat="1">
      <c r="A53" s="56" t="s">
        <v>84</v>
      </c>
      <c r="B53" s="56" t="s">
        <v>167</v>
      </c>
      <c r="C53" s="56"/>
      <c r="D53" s="56" t="s">
        <v>117</v>
      </c>
      <c r="E53" s="56" t="s">
        <v>155</v>
      </c>
      <c r="F53" s="105">
        <v>41227</v>
      </c>
      <c r="G53" s="56"/>
      <c r="H53" s="56"/>
      <c r="I53" s="59">
        <v>608.16</v>
      </c>
      <c r="J53" s="114"/>
      <c r="K53" s="59">
        <f t="shared" si="33"/>
        <v>608.16</v>
      </c>
      <c r="L53" s="59">
        <f>1919.771+2.972</f>
        <v>1922.7429999999999</v>
      </c>
      <c r="M53" s="59"/>
      <c r="N53" s="59"/>
      <c r="O53" s="59"/>
      <c r="P53" s="88">
        <v>45.13</v>
      </c>
      <c r="Q53" s="100">
        <f t="shared" si="36"/>
        <v>2485.7729999999997</v>
      </c>
      <c r="R53" s="59"/>
      <c r="S53" s="59"/>
      <c r="T53" s="59"/>
      <c r="U53" s="59"/>
      <c r="V53" s="59">
        <f>Q53*4.9%</f>
        <v>121.802877</v>
      </c>
      <c r="W53" s="59">
        <f>Q53*1%</f>
        <v>24.857729999999997</v>
      </c>
      <c r="X53" s="59"/>
      <c r="Y53" s="53"/>
      <c r="Z53" s="53"/>
      <c r="AA53" s="56"/>
      <c r="AB53" s="56">
        <v>0</v>
      </c>
      <c r="AC53" s="100">
        <f t="shared" si="34"/>
        <v>2339.1123929999999</v>
      </c>
      <c r="AD53" s="53">
        <f t="shared" si="7"/>
        <v>248.57729999999998</v>
      </c>
      <c r="AE53" s="100">
        <f t="shared" si="37"/>
        <v>2090.535093</v>
      </c>
      <c r="AF53" s="53">
        <f t="shared" si="8"/>
        <v>0</v>
      </c>
      <c r="AG53" s="53">
        <v>10.23</v>
      </c>
      <c r="AH53" s="53">
        <f t="shared" si="38"/>
        <v>121.802877</v>
      </c>
      <c r="AI53" s="100">
        <f t="shared" si="35"/>
        <v>2617.8058769999998</v>
      </c>
      <c r="AJ53" s="110"/>
      <c r="AK53" s="110"/>
      <c r="AL53" s="101">
        <f t="shared" si="6"/>
        <v>-2090.535093</v>
      </c>
      <c r="AM53" s="56"/>
      <c r="AN53" s="60"/>
    </row>
    <row r="54" spans="1:40" s="28" customFormat="1">
      <c r="A54" s="56" t="s">
        <v>82</v>
      </c>
      <c r="B54" s="56" t="s">
        <v>193</v>
      </c>
      <c r="C54" s="56"/>
      <c r="D54" s="56" t="s">
        <v>89</v>
      </c>
      <c r="E54" s="56" t="s">
        <v>144</v>
      </c>
      <c r="F54" s="105">
        <v>41493</v>
      </c>
      <c r="G54" s="56"/>
      <c r="H54" s="56"/>
      <c r="I54" s="59">
        <v>633.16</v>
      </c>
      <c r="J54" s="114"/>
      <c r="K54" s="59">
        <f t="shared" si="33"/>
        <v>633.16</v>
      </c>
      <c r="L54" s="59">
        <f>3258.94+13.099</f>
        <v>3272.0390000000002</v>
      </c>
      <c r="M54" s="59"/>
      <c r="N54" s="59"/>
      <c r="O54" s="59"/>
      <c r="P54" s="88">
        <v>45.13</v>
      </c>
      <c r="Q54" s="100">
        <f t="shared" si="36"/>
        <v>3860.069</v>
      </c>
      <c r="R54" s="59"/>
      <c r="S54" s="59"/>
      <c r="T54" s="59"/>
      <c r="U54" s="59">
        <v>0</v>
      </c>
      <c r="V54" s="59"/>
      <c r="W54" s="59"/>
      <c r="X54" s="59"/>
      <c r="Y54" s="53"/>
      <c r="Z54" s="53"/>
      <c r="AA54" s="56"/>
      <c r="AB54" s="56">
        <v>0</v>
      </c>
      <c r="AC54" s="100">
        <f t="shared" si="34"/>
        <v>3860.069</v>
      </c>
      <c r="AD54" s="53">
        <f t="shared" si="7"/>
        <v>386.00690000000003</v>
      </c>
      <c r="AE54" s="100">
        <f t="shared" si="37"/>
        <v>3474.0621000000001</v>
      </c>
      <c r="AF54" s="53">
        <f t="shared" si="8"/>
        <v>0</v>
      </c>
      <c r="AG54" s="53">
        <v>10.23</v>
      </c>
      <c r="AH54" s="53">
        <f t="shared" si="38"/>
        <v>0</v>
      </c>
      <c r="AI54" s="100">
        <f t="shared" si="35"/>
        <v>3870.299</v>
      </c>
      <c r="AJ54" s="110"/>
      <c r="AK54" s="111"/>
      <c r="AL54" s="101">
        <f t="shared" si="6"/>
        <v>-3474.0621000000001</v>
      </c>
      <c r="AM54" s="56"/>
      <c r="AN54" s="60"/>
    </row>
    <row r="55" spans="1:40" s="28" customFormat="1">
      <c r="A55" s="56" t="s">
        <v>83</v>
      </c>
      <c r="B55" s="56" t="s">
        <v>172</v>
      </c>
      <c r="C55" s="56"/>
      <c r="D55" s="56"/>
      <c r="E55" s="56" t="s">
        <v>151</v>
      </c>
      <c r="F55" s="106">
        <v>42413</v>
      </c>
      <c r="G55" s="56"/>
      <c r="H55" s="56"/>
      <c r="I55" s="59">
        <f>1237.24/15*7</f>
        <v>577.37866666666673</v>
      </c>
      <c r="J55" s="128">
        <v>1047.6199999999999</v>
      </c>
      <c r="K55" s="59">
        <f t="shared" si="33"/>
        <v>1624.9986666666666</v>
      </c>
      <c r="L55" s="59"/>
      <c r="M55" s="59"/>
      <c r="N55" s="59"/>
      <c r="O55" s="59"/>
      <c r="P55" s="88"/>
      <c r="Q55" s="100">
        <f t="shared" si="36"/>
        <v>1624.9986666666666</v>
      </c>
      <c r="R55" s="59"/>
      <c r="S55" s="59"/>
      <c r="T55" s="59"/>
      <c r="U55" s="59">
        <v>0</v>
      </c>
      <c r="V55" s="59"/>
      <c r="W55" s="59"/>
      <c r="X55" s="59"/>
      <c r="Y55" s="53"/>
      <c r="Z55" s="53"/>
      <c r="AA55" s="56"/>
      <c r="AB55" s="56">
        <v>0</v>
      </c>
      <c r="AC55" s="100">
        <f t="shared" si="34"/>
        <v>1624.9986666666666</v>
      </c>
      <c r="AD55" s="53">
        <f t="shared" si="7"/>
        <v>0</v>
      </c>
      <c r="AE55" s="100">
        <f t="shared" si="37"/>
        <v>1624.9986666666666</v>
      </c>
      <c r="AF55" s="53">
        <f t="shared" si="8"/>
        <v>162.49986666666666</v>
      </c>
      <c r="AG55" s="53">
        <v>10.23</v>
      </c>
      <c r="AH55" s="53">
        <f t="shared" si="38"/>
        <v>0</v>
      </c>
      <c r="AI55" s="100">
        <f t="shared" si="35"/>
        <v>1797.7285333333334</v>
      </c>
      <c r="AJ55" s="110"/>
      <c r="AK55" s="111"/>
      <c r="AL55" s="101">
        <f t="shared" si="6"/>
        <v>-1624.9986666666666</v>
      </c>
      <c r="AM55" s="56"/>
      <c r="AN55" s="60"/>
    </row>
    <row r="56" spans="1:40" s="28" customFormat="1">
      <c r="A56" s="56" t="s">
        <v>68</v>
      </c>
      <c r="B56" s="56" t="s">
        <v>256</v>
      </c>
      <c r="C56" s="56" t="s">
        <v>207</v>
      </c>
      <c r="D56" s="56" t="s">
        <v>134</v>
      </c>
      <c r="E56" s="56" t="s">
        <v>70</v>
      </c>
      <c r="F56" s="106">
        <v>41622</v>
      </c>
      <c r="G56" s="56"/>
      <c r="H56" s="56"/>
      <c r="I56" s="59">
        <v>513.33000000000004</v>
      </c>
      <c r="J56" s="114">
        <v>653.33000000000004</v>
      </c>
      <c r="K56" s="59">
        <f t="shared" si="33"/>
        <v>1166.6600000000001</v>
      </c>
      <c r="L56" s="59"/>
      <c r="M56" s="59"/>
      <c r="N56" s="59"/>
      <c r="O56" s="59"/>
      <c r="P56" s="88"/>
      <c r="Q56" s="100">
        <f t="shared" si="36"/>
        <v>1166.6600000000001</v>
      </c>
      <c r="R56" s="59"/>
      <c r="S56" s="59"/>
      <c r="T56" s="59">
        <v>58.91</v>
      </c>
      <c r="U56" s="59">
        <v>0</v>
      </c>
      <c r="V56" s="59"/>
      <c r="W56" s="59"/>
      <c r="X56" s="59"/>
      <c r="Y56" s="53"/>
      <c r="Z56" s="53"/>
      <c r="AA56" s="56"/>
      <c r="AB56" s="56">
        <v>0</v>
      </c>
      <c r="AC56" s="100">
        <f t="shared" si="34"/>
        <v>1107.75</v>
      </c>
      <c r="AD56" s="53">
        <f t="shared" si="7"/>
        <v>0</v>
      </c>
      <c r="AE56" s="100">
        <f t="shared" si="37"/>
        <v>1107.75</v>
      </c>
      <c r="AF56" s="53">
        <f t="shared" si="8"/>
        <v>116.66600000000001</v>
      </c>
      <c r="AG56" s="53">
        <v>10.23</v>
      </c>
      <c r="AH56" s="53">
        <f t="shared" si="38"/>
        <v>0</v>
      </c>
      <c r="AI56" s="100">
        <f t="shared" si="35"/>
        <v>1293.556</v>
      </c>
      <c r="AJ56" s="110"/>
      <c r="AK56" s="110"/>
      <c r="AL56" s="101">
        <f t="shared" si="6"/>
        <v>-1107.75</v>
      </c>
      <c r="AM56" s="56"/>
      <c r="AN56" s="56"/>
    </row>
    <row r="57" spans="1:40" s="28" customFormat="1">
      <c r="A57" s="56" t="s">
        <v>68</v>
      </c>
      <c r="B57" s="56" t="s">
        <v>264</v>
      </c>
      <c r="C57" s="56" t="s">
        <v>204</v>
      </c>
      <c r="D57" s="56">
        <v>30</v>
      </c>
      <c r="E57" s="56" t="s">
        <v>70</v>
      </c>
      <c r="F57" s="106">
        <v>37834</v>
      </c>
      <c r="G57" s="56"/>
      <c r="H57" s="56"/>
      <c r="I57" s="59">
        <v>513.33000000000004</v>
      </c>
      <c r="J57" s="114">
        <v>653.33000000000004</v>
      </c>
      <c r="K57" s="59">
        <f t="shared" si="33"/>
        <v>1166.6600000000001</v>
      </c>
      <c r="L57" s="59">
        <v>727.73</v>
      </c>
      <c r="M57" s="59"/>
      <c r="N57" s="59"/>
      <c r="O57" s="59"/>
      <c r="P57" s="88">
        <v>45.13</v>
      </c>
      <c r="Q57" s="100">
        <f t="shared" si="36"/>
        <v>1849.26</v>
      </c>
      <c r="R57" s="59"/>
      <c r="S57" s="59"/>
      <c r="T57" s="59"/>
      <c r="U57" s="59">
        <v>0</v>
      </c>
      <c r="V57" s="59"/>
      <c r="W57" s="59"/>
      <c r="X57" s="59"/>
      <c r="Y57" s="53"/>
      <c r="Z57" s="53"/>
      <c r="AA57" s="56"/>
      <c r="AB57" s="56">
        <v>0</v>
      </c>
      <c r="AC57" s="100">
        <f t="shared" si="34"/>
        <v>1849.26</v>
      </c>
      <c r="AD57" s="53">
        <f t="shared" si="7"/>
        <v>0</v>
      </c>
      <c r="AE57" s="100">
        <f t="shared" si="37"/>
        <v>1849.26</v>
      </c>
      <c r="AF57" s="53">
        <f t="shared" si="8"/>
        <v>184.92600000000002</v>
      </c>
      <c r="AG57" s="53">
        <v>10.23</v>
      </c>
      <c r="AH57" s="53">
        <f t="shared" si="38"/>
        <v>0</v>
      </c>
      <c r="AI57" s="100">
        <f t="shared" si="35"/>
        <v>2044.4159999999999</v>
      </c>
      <c r="AJ57" s="110"/>
      <c r="AK57" s="111"/>
      <c r="AL57" s="101">
        <f t="shared" si="6"/>
        <v>-1849.26</v>
      </c>
      <c r="AM57" s="56"/>
      <c r="AN57" s="56"/>
    </row>
    <row r="58" spans="1:40" s="28" customFormat="1">
      <c r="A58" s="56" t="s">
        <v>68</v>
      </c>
      <c r="B58" s="56" t="s">
        <v>182</v>
      </c>
      <c r="C58" s="56" t="s">
        <v>202</v>
      </c>
      <c r="D58" s="56" t="s">
        <v>136</v>
      </c>
      <c r="E58" s="56" t="s">
        <v>70</v>
      </c>
      <c r="F58" s="106">
        <v>42394</v>
      </c>
      <c r="G58" s="56"/>
      <c r="H58" s="56"/>
      <c r="I58" s="59">
        <v>513.33000000000004</v>
      </c>
      <c r="J58" s="114">
        <v>653.33000000000004</v>
      </c>
      <c r="K58" s="59">
        <f t="shared" si="33"/>
        <v>1166.6600000000001</v>
      </c>
      <c r="L58" s="59">
        <v>292.89999999999998</v>
      </c>
      <c r="M58" s="59"/>
      <c r="N58" s="59"/>
      <c r="O58" s="59"/>
      <c r="P58" s="88">
        <v>45.13</v>
      </c>
      <c r="Q58" s="100">
        <f t="shared" si="36"/>
        <v>1414.4299999999998</v>
      </c>
      <c r="R58" s="59"/>
      <c r="S58" s="59"/>
      <c r="T58" s="59"/>
      <c r="U58" s="59">
        <v>0</v>
      </c>
      <c r="V58" s="59"/>
      <c r="W58" s="59"/>
      <c r="X58" s="59"/>
      <c r="Y58" s="53"/>
      <c r="Z58" s="53"/>
      <c r="AA58" s="102"/>
      <c r="AB58" s="102">
        <v>875.69</v>
      </c>
      <c r="AC58" s="100">
        <f t="shared" si="34"/>
        <v>538.73999999999978</v>
      </c>
      <c r="AD58" s="53">
        <f t="shared" si="7"/>
        <v>0</v>
      </c>
      <c r="AE58" s="100">
        <f t="shared" si="37"/>
        <v>538.73999999999978</v>
      </c>
      <c r="AF58" s="53">
        <f t="shared" si="8"/>
        <v>141.44299999999998</v>
      </c>
      <c r="AG58" s="53">
        <v>10.23</v>
      </c>
      <c r="AH58" s="53">
        <f t="shared" si="38"/>
        <v>0</v>
      </c>
      <c r="AI58" s="100">
        <f t="shared" si="35"/>
        <v>1566.1029999999998</v>
      </c>
      <c r="AJ58" s="110"/>
      <c r="AK58" s="111"/>
      <c r="AL58" s="101">
        <f t="shared" si="6"/>
        <v>-538.73999999999978</v>
      </c>
      <c r="AM58" s="56"/>
      <c r="AN58" s="56"/>
    </row>
    <row r="59" spans="1:40" s="28" customFormat="1">
      <c r="A59" s="56" t="s">
        <v>67</v>
      </c>
      <c r="B59" s="56" t="s">
        <v>188</v>
      </c>
      <c r="C59" s="56" t="s">
        <v>232</v>
      </c>
      <c r="D59" s="56" t="s">
        <v>108</v>
      </c>
      <c r="E59" s="56" t="s">
        <v>283</v>
      </c>
      <c r="F59" s="106">
        <v>42342</v>
      </c>
      <c r="G59" s="56"/>
      <c r="H59" s="56"/>
      <c r="I59" s="59">
        <v>513.33000000000004</v>
      </c>
      <c r="J59" s="114">
        <v>653.33000000000004</v>
      </c>
      <c r="K59" s="59">
        <f t="shared" si="33"/>
        <v>1166.6600000000001</v>
      </c>
      <c r="L59" s="59">
        <v>2500</v>
      </c>
      <c r="M59" s="59"/>
      <c r="N59" s="59"/>
      <c r="O59" s="59"/>
      <c r="P59" s="88">
        <v>45.13</v>
      </c>
      <c r="Q59" s="100">
        <f t="shared" si="36"/>
        <v>3621.5299999999997</v>
      </c>
      <c r="R59" s="59"/>
      <c r="S59" s="59"/>
      <c r="T59" s="59"/>
      <c r="U59" s="59">
        <v>0</v>
      </c>
      <c r="V59" s="59"/>
      <c r="W59" s="59"/>
      <c r="X59" s="59"/>
      <c r="Y59" s="53">
        <v>496.81</v>
      </c>
      <c r="Z59" s="53"/>
      <c r="AA59" s="56"/>
      <c r="AB59" s="56">
        <v>0</v>
      </c>
      <c r="AC59" s="100">
        <f t="shared" si="34"/>
        <v>3124.72</v>
      </c>
      <c r="AD59" s="53">
        <f t="shared" si="7"/>
        <v>362.15300000000002</v>
      </c>
      <c r="AE59" s="100">
        <f t="shared" si="37"/>
        <v>2762.567</v>
      </c>
      <c r="AF59" s="53">
        <f t="shared" si="8"/>
        <v>0</v>
      </c>
      <c r="AG59" s="53">
        <v>10.23</v>
      </c>
      <c r="AH59" s="53">
        <f t="shared" si="38"/>
        <v>0</v>
      </c>
      <c r="AI59" s="100">
        <f t="shared" si="35"/>
        <v>3631.7599999999998</v>
      </c>
      <c r="AJ59" s="110"/>
      <c r="AK59" s="110"/>
      <c r="AL59" s="101">
        <f t="shared" si="6"/>
        <v>-2762.567</v>
      </c>
      <c r="AM59" s="56"/>
      <c r="AN59" s="60"/>
    </row>
    <row r="60" spans="1:40" s="28" customFormat="1">
      <c r="A60" s="56" t="s">
        <v>84</v>
      </c>
      <c r="B60" s="56" t="s">
        <v>235</v>
      </c>
      <c r="C60" s="56"/>
      <c r="D60" s="56"/>
      <c r="E60" s="56" t="s">
        <v>153</v>
      </c>
      <c r="F60" s="106">
        <v>42444</v>
      </c>
      <c r="G60" s="56"/>
      <c r="H60" s="56"/>
      <c r="I60" s="59">
        <v>608.16</v>
      </c>
      <c r="J60" s="114"/>
      <c r="K60" s="59">
        <f t="shared" si="33"/>
        <v>608.16</v>
      </c>
      <c r="L60" s="59">
        <v>391.75</v>
      </c>
      <c r="M60" s="59"/>
      <c r="N60" s="59"/>
      <c r="O60" s="59"/>
      <c r="P60" s="88"/>
      <c r="Q60" s="100">
        <f t="shared" si="36"/>
        <v>999.91</v>
      </c>
      <c r="R60" s="59"/>
      <c r="S60" s="59"/>
      <c r="T60" s="59"/>
      <c r="U60" s="59"/>
      <c r="V60" s="59">
        <f>Q60*4.9%</f>
        <v>48.99559</v>
      </c>
      <c r="W60" s="59">
        <f>Q60*1%</f>
        <v>9.9991000000000003</v>
      </c>
      <c r="X60" s="59"/>
      <c r="Y60" s="53"/>
      <c r="Z60" s="53"/>
      <c r="AA60" s="56"/>
      <c r="AB60" s="56">
        <v>0</v>
      </c>
      <c r="AC60" s="100">
        <f t="shared" si="34"/>
        <v>940.91530999999998</v>
      </c>
      <c r="AD60" s="53">
        <f t="shared" si="7"/>
        <v>0</v>
      </c>
      <c r="AE60" s="100">
        <f t="shared" si="37"/>
        <v>940.91530999999998</v>
      </c>
      <c r="AF60" s="53">
        <f t="shared" si="8"/>
        <v>99.991</v>
      </c>
      <c r="AG60" s="53">
        <v>10.23</v>
      </c>
      <c r="AH60" s="53">
        <f t="shared" si="38"/>
        <v>48.99559</v>
      </c>
      <c r="AI60" s="100">
        <f t="shared" si="35"/>
        <v>1159.1265900000001</v>
      </c>
      <c r="AJ60" s="110"/>
      <c r="AK60" s="110"/>
      <c r="AL60" s="101">
        <f t="shared" si="6"/>
        <v>-940.91530999999998</v>
      </c>
      <c r="AM60" s="71">
        <v>1159718206</v>
      </c>
      <c r="AN60" s="71"/>
    </row>
    <row r="61" spans="1:40" s="28" customFormat="1">
      <c r="A61" s="56" t="s">
        <v>84</v>
      </c>
      <c r="B61" s="56" t="s">
        <v>277</v>
      </c>
      <c r="C61" s="56"/>
      <c r="D61" s="56"/>
      <c r="E61" s="56" t="s">
        <v>219</v>
      </c>
      <c r="F61" s="106">
        <v>42494</v>
      </c>
      <c r="G61" s="56"/>
      <c r="H61" s="56"/>
      <c r="I61" s="122">
        <f>+K61</f>
        <v>942.85</v>
      </c>
      <c r="J61" s="114"/>
      <c r="K61" s="59">
        <v>942.85</v>
      </c>
      <c r="L61" s="59">
        <f>972.414+2.972</f>
        <v>975.38599999999997</v>
      </c>
      <c r="M61" s="59"/>
      <c r="N61" s="59"/>
      <c r="O61" s="59"/>
      <c r="P61" s="88"/>
      <c r="Q61" s="100">
        <f t="shared" si="36"/>
        <v>1918.2359999999999</v>
      </c>
      <c r="R61" s="59"/>
      <c r="S61" s="59">
        <v>134.69</v>
      </c>
      <c r="T61" s="59"/>
      <c r="U61" s="59"/>
      <c r="V61" s="59">
        <f>Q61*4.9%</f>
        <v>93.993563999999992</v>
      </c>
      <c r="W61" s="59">
        <f>Q61*1%</f>
        <v>19.182359999999999</v>
      </c>
      <c r="X61" s="59"/>
      <c r="Y61" s="53"/>
      <c r="Z61" s="53"/>
      <c r="AA61" s="56"/>
      <c r="AB61" s="56">
        <v>0</v>
      </c>
      <c r="AC61" s="100">
        <f t="shared" si="34"/>
        <v>1670.3700759999999</v>
      </c>
      <c r="AD61" s="53">
        <f t="shared" ref="AD61" si="45">IF(Q61&gt;2250,Q61*0.1,0)</f>
        <v>0</v>
      </c>
      <c r="AE61" s="100">
        <f t="shared" ref="AE61" si="46">+AC61-AD61</f>
        <v>1670.3700759999999</v>
      </c>
      <c r="AF61" s="53">
        <f t="shared" si="8"/>
        <v>191.8236</v>
      </c>
      <c r="AG61" s="53">
        <v>10.23</v>
      </c>
      <c r="AH61" s="53">
        <f t="shared" ref="AH61" si="47">+V61</f>
        <v>93.993563999999992</v>
      </c>
      <c r="AI61" s="100">
        <f t="shared" si="35"/>
        <v>2214.2831639999999</v>
      </c>
      <c r="AJ61" s="110"/>
      <c r="AK61" s="111"/>
      <c r="AL61" s="101">
        <f t="shared" si="6"/>
        <v>-1670.3700759999999</v>
      </c>
      <c r="AM61" s="71">
        <v>2858432805</v>
      </c>
      <c r="AN61" s="60"/>
    </row>
    <row r="62" spans="1:40" s="28" customFormat="1">
      <c r="A62" s="56" t="s">
        <v>83</v>
      </c>
      <c r="B62" s="56" t="s">
        <v>230</v>
      </c>
      <c r="C62" s="56"/>
      <c r="D62" s="56" t="s">
        <v>231</v>
      </c>
      <c r="E62" s="56" t="s">
        <v>151</v>
      </c>
      <c r="F62" s="106">
        <v>40813</v>
      </c>
      <c r="G62" s="56"/>
      <c r="H62" s="56"/>
      <c r="I62" s="59">
        <f>1237.24/15*7</f>
        <v>577.37866666666673</v>
      </c>
      <c r="J62" s="55">
        <v>1047.6199999999999</v>
      </c>
      <c r="K62" s="59">
        <f t="shared" si="33"/>
        <v>1624.9986666666666</v>
      </c>
      <c r="L62" s="59"/>
      <c r="M62" s="59"/>
      <c r="N62" s="59"/>
      <c r="O62" s="59"/>
      <c r="P62" s="88"/>
      <c r="Q62" s="100">
        <f t="shared" si="36"/>
        <v>1624.9986666666666</v>
      </c>
      <c r="R62" s="59"/>
      <c r="S62" s="59"/>
      <c r="T62" s="59"/>
      <c r="U62" s="59"/>
      <c r="V62" s="59"/>
      <c r="W62" s="59"/>
      <c r="X62" s="59"/>
      <c r="Y62" s="53"/>
      <c r="Z62" s="53"/>
      <c r="AA62" s="56"/>
      <c r="AB62" s="56">
        <v>0</v>
      </c>
      <c r="AC62" s="100">
        <f t="shared" si="34"/>
        <v>1624.9986666666666</v>
      </c>
      <c r="AD62" s="53">
        <f t="shared" si="7"/>
        <v>0</v>
      </c>
      <c r="AE62" s="100">
        <f t="shared" si="37"/>
        <v>1624.9986666666666</v>
      </c>
      <c r="AF62" s="53">
        <f t="shared" si="8"/>
        <v>162.49986666666666</v>
      </c>
      <c r="AG62" s="53">
        <v>10.23</v>
      </c>
      <c r="AH62" s="53">
        <f t="shared" si="38"/>
        <v>0</v>
      </c>
      <c r="AI62" s="100">
        <f t="shared" si="35"/>
        <v>1797.7285333333334</v>
      </c>
      <c r="AJ62" s="110"/>
      <c r="AK62" s="111"/>
      <c r="AL62" s="101">
        <f t="shared" si="6"/>
        <v>-1624.9986666666666</v>
      </c>
      <c r="AM62" s="56"/>
      <c r="AN62" s="60"/>
    </row>
    <row r="63" spans="1:40" s="28" customFormat="1">
      <c r="A63" s="71" t="s">
        <v>68</v>
      </c>
      <c r="B63" s="56" t="s">
        <v>236</v>
      </c>
      <c r="C63" s="56" t="s">
        <v>232</v>
      </c>
      <c r="D63" s="71" t="s">
        <v>226</v>
      </c>
      <c r="E63" s="56" t="s">
        <v>150</v>
      </c>
      <c r="F63" s="106">
        <v>42282</v>
      </c>
      <c r="G63" s="56"/>
      <c r="H63" s="56"/>
      <c r="I63" s="59">
        <v>513.33000000000004</v>
      </c>
      <c r="J63" s="129">
        <v>986.67</v>
      </c>
      <c r="K63" s="59">
        <f t="shared" si="33"/>
        <v>1500</v>
      </c>
      <c r="L63" s="59"/>
      <c r="M63" s="59"/>
      <c r="N63" s="59"/>
      <c r="O63" s="59"/>
      <c r="P63" s="88"/>
      <c r="Q63" s="100">
        <f t="shared" si="36"/>
        <v>1500</v>
      </c>
      <c r="R63" s="59"/>
      <c r="S63" s="59"/>
      <c r="T63" s="59"/>
      <c r="U63" s="59"/>
      <c r="V63" s="59"/>
      <c r="W63" s="59"/>
      <c r="X63" s="59"/>
      <c r="Y63" s="53"/>
      <c r="Z63" s="53"/>
      <c r="AA63" s="56"/>
      <c r="AB63" s="56">
        <v>0</v>
      </c>
      <c r="AC63" s="100">
        <f t="shared" si="34"/>
        <v>1500</v>
      </c>
      <c r="AD63" s="53">
        <f t="shared" si="7"/>
        <v>0</v>
      </c>
      <c r="AE63" s="100">
        <f t="shared" si="37"/>
        <v>1500</v>
      </c>
      <c r="AF63" s="53">
        <f t="shared" si="8"/>
        <v>150</v>
      </c>
      <c r="AG63" s="53">
        <v>10.23</v>
      </c>
      <c r="AH63" s="53">
        <f t="shared" si="38"/>
        <v>0</v>
      </c>
      <c r="AI63" s="100">
        <f t="shared" si="35"/>
        <v>1660.23</v>
      </c>
      <c r="AJ63" s="110"/>
      <c r="AK63" s="111"/>
      <c r="AL63" s="101">
        <f t="shared" si="6"/>
        <v>-1500</v>
      </c>
      <c r="AM63" s="56"/>
      <c r="AN63" s="60"/>
    </row>
    <row r="64" spans="1:40" s="28" customFormat="1">
      <c r="A64" s="56" t="s">
        <v>68</v>
      </c>
      <c r="B64" s="56" t="s">
        <v>213</v>
      </c>
      <c r="C64" s="56" t="s">
        <v>204</v>
      </c>
      <c r="D64" s="56" t="s">
        <v>137</v>
      </c>
      <c r="E64" s="56" t="s">
        <v>70</v>
      </c>
      <c r="F64" s="106">
        <v>42310</v>
      </c>
      <c r="G64" s="56"/>
      <c r="H64" s="56"/>
      <c r="I64" s="59">
        <v>513.33000000000004</v>
      </c>
      <c r="J64" s="114">
        <v>653.33000000000004</v>
      </c>
      <c r="K64" s="59">
        <f t="shared" si="33"/>
        <v>1166.6600000000001</v>
      </c>
      <c r="L64" s="59"/>
      <c r="M64" s="59"/>
      <c r="N64" s="59"/>
      <c r="O64" s="59"/>
      <c r="P64" s="88">
        <v>45.13</v>
      </c>
      <c r="Q64" s="100">
        <f t="shared" si="36"/>
        <v>1121.53</v>
      </c>
      <c r="R64" s="59"/>
      <c r="S64" s="59"/>
      <c r="T64" s="59"/>
      <c r="U64" s="59">
        <v>0</v>
      </c>
      <c r="V64" s="59"/>
      <c r="W64" s="59"/>
      <c r="X64" s="59"/>
      <c r="Y64" s="53">
        <v>460.45</v>
      </c>
      <c r="Z64" s="53"/>
      <c r="AA64" s="56"/>
      <c r="AB64" s="56">
        <v>517.25</v>
      </c>
      <c r="AC64" s="100">
        <f t="shared" si="34"/>
        <v>143.82999999999993</v>
      </c>
      <c r="AD64" s="53">
        <f t="shared" si="7"/>
        <v>0</v>
      </c>
      <c r="AE64" s="100">
        <f t="shared" si="37"/>
        <v>143.82999999999993</v>
      </c>
      <c r="AF64" s="53">
        <f t="shared" si="8"/>
        <v>112.15300000000001</v>
      </c>
      <c r="AG64" s="53">
        <v>10.23</v>
      </c>
      <c r="AH64" s="53">
        <f t="shared" si="38"/>
        <v>0</v>
      </c>
      <c r="AI64" s="100">
        <f t="shared" si="35"/>
        <v>1243.913</v>
      </c>
      <c r="AJ64" s="110"/>
      <c r="AK64" s="111"/>
      <c r="AL64" s="101">
        <f t="shared" si="6"/>
        <v>-143.82999999999993</v>
      </c>
      <c r="AM64" s="56"/>
      <c r="AN64" s="56"/>
    </row>
    <row r="65" spans="1:40" s="28" customFormat="1">
      <c r="A65" s="56" t="s">
        <v>84</v>
      </c>
      <c r="B65" s="56" t="s">
        <v>198</v>
      </c>
      <c r="C65" s="56"/>
      <c r="D65" s="56" t="s">
        <v>118</v>
      </c>
      <c r="E65" s="56" t="s">
        <v>156</v>
      </c>
      <c r="F65" s="106">
        <v>42242</v>
      </c>
      <c r="G65" s="56"/>
      <c r="H65" s="56"/>
      <c r="I65" s="59">
        <v>1100</v>
      </c>
      <c r="J65" s="114"/>
      <c r="K65" s="59">
        <f t="shared" si="33"/>
        <v>1100</v>
      </c>
      <c r="L65" s="59">
        <v>236.208</v>
      </c>
      <c r="M65" s="59"/>
      <c r="N65" s="59"/>
      <c r="O65" s="59"/>
      <c r="P65" s="88">
        <v>45.13</v>
      </c>
      <c r="Q65" s="100">
        <f t="shared" si="36"/>
        <v>1291.078</v>
      </c>
      <c r="R65" s="59"/>
      <c r="S65" s="59"/>
      <c r="T65" s="59"/>
      <c r="U65" s="59">
        <f>+Q65*1%</f>
        <v>12.910780000000001</v>
      </c>
      <c r="V65" s="59">
        <f>Q65*4.9%</f>
        <v>63.262822</v>
      </c>
      <c r="W65" s="59">
        <f>Q65*1%</f>
        <v>12.910780000000001</v>
      </c>
      <c r="X65" s="59"/>
      <c r="Y65" s="53"/>
      <c r="Z65" s="53"/>
      <c r="AA65" s="56"/>
      <c r="AB65" s="56">
        <v>0</v>
      </c>
      <c r="AC65" s="100">
        <f t="shared" si="34"/>
        <v>1201.993618</v>
      </c>
      <c r="AD65" s="53">
        <f t="shared" si="7"/>
        <v>0</v>
      </c>
      <c r="AE65" s="100">
        <f t="shared" si="37"/>
        <v>1201.993618</v>
      </c>
      <c r="AF65" s="53">
        <f t="shared" si="8"/>
        <v>129.1078</v>
      </c>
      <c r="AG65" s="53">
        <v>10.23</v>
      </c>
      <c r="AH65" s="53">
        <f t="shared" si="38"/>
        <v>63.262822</v>
      </c>
      <c r="AI65" s="100">
        <f t="shared" si="35"/>
        <v>1493.6786219999999</v>
      </c>
      <c r="AJ65" s="110"/>
      <c r="AK65" s="110"/>
      <c r="AL65" s="101">
        <f t="shared" si="6"/>
        <v>-1201.993618</v>
      </c>
      <c r="AM65" s="56"/>
      <c r="AN65" s="56"/>
    </row>
    <row r="66" spans="1:40" s="28" customFormat="1">
      <c r="A66" s="56" t="s">
        <v>82</v>
      </c>
      <c r="B66" s="56" t="s">
        <v>252</v>
      </c>
      <c r="C66" s="56"/>
      <c r="D66" s="56" t="s">
        <v>90</v>
      </c>
      <c r="E66" s="56" t="s">
        <v>144</v>
      </c>
      <c r="F66" s="106">
        <v>42170</v>
      </c>
      <c r="G66" s="56"/>
      <c r="H66" s="56"/>
      <c r="I66" s="122">
        <f>+K66</f>
        <v>633.62</v>
      </c>
      <c r="J66" s="114"/>
      <c r="K66" s="59">
        <v>633.62</v>
      </c>
      <c r="L66" s="59">
        <f>2221.736+13.099</f>
        <v>2234.835</v>
      </c>
      <c r="M66" s="59"/>
      <c r="N66" s="59">
        <v>549.58000000000004</v>
      </c>
      <c r="O66" s="59"/>
      <c r="P66" s="88">
        <v>45.13</v>
      </c>
      <c r="Q66" s="100">
        <f t="shared" si="36"/>
        <v>3372.9049999999997</v>
      </c>
      <c r="R66" s="59"/>
      <c r="S66" s="59"/>
      <c r="T66" s="59"/>
      <c r="U66" s="59">
        <v>0</v>
      </c>
      <c r="V66" s="59"/>
      <c r="W66" s="59"/>
      <c r="X66" s="59"/>
      <c r="Y66" s="53"/>
      <c r="Z66" s="53"/>
      <c r="AA66" s="56"/>
      <c r="AB66" s="56">
        <v>0</v>
      </c>
      <c r="AC66" s="100">
        <f t="shared" si="34"/>
        <v>3372.9049999999997</v>
      </c>
      <c r="AD66" s="53">
        <f t="shared" si="7"/>
        <v>337.29050000000001</v>
      </c>
      <c r="AE66" s="100">
        <f t="shared" si="37"/>
        <v>3035.6144999999997</v>
      </c>
      <c r="AF66" s="53">
        <f t="shared" si="8"/>
        <v>0</v>
      </c>
      <c r="AG66" s="53">
        <v>10.23</v>
      </c>
      <c r="AH66" s="53">
        <f t="shared" si="38"/>
        <v>0</v>
      </c>
      <c r="AI66" s="100">
        <f t="shared" si="35"/>
        <v>3383.1349999999998</v>
      </c>
      <c r="AJ66" s="110"/>
      <c r="AK66" s="111"/>
      <c r="AL66" s="101">
        <f t="shared" si="6"/>
        <v>-3035.6144999999997</v>
      </c>
      <c r="AM66" s="56"/>
      <c r="AN66" s="60"/>
    </row>
    <row r="67" spans="1:40" s="28" customFormat="1">
      <c r="A67" s="56" t="s">
        <v>84</v>
      </c>
      <c r="B67" s="56" t="s">
        <v>175</v>
      </c>
      <c r="C67" s="56"/>
      <c r="D67" s="56" t="s">
        <v>119</v>
      </c>
      <c r="E67" s="56" t="s">
        <v>157</v>
      </c>
      <c r="F67" s="106">
        <v>36868</v>
      </c>
      <c r="G67" s="56"/>
      <c r="H67" s="56"/>
      <c r="I67" s="59">
        <v>623.36</v>
      </c>
      <c r="J67" s="114"/>
      <c r="K67" s="59">
        <f t="shared" si="33"/>
        <v>623.36</v>
      </c>
      <c r="L67" s="59">
        <f>3008.907+3.714</f>
        <v>3012.6210000000001</v>
      </c>
      <c r="M67" s="59"/>
      <c r="N67" s="59"/>
      <c r="O67" s="59"/>
      <c r="P67" s="88">
        <v>45.13</v>
      </c>
      <c r="Q67" s="100">
        <f t="shared" si="36"/>
        <v>3590.8510000000001</v>
      </c>
      <c r="R67" s="59"/>
      <c r="S67" s="59"/>
      <c r="T67" s="59"/>
      <c r="U67" s="59"/>
      <c r="V67" s="59">
        <f>Q67*4.9%</f>
        <v>175.95169900000002</v>
      </c>
      <c r="W67" s="59">
        <f>Q67*1%</f>
        <v>35.90851</v>
      </c>
      <c r="X67" s="59"/>
      <c r="Y67" s="53"/>
      <c r="Z67" s="53"/>
      <c r="AA67" s="56"/>
      <c r="AB67" s="56">
        <v>0</v>
      </c>
      <c r="AC67" s="100">
        <f t="shared" si="34"/>
        <v>3378.9907910000002</v>
      </c>
      <c r="AD67" s="53">
        <f t="shared" si="7"/>
        <v>359.08510000000001</v>
      </c>
      <c r="AE67" s="100">
        <f t="shared" si="37"/>
        <v>3019.9056909999999</v>
      </c>
      <c r="AF67" s="53">
        <f t="shared" si="8"/>
        <v>0</v>
      </c>
      <c r="AG67" s="53">
        <v>10.23</v>
      </c>
      <c r="AH67" s="53">
        <f t="shared" si="38"/>
        <v>175.95169900000002</v>
      </c>
      <c r="AI67" s="100">
        <f t="shared" si="35"/>
        <v>3777.0326990000003</v>
      </c>
      <c r="AJ67" s="110"/>
      <c r="AK67" s="110"/>
      <c r="AL67" s="101">
        <f t="shared" si="6"/>
        <v>-3019.9056909999999</v>
      </c>
      <c r="AM67" s="56"/>
      <c r="AN67" s="56"/>
    </row>
    <row r="68" spans="1:40" s="28" customFormat="1">
      <c r="A68" s="56" t="s">
        <v>84</v>
      </c>
      <c r="B68" s="56" t="s">
        <v>171</v>
      </c>
      <c r="C68" s="56"/>
      <c r="D68" s="56" t="s">
        <v>120</v>
      </c>
      <c r="E68" s="56" t="s">
        <v>219</v>
      </c>
      <c r="F68" s="106">
        <v>41949</v>
      </c>
      <c r="G68" s="56"/>
      <c r="H68" s="56"/>
      <c r="I68" s="59">
        <v>511.28</v>
      </c>
      <c r="J68" s="114"/>
      <c r="K68" s="59">
        <f t="shared" si="33"/>
        <v>511.28</v>
      </c>
      <c r="L68" s="59">
        <f>4213.26+7.428</f>
        <v>4220.6880000000001</v>
      </c>
      <c r="M68" s="59"/>
      <c r="N68" s="59"/>
      <c r="O68" s="59"/>
      <c r="P68" s="88">
        <v>45.13</v>
      </c>
      <c r="Q68" s="100">
        <f t="shared" si="36"/>
        <v>4686.8379999999997</v>
      </c>
      <c r="R68" s="59"/>
      <c r="S68" s="59"/>
      <c r="T68" s="59"/>
      <c r="U68" s="59">
        <v>100</v>
      </c>
      <c r="V68" s="59">
        <f>Q68*4.9%</f>
        <v>229.65506199999999</v>
      </c>
      <c r="W68" s="59">
        <f>Q68*1%</f>
        <v>46.868379999999995</v>
      </c>
      <c r="X68" s="59"/>
      <c r="Y68" s="53"/>
      <c r="Z68" s="53"/>
      <c r="AA68" s="56"/>
      <c r="AB68" s="56">
        <v>0</v>
      </c>
      <c r="AC68" s="100">
        <f t="shared" si="34"/>
        <v>4310.314558</v>
      </c>
      <c r="AD68" s="53">
        <f t="shared" si="7"/>
        <v>468.68380000000002</v>
      </c>
      <c r="AE68" s="100">
        <f t="shared" si="37"/>
        <v>3841.6307580000002</v>
      </c>
      <c r="AF68" s="53">
        <f t="shared" si="8"/>
        <v>0</v>
      </c>
      <c r="AG68" s="53">
        <v>10.23</v>
      </c>
      <c r="AH68" s="53">
        <f t="shared" si="38"/>
        <v>229.65506199999999</v>
      </c>
      <c r="AI68" s="100">
        <f t="shared" si="35"/>
        <v>4926.7230619999991</v>
      </c>
      <c r="AJ68" s="110"/>
      <c r="AK68" s="111"/>
      <c r="AL68" s="101">
        <f t="shared" si="6"/>
        <v>-3841.6307580000002</v>
      </c>
      <c r="AM68" s="56"/>
      <c r="AN68" s="56"/>
    </row>
    <row r="69" spans="1:40" s="28" customFormat="1">
      <c r="A69" s="56" t="s">
        <v>82</v>
      </c>
      <c r="B69" s="56" t="s">
        <v>266</v>
      </c>
      <c r="C69" s="56"/>
      <c r="D69" s="56"/>
      <c r="E69" s="56" t="s">
        <v>219</v>
      </c>
      <c r="F69" s="106">
        <v>42493</v>
      </c>
      <c r="G69" s="56"/>
      <c r="H69" s="56"/>
      <c r="I69" s="59">
        <v>739.23</v>
      </c>
      <c r="J69" s="114"/>
      <c r="K69" s="59">
        <f t="shared" si="33"/>
        <v>739.23</v>
      </c>
      <c r="L69" s="59">
        <f>854.934+2.972</f>
        <v>857.90599999999995</v>
      </c>
      <c r="M69" s="59"/>
      <c r="N69" s="59"/>
      <c r="O69" s="59"/>
      <c r="P69" s="88"/>
      <c r="Q69" s="100">
        <f t="shared" si="36"/>
        <v>1597.136</v>
      </c>
      <c r="R69" s="59"/>
      <c r="S69" s="59">
        <v>105.6</v>
      </c>
      <c r="T69" s="59"/>
      <c r="U69" s="59"/>
      <c r="V69" s="59"/>
      <c r="W69" s="59"/>
      <c r="X69" s="59"/>
      <c r="Y69" s="53"/>
      <c r="Z69" s="53"/>
      <c r="AA69" s="56"/>
      <c r="AB69" s="56">
        <v>0</v>
      </c>
      <c r="AC69" s="100">
        <f t="shared" si="34"/>
        <v>1491.5360000000001</v>
      </c>
      <c r="AD69" s="53">
        <f t="shared" ref="AD69" si="48">IF(Q69&gt;2250,Q69*0.1,0)</f>
        <v>0</v>
      </c>
      <c r="AE69" s="100">
        <f t="shared" ref="AE69" si="49">+AC69-AD69</f>
        <v>1491.5360000000001</v>
      </c>
      <c r="AF69" s="53">
        <f t="shared" si="8"/>
        <v>159.71360000000001</v>
      </c>
      <c r="AG69" s="53">
        <v>10.23</v>
      </c>
      <c r="AH69" s="53">
        <f t="shared" ref="AH69" si="50">+V69</f>
        <v>0</v>
      </c>
      <c r="AI69" s="100">
        <f t="shared" si="35"/>
        <v>1767.0796</v>
      </c>
      <c r="AJ69" s="110"/>
      <c r="AK69" s="110"/>
      <c r="AL69" s="101">
        <f t="shared" si="6"/>
        <v>-1491.5360000000001</v>
      </c>
      <c r="AM69" s="56">
        <v>2999103732</v>
      </c>
      <c r="AN69" s="60"/>
    </row>
    <row r="70" spans="1:40" s="28" customFormat="1">
      <c r="A70" s="56" t="s">
        <v>68</v>
      </c>
      <c r="B70" s="56" t="s">
        <v>224</v>
      </c>
      <c r="C70" s="56" t="s">
        <v>207</v>
      </c>
      <c r="D70" s="56" t="s">
        <v>138</v>
      </c>
      <c r="E70" s="56" t="s">
        <v>70</v>
      </c>
      <c r="F70" s="106">
        <v>42251</v>
      </c>
      <c r="G70" s="56"/>
      <c r="H70" s="56"/>
      <c r="I70" s="59">
        <v>513.33000000000004</v>
      </c>
      <c r="J70" s="114">
        <v>653.33000000000004</v>
      </c>
      <c r="K70" s="59">
        <f t="shared" si="33"/>
        <v>1166.6600000000001</v>
      </c>
      <c r="L70" s="59"/>
      <c r="M70" s="59"/>
      <c r="N70" s="59"/>
      <c r="O70" s="59"/>
      <c r="P70" s="88">
        <v>45.13</v>
      </c>
      <c r="Q70" s="100">
        <f>SUM(K70:O70)-P70</f>
        <v>1121.53</v>
      </c>
      <c r="R70" s="59"/>
      <c r="S70" s="59"/>
      <c r="T70" s="59"/>
      <c r="U70" s="59">
        <v>0</v>
      </c>
      <c r="V70" s="59"/>
      <c r="W70" s="59"/>
      <c r="X70" s="59"/>
      <c r="Y70" s="53"/>
      <c r="Z70" s="53"/>
      <c r="AA70" s="56"/>
      <c r="AB70" s="56">
        <v>0</v>
      </c>
      <c r="AC70" s="100">
        <f t="shared" si="34"/>
        <v>1121.53</v>
      </c>
      <c r="AD70" s="53">
        <f>IF(Q70&gt;2250,Q70*0.1,0)</f>
        <v>0</v>
      </c>
      <c r="AE70" s="100">
        <f t="shared" si="37"/>
        <v>1121.53</v>
      </c>
      <c r="AF70" s="53">
        <f t="shared" si="8"/>
        <v>112.15300000000001</v>
      </c>
      <c r="AG70" s="53">
        <v>10.23</v>
      </c>
      <c r="AH70" s="53">
        <f t="shared" si="38"/>
        <v>0</v>
      </c>
      <c r="AI70" s="100">
        <f t="shared" si="35"/>
        <v>1243.913</v>
      </c>
      <c r="AJ70" s="110"/>
      <c r="AK70" s="111"/>
      <c r="AL70" s="101">
        <f t="shared" si="6"/>
        <v>-1121.53</v>
      </c>
      <c r="AM70" s="56"/>
      <c r="AN70" s="56"/>
    </row>
    <row r="71" spans="1:40" s="28" customFormat="1">
      <c r="A71" s="56"/>
      <c r="B71" s="56" t="s">
        <v>273</v>
      </c>
      <c r="C71" s="56"/>
      <c r="D71" s="56"/>
      <c r="E71" s="56" t="s">
        <v>69</v>
      </c>
      <c r="F71" s="106">
        <v>42506</v>
      </c>
      <c r="G71" s="56"/>
      <c r="H71" s="56"/>
      <c r="I71" s="59">
        <v>1166.6600000000001</v>
      </c>
      <c r="J71" s="114"/>
      <c r="K71" s="59">
        <f t="shared" si="33"/>
        <v>1166.6600000000001</v>
      </c>
      <c r="L71" s="59">
        <v>1348.46</v>
      </c>
      <c r="M71" s="59"/>
      <c r="N71" s="59"/>
      <c r="O71" s="59"/>
      <c r="P71" s="88"/>
      <c r="Q71" s="100">
        <f>SUM(K71:O71)-P71</f>
        <v>2515.12</v>
      </c>
      <c r="R71" s="59"/>
      <c r="S71" s="59"/>
      <c r="T71" s="59"/>
      <c r="U71" s="59">
        <v>0</v>
      </c>
      <c r="V71" s="59"/>
      <c r="W71" s="59"/>
      <c r="X71" s="59"/>
      <c r="Y71" s="53"/>
      <c r="Z71" s="53"/>
      <c r="AA71" s="56"/>
      <c r="AB71" s="56">
        <v>0</v>
      </c>
      <c r="AC71" s="100">
        <f t="shared" si="34"/>
        <v>2515.12</v>
      </c>
      <c r="AD71" s="53">
        <f>IF(Q71&gt;2250,Q71*0.1,0)</f>
        <v>251.512</v>
      </c>
      <c r="AE71" s="100">
        <f t="shared" ref="AE71" si="51">+AC71-AD71</f>
        <v>2263.6079999999997</v>
      </c>
      <c r="AF71" s="53">
        <f t="shared" si="8"/>
        <v>0</v>
      </c>
      <c r="AG71" s="53">
        <v>10.23</v>
      </c>
      <c r="AH71" s="53">
        <f t="shared" ref="AH71" si="52">+V71</f>
        <v>0</v>
      </c>
      <c r="AI71" s="100">
        <f t="shared" si="35"/>
        <v>2525.35</v>
      </c>
      <c r="AJ71" s="110"/>
      <c r="AK71" s="110"/>
      <c r="AL71" s="101">
        <f t="shared" si="6"/>
        <v>-2263.6079999999997</v>
      </c>
      <c r="AM71" s="104">
        <v>2928860106</v>
      </c>
      <c r="AN71" s="60"/>
    </row>
    <row r="72" spans="1:40" s="28" customFormat="1">
      <c r="A72" s="56" t="s">
        <v>82</v>
      </c>
      <c r="B72" s="56" t="s">
        <v>74</v>
      </c>
      <c r="C72" s="56"/>
      <c r="D72" s="56" t="s">
        <v>91</v>
      </c>
      <c r="E72" s="56" t="s">
        <v>145</v>
      </c>
      <c r="F72" s="106">
        <v>42129</v>
      </c>
      <c r="G72" s="56"/>
      <c r="H72" s="56"/>
      <c r="I72" s="59">
        <v>739.23</v>
      </c>
      <c r="J72" s="114"/>
      <c r="K72" s="59">
        <f t="shared" si="33"/>
        <v>739.23</v>
      </c>
      <c r="L72" s="59">
        <f>4120.656+13.099</f>
        <v>4133.7550000000001</v>
      </c>
      <c r="M72" s="59"/>
      <c r="N72" s="61"/>
      <c r="O72" s="59"/>
      <c r="P72" s="88">
        <v>45.13</v>
      </c>
      <c r="Q72" s="100">
        <f t="shared" si="36"/>
        <v>4827.8550000000005</v>
      </c>
      <c r="R72" s="59"/>
      <c r="S72" s="59"/>
      <c r="T72" s="59"/>
      <c r="U72" s="59">
        <v>0</v>
      </c>
      <c r="V72" s="59"/>
      <c r="W72" s="59"/>
      <c r="X72" s="59"/>
      <c r="Y72" s="53"/>
      <c r="Z72" s="53"/>
      <c r="AA72" s="56"/>
      <c r="AB72" s="56">
        <v>0</v>
      </c>
      <c r="AC72" s="100">
        <f t="shared" si="34"/>
        <v>4827.8550000000005</v>
      </c>
      <c r="AD72" s="53">
        <f t="shared" si="7"/>
        <v>482.78550000000007</v>
      </c>
      <c r="AE72" s="100">
        <f t="shared" si="37"/>
        <v>4345.0695000000005</v>
      </c>
      <c r="AF72" s="53">
        <f t="shared" si="8"/>
        <v>0</v>
      </c>
      <c r="AG72" s="53">
        <v>10.23</v>
      </c>
      <c r="AH72" s="53">
        <f t="shared" si="38"/>
        <v>0</v>
      </c>
      <c r="AI72" s="100">
        <f t="shared" si="35"/>
        <v>4838.085</v>
      </c>
      <c r="AJ72" s="110"/>
      <c r="AK72" s="111"/>
      <c r="AL72" s="101">
        <f t="shared" si="6"/>
        <v>-4345.0695000000005</v>
      </c>
      <c r="AM72" s="56"/>
      <c r="AN72" s="60"/>
    </row>
    <row r="73" spans="1:40" s="28" customFormat="1">
      <c r="A73" s="56" t="s">
        <v>81</v>
      </c>
      <c r="B73" s="56" t="s">
        <v>246</v>
      </c>
      <c r="C73" s="56"/>
      <c r="D73" s="56"/>
      <c r="E73" s="56" t="s">
        <v>69</v>
      </c>
      <c r="F73" s="106">
        <v>42472</v>
      </c>
      <c r="G73" s="56"/>
      <c r="H73" s="56"/>
      <c r="I73" s="59">
        <v>1166.26</v>
      </c>
      <c r="J73" s="114"/>
      <c r="K73" s="59">
        <f t="shared" si="33"/>
        <v>1166.26</v>
      </c>
      <c r="L73" s="59">
        <v>872.49</v>
      </c>
      <c r="M73" s="59"/>
      <c r="N73" s="61"/>
      <c r="O73" s="59"/>
      <c r="P73" s="88"/>
      <c r="Q73" s="100">
        <f t="shared" si="36"/>
        <v>2038.75</v>
      </c>
      <c r="R73" s="59">
        <v>250</v>
      </c>
      <c r="S73" s="59"/>
      <c r="T73" s="59"/>
      <c r="U73" s="59"/>
      <c r="V73" s="59"/>
      <c r="W73" s="59"/>
      <c r="X73" s="59"/>
      <c r="Y73" s="53"/>
      <c r="Z73" s="53"/>
      <c r="AA73" s="56"/>
      <c r="AB73" s="56">
        <v>0</v>
      </c>
      <c r="AC73" s="100">
        <f t="shared" ref="AC73:AC101" si="53">+Q73-SUM(R73:AB73)</f>
        <v>1788.75</v>
      </c>
      <c r="AD73" s="53">
        <f t="shared" ref="AD73" si="54">IF(Q73&gt;2250,Q73*0.1,0)</f>
        <v>0</v>
      </c>
      <c r="AE73" s="100">
        <f t="shared" ref="AE73" si="55">+AC73-AD73</f>
        <v>1788.75</v>
      </c>
      <c r="AF73" s="53">
        <f t="shared" ref="AF73:AF101" si="56">IF(Q73&lt;2250,Q73*0.1,0)</f>
        <v>203.875</v>
      </c>
      <c r="AG73" s="53">
        <v>10.23</v>
      </c>
      <c r="AH73" s="53">
        <f t="shared" ref="AH73" si="57">+V73</f>
        <v>0</v>
      </c>
      <c r="AI73" s="100">
        <f t="shared" ref="AI73:AI102" si="58">+Q73+AF73+AG73+AH73</f>
        <v>2252.855</v>
      </c>
      <c r="AJ73" s="110"/>
      <c r="AK73" s="111"/>
      <c r="AL73" s="101">
        <f t="shared" si="6"/>
        <v>-1788.75</v>
      </c>
      <c r="AM73" s="56">
        <v>1123036669</v>
      </c>
      <c r="AN73" s="60"/>
    </row>
    <row r="74" spans="1:40" s="28" customFormat="1">
      <c r="A74" s="56" t="s">
        <v>82</v>
      </c>
      <c r="B74" s="56" t="s">
        <v>192</v>
      </c>
      <c r="C74" s="56"/>
      <c r="D74" s="56" t="s">
        <v>92</v>
      </c>
      <c r="E74" s="56" t="s">
        <v>144</v>
      </c>
      <c r="F74" s="106">
        <v>42377</v>
      </c>
      <c r="G74" s="56"/>
      <c r="H74" s="56"/>
      <c r="I74" s="59">
        <v>739.23</v>
      </c>
      <c r="J74" s="114"/>
      <c r="K74" s="59">
        <f t="shared" si="33"/>
        <v>739.23</v>
      </c>
      <c r="L74" s="59">
        <f>1445.144+7.428</f>
        <v>1452.5720000000001</v>
      </c>
      <c r="M74" s="59"/>
      <c r="N74" s="59"/>
      <c r="O74" s="59"/>
      <c r="P74" s="88">
        <v>45.13</v>
      </c>
      <c r="Q74" s="100">
        <f t="shared" si="36"/>
        <v>2146.672</v>
      </c>
      <c r="R74" s="59"/>
      <c r="S74" s="59">
        <v>105.6</v>
      </c>
      <c r="T74" s="59"/>
      <c r="U74" s="59">
        <v>0</v>
      </c>
      <c r="V74" s="59"/>
      <c r="W74" s="59"/>
      <c r="X74" s="59"/>
      <c r="Y74" s="53"/>
      <c r="Z74" s="53"/>
      <c r="AA74" s="56"/>
      <c r="AB74" s="56">
        <v>0</v>
      </c>
      <c r="AC74" s="100">
        <f t="shared" si="53"/>
        <v>2041.0720000000001</v>
      </c>
      <c r="AD74" s="53">
        <f t="shared" si="7"/>
        <v>0</v>
      </c>
      <c r="AE74" s="100">
        <f t="shared" si="37"/>
        <v>2041.0720000000001</v>
      </c>
      <c r="AF74" s="53">
        <f t="shared" si="56"/>
        <v>214.66720000000001</v>
      </c>
      <c r="AG74" s="53">
        <v>10.23</v>
      </c>
      <c r="AH74" s="53">
        <f t="shared" si="38"/>
        <v>0</v>
      </c>
      <c r="AI74" s="100">
        <f t="shared" si="58"/>
        <v>2371.5691999999999</v>
      </c>
      <c r="AJ74" s="110"/>
      <c r="AK74" s="111"/>
      <c r="AL74" s="101">
        <f t="shared" si="6"/>
        <v>-2041.0720000000001</v>
      </c>
      <c r="AM74" s="56"/>
      <c r="AN74" s="60"/>
    </row>
    <row r="75" spans="1:40" s="28" customFormat="1">
      <c r="A75" s="56" t="s">
        <v>82</v>
      </c>
      <c r="B75" s="56" t="s">
        <v>221</v>
      </c>
      <c r="C75" s="56"/>
      <c r="D75" s="56"/>
      <c r="E75" s="56" t="s">
        <v>144</v>
      </c>
      <c r="F75" s="106">
        <v>42422</v>
      </c>
      <c r="G75" s="56"/>
      <c r="H75" s="56"/>
      <c r="I75" s="59">
        <v>739.23</v>
      </c>
      <c r="J75" s="114"/>
      <c r="K75" s="59">
        <f t="shared" si="33"/>
        <v>739.23</v>
      </c>
      <c r="L75" s="59">
        <f>4148.158+13.099</f>
        <v>4161.2570000000005</v>
      </c>
      <c r="M75" s="59"/>
      <c r="N75" s="59"/>
      <c r="O75" s="59"/>
      <c r="P75" s="88"/>
      <c r="Q75" s="100">
        <f t="shared" si="36"/>
        <v>4900.487000000001</v>
      </c>
      <c r="R75" s="59"/>
      <c r="S75" s="59"/>
      <c r="T75" s="59"/>
      <c r="U75" s="59">
        <v>0</v>
      </c>
      <c r="V75" s="59"/>
      <c r="W75" s="59"/>
      <c r="X75" s="59"/>
      <c r="Y75" s="53"/>
      <c r="Z75" s="53"/>
      <c r="AA75" s="56"/>
      <c r="AB75" s="56">
        <v>0</v>
      </c>
      <c r="AC75" s="100">
        <f t="shared" si="53"/>
        <v>4900.487000000001</v>
      </c>
      <c r="AD75" s="53">
        <f t="shared" si="7"/>
        <v>490.04870000000011</v>
      </c>
      <c r="AE75" s="100">
        <f t="shared" si="37"/>
        <v>4410.4383000000007</v>
      </c>
      <c r="AF75" s="53">
        <f t="shared" si="56"/>
        <v>0</v>
      </c>
      <c r="AG75" s="53">
        <v>10.23</v>
      </c>
      <c r="AH75" s="53">
        <f t="shared" si="38"/>
        <v>0</v>
      </c>
      <c r="AI75" s="100">
        <f t="shared" si="58"/>
        <v>4910.7170000000006</v>
      </c>
      <c r="AJ75" s="110"/>
      <c r="AK75" s="111"/>
      <c r="AL75" s="101">
        <f t="shared" si="6"/>
        <v>-4410.4383000000007</v>
      </c>
      <c r="AM75" s="56"/>
      <c r="AN75" s="60"/>
    </row>
    <row r="76" spans="1:40" s="28" customFormat="1">
      <c r="A76" s="56" t="s">
        <v>84</v>
      </c>
      <c r="B76" s="56" t="s">
        <v>255</v>
      </c>
      <c r="C76" s="56"/>
      <c r="D76" s="56" t="s">
        <v>121</v>
      </c>
      <c r="E76" s="56" t="s">
        <v>158</v>
      </c>
      <c r="F76" s="106">
        <v>41227</v>
      </c>
      <c r="G76" s="56"/>
      <c r="H76" s="56"/>
      <c r="I76" s="122">
        <f>+K76</f>
        <v>534.29999999999995</v>
      </c>
      <c r="J76" s="114"/>
      <c r="K76" s="59">
        <v>534.29999999999995</v>
      </c>
      <c r="L76" s="59">
        <f>4599.25+5.571</f>
        <v>4604.8209999999999</v>
      </c>
      <c r="M76" s="59"/>
      <c r="N76" s="59"/>
      <c r="O76" s="59"/>
      <c r="P76" s="88">
        <v>45.13</v>
      </c>
      <c r="Q76" s="100">
        <f t="shared" si="36"/>
        <v>5093.991</v>
      </c>
      <c r="R76" s="59"/>
      <c r="S76" s="59"/>
      <c r="T76" s="59"/>
      <c r="U76" s="59">
        <v>200</v>
      </c>
      <c r="V76" s="59">
        <f>Q76*4.9%</f>
        <v>249.605559</v>
      </c>
      <c r="W76" s="59">
        <f>Q76*1%</f>
        <v>50.939909999999998</v>
      </c>
      <c r="X76" s="59">
        <v>321.74</v>
      </c>
      <c r="Y76" s="53"/>
      <c r="Z76" s="53"/>
      <c r="AA76" s="56"/>
      <c r="AB76" s="56">
        <v>0</v>
      </c>
      <c r="AC76" s="100">
        <f t="shared" si="53"/>
        <v>4271.7055309999996</v>
      </c>
      <c r="AD76" s="53">
        <f t="shared" si="7"/>
        <v>509.39910000000003</v>
      </c>
      <c r="AE76" s="100">
        <f t="shared" si="37"/>
        <v>3762.3064309999995</v>
      </c>
      <c r="AF76" s="53">
        <f t="shared" si="56"/>
        <v>0</v>
      </c>
      <c r="AG76" s="53">
        <v>10.23</v>
      </c>
      <c r="AH76" s="53">
        <f t="shared" si="38"/>
        <v>249.605559</v>
      </c>
      <c r="AI76" s="100">
        <f t="shared" si="58"/>
        <v>5353.8265589999992</v>
      </c>
      <c r="AJ76" s="110"/>
      <c r="AK76" s="110"/>
      <c r="AL76" s="101">
        <f t="shared" ref="AL76:AL102" si="59">+AJ76+AK76-AE76</f>
        <v>-3762.3064309999995</v>
      </c>
      <c r="AM76" s="56"/>
      <c r="AN76" s="60"/>
    </row>
    <row r="77" spans="1:40" s="28" customFormat="1">
      <c r="A77" s="56" t="s">
        <v>68</v>
      </c>
      <c r="B77" s="56" t="s">
        <v>286</v>
      </c>
      <c r="C77" s="56"/>
      <c r="D77" s="56"/>
      <c r="E77" s="56" t="s">
        <v>70</v>
      </c>
      <c r="F77" s="106">
        <v>42522</v>
      </c>
      <c r="G77" s="56"/>
      <c r="H77" s="56"/>
      <c r="I77" s="130">
        <v>513.33000000000004</v>
      </c>
      <c r="J77" s="114"/>
      <c r="K77" s="59">
        <v>534.29999999999995</v>
      </c>
      <c r="L77" s="59">
        <v>1790.43</v>
      </c>
      <c r="M77" s="59"/>
      <c r="N77" s="59"/>
      <c r="O77" s="59"/>
      <c r="P77" s="88"/>
      <c r="Q77" s="100">
        <f t="shared" si="36"/>
        <v>2324.73</v>
      </c>
      <c r="R77" s="59"/>
      <c r="S77" s="59"/>
      <c r="T77" s="59"/>
      <c r="U77" s="59"/>
      <c r="V77" s="59"/>
      <c r="W77" s="59"/>
      <c r="X77" s="59"/>
      <c r="Y77" s="53"/>
      <c r="Z77" s="53"/>
      <c r="AA77" s="56"/>
      <c r="AB77" s="56">
        <v>0</v>
      </c>
      <c r="AC77" s="100">
        <f t="shared" si="53"/>
        <v>2324.73</v>
      </c>
      <c r="AD77" s="53">
        <f t="shared" ref="AD77" si="60">IF(Q77&gt;2250,Q77*0.1,0)</f>
        <v>232.47300000000001</v>
      </c>
      <c r="AE77" s="100">
        <f t="shared" ref="AE77" si="61">+AC77-AD77</f>
        <v>2092.2570000000001</v>
      </c>
      <c r="AF77" s="53">
        <f t="shared" ref="AF77" si="62">IF(Q77&lt;2250,Q77*0.1,0)</f>
        <v>0</v>
      </c>
      <c r="AG77" s="53">
        <v>10.23</v>
      </c>
      <c r="AH77" s="53">
        <f t="shared" ref="AH77" si="63">+V77</f>
        <v>0</v>
      </c>
      <c r="AI77" s="100">
        <f t="shared" si="58"/>
        <v>2334.96</v>
      </c>
      <c r="AJ77" s="110"/>
      <c r="AK77" s="110"/>
      <c r="AL77" s="101"/>
      <c r="AM77" s="56">
        <v>2952708604</v>
      </c>
      <c r="AN77" s="60"/>
    </row>
    <row r="78" spans="1:40" s="28" customFormat="1">
      <c r="A78" s="56" t="s">
        <v>68</v>
      </c>
      <c r="B78" s="56" t="s">
        <v>183</v>
      </c>
      <c r="C78" s="56" t="s">
        <v>204</v>
      </c>
      <c r="D78" s="62" t="s">
        <v>184</v>
      </c>
      <c r="E78" s="56" t="s">
        <v>70</v>
      </c>
      <c r="F78" s="106">
        <v>42396</v>
      </c>
      <c r="G78" s="56"/>
      <c r="H78" s="56"/>
      <c r="I78" s="59">
        <v>513.33000000000004</v>
      </c>
      <c r="J78" s="114">
        <v>653.33000000000004</v>
      </c>
      <c r="K78" s="59">
        <f t="shared" si="33"/>
        <v>1166.6600000000001</v>
      </c>
      <c r="L78" s="59">
        <v>6641.28</v>
      </c>
      <c r="M78" s="59"/>
      <c r="N78" s="59"/>
      <c r="O78" s="59"/>
      <c r="P78" s="88">
        <v>45.13</v>
      </c>
      <c r="Q78" s="100">
        <f t="shared" si="36"/>
        <v>7762.8099999999995</v>
      </c>
      <c r="R78" s="59"/>
      <c r="S78" s="59"/>
      <c r="T78" s="59"/>
      <c r="U78" s="59"/>
      <c r="V78" s="59"/>
      <c r="W78" s="59"/>
      <c r="X78" s="59"/>
      <c r="Y78" s="53"/>
      <c r="Z78" s="53"/>
      <c r="AA78" s="56"/>
      <c r="AB78" s="56">
        <v>291.5</v>
      </c>
      <c r="AC78" s="100">
        <f t="shared" si="53"/>
        <v>7471.3099999999995</v>
      </c>
      <c r="AD78" s="53">
        <f t="shared" ref="AD78" si="64">IF(Q78&gt;2250,Q78*0.1,0)</f>
        <v>776.28099999999995</v>
      </c>
      <c r="AE78" s="100">
        <f t="shared" ref="AE78" si="65">+AC78-AD78</f>
        <v>6695.0289999999995</v>
      </c>
      <c r="AF78" s="53">
        <f t="shared" si="56"/>
        <v>0</v>
      </c>
      <c r="AG78" s="53">
        <v>10.23</v>
      </c>
      <c r="AH78" s="53">
        <f t="shared" ref="AH78" si="66">+V78</f>
        <v>0</v>
      </c>
      <c r="AI78" s="100">
        <f t="shared" si="58"/>
        <v>7773.0399999999991</v>
      </c>
      <c r="AJ78" s="110"/>
      <c r="AK78" s="110"/>
      <c r="AL78" s="101">
        <f t="shared" si="59"/>
        <v>-6695.0289999999995</v>
      </c>
      <c r="AM78" s="56"/>
      <c r="AN78" s="60"/>
    </row>
    <row r="79" spans="1:40" s="28" customFormat="1">
      <c r="A79" s="56" t="s">
        <v>84</v>
      </c>
      <c r="B79" s="56" t="s">
        <v>168</v>
      </c>
      <c r="C79" s="56"/>
      <c r="D79" s="56" t="s">
        <v>123</v>
      </c>
      <c r="E79" s="56" t="s">
        <v>153</v>
      </c>
      <c r="F79" s="106">
        <v>41732</v>
      </c>
      <c r="G79" s="56"/>
      <c r="H79" s="56"/>
      <c r="I79" s="59">
        <v>556.78</v>
      </c>
      <c r="J79" s="114"/>
      <c r="K79" s="59">
        <f t="shared" ref="K79:K101" si="67">+I79+J79</f>
        <v>556.78</v>
      </c>
      <c r="L79" s="59">
        <v>182.09200000000001</v>
      </c>
      <c r="M79" s="59"/>
      <c r="N79" s="59"/>
      <c r="O79" s="59"/>
      <c r="P79" s="88">
        <v>45.13</v>
      </c>
      <c r="Q79" s="100">
        <f t="shared" ref="Q79:Q102" si="68">SUM(K79:O79)-P79</f>
        <v>693.74199999999996</v>
      </c>
      <c r="R79" s="59"/>
      <c r="S79" s="59"/>
      <c r="T79" s="59"/>
      <c r="U79" s="59">
        <v>0</v>
      </c>
      <c r="V79" s="59">
        <f>Q79*4.9%</f>
        <v>33.993358000000001</v>
      </c>
      <c r="W79" s="59">
        <f>Q79*1%</f>
        <v>6.9374199999999995</v>
      </c>
      <c r="X79" s="59"/>
      <c r="Y79" s="53"/>
      <c r="Z79" s="53"/>
      <c r="AA79" s="56"/>
      <c r="AB79" s="56">
        <v>0</v>
      </c>
      <c r="AC79" s="100">
        <f t="shared" si="53"/>
        <v>652.81122199999993</v>
      </c>
      <c r="AD79" s="53">
        <f t="shared" ref="AD79:AD102" si="69">IF(Q79&gt;2250,Q79*0.1,0)</f>
        <v>0</v>
      </c>
      <c r="AE79" s="100">
        <f t="shared" ref="AE79:AE101" si="70">+AC79-AD79</f>
        <v>652.81122199999993</v>
      </c>
      <c r="AF79" s="53">
        <f t="shared" si="56"/>
        <v>69.374200000000002</v>
      </c>
      <c r="AG79" s="53">
        <v>10.23</v>
      </c>
      <c r="AH79" s="53">
        <f t="shared" ref="AH79:AH102" si="71">+V79</f>
        <v>33.993358000000001</v>
      </c>
      <c r="AI79" s="100">
        <f t="shared" si="58"/>
        <v>807.3395579999999</v>
      </c>
      <c r="AJ79" s="110"/>
      <c r="AK79" s="110"/>
      <c r="AL79" s="101">
        <f t="shared" si="59"/>
        <v>-652.81122199999993</v>
      </c>
      <c r="AM79" s="56"/>
      <c r="AN79" s="56"/>
    </row>
    <row r="80" spans="1:40" s="28" customFormat="1">
      <c r="A80" s="56" t="s">
        <v>81</v>
      </c>
      <c r="B80" s="56" t="s">
        <v>199</v>
      </c>
      <c r="C80" s="56"/>
      <c r="D80" s="56" t="s">
        <v>102</v>
      </c>
      <c r="E80" s="56" t="s">
        <v>151</v>
      </c>
      <c r="F80" s="106">
        <v>42321</v>
      </c>
      <c r="G80" s="56"/>
      <c r="H80" s="56"/>
      <c r="I80" s="59">
        <v>577.38</v>
      </c>
      <c r="J80" s="114">
        <v>1047.6199999999999</v>
      </c>
      <c r="K80" s="59">
        <f t="shared" si="67"/>
        <v>1625</v>
      </c>
      <c r="L80" s="59"/>
      <c r="M80" s="59"/>
      <c r="N80" s="59"/>
      <c r="O80" s="59"/>
      <c r="P80" s="88">
        <v>45.13</v>
      </c>
      <c r="Q80" s="100">
        <f t="shared" si="68"/>
        <v>1579.87</v>
      </c>
      <c r="R80" s="59"/>
      <c r="S80" s="59"/>
      <c r="T80" s="59"/>
      <c r="U80" s="59">
        <v>0</v>
      </c>
      <c r="V80" s="59"/>
      <c r="W80" s="59"/>
      <c r="X80" s="59"/>
      <c r="Y80" s="53"/>
      <c r="Z80" s="53"/>
      <c r="AA80" s="56"/>
      <c r="AB80" s="56">
        <v>0</v>
      </c>
      <c r="AC80" s="100">
        <f t="shared" si="53"/>
        <v>1579.87</v>
      </c>
      <c r="AD80" s="53">
        <f t="shared" ref="AD80" si="72">IF(Q80&gt;2250,Q80*0.1,0)</f>
        <v>0</v>
      </c>
      <c r="AE80" s="100">
        <f t="shared" ref="AE80" si="73">+AC80-AD80</f>
        <v>1579.87</v>
      </c>
      <c r="AF80" s="53">
        <f t="shared" si="56"/>
        <v>157.98699999999999</v>
      </c>
      <c r="AG80" s="53">
        <v>10.23</v>
      </c>
      <c r="AH80" s="53">
        <f t="shared" ref="AH80" si="74">+V80</f>
        <v>0</v>
      </c>
      <c r="AI80" s="100">
        <f t="shared" si="58"/>
        <v>1748.087</v>
      </c>
      <c r="AJ80" s="110"/>
      <c r="AK80" s="111"/>
      <c r="AL80" s="101">
        <f t="shared" si="59"/>
        <v>-1579.87</v>
      </c>
      <c r="AM80" s="56"/>
      <c r="AN80" s="60" t="s">
        <v>290</v>
      </c>
    </row>
    <row r="81" spans="1:40" s="28" customFormat="1">
      <c r="A81" s="56" t="s">
        <v>84</v>
      </c>
      <c r="B81" s="56" t="s">
        <v>181</v>
      </c>
      <c r="C81" s="56"/>
      <c r="D81" s="56" t="s">
        <v>122</v>
      </c>
      <c r="E81" s="56" t="s">
        <v>159</v>
      </c>
      <c r="F81" s="106">
        <v>42228</v>
      </c>
      <c r="G81" s="56"/>
      <c r="H81" s="56"/>
      <c r="I81" s="59">
        <v>513.33000000000004</v>
      </c>
      <c r="J81" s="114">
        <v>986.67</v>
      </c>
      <c r="K81" s="59">
        <f t="shared" si="67"/>
        <v>1500</v>
      </c>
      <c r="L81" s="59"/>
      <c r="M81" s="59"/>
      <c r="N81" s="59"/>
      <c r="O81" s="59"/>
      <c r="P81" s="88">
        <v>45.13</v>
      </c>
      <c r="Q81" s="100">
        <f t="shared" si="68"/>
        <v>1454.87</v>
      </c>
      <c r="R81" s="59"/>
      <c r="S81" s="59"/>
      <c r="T81" s="59"/>
      <c r="U81" s="59"/>
      <c r="V81" s="59">
        <f>Q81*4.9%</f>
        <v>71.288629999999998</v>
      </c>
      <c r="W81" s="59">
        <f>Q81*1%</f>
        <v>14.548699999999998</v>
      </c>
      <c r="X81" s="59"/>
      <c r="Y81" s="53"/>
      <c r="Z81" s="53"/>
      <c r="AA81" s="56"/>
      <c r="AB81" s="56">
        <v>845</v>
      </c>
      <c r="AC81" s="100">
        <f t="shared" si="53"/>
        <v>524.03266999999994</v>
      </c>
      <c r="AD81" s="53">
        <f t="shared" si="69"/>
        <v>0</v>
      </c>
      <c r="AE81" s="100">
        <f t="shared" si="70"/>
        <v>524.03266999999994</v>
      </c>
      <c r="AF81" s="53">
        <f t="shared" si="56"/>
        <v>145.48699999999999</v>
      </c>
      <c r="AG81" s="53">
        <v>10.23</v>
      </c>
      <c r="AH81" s="53">
        <f t="shared" si="71"/>
        <v>71.288629999999998</v>
      </c>
      <c r="AI81" s="100">
        <f t="shared" si="58"/>
        <v>1681.87563</v>
      </c>
      <c r="AJ81" s="110"/>
      <c r="AK81" s="110"/>
      <c r="AL81" s="101">
        <f t="shared" si="59"/>
        <v>-524.03266999999994</v>
      </c>
      <c r="AM81" s="56"/>
      <c r="AN81" s="56"/>
    </row>
    <row r="82" spans="1:40" s="28" customFormat="1">
      <c r="A82" s="56" t="s">
        <v>81</v>
      </c>
      <c r="B82" s="56" t="s">
        <v>195</v>
      </c>
      <c r="C82" s="56"/>
      <c r="D82" s="56" t="s">
        <v>86</v>
      </c>
      <c r="E82" s="56" t="s">
        <v>69</v>
      </c>
      <c r="F82" s="106">
        <v>42065</v>
      </c>
      <c r="G82" s="56"/>
      <c r="H82" s="56"/>
      <c r="I82" s="59">
        <v>1166.26</v>
      </c>
      <c r="J82" s="114"/>
      <c r="K82" s="59">
        <f t="shared" si="67"/>
        <v>1166.26</v>
      </c>
      <c r="L82" s="59">
        <v>2817.23</v>
      </c>
      <c r="M82" s="59"/>
      <c r="N82" s="59"/>
      <c r="O82" s="59"/>
      <c r="P82" s="88">
        <v>45.13</v>
      </c>
      <c r="Q82" s="100">
        <f t="shared" si="68"/>
        <v>3938.3599999999997</v>
      </c>
      <c r="R82" s="59"/>
      <c r="S82" s="59"/>
      <c r="T82" s="59"/>
      <c r="U82" s="59">
        <v>0</v>
      </c>
      <c r="V82" s="59"/>
      <c r="W82" s="59"/>
      <c r="X82" s="59"/>
      <c r="Y82" s="53"/>
      <c r="Z82" s="53"/>
      <c r="AA82" s="56"/>
      <c r="AB82" s="56">
        <v>0</v>
      </c>
      <c r="AC82" s="100">
        <f t="shared" si="53"/>
        <v>3938.3599999999997</v>
      </c>
      <c r="AD82" s="53">
        <f t="shared" si="69"/>
        <v>393.83600000000001</v>
      </c>
      <c r="AE82" s="100">
        <f t="shared" si="70"/>
        <v>3544.5239999999994</v>
      </c>
      <c r="AF82" s="53">
        <f t="shared" si="56"/>
        <v>0</v>
      </c>
      <c r="AG82" s="53">
        <v>10.23</v>
      </c>
      <c r="AH82" s="53">
        <f t="shared" si="71"/>
        <v>0</v>
      </c>
      <c r="AI82" s="100">
        <f t="shared" si="58"/>
        <v>3948.5899999999997</v>
      </c>
      <c r="AJ82" s="110"/>
      <c r="AK82" s="111"/>
      <c r="AL82" s="101">
        <f t="shared" si="59"/>
        <v>-3544.5239999999994</v>
      </c>
      <c r="AM82" s="56"/>
      <c r="AN82" s="56"/>
    </row>
    <row r="83" spans="1:40" s="28" customFormat="1">
      <c r="A83" s="56" t="s">
        <v>83</v>
      </c>
      <c r="B83" s="56" t="s">
        <v>248</v>
      </c>
      <c r="C83" s="56" t="s">
        <v>253</v>
      </c>
      <c r="D83" s="56" t="s">
        <v>103</v>
      </c>
      <c r="E83" s="56" t="s">
        <v>149</v>
      </c>
      <c r="F83" s="106">
        <v>42392</v>
      </c>
      <c r="G83" s="56"/>
      <c r="H83" s="56"/>
      <c r="I83" s="59">
        <v>1100</v>
      </c>
      <c r="J83" s="114"/>
      <c r="K83" s="59">
        <f t="shared" si="67"/>
        <v>1100</v>
      </c>
      <c r="L83" s="59"/>
      <c r="M83" s="59"/>
      <c r="N83" s="59"/>
      <c r="O83" s="59"/>
      <c r="P83" s="88">
        <v>45.13</v>
      </c>
      <c r="Q83" s="100">
        <f t="shared" si="68"/>
        <v>1054.8699999999999</v>
      </c>
      <c r="R83" s="59"/>
      <c r="S83" s="59"/>
      <c r="T83" s="59"/>
      <c r="U83" s="59">
        <v>0</v>
      </c>
      <c r="V83" s="59"/>
      <c r="W83" s="59"/>
      <c r="X83" s="59"/>
      <c r="Y83" s="53"/>
      <c r="Z83" s="53"/>
      <c r="AA83" s="56"/>
      <c r="AB83" s="56">
        <v>0</v>
      </c>
      <c r="AC83" s="100">
        <f t="shared" si="53"/>
        <v>1054.8699999999999</v>
      </c>
      <c r="AD83" s="53">
        <f t="shared" si="69"/>
        <v>0</v>
      </c>
      <c r="AE83" s="100">
        <f t="shared" si="70"/>
        <v>1054.8699999999999</v>
      </c>
      <c r="AF83" s="53">
        <f t="shared" si="56"/>
        <v>105.48699999999999</v>
      </c>
      <c r="AG83" s="53">
        <v>10.23</v>
      </c>
      <c r="AH83" s="53">
        <f t="shared" si="71"/>
        <v>0</v>
      </c>
      <c r="AI83" s="100">
        <f t="shared" si="58"/>
        <v>1170.587</v>
      </c>
      <c r="AJ83" s="110"/>
      <c r="AK83" s="110"/>
      <c r="AL83" s="101">
        <f t="shared" si="59"/>
        <v>-1054.8699999999999</v>
      </c>
      <c r="AM83" s="56"/>
      <c r="AN83" s="60"/>
    </row>
    <row r="84" spans="1:40" s="28" customFormat="1">
      <c r="A84" s="56" t="s">
        <v>68</v>
      </c>
      <c r="B84" s="56" t="s">
        <v>79</v>
      </c>
      <c r="C84" s="56" t="s">
        <v>202</v>
      </c>
      <c r="D84" s="56" t="s">
        <v>139</v>
      </c>
      <c r="E84" s="56" t="s">
        <v>70</v>
      </c>
      <c r="F84" s="106">
        <v>41218</v>
      </c>
      <c r="G84" s="56"/>
      <c r="H84" s="56"/>
      <c r="I84" s="59">
        <v>513.33000000000004</v>
      </c>
      <c r="J84" s="114">
        <v>653.33000000000004</v>
      </c>
      <c r="K84" s="59">
        <f t="shared" si="67"/>
        <v>1166.6600000000001</v>
      </c>
      <c r="L84" s="59"/>
      <c r="M84" s="59"/>
      <c r="N84" s="59"/>
      <c r="O84" s="59"/>
      <c r="P84" s="88">
        <v>45.13</v>
      </c>
      <c r="Q84" s="100">
        <f t="shared" si="68"/>
        <v>1121.53</v>
      </c>
      <c r="R84" s="59"/>
      <c r="S84" s="59"/>
      <c r="T84" s="59">
        <v>58.91</v>
      </c>
      <c r="U84" s="59">
        <v>0</v>
      </c>
      <c r="V84" s="59"/>
      <c r="W84" s="59"/>
      <c r="X84" s="59"/>
      <c r="Y84" s="53"/>
      <c r="Z84" s="53"/>
      <c r="AA84" s="56"/>
      <c r="AB84" s="56">
        <v>0</v>
      </c>
      <c r="AC84" s="100">
        <f t="shared" si="53"/>
        <v>1062.6199999999999</v>
      </c>
      <c r="AD84" s="53">
        <f t="shared" si="69"/>
        <v>0</v>
      </c>
      <c r="AE84" s="100">
        <f t="shared" si="70"/>
        <v>1062.6199999999999</v>
      </c>
      <c r="AF84" s="53">
        <f t="shared" si="56"/>
        <v>112.15300000000001</v>
      </c>
      <c r="AG84" s="53">
        <v>10.23</v>
      </c>
      <c r="AH84" s="53">
        <f t="shared" si="71"/>
        <v>0</v>
      </c>
      <c r="AI84" s="100">
        <f t="shared" si="58"/>
        <v>1243.913</v>
      </c>
      <c r="AJ84" s="110"/>
      <c r="AK84" s="111"/>
      <c r="AL84" s="101">
        <f t="shared" si="59"/>
        <v>-1062.6199999999999</v>
      </c>
      <c r="AM84" s="56"/>
      <c r="AN84" s="56"/>
    </row>
    <row r="85" spans="1:40" s="28" customFormat="1">
      <c r="A85" s="56" t="s">
        <v>84</v>
      </c>
      <c r="B85" s="56" t="s">
        <v>257</v>
      </c>
      <c r="C85" s="56"/>
      <c r="D85" s="56" t="s">
        <v>124</v>
      </c>
      <c r="E85" s="56" t="s">
        <v>160</v>
      </c>
      <c r="F85" s="106">
        <v>41703</v>
      </c>
      <c r="G85" s="56"/>
      <c r="H85" s="56"/>
      <c r="I85" s="59">
        <v>556.78</v>
      </c>
      <c r="J85" s="114"/>
      <c r="K85" s="59">
        <f t="shared" si="67"/>
        <v>556.78</v>
      </c>
      <c r="L85" s="59">
        <v>992.46900000000005</v>
      </c>
      <c r="M85" s="59"/>
      <c r="N85" s="59"/>
      <c r="O85" s="59"/>
      <c r="P85" s="88">
        <v>45.13</v>
      </c>
      <c r="Q85" s="100">
        <f t="shared" si="68"/>
        <v>1504.1189999999999</v>
      </c>
      <c r="R85" s="59"/>
      <c r="S85" s="59"/>
      <c r="T85" s="59"/>
      <c r="U85" s="59">
        <v>0</v>
      </c>
      <c r="V85" s="59">
        <f>Q85*4.9%</f>
        <v>73.701830999999999</v>
      </c>
      <c r="W85" s="59">
        <f>Q85*1%</f>
        <v>15.04119</v>
      </c>
      <c r="X85" s="59"/>
      <c r="Y85" s="53"/>
      <c r="Z85" s="53"/>
      <c r="AA85" s="56"/>
      <c r="AB85" s="56">
        <v>0</v>
      </c>
      <c r="AC85" s="100">
        <f t="shared" si="53"/>
        <v>1415.3759789999999</v>
      </c>
      <c r="AD85" s="53">
        <f t="shared" si="69"/>
        <v>0</v>
      </c>
      <c r="AE85" s="100">
        <f t="shared" si="70"/>
        <v>1415.3759789999999</v>
      </c>
      <c r="AF85" s="53">
        <f t="shared" si="56"/>
        <v>150.4119</v>
      </c>
      <c r="AG85" s="53">
        <v>10.23</v>
      </c>
      <c r="AH85" s="53">
        <f t="shared" si="71"/>
        <v>73.701830999999999</v>
      </c>
      <c r="AI85" s="100">
        <f t="shared" si="58"/>
        <v>1738.4627310000001</v>
      </c>
      <c r="AJ85" s="110"/>
      <c r="AK85" s="110"/>
      <c r="AL85" s="101">
        <f t="shared" si="59"/>
        <v>-1415.3759789999999</v>
      </c>
      <c r="AM85" s="56"/>
      <c r="AN85" s="56"/>
    </row>
    <row r="86" spans="1:40" s="28" customFormat="1">
      <c r="A86" s="56" t="s">
        <v>84</v>
      </c>
      <c r="B86" s="56" t="s">
        <v>166</v>
      </c>
      <c r="C86" s="56"/>
      <c r="D86" s="56" t="s">
        <v>125</v>
      </c>
      <c r="E86" s="56" t="s">
        <v>158</v>
      </c>
      <c r="F86" s="106">
        <v>41291</v>
      </c>
      <c r="G86" s="56"/>
      <c r="H86" s="56"/>
      <c r="I86" s="59">
        <v>623.36</v>
      </c>
      <c r="J86" s="114"/>
      <c r="K86" s="59">
        <f t="shared" si="67"/>
        <v>623.36</v>
      </c>
      <c r="L86" s="59">
        <f>2236.949+5.571</f>
        <v>2242.52</v>
      </c>
      <c r="M86" s="59"/>
      <c r="N86" s="59"/>
      <c r="O86" s="59"/>
      <c r="P86" s="88">
        <v>45.13</v>
      </c>
      <c r="Q86" s="100">
        <f t="shared" si="68"/>
        <v>2820.75</v>
      </c>
      <c r="R86" s="59"/>
      <c r="S86" s="59"/>
      <c r="T86" s="59"/>
      <c r="U86" s="59">
        <v>200</v>
      </c>
      <c r="V86" s="59">
        <f>Q86*4.9%</f>
        <v>138.21675000000002</v>
      </c>
      <c r="W86" s="59">
        <f>Q86*1%</f>
        <v>28.2075</v>
      </c>
      <c r="X86" s="59">
        <v>257.64</v>
      </c>
      <c r="Y86" s="53"/>
      <c r="Z86" s="53"/>
      <c r="AA86" s="56">
        <v>201.24</v>
      </c>
      <c r="AB86" s="56">
        <v>0</v>
      </c>
      <c r="AC86" s="100">
        <f t="shared" si="53"/>
        <v>1995.4457499999999</v>
      </c>
      <c r="AD86" s="53">
        <f t="shared" si="69"/>
        <v>282.07499999999999</v>
      </c>
      <c r="AE86" s="100">
        <f t="shared" si="70"/>
        <v>1713.3707499999998</v>
      </c>
      <c r="AF86" s="53">
        <f t="shared" si="56"/>
        <v>0</v>
      </c>
      <c r="AG86" s="53">
        <v>10.23</v>
      </c>
      <c r="AH86" s="53">
        <f t="shared" si="71"/>
        <v>138.21675000000002</v>
      </c>
      <c r="AI86" s="100">
        <f t="shared" si="58"/>
        <v>2969.1967500000001</v>
      </c>
      <c r="AJ86" s="110"/>
      <c r="AK86" s="110"/>
      <c r="AL86" s="101">
        <f t="shared" si="59"/>
        <v>-1713.3707499999998</v>
      </c>
      <c r="AM86" s="56"/>
      <c r="AN86" s="60"/>
    </row>
    <row r="87" spans="1:40" s="28" customFormat="1">
      <c r="A87" s="56" t="s">
        <v>68</v>
      </c>
      <c r="B87" s="56" t="s">
        <v>278</v>
      </c>
      <c r="C87" s="56"/>
      <c r="D87" s="56"/>
      <c r="E87" s="56" t="s">
        <v>70</v>
      </c>
      <c r="F87" s="106">
        <v>42520</v>
      </c>
      <c r="G87" s="56"/>
      <c r="H87" s="56"/>
      <c r="I87" s="122">
        <v>513.33000000000004</v>
      </c>
      <c r="J87" s="114"/>
      <c r="K87" s="59">
        <v>513.33000000000004</v>
      </c>
      <c r="L87" s="59"/>
      <c r="M87" s="59"/>
      <c r="N87" s="59"/>
      <c r="O87" s="59"/>
      <c r="P87" s="88"/>
      <c r="Q87" s="100">
        <f t="shared" si="68"/>
        <v>513.33000000000004</v>
      </c>
      <c r="R87" s="59"/>
      <c r="S87" s="59"/>
      <c r="T87" s="59"/>
      <c r="U87" s="59"/>
      <c r="V87" s="59"/>
      <c r="W87" s="59"/>
      <c r="X87" s="59"/>
      <c r="Y87" s="53"/>
      <c r="Z87" s="53"/>
      <c r="AA87" s="56"/>
      <c r="AB87" s="56">
        <v>0</v>
      </c>
      <c r="AC87" s="100">
        <f t="shared" si="53"/>
        <v>513.33000000000004</v>
      </c>
      <c r="AD87" s="53">
        <f t="shared" ref="AD87" si="75">IF(Q87&gt;2250,Q87*0.1,0)</f>
        <v>0</v>
      </c>
      <c r="AE87" s="100">
        <f t="shared" ref="AE87" si="76">+AC87-AD87</f>
        <v>513.33000000000004</v>
      </c>
      <c r="AF87" s="53">
        <f t="shared" ref="AF87" si="77">IF(Q87&lt;2250,Q87*0.1,0)</f>
        <v>51.333000000000006</v>
      </c>
      <c r="AG87" s="53">
        <v>11.23</v>
      </c>
      <c r="AH87" s="53">
        <f t="shared" ref="AH87" si="78">+V87</f>
        <v>0</v>
      </c>
      <c r="AI87" s="100">
        <f t="shared" si="58"/>
        <v>575.89300000000003</v>
      </c>
      <c r="AJ87" s="110"/>
      <c r="AK87" s="110"/>
      <c r="AL87" s="101"/>
      <c r="AM87" s="56">
        <v>189347992</v>
      </c>
      <c r="AN87" s="60"/>
    </row>
    <row r="88" spans="1:40" s="28" customFormat="1">
      <c r="A88" s="56" t="s">
        <v>82</v>
      </c>
      <c r="B88" s="56" t="s">
        <v>178</v>
      </c>
      <c r="C88" s="56"/>
      <c r="D88" s="56" t="s">
        <v>94</v>
      </c>
      <c r="E88" s="56" t="s">
        <v>146</v>
      </c>
      <c r="F88" s="106">
        <v>41666</v>
      </c>
      <c r="G88" s="56"/>
      <c r="H88" s="56"/>
      <c r="I88" s="59">
        <v>739.23</v>
      </c>
      <c r="J88" s="114"/>
      <c r="K88" s="59">
        <f t="shared" si="67"/>
        <v>739.23</v>
      </c>
      <c r="L88" s="59">
        <f>1482.384+7.428</f>
        <v>1489.8120000000001</v>
      </c>
      <c r="M88" s="59"/>
      <c r="N88" s="59"/>
      <c r="O88" s="59"/>
      <c r="P88" s="88">
        <v>45.13</v>
      </c>
      <c r="Q88" s="100">
        <f t="shared" si="68"/>
        <v>2183.9120000000003</v>
      </c>
      <c r="R88" s="59"/>
      <c r="S88" s="59"/>
      <c r="T88" s="59"/>
      <c r="U88" s="59">
        <v>150</v>
      </c>
      <c r="V88" s="59"/>
      <c r="W88" s="59"/>
      <c r="X88" s="59"/>
      <c r="Y88" s="53"/>
      <c r="Z88" s="53"/>
      <c r="AA88" s="56"/>
      <c r="AB88" s="56">
        <v>0</v>
      </c>
      <c r="AC88" s="100">
        <f t="shared" si="53"/>
        <v>2033.9120000000003</v>
      </c>
      <c r="AD88" s="53">
        <f t="shared" si="69"/>
        <v>0</v>
      </c>
      <c r="AE88" s="100">
        <f t="shared" si="70"/>
        <v>2033.9120000000003</v>
      </c>
      <c r="AF88" s="53">
        <f t="shared" si="56"/>
        <v>218.39120000000003</v>
      </c>
      <c r="AG88" s="53">
        <v>10.23</v>
      </c>
      <c r="AH88" s="53">
        <f t="shared" si="71"/>
        <v>0</v>
      </c>
      <c r="AI88" s="100">
        <f t="shared" si="58"/>
        <v>2412.5332000000003</v>
      </c>
      <c r="AJ88" s="110"/>
      <c r="AK88" s="111"/>
      <c r="AL88" s="101">
        <f t="shared" si="59"/>
        <v>-2033.9120000000003</v>
      </c>
      <c r="AM88" s="56"/>
      <c r="AN88" s="56"/>
    </row>
    <row r="89" spans="1:40" s="28" customFormat="1">
      <c r="A89" s="56" t="s">
        <v>84</v>
      </c>
      <c r="B89" s="56" t="s">
        <v>268</v>
      </c>
      <c r="C89" s="56"/>
      <c r="D89" s="56"/>
      <c r="E89" s="56" t="s">
        <v>153</v>
      </c>
      <c r="F89" s="106">
        <v>42493</v>
      </c>
      <c r="G89" s="56"/>
      <c r="H89" s="56"/>
      <c r="I89" s="59">
        <v>511.28</v>
      </c>
      <c r="J89" s="114"/>
      <c r="K89" s="59">
        <f t="shared" si="67"/>
        <v>511.28</v>
      </c>
      <c r="L89" s="59">
        <v>589.13099999999997</v>
      </c>
      <c r="M89" s="59"/>
      <c r="N89" s="59"/>
      <c r="O89" s="59"/>
      <c r="P89" s="88">
        <v>45.13</v>
      </c>
      <c r="Q89" s="100">
        <f t="shared" si="68"/>
        <v>1055.2809999999999</v>
      </c>
      <c r="R89" s="59"/>
      <c r="S89" s="59"/>
      <c r="T89" s="59"/>
      <c r="U89" s="59"/>
      <c r="V89" s="59">
        <f>Q89*4.9%</f>
        <v>51.708768999999997</v>
      </c>
      <c r="W89" s="59">
        <f>Q89*1%</f>
        <v>10.552809999999999</v>
      </c>
      <c r="X89" s="59"/>
      <c r="Y89" s="53"/>
      <c r="Z89" s="53"/>
      <c r="AA89" s="56"/>
      <c r="AB89" s="56">
        <v>0</v>
      </c>
      <c r="AC89" s="100">
        <f t="shared" si="53"/>
        <v>993.01942099999997</v>
      </c>
      <c r="AD89" s="53">
        <f t="shared" ref="AD89" si="79">IF(Q89&gt;2250,Q89*0.1,0)</f>
        <v>0</v>
      </c>
      <c r="AE89" s="100">
        <f t="shared" ref="AE89" si="80">+AC89-AD89</f>
        <v>993.01942099999997</v>
      </c>
      <c r="AF89" s="53">
        <f t="shared" si="56"/>
        <v>105.52809999999999</v>
      </c>
      <c r="AG89" s="53">
        <v>10.23</v>
      </c>
      <c r="AH89" s="53">
        <f t="shared" ref="AH89" si="81">+V89</f>
        <v>51.708768999999997</v>
      </c>
      <c r="AI89" s="100">
        <f t="shared" si="58"/>
        <v>1222.747869</v>
      </c>
      <c r="AJ89" s="110"/>
      <c r="AK89" s="110"/>
      <c r="AL89" s="101">
        <f t="shared" si="59"/>
        <v>-993.01942099999997</v>
      </c>
      <c r="AM89" s="56"/>
      <c r="AN89" s="60"/>
    </row>
    <row r="90" spans="1:40" s="28" customFormat="1">
      <c r="A90" s="56" t="s">
        <v>83</v>
      </c>
      <c r="B90" s="56" t="s">
        <v>234</v>
      </c>
      <c r="C90" s="56"/>
      <c r="D90" s="56" t="s">
        <v>104</v>
      </c>
      <c r="E90" s="56" t="s">
        <v>151</v>
      </c>
      <c r="F90" s="106">
        <v>42333</v>
      </c>
      <c r="G90" s="56"/>
      <c r="H90" s="56"/>
      <c r="I90" s="59">
        <v>577.38</v>
      </c>
      <c r="J90" s="114">
        <v>1047.6199999999999</v>
      </c>
      <c r="K90" s="59">
        <f t="shared" si="67"/>
        <v>1625</v>
      </c>
      <c r="L90" s="100"/>
      <c r="M90" s="59"/>
      <c r="N90" s="59"/>
      <c r="O90" s="59"/>
      <c r="P90" s="88">
        <v>45.13</v>
      </c>
      <c r="Q90" s="100">
        <f t="shared" si="68"/>
        <v>1579.87</v>
      </c>
      <c r="R90" s="59"/>
      <c r="S90" s="59"/>
      <c r="T90" s="59"/>
      <c r="U90" s="59">
        <v>0</v>
      </c>
      <c r="V90" s="59"/>
      <c r="W90" s="59"/>
      <c r="X90" s="59"/>
      <c r="Y90" s="53"/>
      <c r="Z90" s="53"/>
      <c r="AA90" s="56"/>
      <c r="AB90" s="56">
        <v>351.55</v>
      </c>
      <c r="AC90" s="100">
        <f t="shared" si="53"/>
        <v>1228.32</v>
      </c>
      <c r="AD90" s="53">
        <f t="shared" si="69"/>
        <v>0</v>
      </c>
      <c r="AE90" s="100">
        <f t="shared" si="70"/>
        <v>1228.32</v>
      </c>
      <c r="AF90" s="53">
        <f t="shared" si="56"/>
        <v>157.98699999999999</v>
      </c>
      <c r="AG90" s="53">
        <v>10.23</v>
      </c>
      <c r="AH90" s="53">
        <f t="shared" si="71"/>
        <v>0</v>
      </c>
      <c r="AI90" s="100">
        <f t="shared" si="58"/>
        <v>1748.087</v>
      </c>
      <c r="AJ90" s="110"/>
      <c r="AK90" s="111"/>
      <c r="AL90" s="101">
        <f t="shared" si="59"/>
        <v>-1228.32</v>
      </c>
      <c r="AM90" s="56"/>
      <c r="AN90" s="56"/>
    </row>
    <row r="91" spans="1:40" s="28" customFormat="1">
      <c r="A91" s="56" t="s">
        <v>68</v>
      </c>
      <c r="B91" s="56" t="s">
        <v>287</v>
      </c>
      <c r="C91" s="56"/>
      <c r="D91" s="56"/>
      <c r="E91" s="56" t="s">
        <v>70</v>
      </c>
      <c r="F91" s="106">
        <v>42459</v>
      </c>
      <c r="G91" s="56"/>
      <c r="H91" s="56"/>
      <c r="I91" s="59">
        <v>513.33000000000004</v>
      </c>
      <c r="J91" s="114">
        <v>653.33000000000004</v>
      </c>
      <c r="K91" s="59">
        <f t="shared" si="67"/>
        <v>1166.6600000000001</v>
      </c>
      <c r="L91" s="59"/>
      <c r="M91" s="59"/>
      <c r="N91" s="59"/>
      <c r="O91" s="59"/>
      <c r="P91" s="88"/>
      <c r="Q91" s="100">
        <f t="shared" si="68"/>
        <v>1166.6600000000001</v>
      </c>
      <c r="R91" s="59"/>
      <c r="S91" s="59"/>
      <c r="T91" s="59"/>
      <c r="U91" s="59"/>
      <c r="V91" s="59"/>
      <c r="W91" s="59"/>
      <c r="X91" s="59"/>
      <c r="Y91" s="53"/>
      <c r="Z91" s="53"/>
      <c r="AA91" s="56"/>
      <c r="AB91" s="56"/>
      <c r="AC91" s="100">
        <f t="shared" si="53"/>
        <v>1166.6600000000001</v>
      </c>
      <c r="AD91" s="53">
        <f>IF(Q91&gt;2250,Q91*0.1,0)</f>
        <v>0</v>
      </c>
      <c r="AE91" s="100">
        <f>+AC91-AD91</f>
        <v>1166.6600000000001</v>
      </c>
      <c r="AF91" s="53">
        <f t="shared" si="56"/>
        <v>116.66600000000001</v>
      </c>
      <c r="AG91" s="53">
        <v>10.23</v>
      </c>
      <c r="AH91" s="53">
        <f>+V91</f>
        <v>0</v>
      </c>
      <c r="AI91" s="100">
        <f t="shared" si="58"/>
        <v>1293.556</v>
      </c>
      <c r="AJ91" s="125"/>
      <c r="AK91" s="111"/>
      <c r="AL91" s="101">
        <f t="shared" si="59"/>
        <v>-1166.6600000000001</v>
      </c>
      <c r="AM91" s="56"/>
      <c r="AN91" s="60"/>
    </row>
    <row r="92" spans="1:40" s="28" customFormat="1">
      <c r="A92" s="56" t="s">
        <v>82</v>
      </c>
      <c r="B92" s="56" t="s">
        <v>220</v>
      </c>
      <c r="C92" s="56"/>
      <c r="D92" s="56" t="s">
        <v>93</v>
      </c>
      <c r="E92" s="56" t="s">
        <v>144</v>
      </c>
      <c r="F92" s="106">
        <v>42346</v>
      </c>
      <c r="G92" s="56"/>
      <c r="H92" s="56"/>
      <c r="I92" s="122">
        <f>+K92</f>
        <v>633.62</v>
      </c>
      <c r="J92" s="114"/>
      <c r="K92" s="59">
        <v>633.62</v>
      </c>
      <c r="L92" s="59">
        <f>1506.948+7.428</f>
        <v>1514.3760000000002</v>
      </c>
      <c r="M92" s="59"/>
      <c r="N92" s="59"/>
      <c r="O92" s="59"/>
      <c r="P92" s="88">
        <v>45.13</v>
      </c>
      <c r="Q92" s="100">
        <f t="shared" si="68"/>
        <v>2102.866</v>
      </c>
      <c r="R92" s="59"/>
      <c r="S92" s="59">
        <v>90.51</v>
      </c>
      <c r="T92" s="59"/>
      <c r="U92" s="59">
        <v>0</v>
      </c>
      <c r="V92" s="59"/>
      <c r="W92" s="59"/>
      <c r="X92" s="59"/>
      <c r="Y92" s="53"/>
      <c r="Z92" s="53"/>
      <c r="AA92" s="56"/>
      <c r="AB92" s="56">
        <v>0</v>
      </c>
      <c r="AC92" s="100">
        <f t="shared" si="53"/>
        <v>2012.356</v>
      </c>
      <c r="AD92" s="53">
        <f t="shared" si="69"/>
        <v>0</v>
      </c>
      <c r="AE92" s="100">
        <f t="shared" si="70"/>
        <v>2012.356</v>
      </c>
      <c r="AF92" s="53">
        <f t="shared" si="56"/>
        <v>210.28660000000002</v>
      </c>
      <c r="AG92" s="53">
        <v>10.23</v>
      </c>
      <c r="AH92" s="53">
        <f t="shared" si="71"/>
        <v>0</v>
      </c>
      <c r="AI92" s="100">
        <f t="shared" si="58"/>
        <v>2323.3825999999999</v>
      </c>
      <c r="AJ92" s="110"/>
      <c r="AK92" s="111"/>
      <c r="AL92" s="101">
        <f t="shared" si="59"/>
        <v>-2012.356</v>
      </c>
      <c r="AM92" s="56"/>
      <c r="AN92" s="60"/>
    </row>
    <row r="93" spans="1:40" s="28" customFormat="1">
      <c r="A93" s="56" t="s">
        <v>82</v>
      </c>
      <c r="B93" s="56" t="s">
        <v>75</v>
      </c>
      <c r="C93" s="56"/>
      <c r="D93" s="56" t="s">
        <v>95</v>
      </c>
      <c r="E93" s="56" t="s">
        <v>147</v>
      </c>
      <c r="F93" s="106">
        <v>42100</v>
      </c>
      <c r="G93" s="56"/>
      <c r="H93" s="56"/>
      <c r="I93" s="122">
        <f>+K93</f>
        <v>633.62</v>
      </c>
      <c r="J93" s="114"/>
      <c r="K93" s="59">
        <v>633.62</v>
      </c>
      <c r="L93" s="59">
        <f>1674.324+7.428</f>
        <v>1681.7520000000002</v>
      </c>
      <c r="M93" s="59"/>
      <c r="N93" s="59"/>
      <c r="O93" s="59"/>
      <c r="P93" s="88">
        <v>45.13</v>
      </c>
      <c r="Q93" s="100">
        <f t="shared" si="68"/>
        <v>2270.2420000000002</v>
      </c>
      <c r="R93" s="59"/>
      <c r="S93" s="59">
        <v>90.51</v>
      </c>
      <c r="T93" s="59"/>
      <c r="U93" s="59">
        <v>0</v>
      </c>
      <c r="V93" s="59"/>
      <c r="W93" s="59"/>
      <c r="X93" s="59"/>
      <c r="Y93" s="53"/>
      <c r="Z93" s="53"/>
      <c r="AA93" s="56"/>
      <c r="AB93" s="56">
        <v>0</v>
      </c>
      <c r="AC93" s="100">
        <f t="shared" si="53"/>
        <v>2179.732</v>
      </c>
      <c r="AD93" s="53">
        <f t="shared" si="69"/>
        <v>227.02420000000004</v>
      </c>
      <c r="AE93" s="100">
        <f t="shared" si="70"/>
        <v>1952.7077999999999</v>
      </c>
      <c r="AF93" s="53">
        <f t="shared" si="56"/>
        <v>0</v>
      </c>
      <c r="AG93" s="53">
        <v>10.23</v>
      </c>
      <c r="AH93" s="53">
        <f t="shared" si="71"/>
        <v>0</v>
      </c>
      <c r="AI93" s="100">
        <f t="shared" si="58"/>
        <v>2280.4720000000002</v>
      </c>
      <c r="AJ93" s="110"/>
      <c r="AK93" s="111"/>
      <c r="AL93" s="101">
        <f t="shared" si="59"/>
        <v>-1952.7077999999999</v>
      </c>
      <c r="AM93" s="56"/>
      <c r="AN93" s="60"/>
    </row>
    <row r="94" spans="1:40" s="28" customFormat="1">
      <c r="A94" s="56" t="s">
        <v>81</v>
      </c>
      <c r="B94" s="56" t="s">
        <v>196</v>
      </c>
      <c r="C94" s="56"/>
      <c r="D94" s="62"/>
      <c r="E94" s="56" t="s">
        <v>197</v>
      </c>
      <c r="F94" s="106">
        <v>42328</v>
      </c>
      <c r="G94" s="56"/>
      <c r="H94" s="56"/>
      <c r="I94" s="122">
        <f>+K94</f>
        <v>999.65</v>
      </c>
      <c r="J94" s="114"/>
      <c r="K94" s="59">
        <v>999.65</v>
      </c>
      <c r="L94" s="59">
        <v>2177.31</v>
      </c>
      <c r="M94" s="59"/>
      <c r="N94" s="59"/>
      <c r="O94" s="59"/>
      <c r="P94" s="88">
        <v>45.13</v>
      </c>
      <c r="Q94" s="100">
        <f t="shared" si="68"/>
        <v>3131.83</v>
      </c>
      <c r="R94" s="59"/>
      <c r="S94" s="59"/>
      <c r="T94" s="59"/>
      <c r="U94" s="59"/>
      <c r="V94" s="59"/>
      <c r="W94" s="59"/>
      <c r="X94" s="59"/>
      <c r="Y94" s="53"/>
      <c r="Z94" s="53"/>
      <c r="AA94" s="56"/>
      <c r="AB94" s="56">
        <v>0</v>
      </c>
      <c r="AC94" s="100">
        <f t="shared" si="53"/>
        <v>3131.83</v>
      </c>
      <c r="AD94" s="53">
        <f t="shared" si="69"/>
        <v>313.18299999999999</v>
      </c>
      <c r="AE94" s="100">
        <f t="shared" si="70"/>
        <v>2818.6469999999999</v>
      </c>
      <c r="AF94" s="53">
        <f t="shared" si="56"/>
        <v>0</v>
      </c>
      <c r="AG94" s="53">
        <v>10.23</v>
      </c>
      <c r="AH94" s="53">
        <f t="shared" si="71"/>
        <v>0</v>
      </c>
      <c r="AI94" s="100">
        <f t="shared" si="58"/>
        <v>3142.06</v>
      </c>
      <c r="AJ94" s="110"/>
      <c r="AK94" s="111"/>
      <c r="AL94" s="101">
        <f t="shared" si="59"/>
        <v>-2818.6469999999999</v>
      </c>
      <c r="AM94" s="56"/>
      <c r="AN94" s="60"/>
    </row>
    <row r="95" spans="1:40" s="28" customFormat="1">
      <c r="A95" s="56" t="s">
        <v>68</v>
      </c>
      <c r="B95" s="56" t="s">
        <v>250</v>
      </c>
      <c r="C95" s="56" t="s">
        <v>204</v>
      </c>
      <c r="D95" s="56" t="s">
        <v>140</v>
      </c>
      <c r="E95" s="56" t="s">
        <v>70</v>
      </c>
      <c r="F95" s="106">
        <v>42327</v>
      </c>
      <c r="G95" s="56"/>
      <c r="H95" s="56"/>
      <c r="I95" s="59">
        <v>513.33000000000004</v>
      </c>
      <c r="J95" s="114">
        <v>653.33000000000004</v>
      </c>
      <c r="K95" s="59">
        <f t="shared" si="67"/>
        <v>1166.6600000000001</v>
      </c>
      <c r="L95" s="59"/>
      <c r="M95" s="59"/>
      <c r="N95" s="59"/>
      <c r="O95" s="59"/>
      <c r="P95" s="88">
        <v>45.13</v>
      </c>
      <c r="Q95" s="100">
        <f t="shared" si="68"/>
        <v>1121.53</v>
      </c>
      <c r="R95" s="59">
        <v>187.5</v>
      </c>
      <c r="S95" s="59"/>
      <c r="T95" s="59"/>
      <c r="U95" s="59">
        <v>0</v>
      </c>
      <c r="V95" s="59"/>
      <c r="W95" s="59"/>
      <c r="X95" s="59"/>
      <c r="Y95" s="53">
        <v>537.87</v>
      </c>
      <c r="Z95" s="53"/>
      <c r="AA95" s="56"/>
      <c r="AB95" s="131">
        <v>499.12</v>
      </c>
      <c r="AC95" s="100">
        <f t="shared" si="53"/>
        <v>-102.96000000000004</v>
      </c>
      <c r="AD95" s="53">
        <f t="shared" si="69"/>
        <v>0</v>
      </c>
      <c r="AE95" s="100">
        <f t="shared" si="70"/>
        <v>-102.96000000000004</v>
      </c>
      <c r="AF95" s="53">
        <f t="shared" si="56"/>
        <v>112.15300000000001</v>
      </c>
      <c r="AG95" s="53">
        <v>10.23</v>
      </c>
      <c r="AH95" s="53">
        <f t="shared" si="71"/>
        <v>0</v>
      </c>
      <c r="AI95" s="100">
        <f t="shared" si="58"/>
        <v>1243.913</v>
      </c>
      <c r="AJ95" s="110"/>
      <c r="AK95" s="111"/>
      <c r="AL95" s="101">
        <f t="shared" si="59"/>
        <v>102.96000000000004</v>
      </c>
      <c r="AM95" s="56"/>
      <c r="AN95" s="60"/>
    </row>
    <row r="96" spans="1:40" s="28" customFormat="1">
      <c r="A96" s="56"/>
      <c r="B96" s="56" t="s">
        <v>272</v>
      </c>
      <c r="C96" s="56" t="s">
        <v>202</v>
      </c>
      <c r="D96" s="56"/>
      <c r="E96" s="56" t="s">
        <v>70</v>
      </c>
      <c r="F96" s="106">
        <v>42506</v>
      </c>
      <c r="G96" s="56"/>
      <c r="H96" s="56"/>
      <c r="I96" s="59">
        <v>1166.6600000000001</v>
      </c>
      <c r="J96" s="114"/>
      <c r="K96" s="59">
        <f t="shared" si="67"/>
        <v>1166.6600000000001</v>
      </c>
      <c r="L96" s="59">
        <v>2428.1799999999998</v>
      </c>
      <c r="M96" s="59"/>
      <c r="N96" s="59"/>
      <c r="O96" s="59"/>
      <c r="P96" s="88"/>
      <c r="Q96" s="100">
        <f t="shared" si="68"/>
        <v>3594.84</v>
      </c>
      <c r="R96" s="59"/>
      <c r="S96" s="59"/>
      <c r="T96" s="59"/>
      <c r="U96" s="59"/>
      <c r="V96" s="59"/>
      <c r="W96" s="59"/>
      <c r="X96" s="59"/>
      <c r="Y96" s="53"/>
      <c r="Z96" s="53"/>
      <c r="AA96" s="56"/>
      <c r="AB96" s="131">
        <v>0</v>
      </c>
      <c r="AC96" s="100">
        <f t="shared" si="53"/>
        <v>3594.84</v>
      </c>
      <c r="AD96" s="53">
        <f t="shared" ref="AD96" si="82">IF(Q96&gt;2250,Q96*0.1,0)</f>
        <v>359.48400000000004</v>
      </c>
      <c r="AE96" s="100">
        <f t="shared" ref="AE96" si="83">+AC96-AD96</f>
        <v>3235.3560000000002</v>
      </c>
      <c r="AF96" s="53">
        <f t="shared" si="56"/>
        <v>0</v>
      </c>
      <c r="AG96" s="53">
        <v>10.23</v>
      </c>
      <c r="AH96" s="53">
        <f t="shared" ref="AH96" si="84">+V96</f>
        <v>0</v>
      </c>
      <c r="AI96" s="100">
        <f t="shared" si="58"/>
        <v>3605.07</v>
      </c>
      <c r="AJ96" s="125"/>
      <c r="AK96" s="125"/>
      <c r="AL96" s="101">
        <f t="shared" si="59"/>
        <v>-3235.3560000000002</v>
      </c>
      <c r="AM96" s="104">
        <v>1179675078</v>
      </c>
      <c r="AN96" s="60"/>
    </row>
    <row r="97" spans="1:194" s="28" customFormat="1">
      <c r="A97" s="56" t="s">
        <v>67</v>
      </c>
      <c r="B97" s="56" t="s">
        <v>222</v>
      </c>
      <c r="C97" s="56" t="s">
        <v>205</v>
      </c>
      <c r="D97" s="56" t="s">
        <v>109</v>
      </c>
      <c r="E97" s="56" t="s">
        <v>233</v>
      </c>
      <c r="F97" s="106">
        <v>42173</v>
      </c>
      <c r="G97" s="56"/>
      <c r="H97" s="56"/>
      <c r="I97" s="59">
        <v>1633.33</v>
      </c>
      <c r="J97" s="114">
        <v>1500</v>
      </c>
      <c r="K97" s="59">
        <f t="shared" si="67"/>
        <v>3133.33</v>
      </c>
      <c r="L97" s="59">
        <v>6000</v>
      </c>
      <c r="M97" s="59"/>
      <c r="N97" s="59"/>
      <c r="O97" s="59"/>
      <c r="P97" s="88">
        <v>45.13</v>
      </c>
      <c r="Q97" s="100">
        <f t="shared" si="68"/>
        <v>9088.2000000000007</v>
      </c>
      <c r="R97" s="59"/>
      <c r="S97" s="59"/>
      <c r="T97" s="59">
        <v>58.91</v>
      </c>
      <c r="U97" s="59">
        <v>0</v>
      </c>
      <c r="V97" s="59"/>
      <c r="W97" s="59"/>
      <c r="X97" s="59"/>
      <c r="Y97" s="53"/>
      <c r="Z97" s="53"/>
      <c r="AA97" s="56"/>
      <c r="AB97" s="56">
        <v>0</v>
      </c>
      <c r="AC97" s="100">
        <f t="shared" si="53"/>
        <v>9029.2900000000009</v>
      </c>
      <c r="AD97" s="53">
        <f t="shared" si="69"/>
        <v>908.82000000000016</v>
      </c>
      <c r="AE97" s="100">
        <f t="shared" si="70"/>
        <v>8120.4700000000012</v>
      </c>
      <c r="AF97" s="53">
        <f t="shared" si="56"/>
        <v>0</v>
      </c>
      <c r="AG97" s="53">
        <v>10.23</v>
      </c>
      <c r="AH97" s="53">
        <f t="shared" si="71"/>
        <v>0</v>
      </c>
      <c r="AI97" s="100">
        <f t="shared" si="58"/>
        <v>9098.43</v>
      </c>
      <c r="AJ97" s="125"/>
      <c r="AK97" s="126"/>
      <c r="AL97" s="101">
        <f t="shared" si="59"/>
        <v>-8120.4700000000012</v>
      </c>
      <c r="AM97" s="56"/>
      <c r="AN97" s="56"/>
    </row>
    <row r="98" spans="1:194" s="28" customFormat="1">
      <c r="A98" s="56" t="s">
        <v>84</v>
      </c>
      <c r="B98" s="56" t="s">
        <v>254</v>
      </c>
      <c r="C98" s="56"/>
      <c r="D98" s="56" t="s">
        <v>126</v>
      </c>
      <c r="E98" s="56" t="s">
        <v>157</v>
      </c>
      <c r="F98" s="106">
        <v>41227</v>
      </c>
      <c r="G98" s="56"/>
      <c r="H98" s="56"/>
      <c r="I98" s="59">
        <v>623.36</v>
      </c>
      <c r="J98" s="114"/>
      <c r="K98" s="59">
        <f t="shared" si="67"/>
        <v>623.36</v>
      </c>
      <c r="L98" s="59">
        <f>2995.005+3.714</f>
        <v>2998.7190000000001</v>
      </c>
      <c r="M98" s="59"/>
      <c r="N98" s="59"/>
      <c r="O98" s="59"/>
      <c r="P98" s="88">
        <v>45.13</v>
      </c>
      <c r="Q98" s="100">
        <f t="shared" si="68"/>
        <v>3576.9490000000001</v>
      </c>
      <c r="R98" s="59"/>
      <c r="S98" s="59"/>
      <c r="T98" s="59"/>
      <c r="U98" s="59">
        <v>200</v>
      </c>
      <c r="V98" s="59">
        <f>Q98*4.9%</f>
        <v>175.27050100000002</v>
      </c>
      <c r="W98" s="59">
        <f>Q98*1%</f>
        <v>35.769490000000005</v>
      </c>
      <c r="X98" s="59"/>
      <c r="Y98" s="53"/>
      <c r="Z98" s="53"/>
      <c r="AA98" s="56"/>
      <c r="AB98" s="56">
        <v>0</v>
      </c>
      <c r="AC98" s="100">
        <f t="shared" si="53"/>
        <v>3165.909009</v>
      </c>
      <c r="AD98" s="53">
        <f t="shared" si="69"/>
        <v>357.69490000000002</v>
      </c>
      <c r="AE98" s="100">
        <f t="shared" si="70"/>
        <v>2808.214109</v>
      </c>
      <c r="AF98" s="53">
        <f t="shared" si="56"/>
        <v>0</v>
      </c>
      <c r="AG98" s="53">
        <v>10.23</v>
      </c>
      <c r="AH98" s="53">
        <f t="shared" si="71"/>
        <v>175.27050100000002</v>
      </c>
      <c r="AI98" s="100">
        <f t="shared" si="58"/>
        <v>3762.4495010000001</v>
      </c>
      <c r="AJ98" s="110"/>
      <c r="AK98" s="111"/>
      <c r="AL98" s="101">
        <f t="shared" si="59"/>
        <v>-2808.214109</v>
      </c>
      <c r="AM98" s="56"/>
      <c r="AN98" s="56"/>
    </row>
    <row r="99" spans="1:194" s="28" customFormat="1">
      <c r="A99" s="56" t="s">
        <v>68</v>
      </c>
      <c r="B99" s="56" t="s">
        <v>80</v>
      </c>
      <c r="C99" s="56" t="s">
        <v>207</v>
      </c>
      <c r="D99" s="56" t="s">
        <v>141</v>
      </c>
      <c r="E99" s="56" t="s">
        <v>70</v>
      </c>
      <c r="F99" s="106">
        <v>42333</v>
      </c>
      <c r="G99" s="56"/>
      <c r="H99" s="56"/>
      <c r="I99" s="59">
        <v>513.33000000000004</v>
      </c>
      <c r="J99" s="114">
        <v>653.33000000000004</v>
      </c>
      <c r="K99" s="59">
        <f t="shared" si="67"/>
        <v>1166.6600000000001</v>
      </c>
      <c r="L99" s="59"/>
      <c r="M99" s="59"/>
      <c r="N99" s="59"/>
      <c r="O99" s="59"/>
      <c r="P99" s="88">
        <v>45.13</v>
      </c>
      <c r="Q99" s="100">
        <f t="shared" si="68"/>
        <v>1121.53</v>
      </c>
      <c r="R99" s="59">
        <v>250</v>
      </c>
      <c r="S99" s="59"/>
      <c r="T99" s="59"/>
      <c r="U99" s="59">
        <v>0</v>
      </c>
      <c r="V99" s="59"/>
      <c r="W99" s="59"/>
      <c r="X99" s="59"/>
      <c r="Y99" s="53"/>
      <c r="Z99" s="53"/>
      <c r="AA99" s="56"/>
      <c r="AB99" s="56">
        <v>0</v>
      </c>
      <c r="AC99" s="100">
        <f t="shared" si="53"/>
        <v>871.53</v>
      </c>
      <c r="AD99" s="53">
        <f t="shared" si="69"/>
        <v>0</v>
      </c>
      <c r="AE99" s="100">
        <f t="shared" si="70"/>
        <v>871.53</v>
      </c>
      <c r="AF99" s="53">
        <f t="shared" si="56"/>
        <v>112.15300000000001</v>
      </c>
      <c r="AG99" s="53">
        <v>10.23</v>
      </c>
      <c r="AH99" s="53">
        <f t="shared" si="71"/>
        <v>0</v>
      </c>
      <c r="AI99" s="100">
        <f t="shared" si="58"/>
        <v>1243.913</v>
      </c>
      <c r="AJ99" s="110"/>
      <c r="AK99" s="126"/>
      <c r="AL99" s="101">
        <f t="shared" si="59"/>
        <v>-871.53</v>
      </c>
      <c r="AM99" s="56"/>
      <c r="AN99" s="56"/>
    </row>
    <row r="100" spans="1:194" s="28" customFormat="1">
      <c r="A100" s="56" t="s">
        <v>81</v>
      </c>
      <c r="B100" s="56" t="s">
        <v>76</v>
      </c>
      <c r="C100" s="56"/>
      <c r="D100" s="56" t="s">
        <v>97</v>
      </c>
      <c r="E100" s="56" t="s">
        <v>149</v>
      </c>
      <c r="F100" s="106">
        <v>42361</v>
      </c>
      <c r="G100" s="56"/>
      <c r="H100" s="56"/>
      <c r="I100" s="59">
        <v>739.23</v>
      </c>
      <c r="J100" s="114"/>
      <c r="K100" s="59">
        <f t="shared" si="67"/>
        <v>739.23</v>
      </c>
      <c r="L100" s="59">
        <f>1819.338+7.428</f>
        <v>1826.7660000000001</v>
      </c>
      <c r="M100" s="59"/>
      <c r="N100" s="59"/>
      <c r="O100" s="59"/>
      <c r="P100" s="88">
        <v>45.13</v>
      </c>
      <c r="Q100" s="100">
        <f t="shared" si="68"/>
        <v>2520.866</v>
      </c>
      <c r="R100" s="59"/>
      <c r="S100" s="59">
        <v>105.6</v>
      </c>
      <c r="T100" s="59"/>
      <c r="U100" s="59">
        <v>0</v>
      </c>
      <c r="V100" s="59"/>
      <c r="W100" s="59"/>
      <c r="X100" s="59"/>
      <c r="Y100" s="53"/>
      <c r="Z100" s="53"/>
      <c r="AA100" s="56"/>
      <c r="AB100" s="56">
        <v>0</v>
      </c>
      <c r="AC100" s="100">
        <f t="shared" si="53"/>
        <v>2415.2660000000001</v>
      </c>
      <c r="AD100" s="53">
        <f t="shared" si="69"/>
        <v>252.0866</v>
      </c>
      <c r="AE100" s="100">
        <f t="shared" si="70"/>
        <v>2163.1794</v>
      </c>
      <c r="AF100" s="53">
        <f t="shared" si="56"/>
        <v>0</v>
      </c>
      <c r="AG100" s="53">
        <v>10.23</v>
      </c>
      <c r="AH100" s="53">
        <f t="shared" si="71"/>
        <v>0</v>
      </c>
      <c r="AI100" s="100">
        <f t="shared" si="58"/>
        <v>2531.096</v>
      </c>
      <c r="AJ100" s="110"/>
      <c r="AK100" s="125"/>
      <c r="AL100" s="101">
        <f t="shared" si="59"/>
        <v>-2163.1794</v>
      </c>
      <c r="AM100" s="56"/>
      <c r="AN100" s="56"/>
    </row>
    <row r="101" spans="1:194" s="28" customFormat="1">
      <c r="A101" s="56" t="s">
        <v>82</v>
      </c>
      <c r="B101" s="56" t="s">
        <v>177</v>
      </c>
      <c r="C101" s="56"/>
      <c r="D101" s="56" t="s">
        <v>96</v>
      </c>
      <c r="E101" s="56" t="s">
        <v>147</v>
      </c>
      <c r="F101" s="106">
        <v>41549</v>
      </c>
      <c r="G101" s="56"/>
      <c r="H101" s="56"/>
      <c r="I101" s="59">
        <v>739.23</v>
      </c>
      <c r="J101" s="114"/>
      <c r="K101" s="59">
        <f t="shared" si="67"/>
        <v>739.23</v>
      </c>
      <c r="L101" s="59">
        <f>3688.488+13.099</f>
        <v>3701.587</v>
      </c>
      <c r="M101" s="59"/>
      <c r="N101" s="59"/>
      <c r="O101" s="59"/>
      <c r="P101" s="88">
        <v>45.13</v>
      </c>
      <c r="Q101" s="100">
        <f t="shared" si="68"/>
        <v>4395.6869999999999</v>
      </c>
      <c r="R101" s="59"/>
      <c r="S101" s="59"/>
      <c r="T101" s="59"/>
      <c r="U101" s="59"/>
      <c r="V101" s="59"/>
      <c r="W101" s="59"/>
      <c r="X101" s="59"/>
      <c r="Y101" s="53"/>
      <c r="Z101" s="53"/>
      <c r="AA101" s="56"/>
      <c r="AB101" s="56">
        <v>0</v>
      </c>
      <c r="AC101" s="100">
        <f t="shared" si="53"/>
        <v>4395.6869999999999</v>
      </c>
      <c r="AD101" s="53">
        <f t="shared" si="69"/>
        <v>439.56870000000004</v>
      </c>
      <c r="AE101" s="100">
        <f t="shared" si="70"/>
        <v>3956.1183000000001</v>
      </c>
      <c r="AF101" s="53">
        <f t="shared" si="56"/>
        <v>0</v>
      </c>
      <c r="AG101" s="53">
        <v>10.23</v>
      </c>
      <c r="AH101" s="53">
        <f t="shared" si="71"/>
        <v>0</v>
      </c>
      <c r="AI101" s="100">
        <f t="shared" si="58"/>
        <v>4405.9169999999995</v>
      </c>
      <c r="AJ101" s="110"/>
      <c r="AK101" s="111"/>
      <c r="AL101" s="101">
        <f t="shared" si="59"/>
        <v>-3956.1183000000001</v>
      </c>
      <c r="AM101" s="56"/>
      <c r="AN101" s="56"/>
    </row>
    <row r="102" spans="1:194" s="28" customFormat="1">
      <c r="A102" s="60"/>
      <c r="B102" s="56"/>
      <c r="C102" s="56"/>
      <c r="D102" s="56"/>
      <c r="E102" s="56"/>
      <c r="F102" s="56"/>
      <c r="G102" s="56"/>
      <c r="H102" s="56"/>
      <c r="I102" s="59"/>
      <c r="J102" s="114"/>
      <c r="K102" s="59"/>
      <c r="L102" s="59"/>
      <c r="M102" s="59"/>
      <c r="N102" s="59"/>
      <c r="O102" s="59"/>
      <c r="P102" s="88"/>
      <c r="Q102" s="100">
        <f t="shared" si="68"/>
        <v>0</v>
      </c>
      <c r="R102" s="59"/>
      <c r="S102" s="59"/>
      <c r="T102" s="59"/>
      <c r="U102" s="59"/>
      <c r="V102" s="59"/>
      <c r="W102" s="59"/>
      <c r="X102" s="59"/>
      <c r="Y102" s="53"/>
      <c r="Z102" s="53"/>
      <c r="AA102" s="53"/>
      <c r="AB102" s="53"/>
      <c r="AC102" s="100"/>
      <c r="AD102" s="53">
        <f t="shared" si="69"/>
        <v>0</v>
      </c>
      <c r="AE102" s="100"/>
      <c r="AF102" s="53">
        <f t="shared" ref="AF102" si="85">IF(Q102&lt;3500,Q102*0.1,0)</f>
        <v>0</v>
      </c>
      <c r="AG102" s="53"/>
      <c r="AH102" s="53">
        <f t="shared" si="71"/>
        <v>0</v>
      </c>
      <c r="AI102" s="100">
        <f t="shared" si="58"/>
        <v>0</v>
      </c>
      <c r="AJ102" s="59"/>
      <c r="AK102" s="59"/>
      <c r="AL102" s="101">
        <f t="shared" si="59"/>
        <v>0</v>
      </c>
      <c r="AM102" s="56"/>
      <c r="AN102" s="56"/>
    </row>
    <row r="103" spans="1:194" s="28" customFormat="1">
      <c r="A103" s="43"/>
      <c r="B103" s="44"/>
      <c r="C103" s="44"/>
      <c r="D103" s="44"/>
      <c r="E103" s="44"/>
      <c r="F103" s="44"/>
      <c r="G103" s="44"/>
      <c r="H103" s="44"/>
      <c r="I103" s="45"/>
      <c r="J103" s="97"/>
      <c r="K103" s="45"/>
      <c r="L103" s="45"/>
      <c r="M103" s="45"/>
      <c r="N103" s="45"/>
      <c r="O103" s="45"/>
      <c r="P103" s="45"/>
      <c r="Q103" s="46"/>
      <c r="R103" s="45"/>
      <c r="S103" s="45"/>
      <c r="T103" s="45"/>
      <c r="U103" s="45"/>
      <c r="V103" s="45"/>
      <c r="W103" s="45"/>
      <c r="X103" s="45"/>
      <c r="Y103" s="63"/>
      <c r="Z103" s="63"/>
      <c r="AA103" s="63"/>
      <c r="AB103" s="63"/>
      <c r="AC103" s="46"/>
      <c r="AD103" s="63"/>
      <c r="AE103" s="46"/>
      <c r="AF103" s="63"/>
      <c r="AG103" s="63"/>
      <c r="AH103" s="63"/>
      <c r="AI103" s="46"/>
      <c r="AJ103" s="82"/>
      <c r="AK103" s="82"/>
      <c r="AL103" s="38"/>
    </row>
    <row r="104" spans="1:194">
      <c r="B104" s="64" t="s">
        <v>17</v>
      </c>
      <c r="C104" s="64"/>
      <c r="D104" s="64"/>
      <c r="E104" s="64"/>
      <c r="F104" s="64"/>
      <c r="G104" s="64"/>
      <c r="H104" s="64"/>
      <c r="I104" s="49"/>
      <c r="J104" s="98"/>
      <c r="K104" s="65">
        <f>SUM(K7:K103)</f>
        <v>96351.147333333371</v>
      </c>
      <c r="L104" s="65">
        <f>SUM(L7:L103)</f>
        <v>144554.67600000001</v>
      </c>
      <c r="M104" s="65"/>
      <c r="N104" s="65">
        <f>SUM(N7:N103)</f>
        <v>1680.5700000000002</v>
      </c>
      <c r="O104" s="65">
        <f>SUM(O7:O103)</f>
        <v>0</v>
      </c>
      <c r="P104" s="65">
        <f>SUM(P7:P103)</f>
        <v>2888.3200000000043</v>
      </c>
      <c r="Q104" s="65">
        <f>SUM(Q7:Q103)</f>
        <v>239698.0733333333</v>
      </c>
      <c r="R104" s="65">
        <f>SUM(R7:R103)</f>
        <v>1500</v>
      </c>
      <c r="S104" s="65"/>
      <c r="T104" s="65"/>
      <c r="U104" s="66">
        <f t="shared" ref="U104:AL104" si="86">SUM(U7:U103)</f>
        <v>3828.1794800000002</v>
      </c>
      <c r="V104" s="66">
        <f t="shared" si="86"/>
        <v>2892.379203</v>
      </c>
      <c r="W104" s="66">
        <f t="shared" si="86"/>
        <v>590.28147000000001</v>
      </c>
      <c r="X104" s="66">
        <f t="shared" si="86"/>
        <v>579.38</v>
      </c>
      <c r="Y104" s="65">
        <f t="shared" si="86"/>
        <v>2092.1999999999998</v>
      </c>
      <c r="Z104" s="65">
        <f t="shared" si="86"/>
        <v>335.5</v>
      </c>
      <c r="AA104" s="65">
        <f t="shared" si="86"/>
        <v>406.94</v>
      </c>
      <c r="AB104" s="65">
        <f t="shared" si="86"/>
        <v>7853.2800000000007</v>
      </c>
      <c r="AC104" s="65">
        <f t="shared" si="86"/>
        <v>218016.8831803333</v>
      </c>
      <c r="AD104" s="65">
        <f t="shared" si="86"/>
        <v>15971.031700000003</v>
      </c>
      <c r="AE104" s="65">
        <f t="shared" si="86"/>
        <v>202045.85148033334</v>
      </c>
      <c r="AF104" s="65">
        <f t="shared" si="86"/>
        <v>7998.7756333333355</v>
      </c>
      <c r="AG104" s="65">
        <f t="shared" si="86"/>
        <v>1044.850000000001</v>
      </c>
      <c r="AH104" s="65">
        <f t="shared" si="86"/>
        <v>2892.379203</v>
      </c>
      <c r="AI104" s="65">
        <f t="shared" si="86"/>
        <v>251634.07816966675</v>
      </c>
      <c r="AJ104" s="83">
        <f t="shared" si="86"/>
        <v>0</v>
      </c>
      <c r="AK104" s="83">
        <f t="shared" si="86"/>
        <v>0</v>
      </c>
      <c r="AL104" s="67">
        <f t="shared" si="86"/>
        <v>-189447.40381533329</v>
      </c>
      <c r="AM104" s="47"/>
      <c r="AN104" s="47"/>
      <c r="BC104" s="28"/>
      <c r="BD104" s="28"/>
      <c r="BE104" s="28"/>
      <c r="BF104" s="28"/>
      <c r="BG104" s="28"/>
      <c r="BH104" s="28"/>
      <c r="BI104" s="28"/>
      <c r="BJ104" s="28"/>
      <c r="BK104" s="28"/>
      <c r="BL104" s="28"/>
      <c r="BM104" s="28"/>
      <c r="BN104" s="28"/>
      <c r="BO104" s="28"/>
      <c r="BP104" s="28"/>
      <c r="BQ104" s="28"/>
      <c r="BR104" s="28"/>
      <c r="BS104" s="28"/>
      <c r="BT104" s="28"/>
      <c r="BU104" s="28"/>
      <c r="BV104" s="28"/>
      <c r="BW104" s="28"/>
      <c r="BX104" s="28"/>
      <c r="BY104" s="28"/>
      <c r="BZ104" s="28"/>
      <c r="CA104" s="28"/>
      <c r="CB104" s="28"/>
      <c r="CC104" s="28"/>
      <c r="CD104" s="28"/>
      <c r="CE104" s="28"/>
      <c r="CF104" s="28"/>
      <c r="CG104" s="28"/>
      <c r="CH104" s="28"/>
      <c r="CI104" s="28"/>
      <c r="CJ104" s="28"/>
      <c r="CK104" s="28"/>
      <c r="CL104" s="28"/>
      <c r="CM104" s="28"/>
      <c r="CN104" s="28"/>
      <c r="CO104" s="28"/>
      <c r="CP104" s="28"/>
      <c r="CQ104" s="28"/>
      <c r="CR104" s="28"/>
      <c r="CS104" s="28"/>
      <c r="CT104" s="28"/>
      <c r="CU104" s="28"/>
      <c r="CV104" s="28"/>
      <c r="CW104" s="28"/>
      <c r="CX104" s="28"/>
      <c r="CY104" s="28"/>
      <c r="CZ104" s="28"/>
      <c r="DA104" s="28"/>
      <c r="DB104" s="28"/>
      <c r="DC104" s="28"/>
      <c r="DD104" s="28"/>
      <c r="DE104" s="28"/>
      <c r="DF104" s="28"/>
      <c r="DG104" s="28"/>
      <c r="DH104" s="28"/>
      <c r="DI104" s="28"/>
      <c r="DJ104" s="28"/>
      <c r="DK104" s="28"/>
      <c r="DL104" s="28"/>
      <c r="DM104" s="28"/>
      <c r="DN104" s="28"/>
      <c r="DO104" s="28"/>
      <c r="DP104" s="28"/>
      <c r="DQ104" s="28"/>
      <c r="DR104" s="28"/>
      <c r="DS104" s="28"/>
      <c r="DT104" s="28"/>
      <c r="DU104" s="28"/>
      <c r="DV104" s="28"/>
      <c r="DW104" s="28"/>
      <c r="DX104" s="28"/>
      <c r="DY104" s="28"/>
      <c r="DZ104" s="28"/>
      <c r="EA104" s="28"/>
      <c r="EB104" s="28"/>
      <c r="EC104" s="28"/>
      <c r="ED104" s="28"/>
      <c r="EE104" s="28"/>
      <c r="EF104" s="28"/>
      <c r="EG104" s="28"/>
      <c r="EH104" s="28"/>
      <c r="EI104" s="28"/>
      <c r="EJ104" s="28"/>
      <c r="EK104" s="28"/>
      <c r="EL104" s="28"/>
      <c r="EM104" s="28"/>
      <c r="EN104" s="28"/>
      <c r="EO104" s="28"/>
      <c r="EP104" s="28"/>
      <c r="EQ104" s="28"/>
      <c r="ER104" s="28"/>
      <c r="ES104" s="28"/>
      <c r="ET104" s="28"/>
      <c r="EU104" s="28"/>
      <c r="EV104" s="28"/>
      <c r="EW104" s="28"/>
      <c r="EX104" s="28"/>
      <c r="EY104" s="28"/>
      <c r="EZ104" s="28"/>
      <c r="FA104" s="28"/>
      <c r="FB104" s="28"/>
      <c r="FC104" s="28"/>
      <c r="FD104" s="28"/>
      <c r="FE104" s="28"/>
      <c r="FF104" s="28"/>
      <c r="FG104" s="28"/>
      <c r="FH104" s="28"/>
      <c r="FI104" s="28"/>
      <c r="FJ104" s="28"/>
      <c r="FK104" s="28"/>
      <c r="FL104" s="28"/>
      <c r="FM104" s="28"/>
      <c r="FN104" s="28"/>
      <c r="FO104" s="28"/>
      <c r="FP104" s="28"/>
      <c r="FQ104" s="28"/>
      <c r="FR104" s="28"/>
      <c r="FS104" s="28"/>
      <c r="FT104" s="28"/>
      <c r="FU104" s="28"/>
      <c r="FV104" s="28"/>
      <c r="FW104" s="28"/>
      <c r="FX104" s="28"/>
      <c r="FY104" s="28"/>
      <c r="FZ104" s="28"/>
      <c r="GA104" s="28"/>
      <c r="GB104" s="28"/>
      <c r="GC104" s="28"/>
      <c r="GD104" s="28"/>
      <c r="GE104" s="28"/>
      <c r="GF104" s="28"/>
      <c r="GG104" s="28"/>
      <c r="GH104" s="28"/>
      <c r="GI104" s="28"/>
      <c r="GJ104" s="28"/>
      <c r="GK104" s="28"/>
      <c r="GL104" s="28"/>
    </row>
    <row r="105" spans="1:194">
      <c r="AI105" s="24">
        <f>AI104*0.16</f>
        <v>40261.452507146685</v>
      </c>
      <c r="BC105" s="28"/>
      <c r="BD105" s="28"/>
      <c r="BE105" s="28"/>
      <c r="BF105" s="28"/>
      <c r="BG105" s="28"/>
      <c r="BH105" s="28"/>
      <c r="BI105" s="28"/>
      <c r="BJ105" s="28"/>
      <c r="BK105" s="28"/>
      <c r="BL105" s="28"/>
      <c r="BM105" s="28"/>
      <c r="BN105" s="28"/>
      <c r="BO105" s="28"/>
      <c r="BP105" s="28"/>
      <c r="BQ105" s="28"/>
      <c r="BR105" s="28"/>
      <c r="BS105" s="28"/>
      <c r="BT105" s="28"/>
      <c r="BU105" s="28"/>
      <c r="BV105" s="28"/>
      <c r="BW105" s="28"/>
      <c r="BX105" s="28"/>
      <c r="BY105" s="28"/>
      <c r="BZ105" s="28"/>
      <c r="CA105" s="28"/>
      <c r="CB105" s="28"/>
      <c r="CC105" s="28"/>
      <c r="CD105" s="28"/>
      <c r="CE105" s="28"/>
      <c r="CF105" s="28"/>
      <c r="CG105" s="28"/>
      <c r="CH105" s="28"/>
      <c r="CI105" s="28"/>
      <c r="CJ105" s="28"/>
      <c r="CK105" s="28"/>
      <c r="CL105" s="28"/>
      <c r="CM105" s="28"/>
      <c r="CN105" s="28"/>
      <c r="CO105" s="28"/>
      <c r="CP105" s="28"/>
      <c r="CQ105" s="28"/>
      <c r="CR105" s="28"/>
      <c r="CS105" s="28"/>
      <c r="CT105" s="28"/>
      <c r="CU105" s="28"/>
      <c r="CV105" s="28"/>
      <c r="CW105" s="28"/>
      <c r="CX105" s="28"/>
      <c r="CY105" s="28"/>
      <c r="CZ105" s="28"/>
      <c r="DA105" s="28"/>
      <c r="DB105" s="28"/>
      <c r="DC105" s="28"/>
      <c r="DD105" s="28"/>
      <c r="DE105" s="28"/>
      <c r="DF105" s="28"/>
      <c r="DG105" s="28"/>
      <c r="DH105" s="28"/>
      <c r="DI105" s="28"/>
      <c r="DJ105" s="28"/>
      <c r="DK105" s="28"/>
      <c r="DL105" s="28"/>
      <c r="DM105" s="28"/>
      <c r="DN105" s="28"/>
      <c r="DO105" s="28"/>
      <c r="DP105" s="28"/>
      <c r="DQ105" s="28"/>
      <c r="DR105" s="28"/>
      <c r="DS105" s="28"/>
      <c r="DT105" s="28"/>
      <c r="DU105" s="28"/>
      <c r="DV105" s="28"/>
      <c r="DW105" s="28"/>
      <c r="DX105" s="28"/>
      <c r="DY105" s="28"/>
      <c r="DZ105" s="28"/>
      <c r="EA105" s="28"/>
      <c r="EB105" s="28"/>
      <c r="EC105" s="28"/>
      <c r="ED105" s="28"/>
      <c r="EE105" s="28"/>
      <c r="EF105" s="28"/>
      <c r="EG105" s="28"/>
      <c r="EH105" s="28"/>
      <c r="EI105" s="28"/>
      <c r="EJ105" s="28"/>
      <c r="EK105" s="28"/>
      <c r="EL105" s="28"/>
      <c r="EM105" s="28"/>
      <c r="EN105" s="28"/>
      <c r="EO105" s="28"/>
      <c r="EP105" s="28"/>
      <c r="EQ105" s="28"/>
      <c r="ER105" s="28"/>
      <c r="ES105" s="28"/>
      <c r="ET105" s="28"/>
      <c r="EU105" s="28"/>
      <c r="EV105" s="28"/>
      <c r="EW105" s="28"/>
      <c r="EX105" s="28"/>
      <c r="EY105" s="28"/>
      <c r="EZ105" s="28"/>
      <c r="FA105" s="28"/>
      <c r="FB105" s="28"/>
      <c r="FC105" s="28"/>
      <c r="FD105" s="28"/>
      <c r="FE105" s="28"/>
      <c r="FF105" s="28"/>
      <c r="FG105" s="28"/>
      <c r="FH105" s="28"/>
      <c r="FI105" s="28"/>
      <c r="FJ105" s="28"/>
      <c r="FK105" s="28"/>
      <c r="FL105" s="28"/>
      <c r="FM105" s="28"/>
      <c r="FN105" s="28"/>
      <c r="FO105" s="28"/>
      <c r="FP105" s="28"/>
      <c r="FQ105" s="28"/>
      <c r="FR105" s="28"/>
      <c r="FS105" s="28"/>
      <c r="FT105" s="28"/>
      <c r="FU105" s="28"/>
      <c r="FV105" s="28"/>
      <c r="FW105" s="28"/>
      <c r="FX105" s="28"/>
      <c r="FY105" s="28"/>
      <c r="FZ105" s="28"/>
      <c r="GA105" s="28"/>
      <c r="GB105" s="28"/>
      <c r="GC105" s="28"/>
      <c r="GD105" s="28"/>
      <c r="GE105" s="28"/>
      <c r="GF105" s="28"/>
      <c r="GG105" s="28"/>
      <c r="GH105" s="28"/>
      <c r="GI105" s="28"/>
      <c r="GJ105" s="28"/>
      <c r="GK105" s="28"/>
      <c r="GL105" s="28"/>
    </row>
    <row r="106" spans="1:194">
      <c r="A106" s="144" t="s">
        <v>227</v>
      </c>
      <c r="B106" s="144"/>
      <c r="C106" s="68"/>
      <c r="D106" s="47"/>
      <c r="E106" s="47"/>
      <c r="F106" s="47"/>
      <c r="G106" s="47"/>
      <c r="H106" s="47"/>
      <c r="I106" s="49"/>
      <c r="J106" s="96"/>
      <c r="K106" s="49"/>
      <c r="L106" s="49"/>
      <c r="M106" s="49"/>
      <c r="N106" s="49"/>
      <c r="O106" s="49"/>
      <c r="P106" s="49"/>
      <c r="Q106" s="65"/>
      <c r="R106" s="49"/>
      <c r="S106" s="49"/>
      <c r="T106" s="49"/>
      <c r="U106" s="59"/>
      <c r="V106" s="59"/>
      <c r="W106" s="59"/>
      <c r="X106" s="59"/>
      <c r="Y106" s="49"/>
      <c r="Z106" s="49"/>
      <c r="AA106" s="49"/>
      <c r="AB106" s="49"/>
      <c r="AC106" s="65"/>
      <c r="AD106" s="49"/>
      <c r="AE106" s="65"/>
      <c r="AF106" s="49"/>
      <c r="AG106" s="49"/>
      <c r="AH106" s="49"/>
      <c r="AI106" s="65">
        <f>+AI104+AI105</f>
        <v>291895.53067681345</v>
      </c>
      <c r="AJ106" s="83"/>
      <c r="AK106" s="83"/>
      <c r="AL106" s="67"/>
      <c r="AM106" s="47"/>
      <c r="AN106" s="47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  <c r="BO106" s="28"/>
      <c r="BP106" s="28"/>
      <c r="BQ106" s="28"/>
      <c r="BR106" s="28"/>
      <c r="BS106" s="28"/>
      <c r="BT106" s="28"/>
      <c r="BU106" s="28"/>
      <c r="BV106" s="28"/>
      <c r="BW106" s="28"/>
      <c r="BX106" s="28"/>
      <c r="BY106" s="28"/>
      <c r="BZ106" s="28"/>
      <c r="CA106" s="28"/>
      <c r="CB106" s="28"/>
      <c r="CC106" s="28"/>
      <c r="CD106" s="28"/>
      <c r="CE106" s="28"/>
      <c r="CF106" s="28"/>
      <c r="CG106" s="28"/>
      <c r="CH106" s="28"/>
      <c r="CI106" s="28"/>
      <c r="CJ106" s="28"/>
      <c r="CK106" s="28"/>
      <c r="CL106" s="28"/>
      <c r="CM106" s="28"/>
      <c r="CN106" s="28"/>
      <c r="CO106" s="28"/>
      <c r="CP106" s="28"/>
      <c r="CQ106" s="28"/>
      <c r="CR106" s="28"/>
      <c r="CS106" s="28"/>
      <c r="CT106" s="28"/>
      <c r="CU106" s="28"/>
      <c r="CV106" s="28"/>
      <c r="CW106" s="28"/>
      <c r="CX106" s="28"/>
      <c r="CY106" s="28"/>
      <c r="CZ106" s="28"/>
      <c r="DA106" s="28"/>
      <c r="DB106" s="28"/>
      <c r="DC106" s="28"/>
      <c r="DD106" s="28"/>
      <c r="DE106" s="28"/>
      <c r="DF106" s="28"/>
      <c r="DG106" s="28"/>
      <c r="DH106" s="28"/>
      <c r="DI106" s="28"/>
      <c r="DJ106" s="28"/>
      <c r="DK106" s="28"/>
      <c r="DL106" s="28"/>
      <c r="DM106" s="28"/>
      <c r="DN106" s="28"/>
      <c r="DO106" s="28"/>
      <c r="DP106" s="28"/>
      <c r="DQ106" s="28"/>
      <c r="DR106" s="28"/>
      <c r="DS106" s="28"/>
      <c r="DT106" s="28"/>
      <c r="DU106" s="28"/>
      <c r="DV106" s="28"/>
      <c r="DW106" s="28"/>
      <c r="DX106" s="28"/>
      <c r="DY106" s="28"/>
      <c r="DZ106" s="28"/>
      <c r="EA106" s="28"/>
      <c r="EB106" s="28"/>
      <c r="EC106" s="28"/>
      <c r="ED106" s="28"/>
      <c r="EE106" s="28"/>
      <c r="EF106" s="28"/>
      <c r="EG106" s="28"/>
      <c r="EH106" s="28"/>
      <c r="EI106" s="28"/>
      <c r="EJ106" s="28"/>
      <c r="EK106" s="28"/>
      <c r="EL106" s="28"/>
      <c r="EM106" s="28"/>
      <c r="EN106" s="28"/>
      <c r="EO106" s="28"/>
      <c r="EP106" s="28"/>
      <c r="EQ106" s="28"/>
      <c r="ER106" s="28"/>
      <c r="ES106" s="28"/>
      <c r="ET106" s="28"/>
      <c r="EU106" s="28"/>
      <c r="EV106" s="28"/>
      <c r="EW106" s="28"/>
      <c r="EX106" s="28"/>
      <c r="EY106" s="28"/>
      <c r="EZ106" s="28"/>
      <c r="FA106" s="28"/>
      <c r="FB106" s="28"/>
      <c r="FC106" s="28"/>
      <c r="FD106" s="28"/>
      <c r="FE106" s="28"/>
      <c r="FF106" s="28"/>
      <c r="FG106" s="28"/>
      <c r="FH106" s="28"/>
      <c r="FI106" s="28"/>
      <c r="FJ106" s="28"/>
      <c r="FK106" s="28"/>
      <c r="FL106" s="28"/>
      <c r="FM106" s="28"/>
      <c r="FN106" s="28"/>
      <c r="FO106" s="28"/>
      <c r="FP106" s="28"/>
      <c r="FQ106" s="28"/>
      <c r="FR106" s="28"/>
      <c r="FS106" s="28"/>
      <c r="FT106" s="28"/>
      <c r="FU106" s="28"/>
      <c r="FV106" s="28"/>
      <c r="FW106" s="28"/>
      <c r="FX106" s="28"/>
      <c r="FY106" s="28"/>
      <c r="FZ106" s="28"/>
      <c r="GA106" s="28"/>
      <c r="GB106" s="28"/>
      <c r="GC106" s="28"/>
      <c r="GD106" s="28"/>
      <c r="GE106" s="28"/>
      <c r="GF106" s="28"/>
      <c r="GG106" s="28"/>
      <c r="GH106" s="28"/>
      <c r="GI106" s="28"/>
      <c r="GJ106" s="28"/>
      <c r="GK106" s="28"/>
      <c r="GL106" s="28"/>
    </row>
    <row r="107" spans="1:194" s="31" customFormat="1">
      <c r="A107" s="109" t="s">
        <v>84</v>
      </c>
      <c r="B107" s="109" t="s">
        <v>228</v>
      </c>
      <c r="C107" s="109"/>
      <c r="D107" s="109"/>
      <c r="E107" s="109" t="s">
        <v>285</v>
      </c>
      <c r="F107" s="119">
        <v>41142</v>
      </c>
      <c r="G107" s="109"/>
      <c r="H107" s="109"/>
      <c r="I107" s="78"/>
      <c r="J107" s="115"/>
      <c r="K107" s="78">
        <v>623.36</v>
      </c>
      <c r="L107" s="78">
        <f>1552.756+5.571</f>
        <v>1558.327</v>
      </c>
      <c r="M107" s="78"/>
      <c r="N107" s="78"/>
      <c r="O107" s="78"/>
      <c r="P107" s="78"/>
      <c r="Q107" s="116">
        <f>SUM(K107:P107)</f>
        <v>2181.6869999999999</v>
      </c>
      <c r="R107" s="78"/>
      <c r="S107" s="78"/>
      <c r="T107" s="78"/>
      <c r="U107" s="78"/>
      <c r="V107" s="78">
        <f>Q107*4.9%</f>
        <v>106.902663</v>
      </c>
      <c r="W107" s="78">
        <f>Q107*1%</f>
        <v>21.816869999999998</v>
      </c>
      <c r="X107" s="78"/>
      <c r="Y107" s="117"/>
      <c r="Z107" s="117"/>
      <c r="AA107" s="117"/>
      <c r="AB107" s="117"/>
      <c r="AC107" s="116">
        <f>+Q107-SUM(R107:AB107)</f>
        <v>2052.9674669999999</v>
      </c>
      <c r="AD107" s="117">
        <f>+AC107*0.05</f>
        <v>102.64837335</v>
      </c>
      <c r="AE107" s="116">
        <f>+AC107-Y107-AB107</f>
        <v>2052.9674669999999</v>
      </c>
      <c r="AF107" s="117">
        <f>IF(AC107&lt;3000,AC107*0.1,0)</f>
        <v>205.2967467</v>
      </c>
      <c r="AG107" s="117">
        <v>0</v>
      </c>
      <c r="AH107" s="117"/>
      <c r="AI107" s="116">
        <f>+AC107+AF107+AG107</f>
        <v>2258.2642136999998</v>
      </c>
      <c r="AJ107" s="120"/>
      <c r="AK107" s="120"/>
      <c r="AL107" s="121"/>
      <c r="AM107" s="109"/>
      <c r="AN107" s="118"/>
    </row>
    <row r="108" spans="1:194">
      <c r="A108" s="56" t="s">
        <v>84</v>
      </c>
      <c r="B108" s="48" t="s">
        <v>245</v>
      </c>
      <c r="C108" s="48"/>
      <c r="D108" s="48"/>
      <c r="E108" s="48" t="s">
        <v>282</v>
      </c>
      <c r="F108" s="107">
        <v>40824</v>
      </c>
      <c r="G108" s="48"/>
      <c r="H108" s="48"/>
      <c r="I108" s="50"/>
      <c r="J108" s="93"/>
      <c r="K108" s="59">
        <v>1166.6600000000001</v>
      </c>
      <c r="L108" s="59">
        <v>2770.01</v>
      </c>
      <c r="M108" s="50"/>
      <c r="N108" s="50"/>
      <c r="O108" s="50"/>
      <c r="P108" s="50"/>
      <c r="Q108" s="51">
        <f>SUM(K108:P108)</f>
        <v>3936.67</v>
      </c>
      <c r="R108" s="78"/>
      <c r="S108" s="78"/>
      <c r="T108" s="78"/>
      <c r="U108" s="78"/>
      <c r="V108" s="78"/>
      <c r="W108" s="78"/>
      <c r="X108" s="78">
        <v>500</v>
      </c>
      <c r="Y108" s="117"/>
      <c r="Z108" s="117"/>
      <c r="AA108" s="117">
        <v>243.31</v>
      </c>
      <c r="AB108" s="117"/>
      <c r="AC108" s="116">
        <f t="shared" ref="AC108:AC109" si="87">+Q108-SUM(R108:AB108)</f>
        <v>3193.36</v>
      </c>
      <c r="AD108" s="117">
        <f t="shared" ref="AD108:AD109" si="88">+AC108*0.05</f>
        <v>159.66800000000001</v>
      </c>
      <c r="AE108" s="116">
        <f t="shared" ref="AE108:AE109" si="89">+AC108-Y108-AB108</f>
        <v>3193.36</v>
      </c>
      <c r="AF108" s="117">
        <f t="shared" ref="AF108:AF109" si="90">IF(AC108&lt;3000,AC108*0.1,0)</f>
        <v>0</v>
      </c>
      <c r="AG108" s="117"/>
      <c r="AH108" s="117"/>
      <c r="AI108" s="116">
        <f t="shared" ref="AI108:AI109" si="91">+AC108+AF108+AG108</f>
        <v>3193.36</v>
      </c>
      <c r="AJ108" s="84"/>
      <c r="AK108" s="84"/>
      <c r="AL108" s="70"/>
      <c r="AM108" s="47"/>
      <c r="AN108" s="108"/>
      <c r="BC108" s="28"/>
      <c r="BD108" s="28"/>
      <c r="BE108" s="28"/>
      <c r="BF108" s="28"/>
      <c r="BG108" s="28"/>
      <c r="BH108" s="28"/>
      <c r="BI108" s="28"/>
      <c r="BJ108" s="28"/>
      <c r="BK108" s="28"/>
      <c r="BL108" s="28"/>
      <c r="BM108" s="28"/>
      <c r="BN108" s="28"/>
      <c r="BO108" s="28"/>
      <c r="BP108" s="28"/>
      <c r="BQ108" s="28"/>
      <c r="BR108" s="28"/>
      <c r="BS108" s="28"/>
      <c r="BT108" s="28"/>
      <c r="BU108" s="28"/>
      <c r="BV108" s="28"/>
      <c r="BW108" s="28"/>
      <c r="BX108" s="28"/>
      <c r="BY108" s="28"/>
      <c r="BZ108" s="28"/>
      <c r="CA108" s="28"/>
      <c r="CB108" s="28"/>
      <c r="CC108" s="28"/>
      <c r="CD108" s="28"/>
      <c r="CE108" s="28"/>
      <c r="CF108" s="28"/>
      <c r="CG108" s="28"/>
      <c r="CH108" s="28"/>
      <c r="CI108" s="28"/>
      <c r="CJ108" s="28"/>
      <c r="CK108" s="28"/>
      <c r="CL108" s="28"/>
      <c r="CM108" s="28"/>
      <c r="CN108" s="28"/>
      <c r="CO108" s="28"/>
      <c r="CP108" s="28"/>
      <c r="CQ108" s="28"/>
      <c r="CR108" s="28"/>
      <c r="CS108" s="28"/>
      <c r="CT108" s="28"/>
      <c r="CU108" s="28"/>
      <c r="CV108" s="28"/>
      <c r="CW108" s="28"/>
      <c r="CX108" s="28"/>
      <c r="CY108" s="28"/>
      <c r="CZ108" s="28"/>
      <c r="DA108" s="28"/>
      <c r="DB108" s="28"/>
      <c r="DC108" s="28"/>
      <c r="DD108" s="28"/>
      <c r="DE108" s="28"/>
      <c r="DF108" s="28"/>
      <c r="DG108" s="28"/>
      <c r="DH108" s="28"/>
      <c r="DI108" s="28"/>
      <c r="DJ108" s="28"/>
      <c r="DK108" s="28"/>
      <c r="DL108" s="28"/>
      <c r="DM108" s="28"/>
      <c r="DN108" s="28"/>
      <c r="DO108" s="28"/>
      <c r="DP108" s="28"/>
      <c r="DQ108" s="28"/>
      <c r="DR108" s="28"/>
      <c r="DS108" s="28"/>
      <c r="DT108" s="28"/>
      <c r="DU108" s="28"/>
      <c r="DV108" s="28"/>
      <c r="DW108" s="28"/>
      <c r="DX108" s="28"/>
      <c r="DY108" s="28"/>
      <c r="DZ108" s="28"/>
      <c r="EA108" s="28"/>
      <c r="EB108" s="28"/>
      <c r="EC108" s="28"/>
      <c r="ED108" s="28"/>
      <c r="EE108" s="28"/>
      <c r="EF108" s="28"/>
      <c r="EG108" s="28"/>
      <c r="EH108" s="28"/>
      <c r="EI108" s="28"/>
      <c r="EJ108" s="28"/>
      <c r="EK108" s="28"/>
      <c r="EL108" s="28"/>
      <c r="EM108" s="28"/>
      <c r="EN108" s="28"/>
      <c r="EO108" s="28"/>
      <c r="EP108" s="28"/>
      <c r="EQ108" s="28"/>
      <c r="ER108" s="28"/>
      <c r="ES108" s="28"/>
      <c r="ET108" s="28"/>
      <c r="EU108" s="28"/>
      <c r="EV108" s="28"/>
      <c r="EW108" s="28"/>
      <c r="EX108" s="28"/>
      <c r="EY108" s="28"/>
      <c r="EZ108" s="28"/>
      <c r="FA108" s="28"/>
      <c r="FB108" s="28"/>
      <c r="FC108" s="28"/>
      <c r="FD108" s="28"/>
      <c r="FE108" s="28"/>
      <c r="FF108" s="28"/>
      <c r="FG108" s="28"/>
      <c r="FH108" s="28"/>
      <c r="FI108" s="28"/>
      <c r="FJ108" s="28"/>
      <c r="FK108" s="28"/>
      <c r="FL108" s="28"/>
      <c r="FM108" s="28"/>
      <c r="FN108" s="28"/>
      <c r="FO108" s="28"/>
      <c r="FP108" s="28"/>
      <c r="FQ108" s="28"/>
      <c r="FR108" s="28"/>
      <c r="FS108" s="28"/>
      <c r="FT108" s="28"/>
      <c r="FU108" s="28"/>
      <c r="FV108" s="28"/>
      <c r="FW108" s="28"/>
      <c r="FX108" s="28"/>
      <c r="FY108" s="28"/>
      <c r="FZ108" s="28"/>
      <c r="GA108" s="28"/>
      <c r="GB108" s="28"/>
      <c r="GC108" s="28"/>
      <c r="GD108" s="28"/>
      <c r="GE108" s="28"/>
      <c r="GF108" s="28"/>
      <c r="GG108" s="28"/>
      <c r="GH108" s="28"/>
      <c r="GI108" s="28"/>
      <c r="GJ108" s="28"/>
      <c r="GK108" s="28"/>
      <c r="GL108" s="28"/>
    </row>
    <row r="109" spans="1:194">
      <c r="A109" s="47" t="s">
        <v>68</v>
      </c>
      <c r="B109" s="47" t="s">
        <v>230</v>
      </c>
      <c r="C109" s="47"/>
      <c r="D109" s="47"/>
      <c r="E109" s="47" t="s">
        <v>151</v>
      </c>
      <c r="F109" s="133">
        <v>40813</v>
      </c>
      <c r="G109" s="47"/>
      <c r="H109" s="47"/>
      <c r="I109" s="49"/>
      <c r="J109" s="96"/>
      <c r="K109" s="49">
        <v>1516.66</v>
      </c>
      <c r="L109" s="49"/>
      <c r="M109" s="49"/>
      <c r="N109" s="49"/>
      <c r="O109" s="49"/>
      <c r="P109" s="49"/>
      <c r="Q109" s="51">
        <f>SUM(K109:P109)</f>
        <v>1516.66</v>
      </c>
      <c r="R109" s="78"/>
      <c r="S109" s="78"/>
      <c r="T109" s="78"/>
      <c r="U109" s="78"/>
      <c r="V109" s="78"/>
      <c r="W109" s="78"/>
      <c r="X109" s="78"/>
      <c r="Y109" s="117"/>
      <c r="Z109" s="117"/>
      <c r="AA109" s="117"/>
      <c r="AB109" s="117"/>
      <c r="AC109" s="116">
        <f t="shared" si="87"/>
        <v>1516.66</v>
      </c>
      <c r="AD109" s="117">
        <f t="shared" si="88"/>
        <v>75.833000000000013</v>
      </c>
      <c r="AE109" s="116">
        <f t="shared" si="89"/>
        <v>1516.66</v>
      </c>
      <c r="AF109" s="117">
        <f t="shared" si="90"/>
        <v>151.66600000000003</v>
      </c>
      <c r="AG109" s="117"/>
      <c r="AH109" s="117"/>
      <c r="AI109" s="116">
        <f t="shared" si="91"/>
        <v>1668.326</v>
      </c>
      <c r="AJ109" s="83"/>
      <c r="AK109" s="83"/>
      <c r="AL109" s="67"/>
      <c r="AM109" s="47"/>
      <c r="AN109" s="47"/>
      <c r="BC109" s="28"/>
      <c r="BD109" s="28"/>
      <c r="BE109" s="28"/>
      <c r="BF109" s="28"/>
      <c r="BG109" s="28"/>
      <c r="BH109" s="28"/>
      <c r="BI109" s="28"/>
      <c r="BJ109" s="28"/>
      <c r="BK109" s="28"/>
      <c r="BL109" s="28"/>
      <c r="BM109" s="28"/>
      <c r="BN109" s="28"/>
      <c r="BO109" s="28"/>
      <c r="BP109" s="28"/>
      <c r="BQ109" s="28"/>
      <c r="BR109" s="28"/>
      <c r="BS109" s="28"/>
      <c r="BT109" s="28"/>
      <c r="BU109" s="28"/>
      <c r="BV109" s="28"/>
      <c r="BW109" s="28"/>
      <c r="BX109" s="28"/>
      <c r="BY109" s="28"/>
      <c r="BZ109" s="28"/>
      <c r="CA109" s="28"/>
      <c r="CB109" s="28"/>
      <c r="CC109" s="28"/>
      <c r="CD109" s="28"/>
      <c r="CE109" s="28"/>
      <c r="CF109" s="28"/>
      <c r="CG109" s="28"/>
      <c r="CH109" s="28"/>
      <c r="CI109" s="28"/>
      <c r="CJ109" s="28"/>
      <c r="CK109" s="28"/>
      <c r="CL109" s="28"/>
      <c r="CM109" s="28"/>
      <c r="CN109" s="28"/>
      <c r="CO109" s="28"/>
      <c r="CP109" s="28"/>
      <c r="CQ109" s="28"/>
      <c r="CR109" s="28"/>
      <c r="CS109" s="28"/>
      <c r="CT109" s="28"/>
      <c r="CU109" s="28"/>
      <c r="CV109" s="28"/>
      <c r="CW109" s="28"/>
      <c r="CX109" s="28"/>
      <c r="CY109" s="28"/>
      <c r="CZ109" s="28"/>
      <c r="DA109" s="28"/>
      <c r="DB109" s="28"/>
      <c r="DC109" s="28"/>
      <c r="DD109" s="28"/>
      <c r="DE109" s="28"/>
      <c r="DF109" s="28"/>
      <c r="DG109" s="28"/>
      <c r="DH109" s="28"/>
      <c r="DI109" s="28"/>
      <c r="DJ109" s="28"/>
      <c r="DK109" s="28"/>
      <c r="DL109" s="28"/>
      <c r="DM109" s="28"/>
      <c r="DN109" s="28"/>
      <c r="DO109" s="28"/>
      <c r="DP109" s="28"/>
      <c r="DQ109" s="28"/>
      <c r="DR109" s="28"/>
      <c r="DS109" s="28"/>
      <c r="DT109" s="28"/>
      <c r="DU109" s="28"/>
      <c r="DV109" s="28"/>
      <c r="DW109" s="28"/>
      <c r="DX109" s="28"/>
      <c r="DY109" s="28"/>
      <c r="DZ109" s="28"/>
      <c r="EA109" s="28"/>
      <c r="EB109" s="28"/>
      <c r="EC109" s="28"/>
      <c r="ED109" s="28"/>
      <c r="EE109" s="28"/>
      <c r="EF109" s="28"/>
      <c r="EG109" s="28"/>
      <c r="EH109" s="28"/>
      <c r="EI109" s="28"/>
      <c r="EJ109" s="28"/>
      <c r="EK109" s="28"/>
      <c r="EL109" s="28"/>
      <c r="EM109" s="28"/>
      <c r="EN109" s="28"/>
      <c r="EO109" s="28"/>
      <c r="EP109" s="28"/>
      <c r="EQ109" s="28"/>
      <c r="ER109" s="28"/>
      <c r="ES109" s="28"/>
      <c r="ET109" s="28"/>
      <c r="EU109" s="28"/>
      <c r="EV109" s="28"/>
      <c r="EW109" s="28"/>
      <c r="EX109" s="28"/>
      <c r="EY109" s="28"/>
      <c r="EZ109" s="28"/>
      <c r="FA109" s="28"/>
      <c r="FB109" s="28"/>
      <c r="FC109" s="28"/>
      <c r="FD109" s="28"/>
      <c r="FE109" s="28"/>
      <c r="FF109" s="28"/>
      <c r="FG109" s="28"/>
      <c r="FH109" s="28"/>
      <c r="FI109" s="28"/>
      <c r="FJ109" s="28"/>
      <c r="FK109" s="28"/>
      <c r="FL109" s="28"/>
      <c r="FM109" s="28"/>
      <c r="FN109" s="28"/>
      <c r="FO109" s="28"/>
      <c r="FP109" s="28"/>
      <c r="FQ109" s="28"/>
      <c r="FR109" s="28"/>
      <c r="FS109" s="28"/>
      <c r="FT109" s="28"/>
      <c r="FU109" s="28"/>
      <c r="FV109" s="28"/>
      <c r="FW109" s="28"/>
      <c r="FX109" s="28"/>
      <c r="FY109" s="28"/>
      <c r="FZ109" s="28"/>
      <c r="GA109" s="28"/>
      <c r="GB109" s="28"/>
      <c r="GC109" s="28"/>
      <c r="GD109" s="28"/>
      <c r="GE109" s="28"/>
      <c r="GF109" s="28"/>
      <c r="GG109" s="28"/>
      <c r="GH109" s="28"/>
      <c r="GI109" s="28"/>
      <c r="GJ109" s="28"/>
      <c r="GK109" s="28"/>
      <c r="GL109" s="28"/>
    </row>
    <row r="110" spans="1:194">
      <c r="B110" s="30"/>
      <c r="C110" s="30"/>
      <c r="D110" s="30"/>
      <c r="AI110" s="24">
        <f>+AI109*0.16</f>
        <v>266.93216000000001</v>
      </c>
      <c r="BC110" s="28"/>
      <c r="BD110" s="28"/>
      <c r="BE110" s="28"/>
      <c r="BF110" s="28"/>
      <c r="BG110" s="28"/>
      <c r="BH110" s="28"/>
      <c r="BI110" s="28"/>
      <c r="BJ110" s="28"/>
      <c r="BK110" s="28"/>
      <c r="BL110" s="28"/>
      <c r="BM110" s="28"/>
      <c r="BN110" s="28"/>
      <c r="BO110" s="28"/>
      <c r="BP110" s="28"/>
      <c r="BQ110" s="28"/>
      <c r="BR110" s="28"/>
      <c r="BS110" s="28"/>
      <c r="BT110" s="28"/>
      <c r="BU110" s="28"/>
      <c r="BV110" s="28"/>
      <c r="BW110" s="28"/>
      <c r="BX110" s="28"/>
      <c r="BY110" s="28"/>
      <c r="BZ110" s="28"/>
      <c r="CA110" s="28"/>
      <c r="CB110" s="28"/>
      <c r="CC110" s="28"/>
      <c r="CD110" s="28"/>
      <c r="CE110" s="28"/>
      <c r="CF110" s="28"/>
      <c r="CG110" s="28"/>
      <c r="CH110" s="28"/>
      <c r="CI110" s="28"/>
      <c r="CJ110" s="28"/>
      <c r="CK110" s="28"/>
      <c r="CL110" s="28"/>
      <c r="CM110" s="28"/>
      <c r="CN110" s="28"/>
      <c r="CO110" s="28"/>
      <c r="CP110" s="28"/>
      <c r="CQ110" s="28"/>
      <c r="CR110" s="28"/>
      <c r="CS110" s="28"/>
      <c r="CT110" s="28"/>
      <c r="CU110" s="28"/>
      <c r="CV110" s="28"/>
      <c r="CW110" s="28"/>
      <c r="CX110" s="28"/>
      <c r="CY110" s="28"/>
      <c r="CZ110" s="28"/>
      <c r="DA110" s="28"/>
      <c r="DB110" s="28"/>
      <c r="DC110" s="28"/>
      <c r="DD110" s="28"/>
      <c r="DE110" s="28"/>
      <c r="DF110" s="28"/>
      <c r="DG110" s="28"/>
      <c r="DH110" s="28"/>
      <c r="DI110" s="28"/>
      <c r="DJ110" s="28"/>
      <c r="DK110" s="28"/>
      <c r="DL110" s="28"/>
      <c r="DM110" s="28"/>
      <c r="DN110" s="28"/>
      <c r="DO110" s="28"/>
      <c r="DP110" s="28"/>
      <c r="DQ110" s="28"/>
      <c r="DR110" s="28"/>
      <c r="DS110" s="28"/>
      <c r="DT110" s="28"/>
      <c r="DU110" s="28"/>
      <c r="DV110" s="28"/>
      <c r="DW110" s="28"/>
      <c r="DX110" s="28"/>
      <c r="DY110" s="28"/>
      <c r="DZ110" s="28"/>
      <c r="EA110" s="28"/>
      <c r="EB110" s="28"/>
      <c r="EC110" s="28"/>
      <c r="ED110" s="28"/>
      <c r="EE110" s="28"/>
      <c r="EF110" s="28"/>
      <c r="EG110" s="28"/>
      <c r="EH110" s="28"/>
      <c r="EI110" s="28"/>
      <c r="EJ110" s="28"/>
      <c r="EK110" s="28"/>
      <c r="EL110" s="28"/>
      <c r="EM110" s="28"/>
      <c r="EN110" s="28"/>
      <c r="EO110" s="28"/>
      <c r="EP110" s="28"/>
      <c r="EQ110" s="28"/>
      <c r="ER110" s="28"/>
      <c r="ES110" s="28"/>
      <c r="ET110" s="28"/>
      <c r="EU110" s="28"/>
      <c r="EV110" s="28"/>
      <c r="EW110" s="28"/>
      <c r="EX110" s="28"/>
      <c r="EY110" s="28"/>
      <c r="EZ110" s="28"/>
      <c r="FA110" s="28"/>
      <c r="FB110" s="28"/>
      <c r="FC110" s="28"/>
      <c r="FD110" s="28"/>
      <c r="FE110" s="28"/>
      <c r="FF110" s="28"/>
      <c r="FG110" s="28"/>
      <c r="FH110" s="28"/>
      <c r="FI110" s="28"/>
      <c r="FJ110" s="28"/>
      <c r="FK110" s="28"/>
      <c r="FL110" s="28"/>
      <c r="FM110" s="28"/>
      <c r="FN110" s="28"/>
      <c r="FO110" s="28"/>
      <c r="FP110" s="28"/>
      <c r="FQ110" s="28"/>
      <c r="FR110" s="28"/>
      <c r="FS110" s="28"/>
      <c r="FT110" s="28"/>
      <c r="FU110" s="28"/>
      <c r="FV110" s="28"/>
      <c r="FW110" s="28"/>
      <c r="FX110" s="28"/>
      <c r="FY110" s="28"/>
      <c r="FZ110" s="28"/>
      <c r="GA110" s="28"/>
      <c r="GB110" s="28"/>
      <c r="GC110" s="28"/>
      <c r="GD110" s="28"/>
      <c r="GE110" s="28"/>
      <c r="GF110" s="28"/>
      <c r="GG110" s="28"/>
      <c r="GH110" s="28"/>
      <c r="GI110" s="28"/>
      <c r="GJ110" s="28"/>
      <c r="GK110" s="28"/>
      <c r="GL110" s="28"/>
    </row>
    <row r="111" spans="1:194">
      <c r="A111" s="142" t="s">
        <v>244</v>
      </c>
      <c r="B111" s="142"/>
      <c r="C111" s="30"/>
      <c r="D111" s="30"/>
      <c r="AI111" s="24">
        <f>+AI109+AI110</f>
        <v>1935.2581600000001</v>
      </c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  <c r="BN111" s="28"/>
      <c r="BO111" s="28"/>
      <c r="BP111" s="28"/>
      <c r="BQ111" s="28"/>
      <c r="BR111" s="28"/>
      <c r="BS111" s="28"/>
      <c r="BT111" s="28"/>
      <c r="BU111" s="28"/>
      <c r="BV111" s="28"/>
      <c r="BW111" s="28"/>
      <c r="BX111" s="28"/>
      <c r="BY111" s="28"/>
      <c r="BZ111" s="28"/>
      <c r="CA111" s="28"/>
      <c r="CB111" s="28"/>
      <c r="CC111" s="28"/>
      <c r="CD111" s="28"/>
      <c r="CE111" s="28"/>
      <c r="CF111" s="28"/>
      <c r="CG111" s="28"/>
      <c r="CH111" s="28"/>
      <c r="CI111" s="28"/>
      <c r="CJ111" s="28"/>
      <c r="CK111" s="28"/>
      <c r="CL111" s="28"/>
      <c r="CM111" s="28"/>
      <c r="CN111" s="28"/>
      <c r="CO111" s="28"/>
      <c r="CP111" s="28"/>
      <c r="CQ111" s="28"/>
      <c r="CR111" s="28"/>
      <c r="CS111" s="28"/>
      <c r="CT111" s="28"/>
      <c r="CU111" s="28"/>
      <c r="CV111" s="28"/>
      <c r="CW111" s="28"/>
      <c r="CX111" s="28"/>
      <c r="CY111" s="28"/>
      <c r="CZ111" s="28"/>
      <c r="DA111" s="28"/>
      <c r="DB111" s="28"/>
      <c r="DC111" s="28"/>
      <c r="DD111" s="28"/>
      <c r="DE111" s="28"/>
      <c r="DF111" s="28"/>
      <c r="DG111" s="28"/>
      <c r="DH111" s="28"/>
      <c r="DI111" s="28"/>
      <c r="DJ111" s="28"/>
      <c r="DK111" s="28"/>
      <c r="DL111" s="28"/>
      <c r="DM111" s="28"/>
      <c r="DN111" s="28"/>
      <c r="DO111" s="28"/>
      <c r="DP111" s="28"/>
      <c r="DQ111" s="28"/>
      <c r="DR111" s="28"/>
      <c r="DS111" s="28"/>
      <c r="DT111" s="28"/>
      <c r="DU111" s="28"/>
      <c r="DV111" s="28"/>
      <c r="DW111" s="28"/>
      <c r="DX111" s="28"/>
      <c r="DY111" s="28"/>
      <c r="DZ111" s="28"/>
      <c r="EA111" s="28"/>
      <c r="EB111" s="28"/>
      <c r="EC111" s="28"/>
      <c r="ED111" s="28"/>
      <c r="EE111" s="28"/>
      <c r="EF111" s="28"/>
      <c r="EG111" s="28"/>
      <c r="EH111" s="28"/>
      <c r="EI111" s="28"/>
      <c r="EJ111" s="28"/>
      <c r="EK111" s="28"/>
      <c r="EL111" s="28"/>
      <c r="EM111" s="28"/>
      <c r="EN111" s="28"/>
      <c r="EO111" s="28"/>
      <c r="EP111" s="28"/>
      <c r="EQ111" s="28"/>
      <c r="ER111" s="28"/>
      <c r="ES111" s="28"/>
      <c r="ET111" s="28"/>
      <c r="EU111" s="28"/>
      <c r="EV111" s="28"/>
      <c r="EW111" s="28"/>
      <c r="EX111" s="28"/>
      <c r="EY111" s="28"/>
      <c r="EZ111" s="28"/>
      <c r="FA111" s="28"/>
      <c r="FB111" s="28"/>
      <c r="FC111" s="28"/>
      <c r="FD111" s="28"/>
      <c r="FE111" s="28"/>
      <c r="FF111" s="28"/>
      <c r="FG111" s="28"/>
      <c r="FH111" s="28"/>
      <c r="FI111" s="28"/>
      <c r="FJ111" s="28"/>
      <c r="FK111" s="28"/>
      <c r="FL111" s="28"/>
      <c r="FM111" s="28"/>
      <c r="FN111" s="28"/>
      <c r="FO111" s="28"/>
      <c r="FP111" s="28"/>
      <c r="FQ111" s="28"/>
      <c r="FR111" s="28"/>
      <c r="FS111" s="28"/>
      <c r="FT111" s="28"/>
      <c r="FU111" s="28"/>
      <c r="FV111" s="28"/>
      <c r="FW111" s="28"/>
      <c r="FX111" s="28"/>
      <c r="FY111" s="28"/>
      <c r="FZ111" s="28"/>
      <c r="GA111" s="28"/>
      <c r="GB111" s="28"/>
      <c r="GC111" s="28"/>
      <c r="GD111" s="28"/>
      <c r="GE111" s="28"/>
      <c r="GF111" s="28"/>
      <c r="GG111" s="28"/>
      <c r="GH111" s="28"/>
      <c r="GI111" s="28"/>
      <c r="GJ111" s="28"/>
      <c r="GK111" s="28"/>
      <c r="GL111" s="28"/>
    </row>
    <row r="112" spans="1:194" s="28" customFormat="1">
      <c r="A112" s="56" t="s">
        <v>68</v>
      </c>
      <c r="B112" s="56" t="s">
        <v>203</v>
      </c>
      <c r="C112" s="56" t="s">
        <v>202</v>
      </c>
      <c r="D112" s="62"/>
      <c r="E112" s="56" t="s">
        <v>70</v>
      </c>
      <c r="F112" s="58">
        <v>42240</v>
      </c>
      <c r="G112" s="56"/>
      <c r="H112" s="56"/>
      <c r="I112" s="59"/>
      <c r="J112" s="94"/>
      <c r="K112" s="59">
        <f t="shared" ref="K112" si="92">+I112+J112</f>
        <v>0</v>
      </c>
      <c r="L112" s="59">
        <v>0</v>
      </c>
      <c r="M112" s="59"/>
      <c r="N112" s="59"/>
      <c r="O112" s="59"/>
      <c r="P112" s="88"/>
      <c r="Q112" s="100">
        <f t="shared" ref="Q112" si="93">SUM(K112:O112)-P112</f>
        <v>0</v>
      </c>
      <c r="R112" s="59"/>
      <c r="S112" s="59"/>
      <c r="T112" s="59">
        <v>58.91</v>
      </c>
      <c r="U112" s="59"/>
      <c r="V112" s="59"/>
      <c r="W112" s="59"/>
      <c r="X112" s="59"/>
      <c r="Y112" s="53"/>
      <c r="Z112" s="53"/>
      <c r="AA112" s="56"/>
      <c r="AB112" s="56">
        <v>0</v>
      </c>
      <c r="AC112" s="100">
        <f>+Q112-SUM(R112:AB112)</f>
        <v>-58.91</v>
      </c>
      <c r="AD112" s="53">
        <f t="shared" ref="AD112" si="94">IF(Q112&gt;2250,Q112*0.1,0)</f>
        <v>0</v>
      </c>
      <c r="AE112" s="100">
        <f>+AC112-AD112</f>
        <v>-58.91</v>
      </c>
      <c r="AF112" s="53">
        <f>IF(Q112&lt;3500,Q112*0.1,0)</f>
        <v>0</v>
      </c>
      <c r="AG112" s="53">
        <v>10.23</v>
      </c>
      <c r="AH112" s="53">
        <f t="shared" ref="AH112" si="95">+V112</f>
        <v>0</v>
      </c>
      <c r="AI112" s="100">
        <f>+Q112+AF112+AG112+AH112</f>
        <v>10.23</v>
      </c>
      <c r="AJ112" s="85"/>
      <c r="AK112" s="86"/>
      <c r="AL112" s="55">
        <f t="shared" ref="AL112" si="96">+AJ112+AK112-AE112</f>
        <v>58.91</v>
      </c>
      <c r="AM112" s="56"/>
      <c r="AN112" s="87" t="s">
        <v>243</v>
      </c>
    </row>
    <row r="113" spans="1:194">
      <c r="BC113" s="28"/>
      <c r="BD113" s="28"/>
      <c r="BE113" s="28"/>
      <c r="BF113" s="28"/>
      <c r="BG113" s="28"/>
      <c r="BH113" s="28"/>
      <c r="BI113" s="28"/>
      <c r="BJ113" s="28"/>
      <c r="BK113" s="28"/>
      <c r="BL113" s="28"/>
      <c r="BM113" s="28"/>
      <c r="BN113" s="28"/>
      <c r="BO113" s="28"/>
      <c r="BP113" s="28"/>
      <c r="BQ113" s="28"/>
      <c r="BR113" s="28"/>
      <c r="BS113" s="28"/>
      <c r="BT113" s="28"/>
      <c r="BU113" s="28"/>
      <c r="BV113" s="28"/>
      <c r="BW113" s="28"/>
      <c r="BX113" s="28"/>
      <c r="BY113" s="28"/>
      <c r="BZ113" s="28"/>
      <c r="CA113" s="28"/>
      <c r="CB113" s="28"/>
      <c r="CC113" s="28"/>
      <c r="CD113" s="28"/>
      <c r="CE113" s="28"/>
      <c r="CF113" s="28"/>
      <c r="CG113" s="28"/>
      <c r="CH113" s="28"/>
      <c r="CI113" s="28"/>
      <c r="CJ113" s="28"/>
      <c r="CK113" s="28"/>
      <c r="CL113" s="28"/>
      <c r="CM113" s="28"/>
      <c r="CN113" s="28"/>
      <c r="CO113" s="28"/>
      <c r="CP113" s="28"/>
      <c r="CQ113" s="28"/>
      <c r="CR113" s="28"/>
      <c r="CS113" s="28"/>
      <c r="CT113" s="28"/>
      <c r="CU113" s="28"/>
      <c r="CV113" s="28"/>
      <c r="CW113" s="28"/>
      <c r="CX113" s="28"/>
      <c r="CY113" s="28"/>
      <c r="CZ113" s="28"/>
      <c r="DA113" s="28"/>
      <c r="DB113" s="28"/>
      <c r="DC113" s="28"/>
      <c r="DD113" s="28"/>
      <c r="DE113" s="28"/>
      <c r="DF113" s="28"/>
      <c r="DG113" s="28"/>
      <c r="DH113" s="28"/>
      <c r="DI113" s="28"/>
      <c r="DJ113" s="28"/>
      <c r="DK113" s="28"/>
      <c r="DL113" s="28"/>
      <c r="DM113" s="28"/>
      <c r="DN113" s="28"/>
      <c r="DO113" s="28"/>
      <c r="DP113" s="28"/>
      <c r="DQ113" s="28"/>
      <c r="DR113" s="28"/>
      <c r="DS113" s="28"/>
      <c r="DT113" s="28"/>
      <c r="DU113" s="28"/>
      <c r="DV113" s="28"/>
      <c r="DW113" s="28"/>
      <c r="DX113" s="28"/>
      <c r="DY113" s="28"/>
      <c r="DZ113" s="28"/>
      <c r="EA113" s="28"/>
      <c r="EB113" s="28"/>
      <c r="EC113" s="28"/>
      <c r="ED113" s="28"/>
      <c r="EE113" s="28"/>
      <c r="EF113" s="28"/>
      <c r="EG113" s="28"/>
      <c r="EH113" s="28"/>
      <c r="EI113" s="28"/>
      <c r="EJ113" s="28"/>
      <c r="EK113" s="28"/>
      <c r="EL113" s="28"/>
      <c r="EM113" s="28"/>
      <c r="EN113" s="28"/>
      <c r="EO113" s="28"/>
      <c r="EP113" s="28"/>
      <c r="EQ113" s="28"/>
      <c r="ER113" s="28"/>
      <c r="ES113" s="28"/>
      <c r="ET113" s="28"/>
      <c r="EU113" s="28"/>
      <c r="EV113" s="28"/>
      <c r="EW113" s="28"/>
      <c r="EX113" s="28"/>
      <c r="EY113" s="28"/>
      <c r="EZ113" s="28"/>
      <c r="FA113" s="28"/>
      <c r="FB113" s="28"/>
      <c r="FC113" s="28"/>
      <c r="FD113" s="28"/>
      <c r="FE113" s="28"/>
      <c r="FF113" s="28"/>
      <c r="FG113" s="28"/>
      <c r="FH113" s="28"/>
      <c r="FI113" s="28"/>
      <c r="FJ113" s="28"/>
      <c r="FK113" s="28"/>
      <c r="FL113" s="28"/>
      <c r="FM113" s="28"/>
      <c r="FN113" s="28"/>
      <c r="FO113" s="28"/>
      <c r="FP113" s="28"/>
      <c r="FQ113" s="28"/>
      <c r="FR113" s="28"/>
      <c r="FS113" s="28"/>
      <c r="FT113" s="28"/>
      <c r="FU113" s="28"/>
      <c r="FV113" s="28"/>
      <c r="FW113" s="28"/>
      <c r="FX113" s="28"/>
      <c r="FY113" s="28"/>
      <c r="FZ113" s="28"/>
      <c r="GA113" s="28"/>
      <c r="GB113" s="28"/>
      <c r="GC113" s="28"/>
      <c r="GD113" s="28"/>
      <c r="GE113" s="28"/>
      <c r="GF113" s="28"/>
      <c r="GG113" s="28"/>
      <c r="GH113" s="28"/>
      <c r="GI113" s="28"/>
      <c r="GJ113" s="28"/>
      <c r="GK113" s="28"/>
      <c r="GL113" s="28"/>
    </row>
    <row r="114" spans="1:194">
      <c r="BC114" s="28"/>
      <c r="BD114" s="28"/>
      <c r="BE114" s="28"/>
      <c r="BF114" s="28"/>
      <c r="BG114" s="28"/>
      <c r="BH114" s="28"/>
      <c r="BI114" s="28"/>
      <c r="BJ114" s="28"/>
      <c r="BK114" s="28"/>
      <c r="BL114" s="28"/>
      <c r="BM114" s="28"/>
      <c r="BN114" s="28"/>
      <c r="BO114" s="28"/>
      <c r="BP114" s="28"/>
      <c r="BQ114" s="28"/>
      <c r="BR114" s="28"/>
      <c r="BS114" s="28"/>
      <c r="BT114" s="28"/>
      <c r="BU114" s="28"/>
      <c r="BV114" s="28"/>
      <c r="BW114" s="28"/>
      <c r="BX114" s="28"/>
      <c r="BY114" s="28"/>
      <c r="BZ114" s="28"/>
      <c r="CA114" s="28"/>
      <c r="CB114" s="28"/>
      <c r="CC114" s="28"/>
      <c r="CD114" s="28"/>
      <c r="CE114" s="28"/>
      <c r="CF114" s="28"/>
      <c r="CG114" s="28"/>
      <c r="CH114" s="28"/>
      <c r="CI114" s="28"/>
      <c r="CJ114" s="28"/>
      <c r="CK114" s="28"/>
      <c r="CL114" s="28"/>
      <c r="CM114" s="28"/>
      <c r="CN114" s="28"/>
      <c r="CO114" s="28"/>
      <c r="CP114" s="28"/>
      <c r="CQ114" s="28"/>
      <c r="CR114" s="28"/>
      <c r="CS114" s="28"/>
      <c r="CT114" s="28"/>
      <c r="CU114" s="28"/>
      <c r="CV114" s="28"/>
      <c r="CW114" s="28"/>
      <c r="CX114" s="28"/>
      <c r="CY114" s="28"/>
      <c r="CZ114" s="28"/>
      <c r="DA114" s="28"/>
      <c r="DB114" s="28"/>
      <c r="DC114" s="28"/>
      <c r="DD114" s="28"/>
      <c r="DE114" s="28"/>
      <c r="DF114" s="28"/>
      <c r="DG114" s="28"/>
      <c r="DH114" s="28"/>
      <c r="DI114" s="28"/>
      <c r="DJ114" s="28"/>
      <c r="DK114" s="28"/>
      <c r="DL114" s="28"/>
      <c r="DM114" s="28"/>
      <c r="DN114" s="28"/>
      <c r="DO114" s="28"/>
      <c r="DP114" s="28"/>
      <c r="DQ114" s="28"/>
      <c r="DR114" s="28"/>
      <c r="DS114" s="28"/>
      <c r="DT114" s="28"/>
      <c r="DU114" s="28"/>
      <c r="DV114" s="28"/>
      <c r="DW114" s="28"/>
      <c r="DX114" s="28"/>
      <c r="DY114" s="28"/>
      <c r="DZ114" s="28"/>
      <c r="EA114" s="28"/>
      <c r="EB114" s="28"/>
      <c r="EC114" s="28"/>
      <c r="ED114" s="28"/>
      <c r="EE114" s="28"/>
      <c r="EF114" s="28"/>
      <c r="EG114" s="28"/>
      <c r="EH114" s="28"/>
      <c r="EI114" s="28"/>
      <c r="EJ114" s="28"/>
      <c r="EK114" s="28"/>
      <c r="EL114" s="28"/>
      <c r="EM114" s="28"/>
      <c r="EN114" s="28"/>
      <c r="EO114" s="28"/>
      <c r="EP114" s="28"/>
      <c r="EQ114" s="28"/>
      <c r="ER114" s="28"/>
      <c r="ES114" s="28"/>
      <c r="ET114" s="28"/>
      <c r="EU114" s="28"/>
      <c r="EV114" s="28"/>
      <c r="EW114" s="28"/>
      <c r="EX114" s="28"/>
      <c r="EY114" s="28"/>
      <c r="EZ114" s="28"/>
      <c r="FA114" s="28"/>
      <c r="FB114" s="28"/>
      <c r="FC114" s="28"/>
      <c r="FD114" s="28"/>
      <c r="FE114" s="28"/>
      <c r="FF114" s="28"/>
      <c r="FG114" s="28"/>
      <c r="FH114" s="28"/>
      <c r="FI114" s="28"/>
      <c r="FJ114" s="28"/>
      <c r="FK114" s="28"/>
      <c r="FL114" s="28"/>
      <c r="FM114" s="28"/>
      <c r="FN114" s="28"/>
      <c r="FO114" s="28"/>
      <c r="FP114" s="28"/>
      <c r="FQ114" s="28"/>
      <c r="FR114" s="28"/>
      <c r="FS114" s="28"/>
      <c r="FT114" s="28"/>
      <c r="FU114" s="28"/>
      <c r="FV114" s="28"/>
      <c r="FW114" s="28"/>
      <c r="FX114" s="28"/>
      <c r="FY114" s="28"/>
      <c r="FZ114" s="28"/>
      <c r="GA114" s="28"/>
      <c r="GB114" s="28"/>
      <c r="GC114" s="28"/>
      <c r="GD114" s="28"/>
      <c r="GE114" s="28"/>
      <c r="GF114" s="28"/>
      <c r="GG114" s="28"/>
      <c r="GH114" s="28"/>
      <c r="GI114" s="28"/>
      <c r="GJ114" s="28"/>
      <c r="GK114" s="28"/>
      <c r="GL114" s="28"/>
    </row>
    <row r="115" spans="1:194">
      <c r="BC115" s="28"/>
      <c r="BD115" s="28"/>
      <c r="BE115" s="28"/>
      <c r="BF115" s="28"/>
      <c r="BG115" s="28"/>
      <c r="BH115" s="28"/>
      <c r="BI115" s="28"/>
      <c r="BJ115" s="28"/>
      <c r="BK115" s="28"/>
      <c r="BL115" s="28"/>
      <c r="BM115" s="28"/>
      <c r="BN115" s="28"/>
      <c r="BO115" s="28"/>
      <c r="BP115" s="28"/>
      <c r="BQ115" s="28"/>
      <c r="BR115" s="28"/>
      <c r="BS115" s="28"/>
      <c r="BT115" s="28"/>
      <c r="BU115" s="28"/>
      <c r="BV115" s="28"/>
      <c r="BW115" s="28"/>
      <c r="BX115" s="28"/>
      <c r="BY115" s="28"/>
      <c r="BZ115" s="28"/>
      <c r="CA115" s="28"/>
      <c r="CB115" s="28"/>
      <c r="CC115" s="28"/>
      <c r="CD115" s="28"/>
      <c r="CE115" s="28"/>
      <c r="CF115" s="28"/>
      <c r="CG115" s="28"/>
      <c r="CH115" s="28"/>
      <c r="CI115" s="28"/>
      <c r="CJ115" s="28"/>
      <c r="CK115" s="28"/>
      <c r="CL115" s="28"/>
      <c r="CM115" s="28"/>
      <c r="CN115" s="28"/>
      <c r="CO115" s="28"/>
      <c r="CP115" s="28"/>
      <c r="CQ115" s="28"/>
      <c r="CR115" s="28"/>
      <c r="CS115" s="28"/>
      <c r="CT115" s="28"/>
      <c r="CU115" s="28"/>
      <c r="CV115" s="28"/>
      <c r="CW115" s="28"/>
      <c r="CX115" s="28"/>
      <c r="CY115" s="28"/>
      <c r="CZ115" s="28"/>
      <c r="DA115" s="28"/>
      <c r="DB115" s="28"/>
      <c r="DC115" s="28"/>
      <c r="DD115" s="28"/>
      <c r="DE115" s="28"/>
      <c r="DF115" s="28"/>
      <c r="DG115" s="28"/>
      <c r="DH115" s="28"/>
      <c r="DI115" s="28"/>
      <c r="DJ115" s="28"/>
      <c r="DK115" s="28"/>
      <c r="DL115" s="28"/>
      <c r="DM115" s="28"/>
      <c r="DN115" s="28"/>
      <c r="DO115" s="28"/>
      <c r="DP115" s="28"/>
      <c r="DQ115" s="28"/>
      <c r="DR115" s="28"/>
      <c r="DS115" s="28"/>
      <c r="DT115" s="28"/>
      <c r="DU115" s="28"/>
      <c r="DV115" s="28"/>
      <c r="DW115" s="28"/>
      <c r="DX115" s="28"/>
      <c r="DY115" s="28"/>
      <c r="DZ115" s="28"/>
      <c r="EA115" s="28"/>
      <c r="EB115" s="28"/>
      <c r="EC115" s="28"/>
      <c r="ED115" s="28"/>
      <c r="EE115" s="28"/>
      <c r="EF115" s="28"/>
      <c r="EG115" s="28"/>
      <c r="EH115" s="28"/>
      <c r="EI115" s="28"/>
      <c r="EJ115" s="28"/>
      <c r="EK115" s="28"/>
      <c r="EL115" s="28"/>
      <c r="EM115" s="28"/>
      <c r="EN115" s="28"/>
      <c r="EO115" s="28"/>
      <c r="EP115" s="28"/>
      <c r="EQ115" s="28"/>
      <c r="ER115" s="28"/>
      <c r="ES115" s="28"/>
      <c r="ET115" s="28"/>
      <c r="EU115" s="28"/>
      <c r="EV115" s="28"/>
      <c r="EW115" s="28"/>
      <c r="EX115" s="28"/>
      <c r="EY115" s="28"/>
      <c r="EZ115" s="28"/>
      <c r="FA115" s="28"/>
      <c r="FB115" s="28"/>
      <c r="FC115" s="28"/>
      <c r="FD115" s="28"/>
      <c r="FE115" s="28"/>
      <c r="FF115" s="28"/>
      <c r="FG115" s="28"/>
      <c r="FH115" s="28"/>
      <c r="FI115" s="28"/>
      <c r="FJ115" s="28"/>
      <c r="FK115" s="28"/>
      <c r="FL115" s="28"/>
      <c r="FM115" s="28"/>
      <c r="FN115" s="28"/>
      <c r="FO115" s="28"/>
      <c r="FP115" s="28"/>
      <c r="FQ115" s="28"/>
      <c r="FR115" s="28"/>
      <c r="FS115" s="28"/>
      <c r="FT115" s="28"/>
      <c r="FU115" s="28"/>
      <c r="FV115" s="28"/>
      <c r="FW115" s="28"/>
      <c r="FX115" s="28"/>
      <c r="FY115" s="28"/>
      <c r="FZ115" s="28"/>
      <c r="GA115" s="28"/>
      <c r="GB115" s="28"/>
      <c r="GC115" s="28"/>
      <c r="GD115" s="28"/>
      <c r="GE115" s="28"/>
      <c r="GF115" s="28"/>
      <c r="GG115" s="28"/>
      <c r="GH115" s="28"/>
      <c r="GI115" s="28"/>
      <c r="GJ115" s="28"/>
      <c r="GK115" s="28"/>
      <c r="GL115" s="28"/>
    </row>
    <row r="116" spans="1:194">
      <c r="BC116" s="28"/>
      <c r="BD116" s="28"/>
      <c r="BE116" s="28"/>
      <c r="BF116" s="28"/>
      <c r="BG116" s="28"/>
      <c r="BH116" s="28"/>
      <c r="BI116" s="28"/>
      <c r="BJ116" s="28"/>
      <c r="BK116" s="28"/>
      <c r="BL116" s="28"/>
      <c r="BM116" s="28"/>
      <c r="BN116" s="28"/>
      <c r="BO116" s="28"/>
      <c r="BP116" s="28"/>
      <c r="BQ116" s="28"/>
      <c r="BR116" s="28"/>
      <c r="BS116" s="28"/>
      <c r="BT116" s="28"/>
      <c r="BU116" s="28"/>
      <c r="BV116" s="28"/>
      <c r="BW116" s="28"/>
      <c r="BX116" s="28"/>
      <c r="BY116" s="28"/>
      <c r="BZ116" s="28"/>
      <c r="CA116" s="28"/>
      <c r="CB116" s="28"/>
      <c r="CC116" s="28"/>
      <c r="CD116" s="28"/>
      <c r="CE116" s="28"/>
      <c r="CF116" s="28"/>
      <c r="CG116" s="28"/>
      <c r="CH116" s="28"/>
      <c r="CI116" s="28"/>
      <c r="CJ116" s="28"/>
      <c r="CK116" s="28"/>
      <c r="CL116" s="28"/>
      <c r="CM116" s="28"/>
      <c r="CN116" s="28"/>
      <c r="CO116" s="28"/>
      <c r="CP116" s="28"/>
      <c r="CQ116" s="28"/>
      <c r="CR116" s="28"/>
      <c r="CS116" s="28"/>
      <c r="CT116" s="28"/>
      <c r="CU116" s="28"/>
      <c r="CV116" s="28"/>
      <c r="CW116" s="28"/>
      <c r="CX116" s="28"/>
      <c r="CY116" s="28"/>
      <c r="CZ116" s="28"/>
      <c r="DA116" s="28"/>
      <c r="DB116" s="28"/>
      <c r="DC116" s="28"/>
      <c r="DD116" s="28"/>
      <c r="DE116" s="28"/>
      <c r="DF116" s="28"/>
      <c r="DG116" s="28"/>
      <c r="DH116" s="28"/>
      <c r="DI116" s="28"/>
      <c r="DJ116" s="28"/>
      <c r="DK116" s="28"/>
      <c r="DL116" s="28"/>
      <c r="DM116" s="28"/>
      <c r="DN116" s="28"/>
      <c r="DO116" s="28"/>
      <c r="DP116" s="28"/>
      <c r="DQ116" s="28"/>
      <c r="DR116" s="28"/>
      <c r="DS116" s="28"/>
      <c r="DT116" s="28"/>
      <c r="DU116" s="28"/>
      <c r="DV116" s="28"/>
      <c r="DW116" s="28"/>
      <c r="DX116" s="28"/>
      <c r="DY116" s="28"/>
      <c r="DZ116" s="28"/>
      <c r="EA116" s="28"/>
      <c r="EB116" s="28"/>
      <c r="EC116" s="28"/>
      <c r="ED116" s="28"/>
      <c r="EE116" s="28"/>
      <c r="EF116" s="28"/>
      <c r="EG116" s="28"/>
      <c r="EH116" s="28"/>
      <c r="EI116" s="28"/>
      <c r="EJ116" s="28"/>
      <c r="EK116" s="28"/>
      <c r="EL116" s="28"/>
      <c r="EM116" s="28"/>
      <c r="EN116" s="28"/>
      <c r="EO116" s="28"/>
      <c r="EP116" s="28"/>
      <c r="EQ116" s="28"/>
      <c r="ER116" s="28"/>
      <c r="ES116" s="28"/>
      <c r="ET116" s="28"/>
      <c r="EU116" s="28"/>
      <c r="EV116" s="28"/>
      <c r="EW116" s="28"/>
      <c r="EX116" s="28"/>
      <c r="EY116" s="28"/>
      <c r="EZ116" s="28"/>
      <c r="FA116" s="28"/>
      <c r="FB116" s="28"/>
      <c r="FC116" s="28"/>
      <c r="FD116" s="28"/>
      <c r="FE116" s="28"/>
      <c r="FF116" s="28"/>
      <c r="FG116" s="28"/>
      <c r="FH116" s="28"/>
      <c r="FI116" s="28"/>
      <c r="FJ116" s="28"/>
      <c r="FK116" s="28"/>
      <c r="FL116" s="28"/>
      <c r="FM116" s="28"/>
      <c r="FN116" s="28"/>
      <c r="FO116" s="28"/>
      <c r="FP116" s="28"/>
      <c r="FQ116" s="28"/>
      <c r="FR116" s="28"/>
      <c r="FS116" s="28"/>
      <c r="FT116" s="28"/>
      <c r="FU116" s="28"/>
      <c r="FV116" s="28"/>
      <c r="FW116" s="28"/>
      <c r="FX116" s="28"/>
      <c r="FY116" s="28"/>
      <c r="FZ116" s="28"/>
      <c r="GA116" s="28"/>
      <c r="GB116" s="28"/>
      <c r="GC116" s="28"/>
      <c r="GD116" s="28"/>
      <c r="GE116" s="28"/>
      <c r="GF116" s="28"/>
      <c r="GG116" s="28"/>
      <c r="GH116" s="28"/>
      <c r="GI116" s="28"/>
      <c r="GJ116" s="28"/>
      <c r="GK116" s="28"/>
      <c r="GL116" s="28"/>
    </row>
    <row r="117" spans="1:194">
      <c r="BC117" s="28"/>
      <c r="BD117" s="28"/>
      <c r="BE117" s="28"/>
      <c r="BF117" s="28"/>
      <c r="BG117" s="28"/>
      <c r="BH117" s="28"/>
      <c r="BI117" s="28"/>
      <c r="BJ117" s="28"/>
      <c r="BK117" s="28"/>
      <c r="BL117" s="28"/>
      <c r="BM117" s="28"/>
      <c r="BN117" s="28"/>
      <c r="BO117" s="28"/>
      <c r="BP117" s="28"/>
      <c r="BQ117" s="28"/>
      <c r="BR117" s="28"/>
      <c r="BS117" s="28"/>
      <c r="BT117" s="28"/>
      <c r="BU117" s="28"/>
      <c r="BV117" s="28"/>
      <c r="BW117" s="28"/>
      <c r="BX117" s="28"/>
      <c r="BY117" s="28"/>
      <c r="BZ117" s="28"/>
      <c r="CA117" s="28"/>
      <c r="CB117" s="28"/>
      <c r="CC117" s="28"/>
      <c r="CD117" s="28"/>
      <c r="CE117" s="28"/>
      <c r="CF117" s="28"/>
      <c r="CG117" s="28"/>
      <c r="CH117" s="28"/>
      <c r="CI117" s="28"/>
      <c r="CJ117" s="28"/>
      <c r="CK117" s="28"/>
      <c r="CL117" s="28"/>
      <c r="CM117" s="28"/>
      <c r="CN117" s="28"/>
      <c r="CO117" s="28"/>
      <c r="CP117" s="28"/>
      <c r="CQ117" s="28"/>
      <c r="CR117" s="28"/>
      <c r="CS117" s="28"/>
      <c r="CT117" s="28"/>
      <c r="CU117" s="28"/>
      <c r="CV117" s="28"/>
      <c r="CW117" s="28"/>
      <c r="CX117" s="28"/>
      <c r="CY117" s="28"/>
      <c r="CZ117" s="28"/>
      <c r="DA117" s="28"/>
      <c r="DB117" s="28"/>
      <c r="DC117" s="28"/>
      <c r="DD117" s="28"/>
      <c r="DE117" s="28"/>
      <c r="DF117" s="28"/>
      <c r="DG117" s="28"/>
      <c r="DH117" s="28"/>
      <c r="DI117" s="28"/>
      <c r="DJ117" s="28"/>
      <c r="DK117" s="28"/>
      <c r="DL117" s="28"/>
      <c r="DM117" s="28"/>
      <c r="DN117" s="28"/>
      <c r="DO117" s="28"/>
      <c r="DP117" s="28"/>
      <c r="DQ117" s="28"/>
      <c r="DR117" s="28"/>
      <c r="DS117" s="28"/>
      <c r="DT117" s="28"/>
      <c r="DU117" s="28"/>
      <c r="DV117" s="28"/>
      <c r="DW117" s="28"/>
      <c r="DX117" s="28"/>
      <c r="DY117" s="28"/>
      <c r="DZ117" s="28"/>
      <c r="EA117" s="28"/>
      <c r="EB117" s="28"/>
      <c r="EC117" s="28"/>
      <c r="ED117" s="28"/>
      <c r="EE117" s="28"/>
      <c r="EF117" s="28"/>
      <c r="EG117" s="28"/>
      <c r="EH117" s="28"/>
      <c r="EI117" s="28"/>
      <c r="EJ117" s="28"/>
      <c r="EK117" s="28"/>
      <c r="EL117" s="28"/>
      <c r="EM117" s="28"/>
      <c r="EN117" s="28"/>
      <c r="EO117" s="28"/>
      <c r="EP117" s="28"/>
      <c r="EQ117" s="28"/>
      <c r="ER117" s="28"/>
      <c r="ES117" s="28"/>
      <c r="ET117" s="28"/>
      <c r="EU117" s="28"/>
      <c r="EV117" s="28"/>
      <c r="EW117" s="28"/>
      <c r="EX117" s="28"/>
      <c r="EY117" s="28"/>
      <c r="EZ117" s="28"/>
      <c r="FA117" s="28"/>
      <c r="FB117" s="28"/>
      <c r="FC117" s="28"/>
      <c r="FD117" s="28"/>
      <c r="FE117" s="28"/>
      <c r="FF117" s="28"/>
      <c r="FG117" s="28"/>
      <c r="FH117" s="28"/>
      <c r="FI117" s="28"/>
      <c r="FJ117" s="28"/>
      <c r="FK117" s="28"/>
      <c r="FL117" s="28"/>
      <c r="FM117" s="28"/>
      <c r="FN117" s="28"/>
      <c r="FO117" s="28"/>
      <c r="FP117" s="28"/>
      <c r="FQ117" s="28"/>
      <c r="FR117" s="28"/>
      <c r="FS117" s="28"/>
      <c r="FT117" s="28"/>
      <c r="FU117" s="28"/>
      <c r="FV117" s="28"/>
      <c r="FW117" s="28"/>
      <c r="FX117" s="28"/>
      <c r="FY117" s="28"/>
      <c r="FZ117" s="28"/>
      <c r="GA117" s="28"/>
      <c r="GB117" s="28"/>
      <c r="GC117" s="28"/>
      <c r="GD117" s="28"/>
      <c r="GE117" s="28"/>
      <c r="GF117" s="28"/>
      <c r="GG117" s="28"/>
      <c r="GH117" s="28"/>
      <c r="GI117" s="28"/>
      <c r="GJ117" s="28"/>
      <c r="GK117" s="28"/>
      <c r="GL117" s="28"/>
    </row>
    <row r="118" spans="1:194">
      <c r="BC118" s="28"/>
      <c r="BD118" s="28"/>
      <c r="BE118" s="28"/>
      <c r="BF118" s="28"/>
      <c r="BG118" s="28"/>
      <c r="BH118" s="28"/>
      <c r="BI118" s="28"/>
      <c r="BJ118" s="28"/>
      <c r="BK118" s="28"/>
      <c r="BL118" s="28"/>
      <c r="BM118" s="28"/>
      <c r="BN118" s="28"/>
      <c r="BO118" s="28"/>
      <c r="BP118" s="28"/>
      <c r="BQ118" s="28"/>
      <c r="BR118" s="28"/>
      <c r="BS118" s="28"/>
      <c r="BT118" s="28"/>
      <c r="BU118" s="28"/>
      <c r="BV118" s="28"/>
      <c r="BW118" s="28"/>
      <c r="BX118" s="28"/>
      <c r="BY118" s="28"/>
      <c r="BZ118" s="28"/>
      <c r="CA118" s="28"/>
      <c r="CB118" s="28"/>
      <c r="CC118" s="28"/>
      <c r="CD118" s="28"/>
      <c r="CE118" s="28"/>
      <c r="CF118" s="28"/>
      <c r="CG118" s="28"/>
      <c r="CH118" s="28"/>
      <c r="CI118" s="28"/>
      <c r="CJ118" s="28"/>
      <c r="CK118" s="28"/>
      <c r="CL118" s="28"/>
      <c r="CM118" s="28"/>
      <c r="CN118" s="28"/>
      <c r="CO118" s="28"/>
      <c r="CP118" s="28"/>
      <c r="CQ118" s="28"/>
      <c r="CR118" s="28"/>
      <c r="CS118" s="28"/>
      <c r="CT118" s="28"/>
      <c r="CU118" s="28"/>
      <c r="CV118" s="28"/>
      <c r="CW118" s="28"/>
      <c r="CX118" s="28"/>
      <c r="CY118" s="28"/>
      <c r="CZ118" s="28"/>
      <c r="DA118" s="28"/>
      <c r="DB118" s="28"/>
      <c r="DC118" s="28"/>
      <c r="DD118" s="28"/>
      <c r="DE118" s="28"/>
      <c r="DF118" s="28"/>
      <c r="DG118" s="28"/>
      <c r="DH118" s="28"/>
      <c r="DI118" s="28"/>
      <c r="DJ118" s="28"/>
      <c r="DK118" s="28"/>
      <c r="DL118" s="28"/>
      <c r="DM118" s="28"/>
      <c r="DN118" s="28"/>
      <c r="DO118" s="28"/>
      <c r="DP118" s="28"/>
      <c r="DQ118" s="28"/>
      <c r="DR118" s="28"/>
      <c r="DS118" s="28"/>
      <c r="DT118" s="28"/>
      <c r="DU118" s="28"/>
      <c r="DV118" s="28"/>
      <c r="DW118" s="28"/>
      <c r="DX118" s="28"/>
      <c r="DY118" s="28"/>
      <c r="DZ118" s="28"/>
      <c r="EA118" s="28"/>
      <c r="EB118" s="28"/>
      <c r="EC118" s="28"/>
      <c r="ED118" s="28"/>
      <c r="EE118" s="28"/>
      <c r="EF118" s="28"/>
      <c r="EG118" s="28"/>
      <c r="EH118" s="28"/>
      <c r="EI118" s="28"/>
      <c r="EJ118" s="28"/>
      <c r="EK118" s="28"/>
      <c r="EL118" s="28"/>
      <c r="EM118" s="28"/>
      <c r="EN118" s="28"/>
      <c r="EO118" s="28"/>
      <c r="EP118" s="28"/>
      <c r="EQ118" s="28"/>
      <c r="ER118" s="28"/>
      <c r="ES118" s="28"/>
      <c r="ET118" s="28"/>
      <c r="EU118" s="28"/>
      <c r="EV118" s="28"/>
      <c r="EW118" s="28"/>
      <c r="EX118" s="28"/>
      <c r="EY118" s="28"/>
      <c r="EZ118" s="28"/>
      <c r="FA118" s="28"/>
      <c r="FB118" s="28"/>
      <c r="FC118" s="28"/>
      <c r="FD118" s="28"/>
      <c r="FE118" s="28"/>
      <c r="FF118" s="28"/>
      <c r="FG118" s="28"/>
      <c r="FH118" s="28"/>
      <c r="FI118" s="28"/>
      <c r="FJ118" s="28"/>
      <c r="FK118" s="28"/>
      <c r="FL118" s="28"/>
      <c r="FM118" s="28"/>
      <c r="FN118" s="28"/>
      <c r="FO118" s="28"/>
      <c r="FP118" s="28"/>
      <c r="FQ118" s="28"/>
      <c r="FR118" s="28"/>
      <c r="FS118" s="28"/>
      <c r="FT118" s="28"/>
      <c r="FU118" s="28"/>
      <c r="FV118" s="28"/>
      <c r="FW118" s="28"/>
      <c r="FX118" s="28"/>
      <c r="FY118" s="28"/>
      <c r="FZ118" s="28"/>
      <c r="GA118" s="28"/>
      <c r="GB118" s="28"/>
      <c r="GC118" s="28"/>
      <c r="GD118" s="28"/>
      <c r="GE118" s="28"/>
      <c r="GF118" s="28"/>
      <c r="GG118" s="28"/>
      <c r="GH118" s="28"/>
      <c r="GI118" s="28"/>
      <c r="GJ118" s="28"/>
      <c r="GK118" s="28"/>
      <c r="GL118" s="28"/>
    </row>
    <row r="119" spans="1:194">
      <c r="A119" s="29" t="s">
        <v>54</v>
      </c>
      <c r="B119" s="23"/>
      <c r="C119" s="23"/>
      <c r="BC119" s="28"/>
      <c r="BD119" s="28"/>
      <c r="BE119" s="28"/>
      <c r="BF119" s="28"/>
      <c r="BG119" s="28"/>
      <c r="BH119" s="28"/>
      <c r="BI119" s="28"/>
      <c r="BJ119" s="28"/>
      <c r="BK119" s="28"/>
      <c r="BL119" s="28"/>
      <c r="BM119" s="28"/>
      <c r="BN119" s="28"/>
      <c r="BO119" s="28"/>
      <c r="BP119" s="28"/>
      <c r="BQ119" s="28"/>
      <c r="BR119" s="28"/>
      <c r="BS119" s="28"/>
      <c r="BT119" s="28"/>
      <c r="BU119" s="28"/>
      <c r="BV119" s="28"/>
      <c r="BW119" s="28"/>
      <c r="BX119" s="28"/>
      <c r="BY119" s="28"/>
      <c r="BZ119" s="28"/>
      <c r="CA119" s="28"/>
      <c r="CB119" s="28"/>
      <c r="CC119" s="28"/>
      <c r="CD119" s="28"/>
      <c r="CE119" s="28"/>
      <c r="CF119" s="28"/>
      <c r="CG119" s="28"/>
      <c r="CH119" s="28"/>
      <c r="CI119" s="28"/>
      <c r="CJ119" s="28"/>
      <c r="CK119" s="28"/>
      <c r="CL119" s="28"/>
      <c r="CM119" s="28"/>
      <c r="CN119" s="28"/>
      <c r="CO119" s="28"/>
      <c r="CP119" s="28"/>
      <c r="CQ119" s="28"/>
      <c r="CR119" s="28"/>
      <c r="CS119" s="28"/>
      <c r="CT119" s="28"/>
      <c r="CU119" s="28"/>
      <c r="CV119" s="28"/>
      <c r="CW119" s="28"/>
      <c r="CX119" s="28"/>
      <c r="CY119" s="28"/>
      <c r="CZ119" s="28"/>
      <c r="DA119" s="28"/>
      <c r="DB119" s="28"/>
      <c r="DC119" s="28"/>
      <c r="DD119" s="28"/>
      <c r="DE119" s="28"/>
      <c r="DF119" s="28"/>
      <c r="DG119" s="28"/>
      <c r="DH119" s="28"/>
      <c r="DI119" s="28"/>
      <c r="DJ119" s="28"/>
      <c r="DK119" s="28"/>
      <c r="DL119" s="28"/>
      <c r="DM119" s="28"/>
      <c r="DN119" s="28"/>
      <c r="DO119" s="28"/>
      <c r="DP119" s="28"/>
      <c r="DQ119" s="28"/>
      <c r="DR119" s="28"/>
      <c r="DS119" s="28"/>
      <c r="DT119" s="28"/>
      <c r="DU119" s="28"/>
      <c r="DV119" s="28"/>
      <c r="DW119" s="28"/>
      <c r="DX119" s="28"/>
      <c r="DY119" s="28"/>
      <c r="DZ119" s="28"/>
      <c r="EA119" s="28"/>
      <c r="EB119" s="28"/>
      <c r="EC119" s="28"/>
      <c r="ED119" s="28"/>
      <c r="EE119" s="28"/>
      <c r="EF119" s="28"/>
      <c r="EG119" s="28"/>
      <c r="EH119" s="28"/>
      <c r="EI119" s="28"/>
      <c r="EJ119" s="28"/>
      <c r="EK119" s="28"/>
      <c r="EL119" s="28"/>
      <c r="EM119" s="28"/>
      <c r="EN119" s="28"/>
      <c r="EO119" s="28"/>
      <c r="EP119" s="28"/>
      <c r="EQ119" s="28"/>
      <c r="ER119" s="28"/>
      <c r="ES119" s="28"/>
      <c r="ET119" s="28"/>
      <c r="EU119" s="28"/>
      <c r="EV119" s="28"/>
      <c r="EW119" s="28"/>
      <c r="EX119" s="28"/>
      <c r="EY119" s="28"/>
      <c r="EZ119" s="28"/>
      <c r="FA119" s="28"/>
      <c r="FB119" s="28"/>
      <c r="FC119" s="28"/>
      <c r="FD119" s="28"/>
      <c r="FE119" s="28"/>
      <c r="FF119" s="28"/>
      <c r="FG119" s="28"/>
      <c r="FH119" s="28"/>
      <c r="FI119" s="28"/>
      <c r="FJ119" s="28"/>
      <c r="FK119" s="28"/>
      <c r="FL119" s="28"/>
      <c r="FM119" s="28"/>
      <c r="FN119" s="28"/>
      <c r="FO119" s="28"/>
      <c r="FP119" s="28"/>
      <c r="FQ119" s="28"/>
      <c r="FR119" s="28"/>
      <c r="FS119" s="28"/>
      <c r="FT119" s="28"/>
      <c r="FU119" s="28"/>
      <c r="FV119" s="28"/>
      <c r="FW119" s="28"/>
      <c r="FX119" s="28"/>
      <c r="FY119" s="28"/>
      <c r="FZ119" s="28"/>
      <c r="GA119" s="28"/>
      <c r="GB119" s="28"/>
      <c r="GC119" s="28"/>
      <c r="GD119" s="28"/>
      <c r="GE119" s="28"/>
      <c r="GF119" s="28"/>
      <c r="GG119" s="28"/>
      <c r="GH119" s="28"/>
      <c r="GI119" s="28"/>
      <c r="GJ119" s="28"/>
      <c r="GK119" s="28"/>
      <c r="GL119" s="28"/>
    </row>
    <row r="120" spans="1:194">
      <c r="A120" s="29" t="s">
        <v>55</v>
      </c>
      <c r="B120" s="23"/>
      <c r="C120" s="23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28"/>
      <c r="BQ120" s="28"/>
      <c r="BR120" s="28"/>
      <c r="BS120" s="28"/>
      <c r="BT120" s="28"/>
      <c r="BU120" s="28"/>
      <c r="BV120" s="28"/>
      <c r="BW120" s="28"/>
      <c r="BX120" s="28"/>
      <c r="BY120" s="28"/>
      <c r="BZ120" s="28"/>
      <c r="CA120" s="28"/>
      <c r="CB120" s="28"/>
      <c r="CC120" s="28"/>
      <c r="CD120" s="28"/>
      <c r="CE120" s="28"/>
      <c r="CF120" s="28"/>
      <c r="CG120" s="28"/>
      <c r="CH120" s="28"/>
      <c r="CI120" s="28"/>
      <c r="CJ120" s="28"/>
      <c r="CK120" s="28"/>
      <c r="CL120" s="28"/>
      <c r="CM120" s="28"/>
      <c r="CN120" s="28"/>
      <c r="CO120" s="28"/>
      <c r="CP120" s="28"/>
      <c r="CQ120" s="28"/>
      <c r="CR120" s="28"/>
      <c r="CS120" s="28"/>
      <c r="CT120" s="28"/>
      <c r="CU120" s="28"/>
      <c r="CV120" s="28"/>
      <c r="CW120" s="28"/>
      <c r="CX120" s="28"/>
      <c r="CY120" s="28"/>
      <c r="CZ120" s="28"/>
      <c r="DA120" s="28"/>
      <c r="DB120" s="28"/>
      <c r="DC120" s="28"/>
      <c r="DD120" s="28"/>
      <c r="DE120" s="28"/>
      <c r="DF120" s="28"/>
      <c r="DG120" s="28"/>
      <c r="DH120" s="28"/>
      <c r="DI120" s="28"/>
      <c r="DJ120" s="28"/>
      <c r="DK120" s="28"/>
      <c r="DL120" s="28"/>
      <c r="DM120" s="28"/>
      <c r="DN120" s="28"/>
      <c r="DO120" s="28"/>
      <c r="DP120" s="28"/>
      <c r="DQ120" s="28"/>
      <c r="DR120" s="28"/>
      <c r="DS120" s="28"/>
      <c r="DT120" s="28"/>
      <c r="DU120" s="28"/>
      <c r="DV120" s="28"/>
      <c r="DW120" s="28"/>
      <c r="DX120" s="28"/>
      <c r="DY120" s="28"/>
      <c r="DZ120" s="28"/>
      <c r="EA120" s="28"/>
      <c r="EB120" s="28"/>
      <c r="EC120" s="28"/>
      <c r="ED120" s="28"/>
      <c r="EE120" s="28"/>
      <c r="EF120" s="28"/>
      <c r="EG120" s="28"/>
      <c r="EH120" s="28"/>
      <c r="EI120" s="28"/>
      <c r="EJ120" s="28"/>
      <c r="EK120" s="28"/>
      <c r="EL120" s="28"/>
      <c r="EM120" s="28"/>
      <c r="EN120" s="28"/>
      <c r="EO120" s="28"/>
      <c r="EP120" s="28"/>
      <c r="EQ120" s="28"/>
      <c r="ER120" s="28"/>
      <c r="ES120" s="28"/>
      <c r="ET120" s="28"/>
      <c r="EU120" s="28"/>
      <c r="EV120" s="28"/>
      <c r="EW120" s="28"/>
      <c r="EX120" s="28"/>
      <c r="EY120" s="28"/>
      <c r="EZ120" s="28"/>
      <c r="FA120" s="28"/>
      <c r="FB120" s="28"/>
      <c r="FC120" s="28"/>
      <c r="FD120" s="28"/>
      <c r="FE120" s="28"/>
      <c r="FF120" s="28"/>
      <c r="FG120" s="28"/>
      <c r="FH120" s="28"/>
      <c r="FI120" s="28"/>
      <c r="FJ120" s="28"/>
      <c r="FK120" s="28"/>
      <c r="FL120" s="28"/>
      <c r="FM120" s="28"/>
      <c r="FN120" s="28"/>
      <c r="FO120" s="28"/>
      <c r="FP120" s="28"/>
      <c r="FQ120" s="28"/>
      <c r="FR120" s="28"/>
      <c r="FS120" s="28"/>
      <c r="FT120" s="28"/>
      <c r="FU120" s="28"/>
      <c r="FV120" s="28"/>
      <c r="FW120" s="28"/>
      <c r="FX120" s="28"/>
      <c r="FY120" s="28"/>
      <c r="FZ120" s="28"/>
      <c r="GA120" s="28"/>
      <c r="GB120" s="28"/>
      <c r="GC120" s="28"/>
      <c r="GD120" s="28"/>
      <c r="GE120" s="28"/>
      <c r="GF120" s="28"/>
      <c r="GG120" s="28"/>
      <c r="GH120" s="28"/>
      <c r="GI120" s="28"/>
      <c r="GJ120" s="28"/>
      <c r="GK120" s="28"/>
      <c r="GL120" s="28"/>
    </row>
    <row r="121" spans="1:194">
      <c r="A121" s="29" t="s">
        <v>56</v>
      </c>
      <c r="B121" s="23"/>
      <c r="C121" s="23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28"/>
      <c r="BQ121" s="28"/>
      <c r="BR121" s="28"/>
      <c r="BS121" s="28"/>
      <c r="BT121" s="28"/>
      <c r="BU121" s="28"/>
      <c r="BV121" s="28"/>
      <c r="BW121" s="28"/>
      <c r="BX121" s="28"/>
      <c r="BY121" s="28"/>
      <c r="BZ121" s="28"/>
      <c r="CA121" s="28"/>
      <c r="CB121" s="28"/>
      <c r="CC121" s="28"/>
      <c r="CD121" s="28"/>
      <c r="CE121" s="28"/>
      <c r="CF121" s="28"/>
      <c r="CG121" s="28"/>
      <c r="CH121" s="28"/>
      <c r="CI121" s="28"/>
      <c r="CJ121" s="28"/>
      <c r="CK121" s="28"/>
      <c r="CL121" s="28"/>
      <c r="CM121" s="28"/>
      <c r="CN121" s="28"/>
      <c r="CO121" s="28"/>
      <c r="CP121" s="28"/>
      <c r="CQ121" s="28"/>
      <c r="CR121" s="28"/>
      <c r="CS121" s="28"/>
      <c r="CT121" s="28"/>
      <c r="CU121" s="28"/>
      <c r="CV121" s="28"/>
      <c r="CW121" s="28"/>
      <c r="CX121" s="28"/>
      <c r="CY121" s="28"/>
      <c r="CZ121" s="28"/>
      <c r="DA121" s="28"/>
      <c r="DB121" s="28"/>
      <c r="DC121" s="28"/>
      <c r="DD121" s="28"/>
      <c r="DE121" s="28"/>
      <c r="DF121" s="28"/>
      <c r="DG121" s="28"/>
      <c r="DH121" s="28"/>
      <c r="DI121" s="28"/>
      <c r="DJ121" s="28"/>
      <c r="DK121" s="28"/>
      <c r="DL121" s="28"/>
      <c r="DM121" s="28"/>
      <c r="DN121" s="28"/>
      <c r="DO121" s="28"/>
      <c r="DP121" s="28"/>
      <c r="DQ121" s="28"/>
      <c r="DR121" s="28"/>
      <c r="DS121" s="28"/>
      <c r="DT121" s="28"/>
      <c r="DU121" s="28"/>
      <c r="DV121" s="28"/>
      <c r="DW121" s="28"/>
      <c r="DX121" s="28"/>
      <c r="DY121" s="28"/>
      <c r="DZ121" s="28"/>
      <c r="EA121" s="28"/>
      <c r="EB121" s="28"/>
      <c r="EC121" s="28"/>
      <c r="ED121" s="28"/>
      <c r="EE121" s="28"/>
      <c r="EF121" s="28"/>
      <c r="EG121" s="28"/>
      <c r="EH121" s="28"/>
      <c r="EI121" s="28"/>
      <c r="EJ121" s="28"/>
      <c r="EK121" s="28"/>
      <c r="EL121" s="28"/>
      <c r="EM121" s="28"/>
      <c r="EN121" s="28"/>
      <c r="EO121" s="28"/>
      <c r="EP121" s="28"/>
      <c r="EQ121" s="28"/>
      <c r="ER121" s="28"/>
      <c r="ES121" s="28"/>
      <c r="ET121" s="28"/>
      <c r="EU121" s="28"/>
      <c r="EV121" s="28"/>
      <c r="EW121" s="28"/>
      <c r="EX121" s="28"/>
      <c r="EY121" s="28"/>
      <c r="EZ121" s="28"/>
      <c r="FA121" s="28"/>
      <c r="FB121" s="28"/>
      <c r="FC121" s="28"/>
      <c r="FD121" s="28"/>
      <c r="FE121" s="28"/>
      <c r="FF121" s="28"/>
      <c r="FG121" s="28"/>
      <c r="FH121" s="28"/>
      <c r="FI121" s="28"/>
      <c r="FJ121" s="28"/>
      <c r="FK121" s="28"/>
      <c r="FL121" s="28"/>
      <c r="FM121" s="28"/>
      <c r="FN121" s="28"/>
      <c r="FO121" s="28"/>
      <c r="FP121" s="28"/>
      <c r="FQ121" s="28"/>
      <c r="FR121" s="28"/>
      <c r="FS121" s="28"/>
      <c r="FT121" s="28"/>
      <c r="FU121" s="28"/>
      <c r="FV121" s="28"/>
      <c r="FW121" s="28"/>
      <c r="FX121" s="28"/>
      <c r="FY121" s="28"/>
      <c r="FZ121" s="28"/>
      <c r="GA121" s="28"/>
      <c r="GB121" s="28"/>
      <c r="GC121" s="28"/>
      <c r="GD121" s="28"/>
      <c r="GE121" s="28"/>
      <c r="GF121" s="28"/>
      <c r="GG121" s="28"/>
      <c r="GH121" s="28"/>
      <c r="GI121" s="28"/>
      <c r="GJ121" s="28"/>
      <c r="GK121" s="28"/>
      <c r="GL121" s="28"/>
    </row>
    <row r="122" spans="1:194">
      <c r="A122" s="29" t="s">
        <v>57</v>
      </c>
      <c r="B122" s="23"/>
      <c r="C122" s="23"/>
      <c r="BC122" s="28"/>
      <c r="BD122" s="28"/>
      <c r="BE122" s="28"/>
      <c r="BF122" s="28"/>
      <c r="BG122" s="28"/>
      <c r="BH122" s="28"/>
      <c r="BI122" s="28"/>
      <c r="BJ122" s="28"/>
      <c r="BK122" s="28"/>
      <c r="BL122" s="28"/>
      <c r="BM122" s="28"/>
      <c r="BN122" s="28"/>
      <c r="BO122" s="28"/>
      <c r="BP122" s="28"/>
      <c r="BQ122" s="28"/>
      <c r="BR122" s="28"/>
      <c r="BS122" s="28"/>
      <c r="BT122" s="28"/>
      <c r="BU122" s="28"/>
      <c r="BV122" s="28"/>
      <c r="BW122" s="28"/>
      <c r="BX122" s="28"/>
      <c r="BY122" s="28"/>
      <c r="BZ122" s="28"/>
      <c r="CA122" s="28"/>
      <c r="CB122" s="28"/>
      <c r="CC122" s="28"/>
      <c r="CD122" s="28"/>
      <c r="CE122" s="28"/>
      <c r="CF122" s="28"/>
      <c r="CG122" s="28"/>
      <c r="CH122" s="28"/>
      <c r="CI122" s="28"/>
      <c r="CJ122" s="28"/>
      <c r="CK122" s="28"/>
      <c r="CL122" s="28"/>
      <c r="CM122" s="28"/>
      <c r="CN122" s="28"/>
      <c r="CO122" s="28"/>
      <c r="CP122" s="28"/>
      <c r="CQ122" s="28"/>
      <c r="CR122" s="28"/>
      <c r="CS122" s="28"/>
      <c r="CT122" s="28"/>
      <c r="CU122" s="28"/>
      <c r="CV122" s="28"/>
      <c r="CW122" s="28"/>
      <c r="CX122" s="28"/>
      <c r="CY122" s="28"/>
      <c r="CZ122" s="28"/>
      <c r="DA122" s="28"/>
      <c r="DB122" s="28"/>
      <c r="DC122" s="28"/>
      <c r="DD122" s="28"/>
      <c r="DE122" s="28"/>
      <c r="DF122" s="28"/>
      <c r="DG122" s="28"/>
      <c r="DH122" s="28"/>
      <c r="DI122" s="28"/>
      <c r="DJ122" s="28"/>
      <c r="DK122" s="28"/>
      <c r="DL122" s="28"/>
      <c r="DM122" s="28"/>
      <c r="DN122" s="28"/>
      <c r="DO122" s="28"/>
      <c r="DP122" s="28"/>
      <c r="DQ122" s="28"/>
      <c r="DR122" s="28"/>
      <c r="DS122" s="28"/>
      <c r="DT122" s="28"/>
      <c r="DU122" s="28"/>
      <c r="DV122" s="28"/>
      <c r="DW122" s="28"/>
      <c r="DX122" s="28"/>
      <c r="DY122" s="28"/>
      <c r="DZ122" s="28"/>
      <c r="EA122" s="28"/>
      <c r="EB122" s="28"/>
      <c r="EC122" s="28"/>
      <c r="ED122" s="28"/>
      <c r="EE122" s="28"/>
      <c r="EF122" s="28"/>
      <c r="EG122" s="28"/>
      <c r="EH122" s="28"/>
      <c r="EI122" s="28"/>
      <c r="EJ122" s="28"/>
      <c r="EK122" s="28"/>
      <c r="EL122" s="28"/>
      <c r="EM122" s="28"/>
      <c r="EN122" s="28"/>
      <c r="EO122" s="28"/>
      <c r="EP122" s="28"/>
      <c r="EQ122" s="28"/>
      <c r="ER122" s="28"/>
      <c r="ES122" s="28"/>
      <c r="ET122" s="28"/>
      <c r="EU122" s="28"/>
      <c r="EV122" s="28"/>
      <c r="EW122" s="28"/>
      <c r="EX122" s="28"/>
      <c r="EY122" s="28"/>
      <c r="EZ122" s="28"/>
      <c r="FA122" s="28"/>
      <c r="FB122" s="28"/>
      <c r="FC122" s="28"/>
      <c r="FD122" s="28"/>
      <c r="FE122" s="28"/>
      <c r="FF122" s="28"/>
      <c r="FG122" s="28"/>
      <c r="FH122" s="28"/>
      <c r="FI122" s="28"/>
      <c r="FJ122" s="28"/>
      <c r="FK122" s="28"/>
      <c r="FL122" s="28"/>
      <c r="FM122" s="28"/>
      <c r="FN122" s="28"/>
      <c r="FO122" s="28"/>
      <c r="FP122" s="28"/>
      <c r="FQ122" s="28"/>
      <c r="FR122" s="28"/>
      <c r="FS122" s="28"/>
      <c r="FT122" s="28"/>
      <c r="FU122" s="28"/>
      <c r="FV122" s="28"/>
      <c r="FW122" s="28"/>
      <c r="FX122" s="28"/>
      <c r="FY122" s="28"/>
      <c r="FZ122" s="28"/>
      <c r="GA122" s="28"/>
      <c r="GB122" s="28"/>
      <c r="GC122" s="28"/>
      <c r="GD122" s="28"/>
      <c r="GE122" s="28"/>
      <c r="GF122" s="28"/>
      <c r="GG122" s="28"/>
      <c r="GH122" s="28"/>
      <c r="GI122" s="28"/>
      <c r="GJ122" s="28"/>
      <c r="GK122" s="28"/>
      <c r="GL122" s="28"/>
    </row>
    <row r="123" spans="1:194">
      <c r="A123" s="29" t="s">
        <v>58</v>
      </c>
      <c r="B123" s="23"/>
      <c r="C123" s="23"/>
      <c r="BC123" s="28"/>
      <c r="BD123" s="28"/>
      <c r="BE123" s="28"/>
      <c r="BF123" s="28"/>
      <c r="BG123" s="28"/>
      <c r="BH123" s="28"/>
      <c r="BI123" s="28"/>
      <c r="BJ123" s="28"/>
      <c r="BK123" s="28"/>
      <c r="BL123" s="28"/>
      <c r="BM123" s="28"/>
      <c r="BN123" s="28"/>
      <c r="BO123" s="28"/>
      <c r="BP123" s="28"/>
      <c r="BQ123" s="28"/>
      <c r="BR123" s="28"/>
      <c r="BS123" s="28"/>
      <c r="BT123" s="28"/>
      <c r="BU123" s="28"/>
      <c r="BV123" s="28"/>
      <c r="BW123" s="28"/>
      <c r="BX123" s="28"/>
      <c r="BY123" s="28"/>
      <c r="BZ123" s="28"/>
      <c r="CA123" s="28"/>
      <c r="CB123" s="28"/>
      <c r="CC123" s="28"/>
      <c r="CD123" s="28"/>
      <c r="CE123" s="28"/>
      <c r="CF123" s="28"/>
      <c r="CG123" s="28"/>
      <c r="CH123" s="28"/>
      <c r="CI123" s="28"/>
      <c r="CJ123" s="28"/>
      <c r="CK123" s="28"/>
      <c r="CL123" s="28"/>
      <c r="CM123" s="28"/>
      <c r="CN123" s="28"/>
      <c r="CO123" s="28"/>
      <c r="CP123" s="28"/>
      <c r="CQ123" s="28"/>
      <c r="CR123" s="28"/>
      <c r="CS123" s="28"/>
      <c r="CT123" s="28"/>
      <c r="CU123" s="28"/>
      <c r="CV123" s="28"/>
      <c r="CW123" s="28"/>
      <c r="CX123" s="28"/>
      <c r="CY123" s="28"/>
      <c r="CZ123" s="28"/>
      <c r="DA123" s="28"/>
      <c r="DB123" s="28"/>
      <c r="DC123" s="28"/>
      <c r="DD123" s="28"/>
      <c r="DE123" s="28"/>
      <c r="DF123" s="28"/>
      <c r="DG123" s="28"/>
      <c r="DH123" s="28"/>
      <c r="DI123" s="28"/>
      <c r="DJ123" s="28"/>
      <c r="DK123" s="28"/>
      <c r="DL123" s="28"/>
      <c r="DM123" s="28"/>
      <c r="DN123" s="28"/>
      <c r="DO123" s="28"/>
      <c r="DP123" s="28"/>
      <c r="DQ123" s="28"/>
      <c r="DR123" s="28"/>
      <c r="DS123" s="28"/>
      <c r="DT123" s="28"/>
      <c r="DU123" s="28"/>
      <c r="DV123" s="28"/>
      <c r="DW123" s="28"/>
      <c r="DX123" s="28"/>
      <c r="DY123" s="28"/>
      <c r="DZ123" s="28"/>
      <c r="EA123" s="28"/>
      <c r="EB123" s="28"/>
      <c r="EC123" s="28"/>
      <c r="ED123" s="28"/>
      <c r="EE123" s="28"/>
      <c r="EF123" s="28"/>
      <c r="EG123" s="28"/>
      <c r="EH123" s="28"/>
      <c r="EI123" s="28"/>
      <c r="EJ123" s="28"/>
      <c r="EK123" s="28"/>
      <c r="EL123" s="28"/>
      <c r="EM123" s="28"/>
      <c r="EN123" s="28"/>
      <c r="EO123" s="28"/>
      <c r="EP123" s="28"/>
      <c r="EQ123" s="28"/>
      <c r="ER123" s="28"/>
      <c r="ES123" s="28"/>
      <c r="ET123" s="28"/>
      <c r="EU123" s="28"/>
      <c r="EV123" s="28"/>
      <c r="EW123" s="28"/>
      <c r="EX123" s="28"/>
      <c r="EY123" s="28"/>
      <c r="EZ123" s="28"/>
      <c r="FA123" s="28"/>
      <c r="FB123" s="28"/>
      <c r="FC123" s="28"/>
      <c r="FD123" s="28"/>
      <c r="FE123" s="28"/>
      <c r="FF123" s="28"/>
      <c r="FG123" s="28"/>
      <c r="FH123" s="28"/>
      <c r="FI123" s="28"/>
      <c r="FJ123" s="28"/>
      <c r="FK123" s="28"/>
      <c r="FL123" s="28"/>
      <c r="FM123" s="28"/>
      <c r="FN123" s="28"/>
      <c r="FO123" s="28"/>
      <c r="FP123" s="28"/>
      <c r="FQ123" s="28"/>
      <c r="FR123" s="28"/>
      <c r="FS123" s="28"/>
      <c r="FT123" s="28"/>
      <c r="FU123" s="28"/>
      <c r="FV123" s="28"/>
      <c r="FW123" s="28"/>
      <c r="FX123" s="28"/>
      <c r="FY123" s="28"/>
      <c r="FZ123" s="28"/>
      <c r="GA123" s="28"/>
      <c r="GB123" s="28"/>
      <c r="GC123" s="28"/>
      <c r="GD123" s="28"/>
      <c r="GE123" s="28"/>
      <c r="GF123" s="28"/>
      <c r="GG123" s="28"/>
      <c r="GH123" s="28"/>
      <c r="GI123" s="28"/>
      <c r="GJ123" s="28"/>
      <c r="GK123" s="28"/>
      <c r="GL123" s="28"/>
    </row>
    <row r="124" spans="1:194">
      <c r="A124" s="29" t="s">
        <v>59</v>
      </c>
      <c r="B124" s="23"/>
      <c r="C124" s="23"/>
      <c r="BC124" s="28"/>
      <c r="BD124" s="28"/>
      <c r="BE124" s="28"/>
      <c r="BF124" s="28"/>
      <c r="BG124" s="28"/>
      <c r="BH124" s="28"/>
      <c r="BI124" s="28"/>
      <c r="BJ124" s="28"/>
      <c r="BK124" s="28"/>
      <c r="BL124" s="28"/>
      <c r="BM124" s="28"/>
      <c r="BN124" s="28"/>
      <c r="BO124" s="28"/>
      <c r="BP124" s="28"/>
      <c r="BQ124" s="28"/>
      <c r="BR124" s="28"/>
      <c r="BS124" s="28"/>
      <c r="BT124" s="28"/>
      <c r="BU124" s="28"/>
      <c r="BV124" s="28"/>
      <c r="BW124" s="28"/>
      <c r="BX124" s="28"/>
      <c r="BY124" s="28"/>
      <c r="BZ124" s="28"/>
      <c r="CA124" s="28"/>
      <c r="CB124" s="28"/>
      <c r="CC124" s="28"/>
      <c r="CD124" s="28"/>
      <c r="CE124" s="28"/>
      <c r="CF124" s="28"/>
      <c r="CG124" s="28"/>
      <c r="CH124" s="28"/>
      <c r="CI124" s="28"/>
      <c r="CJ124" s="28"/>
      <c r="CK124" s="28"/>
      <c r="CL124" s="28"/>
      <c r="CM124" s="28"/>
      <c r="CN124" s="28"/>
      <c r="CO124" s="28"/>
      <c r="CP124" s="28"/>
      <c r="CQ124" s="28"/>
      <c r="CR124" s="28"/>
      <c r="CS124" s="28"/>
      <c r="CT124" s="28"/>
      <c r="CU124" s="28"/>
      <c r="CV124" s="28"/>
      <c r="CW124" s="28"/>
      <c r="CX124" s="28"/>
      <c r="CY124" s="28"/>
      <c r="CZ124" s="28"/>
      <c r="DA124" s="28"/>
      <c r="DB124" s="28"/>
      <c r="DC124" s="28"/>
      <c r="DD124" s="28"/>
      <c r="DE124" s="28"/>
      <c r="DF124" s="28"/>
      <c r="DG124" s="28"/>
      <c r="DH124" s="28"/>
      <c r="DI124" s="28"/>
      <c r="DJ124" s="28"/>
      <c r="DK124" s="28"/>
      <c r="DL124" s="28"/>
      <c r="DM124" s="28"/>
      <c r="DN124" s="28"/>
      <c r="DO124" s="28"/>
      <c r="DP124" s="28"/>
      <c r="DQ124" s="28"/>
      <c r="DR124" s="28"/>
      <c r="DS124" s="28"/>
      <c r="DT124" s="28"/>
      <c r="DU124" s="28"/>
      <c r="DV124" s="28"/>
      <c r="DW124" s="28"/>
      <c r="DX124" s="28"/>
      <c r="DY124" s="28"/>
      <c r="DZ124" s="28"/>
      <c r="EA124" s="28"/>
      <c r="EB124" s="28"/>
      <c r="EC124" s="28"/>
      <c r="ED124" s="28"/>
      <c r="EE124" s="28"/>
      <c r="EF124" s="28"/>
      <c r="EG124" s="28"/>
      <c r="EH124" s="28"/>
      <c r="EI124" s="28"/>
      <c r="EJ124" s="28"/>
      <c r="EK124" s="28"/>
      <c r="EL124" s="28"/>
      <c r="EM124" s="28"/>
      <c r="EN124" s="28"/>
      <c r="EO124" s="28"/>
      <c r="EP124" s="28"/>
      <c r="EQ124" s="28"/>
      <c r="ER124" s="28"/>
      <c r="ES124" s="28"/>
      <c r="ET124" s="28"/>
      <c r="EU124" s="28"/>
      <c r="EV124" s="28"/>
      <c r="EW124" s="28"/>
      <c r="EX124" s="28"/>
      <c r="EY124" s="28"/>
      <c r="EZ124" s="28"/>
      <c r="FA124" s="28"/>
      <c r="FB124" s="28"/>
      <c r="FC124" s="28"/>
      <c r="FD124" s="28"/>
      <c r="FE124" s="28"/>
      <c r="FF124" s="28"/>
      <c r="FG124" s="28"/>
      <c r="FH124" s="28"/>
      <c r="FI124" s="28"/>
      <c r="FJ124" s="28"/>
      <c r="FK124" s="28"/>
      <c r="FL124" s="28"/>
      <c r="FM124" s="28"/>
      <c r="FN124" s="28"/>
      <c r="FO124" s="28"/>
      <c r="FP124" s="28"/>
      <c r="FQ124" s="28"/>
      <c r="FR124" s="28"/>
      <c r="FS124" s="28"/>
      <c r="FT124" s="28"/>
      <c r="FU124" s="28"/>
      <c r="FV124" s="28"/>
      <c r="FW124" s="28"/>
      <c r="FX124" s="28"/>
      <c r="FY124" s="28"/>
      <c r="FZ124" s="28"/>
      <c r="GA124" s="28"/>
      <c r="GB124" s="28"/>
      <c r="GC124" s="28"/>
      <c r="GD124" s="28"/>
      <c r="GE124" s="28"/>
      <c r="GF124" s="28"/>
      <c r="GG124" s="28"/>
      <c r="GH124" s="28"/>
      <c r="GI124" s="28"/>
      <c r="GJ124" s="28"/>
      <c r="GK124" s="28"/>
      <c r="GL124" s="28"/>
    </row>
    <row r="125" spans="1:194">
      <c r="BC125" s="28"/>
      <c r="BD125" s="28"/>
      <c r="BE125" s="28"/>
      <c r="BF125" s="28"/>
      <c r="BG125" s="28"/>
      <c r="BH125" s="28"/>
      <c r="BI125" s="28"/>
      <c r="BJ125" s="28"/>
      <c r="BK125" s="28"/>
      <c r="BL125" s="28"/>
      <c r="BM125" s="28"/>
      <c r="BN125" s="28"/>
      <c r="BO125" s="28"/>
      <c r="BP125" s="28"/>
      <c r="BQ125" s="28"/>
      <c r="BR125" s="28"/>
      <c r="BS125" s="28"/>
      <c r="BT125" s="28"/>
      <c r="BU125" s="28"/>
      <c r="BV125" s="28"/>
      <c r="BW125" s="28"/>
      <c r="BX125" s="28"/>
      <c r="BY125" s="28"/>
      <c r="BZ125" s="28"/>
      <c r="CA125" s="28"/>
      <c r="CB125" s="28"/>
      <c r="CC125" s="28"/>
      <c r="CD125" s="28"/>
      <c r="CE125" s="28"/>
      <c r="CF125" s="28"/>
      <c r="CG125" s="28"/>
      <c r="CH125" s="28"/>
      <c r="CI125" s="28"/>
      <c r="CJ125" s="28"/>
      <c r="CK125" s="28"/>
      <c r="CL125" s="28"/>
      <c r="CM125" s="28"/>
      <c r="CN125" s="28"/>
      <c r="CO125" s="28"/>
      <c r="CP125" s="28"/>
      <c r="CQ125" s="28"/>
      <c r="CR125" s="28"/>
      <c r="CS125" s="28"/>
      <c r="CT125" s="28"/>
      <c r="CU125" s="28"/>
      <c r="CV125" s="28"/>
      <c r="CW125" s="28"/>
      <c r="CX125" s="28"/>
      <c r="CY125" s="28"/>
      <c r="CZ125" s="28"/>
      <c r="DA125" s="28"/>
      <c r="DB125" s="28"/>
      <c r="DC125" s="28"/>
      <c r="DD125" s="28"/>
      <c r="DE125" s="28"/>
      <c r="DF125" s="28"/>
      <c r="DG125" s="28"/>
      <c r="DH125" s="28"/>
      <c r="DI125" s="28"/>
      <c r="DJ125" s="28"/>
      <c r="DK125" s="28"/>
      <c r="DL125" s="28"/>
      <c r="DM125" s="28"/>
      <c r="DN125" s="28"/>
      <c r="DO125" s="28"/>
      <c r="DP125" s="28"/>
      <c r="DQ125" s="28"/>
      <c r="DR125" s="28"/>
      <c r="DS125" s="28"/>
      <c r="DT125" s="28"/>
      <c r="DU125" s="28"/>
      <c r="DV125" s="28"/>
      <c r="DW125" s="28"/>
      <c r="DX125" s="28"/>
      <c r="DY125" s="28"/>
      <c r="DZ125" s="28"/>
      <c r="EA125" s="28"/>
      <c r="EB125" s="28"/>
      <c r="EC125" s="28"/>
      <c r="ED125" s="28"/>
      <c r="EE125" s="28"/>
      <c r="EF125" s="28"/>
      <c r="EG125" s="28"/>
      <c r="EH125" s="28"/>
      <c r="EI125" s="28"/>
      <c r="EJ125" s="28"/>
      <c r="EK125" s="28"/>
      <c r="EL125" s="28"/>
      <c r="EM125" s="28"/>
      <c r="EN125" s="28"/>
      <c r="EO125" s="28"/>
      <c r="EP125" s="28"/>
      <c r="EQ125" s="28"/>
      <c r="ER125" s="28"/>
      <c r="ES125" s="28"/>
      <c r="ET125" s="28"/>
      <c r="EU125" s="28"/>
      <c r="EV125" s="28"/>
      <c r="EW125" s="28"/>
      <c r="EX125" s="28"/>
      <c r="EY125" s="28"/>
      <c r="EZ125" s="28"/>
      <c r="FA125" s="28"/>
      <c r="FB125" s="28"/>
      <c r="FC125" s="28"/>
      <c r="FD125" s="28"/>
      <c r="FE125" s="28"/>
      <c r="FF125" s="28"/>
      <c r="FG125" s="28"/>
      <c r="FH125" s="28"/>
      <c r="FI125" s="28"/>
      <c r="FJ125" s="28"/>
      <c r="FK125" s="28"/>
      <c r="FL125" s="28"/>
      <c r="FM125" s="28"/>
      <c r="FN125" s="28"/>
      <c r="FO125" s="28"/>
      <c r="FP125" s="28"/>
      <c r="FQ125" s="28"/>
      <c r="FR125" s="28"/>
      <c r="FS125" s="28"/>
      <c r="FT125" s="28"/>
      <c r="FU125" s="28"/>
      <c r="FV125" s="28"/>
      <c r="FW125" s="28"/>
      <c r="FX125" s="28"/>
      <c r="FY125" s="28"/>
      <c r="FZ125" s="28"/>
      <c r="GA125" s="28"/>
      <c r="GB125" s="28"/>
      <c r="GC125" s="28"/>
      <c r="GD125" s="28"/>
      <c r="GE125" s="28"/>
      <c r="GF125" s="28"/>
      <c r="GG125" s="28"/>
      <c r="GH125" s="28"/>
      <c r="GI125" s="28"/>
      <c r="GJ125" s="28"/>
      <c r="GK125" s="28"/>
      <c r="GL125" s="28"/>
    </row>
    <row r="126" spans="1:194">
      <c r="BC126" s="28"/>
      <c r="BD126" s="28"/>
      <c r="BE126" s="28"/>
      <c r="BF126" s="28"/>
      <c r="BG126" s="28"/>
      <c r="BH126" s="28"/>
      <c r="BI126" s="28"/>
      <c r="BJ126" s="28"/>
      <c r="BK126" s="28"/>
      <c r="BL126" s="28"/>
      <c r="BM126" s="28"/>
      <c r="BN126" s="28"/>
      <c r="BO126" s="28"/>
      <c r="BP126" s="28"/>
      <c r="BQ126" s="28"/>
      <c r="BR126" s="28"/>
      <c r="BS126" s="28"/>
      <c r="BT126" s="28"/>
      <c r="BU126" s="28"/>
      <c r="BV126" s="28"/>
      <c r="BW126" s="28"/>
      <c r="BX126" s="28"/>
      <c r="BY126" s="28"/>
      <c r="BZ126" s="28"/>
      <c r="CA126" s="28"/>
      <c r="CB126" s="28"/>
      <c r="CC126" s="28"/>
      <c r="CD126" s="28"/>
      <c r="CE126" s="28"/>
      <c r="CF126" s="28"/>
      <c r="CG126" s="28"/>
      <c r="CH126" s="28"/>
      <c r="CI126" s="28"/>
      <c r="CJ126" s="28"/>
      <c r="CK126" s="28"/>
      <c r="CL126" s="28"/>
      <c r="CM126" s="28"/>
      <c r="CN126" s="28"/>
      <c r="CO126" s="28"/>
      <c r="CP126" s="28"/>
      <c r="CQ126" s="28"/>
      <c r="CR126" s="28"/>
      <c r="CS126" s="28"/>
      <c r="CT126" s="28"/>
      <c r="CU126" s="28"/>
      <c r="CV126" s="28"/>
      <c r="CW126" s="28"/>
      <c r="CX126" s="28"/>
      <c r="CY126" s="28"/>
      <c r="CZ126" s="28"/>
      <c r="DA126" s="28"/>
      <c r="DB126" s="28"/>
      <c r="DC126" s="28"/>
      <c r="DD126" s="28"/>
      <c r="DE126" s="28"/>
      <c r="DF126" s="28"/>
      <c r="DG126" s="28"/>
      <c r="DH126" s="28"/>
      <c r="DI126" s="28"/>
      <c r="DJ126" s="28"/>
      <c r="DK126" s="28"/>
      <c r="DL126" s="28"/>
      <c r="DM126" s="28"/>
      <c r="DN126" s="28"/>
      <c r="DO126" s="28"/>
      <c r="DP126" s="28"/>
      <c r="DQ126" s="28"/>
      <c r="DR126" s="28"/>
      <c r="DS126" s="28"/>
      <c r="DT126" s="28"/>
      <c r="DU126" s="28"/>
      <c r="DV126" s="28"/>
      <c r="DW126" s="28"/>
      <c r="DX126" s="28"/>
      <c r="DY126" s="28"/>
      <c r="DZ126" s="28"/>
      <c r="EA126" s="28"/>
      <c r="EB126" s="28"/>
      <c r="EC126" s="28"/>
      <c r="ED126" s="28"/>
      <c r="EE126" s="28"/>
      <c r="EF126" s="28"/>
      <c r="EG126" s="28"/>
      <c r="EH126" s="28"/>
      <c r="EI126" s="28"/>
      <c r="EJ126" s="28"/>
      <c r="EK126" s="28"/>
      <c r="EL126" s="28"/>
      <c r="EM126" s="28"/>
      <c r="EN126" s="28"/>
      <c r="EO126" s="28"/>
      <c r="EP126" s="28"/>
      <c r="EQ126" s="28"/>
      <c r="ER126" s="28"/>
      <c r="ES126" s="28"/>
      <c r="ET126" s="28"/>
      <c r="EU126" s="28"/>
      <c r="EV126" s="28"/>
      <c r="EW126" s="28"/>
      <c r="EX126" s="28"/>
      <c r="EY126" s="28"/>
      <c r="EZ126" s="28"/>
      <c r="FA126" s="28"/>
      <c r="FB126" s="28"/>
      <c r="FC126" s="28"/>
      <c r="FD126" s="28"/>
      <c r="FE126" s="28"/>
      <c r="FF126" s="28"/>
      <c r="FG126" s="28"/>
      <c r="FH126" s="28"/>
      <c r="FI126" s="28"/>
      <c r="FJ126" s="28"/>
      <c r="FK126" s="28"/>
      <c r="FL126" s="28"/>
      <c r="FM126" s="28"/>
      <c r="FN126" s="28"/>
      <c r="FO126" s="28"/>
      <c r="FP126" s="28"/>
      <c r="FQ126" s="28"/>
      <c r="FR126" s="28"/>
      <c r="FS126" s="28"/>
      <c r="FT126" s="28"/>
      <c r="FU126" s="28"/>
      <c r="FV126" s="28"/>
      <c r="FW126" s="28"/>
      <c r="FX126" s="28"/>
      <c r="FY126" s="28"/>
      <c r="FZ126" s="28"/>
      <c r="GA126" s="28"/>
      <c r="GB126" s="28"/>
      <c r="GC126" s="28"/>
      <c r="GD126" s="28"/>
      <c r="GE126" s="28"/>
      <c r="GF126" s="28"/>
      <c r="GG126" s="28"/>
      <c r="GH126" s="28"/>
      <c r="GI126" s="28"/>
      <c r="GJ126" s="28"/>
      <c r="GK126" s="28"/>
      <c r="GL126" s="28"/>
    </row>
    <row r="128" spans="1:194">
      <c r="B128" s="27"/>
      <c r="C128" s="34"/>
    </row>
    <row r="129" spans="2:3">
      <c r="B129" s="27"/>
      <c r="C129" s="34"/>
    </row>
    <row r="130" spans="2:3">
      <c r="B130" s="27"/>
      <c r="C130" s="34"/>
    </row>
  </sheetData>
  <sheetProtection selectLockedCells="1" selectUnlockedCells="1"/>
  <autoFilter ref="A5:AN102">
    <filterColumn colId="35" showButton="0"/>
    <sortState ref="A8:AN94">
      <sortCondition ref="B5:B94"/>
    </sortState>
  </autoFilter>
  <mergeCells count="37"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Y5:Y6"/>
    <mergeCell ref="Z5:Z6"/>
    <mergeCell ref="AA5:AA6"/>
    <mergeCell ref="N5:N6"/>
    <mergeCell ref="O5:O6"/>
    <mergeCell ref="P5:P6"/>
    <mergeCell ref="Q5:Q6"/>
    <mergeCell ref="R5:R6"/>
    <mergeCell ref="U5:U6"/>
    <mergeCell ref="A111:B111"/>
    <mergeCell ref="AN5:AN6"/>
    <mergeCell ref="A106:B106"/>
    <mergeCell ref="AI5:AI6"/>
    <mergeCell ref="AJ5:AK5"/>
    <mergeCell ref="AL5:AL6"/>
    <mergeCell ref="AM5:AM6"/>
    <mergeCell ref="AB5:AB6"/>
    <mergeCell ref="AC5:AC6"/>
    <mergeCell ref="AD5:AD6"/>
    <mergeCell ref="AE5:AE6"/>
    <mergeCell ref="AF5:AF6"/>
    <mergeCell ref="AG5:AG6"/>
    <mergeCell ref="V5:V6"/>
    <mergeCell ref="W5:W6"/>
    <mergeCell ref="X5:X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6:C9"/>
  <sheetViews>
    <sheetView workbookViewId="0">
      <selection activeCell="B6" sqref="B6"/>
    </sheetView>
  </sheetViews>
  <sheetFormatPr baseColWidth="10" defaultColWidth="11.5703125" defaultRowHeight="12.75"/>
  <cols>
    <col min="1" max="1" width="35" customWidth="1"/>
  </cols>
  <sheetData>
    <row r="6" spans="1:3">
      <c r="A6" t="s">
        <v>43</v>
      </c>
    </row>
    <row r="7" spans="1:3">
      <c r="B7" t="s">
        <v>42</v>
      </c>
      <c r="C7" t="s">
        <v>41</v>
      </c>
    </row>
    <row r="8" spans="1:3">
      <c r="A8" t="s">
        <v>39</v>
      </c>
      <c r="B8" s="4">
        <v>14667.23</v>
      </c>
      <c r="C8" s="4">
        <f>+B8/24</f>
        <v>611.13458333333335</v>
      </c>
    </row>
    <row r="9" spans="1:3">
      <c r="A9" t="s">
        <v>40</v>
      </c>
      <c r="B9" s="4">
        <v>24343.57</v>
      </c>
      <c r="C9" s="4">
        <f>+B9/24</f>
        <v>1014.3154166666667</v>
      </c>
    </row>
  </sheetData>
  <sheetProtection selectLockedCells="1" selectUnlockedCells="1"/>
  <pageMargins left="0.32708333333333334" right="8.4027777777777785E-2" top="0.29097222222222224" bottom="0.35277777777777775" header="2.5694444444444443E-2" footer="8.7499999999999994E-2"/>
  <pageSetup scale="42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zoomScale="90" zoomScaleNormal="90" workbookViewId="0">
      <selection activeCell="A46" sqref="A46"/>
    </sheetView>
  </sheetViews>
  <sheetFormatPr baseColWidth="10" defaultRowHeight="12.75"/>
  <cols>
    <col min="1" max="1" width="38.5703125" customWidth="1"/>
    <col min="2" max="2" width="6.28515625" bestFit="1" customWidth="1"/>
    <col min="3" max="3" width="10.140625" bestFit="1" customWidth="1"/>
    <col min="4" max="7" width="11.42578125" style="4"/>
  </cols>
  <sheetData>
    <row r="1" spans="1:7" ht="22.5">
      <c r="A1" s="1" t="s">
        <v>22</v>
      </c>
      <c r="B1" s="1"/>
    </row>
    <row r="2" spans="1:7" ht="18">
      <c r="A2" s="2" t="s">
        <v>23</v>
      </c>
      <c r="B2" s="2"/>
    </row>
    <row r="3" spans="1:7" ht="15">
      <c r="A3" s="3" t="s">
        <v>44</v>
      </c>
      <c r="B3" s="3"/>
    </row>
    <row r="5" spans="1:7">
      <c r="C5" s="4">
        <v>73.400000000000006</v>
      </c>
      <c r="D5" s="11" t="s">
        <v>50</v>
      </c>
    </row>
    <row r="6" spans="1:7" ht="15">
      <c r="A6" s="5" t="s">
        <v>5</v>
      </c>
      <c r="B6" s="5" t="s">
        <v>47</v>
      </c>
      <c r="C6" s="6" t="s">
        <v>45</v>
      </c>
      <c r="G6" s="4">
        <v>316.81</v>
      </c>
    </row>
    <row r="7" spans="1:7" ht="15">
      <c r="A7" s="5" t="s">
        <v>10</v>
      </c>
      <c r="B7" s="5" t="s">
        <v>49</v>
      </c>
      <c r="C7" s="7">
        <v>9.6059999999999999</v>
      </c>
      <c r="D7" s="4">
        <f>+C7*$C$5</f>
        <v>705.08040000000005</v>
      </c>
      <c r="E7" s="4">
        <f>+D7/2</f>
        <v>352.54020000000003</v>
      </c>
      <c r="F7" s="4">
        <v>7.5</v>
      </c>
      <c r="G7" s="4">
        <f>SUM(E7:F7)</f>
        <v>360.04020000000003</v>
      </c>
    </row>
    <row r="8" spans="1:7" ht="15">
      <c r="A8" s="5" t="s">
        <v>21</v>
      </c>
      <c r="B8" s="10" t="s">
        <v>48</v>
      </c>
      <c r="C8" s="8">
        <v>3150</v>
      </c>
      <c r="D8" s="4">
        <f>+C8</f>
        <v>3150</v>
      </c>
      <c r="E8" s="4">
        <f t="shared" ref="E8:E26" si="0">+D8/2</f>
        <v>1575</v>
      </c>
      <c r="F8" s="4">
        <v>7.5</v>
      </c>
      <c r="G8" s="4">
        <f t="shared" ref="G8:G26" si="1">SUM(E8:F8)</f>
        <v>1582.5</v>
      </c>
    </row>
    <row r="9" spans="1:7" ht="15">
      <c r="A9" s="5" t="s">
        <v>20</v>
      </c>
      <c r="B9" s="5" t="s">
        <v>49</v>
      </c>
      <c r="C9" s="7">
        <v>26.9648</v>
      </c>
      <c r="D9" s="4">
        <f>+C9*$C$5</f>
        <v>1979.2163200000002</v>
      </c>
      <c r="E9" s="4">
        <f t="shared" si="0"/>
        <v>989.60816000000011</v>
      </c>
      <c r="F9" s="4">
        <v>7.5</v>
      </c>
      <c r="G9" s="4">
        <f t="shared" si="1"/>
        <v>997.10816000000011</v>
      </c>
    </row>
    <row r="10" spans="1:7" ht="15">
      <c r="A10" s="5" t="s">
        <v>16</v>
      </c>
      <c r="B10" s="5" t="s">
        <v>49</v>
      </c>
      <c r="C10" s="7">
        <v>9.6671999999999993</v>
      </c>
      <c r="D10" s="4">
        <f>+C10*$C$5</f>
        <v>709.57248000000004</v>
      </c>
      <c r="E10" s="4">
        <f t="shared" si="0"/>
        <v>354.78624000000002</v>
      </c>
      <c r="F10" s="4">
        <v>7.5</v>
      </c>
      <c r="G10" s="4">
        <f t="shared" si="1"/>
        <v>362.28624000000002</v>
      </c>
    </row>
    <row r="11" spans="1:7" ht="15">
      <c r="A11" s="5" t="s">
        <v>13</v>
      </c>
      <c r="B11" s="5" t="s">
        <v>49</v>
      </c>
      <c r="C11" s="7">
        <v>27.998000000000001</v>
      </c>
      <c r="D11" s="4">
        <f>+C11*$C$5</f>
        <v>2055.0532000000003</v>
      </c>
      <c r="E11" s="4">
        <f t="shared" si="0"/>
        <v>1027.5266000000001</v>
      </c>
      <c r="F11" s="4">
        <v>7.5</v>
      </c>
      <c r="G11" s="4">
        <f t="shared" si="1"/>
        <v>1035.0266000000001</v>
      </c>
    </row>
    <row r="12" spans="1:7" ht="15">
      <c r="A12" s="5" t="s">
        <v>9</v>
      </c>
      <c r="B12" s="5" t="s">
        <v>48</v>
      </c>
      <c r="C12" s="9">
        <v>455.65</v>
      </c>
      <c r="D12" s="4">
        <f>+C12</f>
        <v>455.65</v>
      </c>
      <c r="E12" s="4">
        <f t="shared" si="0"/>
        <v>227.82499999999999</v>
      </c>
      <c r="F12" s="4">
        <v>7.5</v>
      </c>
      <c r="G12" s="4">
        <f t="shared" si="1"/>
        <v>235.32499999999999</v>
      </c>
    </row>
    <row r="13" spans="1:7" ht="15">
      <c r="A13" s="5" t="s">
        <v>1</v>
      </c>
      <c r="B13" s="5" t="s">
        <v>48</v>
      </c>
      <c r="C13" s="9">
        <v>733.79</v>
      </c>
      <c r="D13" s="4">
        <f>+C13</f>
        <v>733.79</v>
      </c>
      <c r="E13" s="4">
        <f t="shared" si="0"/>
        <v>366.89499999999998</v>
      </c>
      <c r="F13" s="4">
        <v>7.5</v>
      </c>
      <c r="G13" s="4">
        <f t="shared" si="1"/>
        <v>374.39499999999998</v>
      </c>
    </row>
    <row r="14" spans="1:7" ht="15">
      <c r="A14" s="5" t="s">
        <v>3</v>
      </c>
      <c r="B14" s="5" t="s">
        <v>49</v>
      </c>
      <c r="C14" s="7">
        <v>9.6059999999999999</v>
      </c>
      <c r="D14" s="4">
        <f t="shared" ref="D14:D19" si="2">+C14*$C$5</f>
        <v>705.08040000000005</v>
      </c>
      <c r="E14" s="4">
        <f t="shared" si="0"/>
        <v>352.54020000000003</v>
      </c>
      <c r="F14" s="4">
        <v>7.5</v>
      </c>
      <c r="G14" s="4">
        <f t="shared" si="1"/>
        <v>360.04020000000003</v>
      </c>
    </row>
    <row r="15" spans="1:7" ht="15">
      <c r="A15" s="5" t="s">
        <v>12</v>
      </c>
      <c r="B15" s="5" t="s">
        <v>49</v>
      </c>
      <c r="C15" s="7">
        <v>12.3424</v>
      </c>
      <c r="D15" s="4">
        <f t="shared" si="2"/>
        <v>905.93216000000007</v>
      </c>
      <c r="E15" s="4">
        <f t="shared" si="0"/>
        <v>452.96608000000003</v>
      </c>
      <c r="F15" s="4">
        <v>7.5</v>
      </c>
      <c r="G15" s="4">
        <f t="shared" si="1"/>
        <v>460.46608000000003</v>
      </c>
    </row>
    <row r="16" spans="1:7" ht="15">
      <c r="A16" s="5" t="s">
        <v>6</v>
      </c>
      <c r="B16" s="5" t="s">
        <v>49</v>
      </c>
      <c r="C16" s="7">
        <v>25.064</v>
      </c>
      <c r="D16" s="4">
        <f t="shared" si="2"/>
        <v>1839.6976000000002</v>
      </c>
      <c r="E16" s="4">
        <f t="shared" si="0"/>
        <v>919.8488000000001</v>
      </c>
      <c r="F16" s="4">
        <v>7.5</v>
      </c>
      <c r="G16" s="4">
        <f t="shared" si="1"/>
        <v>927.3488000000001</v>
      </c>
    </row>
    <row r="17" spans="1:7" ht="15">
      <c r="A17" s="5" t="s">
        <v>11</v>
      </c>
      <c r="B17" s="5" t="s">
        <v>49</v>
      </c>
      <c r="C17" s="7">
        <v>31.19</v>
      </c>
      <c r="D17" s="4">
        <f t="shared" si="2"/>
        <v>2289.3460000000005</v>
      </c>
      <c r="E17" s="4">
        <f t="shared" si="0"/>
        <v>1144.6730000000002</v>
      </c>
      <c r="F17" s="4">
        <v>7.5</v>
      </c>
      <c r="G17" s="4">
        <f t="shared" si="1"/>
        <v>1152.1730000000002</v>
      </c>
    </row>
    <row r="18" spans="1:7" ht="15">
      <c r="A18" s="5" t="s">
        <v>7</v>
      </c>
      <c r="B18" s="5" t="s">
        <v>49</v>
      </c>
      <c r="C18" s="7">
        <v>16.537600000000001</v>
      </c>
      <c r="D18" s="4">
        <f t="shared" si="2"/>
        <v>1213.8598400000001</v>
      </c>
      <c r="E18" s="4">
        <f t="shared" si="0"/>
        <v>606.92992000000004</v>
      </c>
      <c r="F18" s="4">
        <v>7.5</v>
      </c>
      <c r="G18" s="11" t="s">
        <v>51</v>
      </c>
    </row>
    <row r="19" spans="1:7" ht="15">
      <c r="A19" s="5" t="s">
        <v>8</v>
      </c>
      <c r="B19" s="5" t="s">
        <v>49</v>
      </c>
      <c r="C19" s="7">
        <v>7.6</v>
      </c>
      <c r="D19" s="4">
        <f t="shared" si="2"/>
        <v>557.84</v>
      </c>
      <c r="E19" s="4">
        <f t="shared" si="0"/>
        <v>278.92</v>
      </c>
      <c r="F19" s="4">
        <v>7.5</v>
      </c>
      <c r="G19" s="4">
        <f t="shared" si="1"/>
        <v>286.42</v>
      </c>
    </row>
    <row r="20" spans="1:7" ht="15">
      <c r="A20" s="5" t="s">
        <v>46</v>
      </c>
      <c r="B20" s="5"/>
      <c r="C20" s="7">
        <v>539.76</v>
      </c>
      <c r="D20" s="4">
        <f>+C20</f>
        <v>539.76</v>
      </c>
      <c r="E20" s="4">
        <f t="shared" si="0"/>
        <v>269.88</v>
      </c>
      <c r="F20" s="4">
        <v>7.5</v>
      </c>
      <c r="G20" s="4">
        <f t="shared" si="1"/>
        <v>277.38</v>
      </c>
    </row>
    <row r="21" spans="1:7" ht="15">
      <c r="A21" s="5" t="s">
        <v>15</v>
      </c>
      <c r="B21" s="5" t="s">
        <v>48</v>
      </c>
      <c r="C21" s="9">
        <v>1045.56</v>
      </c>
      <c r="D21" s="4">
        <f>+C21</f>
        <v>1045.56</v>
      </c>
      <c r="E21" s="4">
        <f t="shared" si="0"/>
        <v>522.78</v>
      </c>
      <c r="F21" s="4">
        <v>7.5</v>
      </c>
      <c r="G21" s="4">
        <f t="shared" si="1"/>
        <v>530.28</v>
      </c>
    </row>
    <row r="22" spans="1:7" ht="15">
      <c r="A22" s="5" t="s">
        <v>14</v>
      </c>
      <c r="B22" s="5" t="s">
        <v>49</v>
      </c>
      <c r="C22" s="7">
        <v>22.815200000000001</v>
      </c>
      <c r="D22" s="4">
        <f>+C22*$C$5</f>
        <v>1674.6356800000001</v>
      </c>
      <c r="E22" s="4">
        <f t="shared" si="0"/>
        <v>837.31784000000005</v>
      </c>
      <c r="F22" s="4">
        <v>7.5</v>
      </c>
      <c r="G22" s="4">
        <f t="shared" si="1"/>
        <v>844.81784000000005</v>
      </c>
    </row>
    <row r="23" spans="1:7" ht="15">
      <c r="A23" s="5" t="s">
        <v>18</v>
      </c>
      <c r="B23" s="5" t="s">
        <v>49</v>
      </c>
      <c r="C23" s="7">
        <v>38.243200000000002</v>
      </c>
      <c r="D23" s="4">
        <f>+C23*$C$5</f>
        <v>2807.0508800000002</v>
      </c>
      <c r="E23" s="4">
        <f t="shared" si="0"/>
        <v>1403.5254400000001</v>
      </c>
      <c r="F23" s="4">
        <v>7.5</v>
      </c>
      <c r="G23" s="4">
        <f t="shared" si="1"/>
        <v>1411.0254400000001</v>
      </c>
    </row>
    <row r="24" spans="1:7" ht="15">
      <c r="A24" s="5" t="s">
        <v>4</v>
      </c>
      <c r="B24" s="5" t="s">
        <v>49</v>
      </c>
      <c r="C24" s="7">
        <v>19.181999999999999</v>
      </c>
      <c r="D24" s="4">
        <f>+C24*$C$5</f>
        <v>1407.9588000000001</v>
      </c>
      <c r="E24" s="4">
        <f t="shared" si="0"/>
        <v>703.97940000000006</v>
      </c>
      <c r="F24" s="4">
        <v>7.5</v>
      </c>
      <c r="G24" s="4">
        <f t="shared" si="1"/>
        <v>711.47940000000006</v>
      </c>
    </row>
    <row r="25" spans="1:7" ht="15">
      <c r="A25" s="5" t="s">
        <v>19</v>
      </c>
      <c r="B25" s="5" t="s">
        <v>49</v>
      </c>
      <c r="C25" s="7">
        <v>26.478000000000002</v>
      </c>
      <c r="D25" s="4">
        <f>+C25*$C$5</f>
        <v>1943.4852000000003</v>
      </c>
      <c r="E25" s="4">
        <f t="shared" si="0"/>
        <v>971.74260000000015</v>
      </c>
      <c r="F25" s="4">
        <v>7.5</v>
      </c>
      <c r="G25" s="4">
        <f t="shared" si="1"/>
        <v>979.24260000000015</v>
      </c>
    </row>
    <row r="26" spans="1:7" ht="15">
      <c r="A26" s="5" t="s">
        <v>2</v>
      </c>
      <c r="B26" s="5" t="s">
        <v>49</v>
      </c>
      <c r="C26" s="7">
        <v>44.414000000000001</v>
      </c>
      <c r="D26" s="4">
        <f>+C26*$C$5</f>
        <v>3259.9876000000004</v>
      </c>
      <c r="E26" s="4">
        <f t="shared" si="0"/>
        <v>1629.9938000000002</v>
      </c>
      <c r="F26" s="4">
        <v>7.5</v>
      </c>
      <c r="G26" s="4">
        <f t="shared" si="1"/>
        <v>1637.4938000000002</v>
      </c>
    </row>
    <row r="28" spans="1:7">
      <c r="D28" s="4">
        <f>SUM(D6:D27)</f>
        <v>29978.556559999997</v>
      </c>
      <c r="G28" s="4">
        <f>SUM(G6:G27)</f>
        <v>14841.658359999999</v>
      </c>
    </row>
  </sheetData>
  <pageMargins left="0.70866141732283472" right="0.70866141732283472" top="0.74803149606299213" bottom="0.74803149606299213" header="0.31496062992125984" footer="0.31496062992125984"/>
  <pageSetup scale="91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L19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3" sqref="C23"/>
    </sheetView>
  </sheetViews>
  <sheetFormatPr baseColWidth="10" defaultColWidth="11.5703125" defaultRowHeight="15"/>
  <cols>
    <col min="1" max="1" width="28.7109375" style="29" customWidth="1"/>
    <col min="2" max="2" width="39.140625" style="29" customWidth="1"/>
    <col min="3" max="3" width="8.140625" style="29" bestFit="1" customWidth="1"/>
    <col min="4" max="4" width="8.85546875" style="29" customWidth="1"/>
    <col min="5" max="5" width="31.5703125" style="29" customWidth="1"/>
    <col min="6" max="6" width="20.140625" style="29" bestFit="1" customWidth="1"/>
    <col min="7" max="7" width="13" style="29" bestFit="1" customWidth="1"/>
    <col min="8" max="8" width="11.7109375" style="29" customWidth="1"/>
    <col min="9" max="9" width="17.140625" style="23" customWidth="1"/>
    <col min="10" max="10" width="11.7109375" style="29" customWidth="1"/>
    <col min="11" max="13" width="13.85546875" style="23" customWidth="1"/>
    <col min="14" max="16" width="13.5703125" style="23" customWidth="1"/>
    <col min="17" max="17" width="17" style="24" customWidth="1"/>
    <col min="18" max="19" width="13.5703125" style="23" customWidth="1"/>
    <col min="20" max="20" width="13.5703125" style="25" customWidth="1"/>
    <col min="21" max="21" width="19.28515625" style="25" customWidth="1"/>
    <col min="22" max="22" width="16.85546875" style="25" customWidth="1"/>
    <col min="23" max="23" width="16.140625" style="25" customWidth="1"/>
    <col min="24" max="27" width="13.5703125" style="23" customWidth="1"/>
    <col min="28" max="28" width="16.7109375" style="24" customWidth="1"/>
    <col min="29" max="29" width="16.7109375" style="23" customWidth="1"/>
    <col min="30" max="30" width="15.42578125" style="24" customWidth="1"/>
    <col min="31" max="33" width="13.5703125" style="23" customWidth="1"/>
    <col min="34" max="34" width="15.42578125" style="24" customWidth="1"/>
    <col min="35" max="35" width="15.28515625" style="4" hidden="1" customWidth="1"/>
    <col min="36" max="37" width="11.5703125" style="4" hidden="1" customWidth="1"/>
    <col min="38" max="38" width="13.85546875" style="29" hidden="1" customWidth="1"/>
    <col min="39" max="39" width="13.85546875" style="29" customWidth="1"/>
    <col min="40" max="40" width="38.28515625" style="29" bestFit="1" customWidth="1"/>
    <col min="41" max="54" width="11.5703125" style="28"/>
    <col min="55" max="16384" width="11.5703125" style="29"/>
  </cols>
  <sheetData>
    <row r="1" spans="1:194" s="17" customFormat="1">
      <c r="A1" s="12" t="s">
        <v>22</v>
      </c>
      <c r="B1" s="12"/>
      <c r="C1" s="12"/>
      <c r="D1" s="12"/>
      <c r="E1" s="13"/>
      <c r="F1" s="13"/>
      <c r="G1" s="13"/>
      <c r="H1" s="13"/>
      <c r="I1" s="14"/>
      <c r="J1" s="13"/>
      <c r="K1" s="14"/>
      <c r="L1" s="14"/>
      <c r="M1" s="14"/>
      <c r="N1" s="14"/>
      <c r="O1" s="14"/>
      <c r="P1" s="14"/>
      <c r="Q1" s="15"/>
      <c r="R1" s="14"/>
      <c r="S1" s="14"/>
      <c r="T1" s="14"/>
      <c r="U1" s="14"/>
      <c r="V1" s="14"/>
      <c r="W1" s="14"/>
      <c r="X1" s="14"/>
      <c r="Y1" s="14"/>
      <c r="Z1" s="14"/>
      <c r="AA1" s="14"/>
      <c r="AB1" s="15"/>
      <c r="AC1" s="14"/>
      <c r="AD1" s="15"/>
      <c r="AE1" s="14"/>
      <c r="AF1" s="14"/>
      <c r="AG1" s="14"/>
      <c r="AH1" s="15"/>
      <c r="AI1" s="37"/>
      <c r="AJ1" s="37"/>
      <c r="AK1" s="37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</row>
    <row r="2" spans="1:194" s="17" customFormat="1">
      <c r="A2" s="18" t="s">
        <v>73</v>
      </c>
      <c r="B2" s="18"/>
      <c r="C2" s="18"/>
      <c r="D2" s="18"/>
      <c r="E2" s="19"/>
      <c r="F2" s="19"/>
      <c r="G2" s="19"/>
      <c r="H2" s="19"/>
      <c r="I2" s="14"/>
      <c r="J2" s="19"/>
      <c r="K2" s="14"/>
      <c r="L2" s="14"/>
      <c r="M2" s="14"/>
      <c r="N2" s="14"/>
      <c r="O2" s="14"/>
      <c r="P2" s="14"/>
      <c r="Q2" s="15"/>
      <c r="R2" s="14"/>
      <c r="S2" s="14"/>
      <c r="T2" s="14"/>
      <c r="U2" s="14"/>
      <c r="V2" s="14"/>
      <c r="W2" s="14"/>
      <c r="X2" s="14"/>
      <c r="Y2" s="14"/>
      <c r="Z2" s="14"/>
      <c r="AA2" s="14"/>
      <c r="AB2" s="15"/>
      <c r="AC2" s="14"/>
      <c r="AD2" s="15"/>
      <c r="AE2" s="14"/>
      <c r="AF2" s="14"/>
      <c r="AG2" s="14"/>
      <c r="AH2" s="15"/>
      <c r="AI2" s="37"/>
      <c r="AJ2" s="37"/>
      <c r="AK2" s="37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</row>
    <row r="3" spans="1:194" s="17" customFormat="1">
      <c r="A3" s="20" t="s">
        <v>238</v>
      </c>
      <c r="B3" s="20"/>
      <c r="C3" s="20"/>
      <c r="D3" s="20"/>
      <c r="E3" s="21"/>
      <c r="F3" s="21"/>
      <c r="G3" s="21"/>
      <c r="H3" s="21"/>
      <c r="I3" s="14"/>
      <c r="J3" s="21"/>
      <c r="K3" s="14"/>
      <c r="L3" s="14"/>
      <c r="M3" s="14"/>
      <c r="N3" s="14"/>
      <c r="O3" s="14"/>
      <c r="P3" s="14"/>
      <c r="Q3" s="15"/>
      <c r="R3" s="14"/>
      <c r="S3" s="14"/>
      <c r="T3" s="14"/>
      <c r="U3" s="14"/>
      <c r="V3" s="14"/>
      <c r="W3" s="14"/>
      <c r="X3" s="14"/>
      <c r="Y3" s="14"/>
      <c r="Z3" s="14"/>
      <c r="AA3" s="14"/>
      <c r="AB3" s="15"/>
      <c r="AC3" s="14"/>
      <c r="AD3" s="15"/>
      <c r="AE3" s="14"/>
      <c r="AF3" s="14"/>
      <c r="AG3" s="14"/>
      <c r="AH3" s="15"/>
      <c r="AI3" s="37"/>
      <c r="AJ3" s="37"/>
      <c r="AK3" s="37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</row>
    <row r="4" spans="1:194" s="22" customFormat="1">
      <c r="A4" s="22" t="s">
        <v>237</v>
      </c>
      <c r="I4" s="23"/>
      <c r="K4" s="23"/>
      <c r="L4" s="23"/>
      <c r="M4" s="23"/>
      <c r="N4" s="23"/>
      <c r="O4" s="23"/>
      <c r="P4" s="23"/>
      <c r="Q4" s="24"/>
      <c r="R4" s="23"/>
      <c r="S4" s="23"/>
      <c r="T4" s="25"/>
      <c r="U4" s="25"/>
      <c r="V4" s="25"/>
      <c r="W4" s="25"/>
      <c r="X4" s="23"/>
      <c r="Y4" s="23"/>
      <c r="Z4" s="23"/>
      <c r="AA4" s="23"/>
      <c r="AB4" s="24"/>
      <c r="AC4" s="23"/>
      <c r="AD4" s="24"/>
      <c r="AE4" s="23"/>
      <c r="AF4" s="23"/>
      <c r="AG4" s="23"/>
      <c r="AH4" s="24"/>
      <c r="AI4" s="4"/>
      <c r="AJ4" s="4"/>
      <c r="AK4" s="4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</row>
    <row r="5" spans="1:194" s="22" customFormat="1" ht="28.5" customHeight="1">
      <c r="A5" s="154" t="s">
        <v>36</v>
      </c>
      <c r="B5" s="156" t="s">
        <v>37</v>
      </c>
      <c r="C5" s="154"/>
      <c r="D5" s="156" t="s">
        <v>38</v>
      </c>
      <c r="E5" s="156" t="s">
        <v>0</v>
      </c>
      <c r="F5" s="154" t="s">
        <v>201</v>
      </c>
      <c r="G5" s="145" t="s">
        <v>64</v>
      </c>
      <c r="H5" s="145" t="s">
        <v>62</v>
      </c>
      <c r="I5" s="158" t="s">
        <v>63</v>
      </c>
      <c r="J5" s="152" t="s">
        <v>65</v>
      </c>
      <c r="K5" s="145" t="s">
        <v>31</v>
      </c>
      <c r="L5" s="152" t="s">
        <v>72</v>
      </c>
      <c r="M5" s="76"/>
      <c r="N5" s="145" t="s">
        <v>32</v>
      </c>
      <c r="O5" s="145" t="s">
        <v>33</v>
      </c>
      <c r="P5" s="145" t="s">
        <v>60</v>
      </c>
      <c r="Q5" s="145" t="s">
        <v>34</v>
      </c>
      <c r="R5" s="145" t="s">
        <v>35</v>
      </c>
      <c r="S5" s="75"/>
      <c r="T5" s="150" t="s">
        <v>161</v>
      </c>
      <c r="U5" s="150" t="s">
        <v>180</v>
      </c>
      <c r="V5" s="150" t="s">
        <v>179</v>
      </c>
      <c r="W5" s="150" t="s">
        <v>162</v>
      </c>
      <c r="X5" s="145" t="s">
        <v>28</v>
      </c>
      <c r="Y5" s="145" t="s">
        <v>53</v>
      </c>
      <c r="Z5" s="145" t="s">
        <v>52</v>
      </c>
      <c r="AA5" s="145" t="s">
        <v>30</v>
      </c>
      <c r="AB5" s="145" t="s">
        <v>61</v>
      </c>
      <c r="AC5" s="145" t="s">
        <v>25</v>
      </c>
      <c r="AD5" s="145" t="s">
        <v>29</v>
      </c>
      <c r="AE5" s="145" t="s">
        <v>24</v>
      </c>
      <c r="AF5" s="145" t="s">
        <v>26</v>
      </c>
      <c r="AG5" s="74"/>
      <c r="AH5" s="145" t="s">
        <v>27</v>
      </c>
      <c r="AI5" s="160" t="s">
        <v>163</v>
      </c>
      <c r="AJ5" s="161"/>
      <c r="AK5" s="149" t="s">
        <v>164</v>
      </c>
      <c r="AL5" s="143" t="s">
        <v>209</v>
      </c>
      <c r="AM5" s="72"/>
      <c r="AN5" s="143" t="s">
        <v>210</v>
      </c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</row>
    <row r="6" spans="1:194" s="33" customFormat="1" ht="39" customHeight="1">
      <c r="A6" s="155"/>
      <c r="B6" s="157"/>
      <c r="C6" s="155"/>
      <c r="D6" s="157"/>
      <c r="E6" s="157"/>
      <c r="F6" s="155"/>
      <c r="G6" s="146"/>
      <c r="H6" s="146"/>
      <c r="I6" s="159"/>
      <c r="J6" s="153"/>
      <c r="K6" s="146"/>
      <c r="L6" s="153"/>
      <c r="M6" s="77" t="s">
        <v>225</v>
      </c>
      <c r="N6" s="146"/>
      <c r="O6" s="146"/>
      <c r="P6" s="146"/>
      <c r="Q6" s="146"/>
      <c r="R6" s="146"/>
      <c r="S6" s="41" t="s">
        <v>223</v>
      </c>
      <c r="T6" s="151"/>
      <c r="U6" s="151"/>
      <c r="V6" s="151"/>
      <c r="W6" s="151"/>
      <c r="X6" s="146"/>
      <c r="Y6" s="146"/>
      <c r="Z6" s="146"/>
      <c r="AA6" s="146"/>
      <c r="AB6" s="146"/>
      <c r="AC6" s="146"/>
      <c r="AD6" s="146"/>
      <c r="AE6" s="146"/>
      <c r="AF6" s="146"/>
      <c r="AG6" s="75"/>
      <c r="AH6" s="146"/>
      <c r="AI6" s="42" t="s">
        <v>63</v>
      </c>
      <c r="AJ6" s="42" t="s">
        <v>65</v>
      </c>
      <c r="AK6" s="149"/>
      <c r="AL6" s="143"/>
      <c r="AM6" s="72" t="s">
        <v>239</v>
      </c>
      <c r="AN6" s="143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</row>
    <row r="7" spans="1:194">
      <c r="AH7" s="24" t="e">
        <f>#REF!*0.16</f>
        <v>#REF!</v>
      </c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</row>
    <row r="8" spans="1:194">
      <c r="A8" s="144" t="s">
        <v>227</v>
      </c>
      <c r="B8" s="144"/>
      <c r="C8" s="73"/>
      <c r="D8" s="47"/>
      <c r="E8" s="47"/>
      <c r="F8" s="47"/>
      <c r="G8" s="47"/>
      <c r="H8" s="47"/>
      <c r="I8" s="49"/>
      <c r="J8" s="47"/>
      <c r="K8" s="49"/>
      <c r="L8" s="49"/>
      <c r="M8" s="49"/>
      <c r="N8" s="49"/>
      <c r="O8" s="49"/>
      <c r="P8" s="49"/>
      <c r="Q8" s="65"/>
      <c r="R8" s="49"/>
      <c r="S8" s="49"/>
      <c r="T8" s="59"/>
      <c r="U8" s="59"/>
      <c r="V8" s="59"/>
      <c r="W8" s="59"/>
      <c r="X8" s="49"/>
      <c r="Y8" s="49"/>
      <c r="Z8" s="49"/>
      <c r="AA8" s="49"/>
      <c r="AB8" s="65"/>
      <c r="AC8" s="49"/>
      <c r="AD8" s="65"/>
      <c r="AE8" s="49"/>
      <c r="AF8" s="49"/>
      <c r="AG8" s="49"/>
      <c r="AH8" s="65" t="e">
        <f>+#REF!+AH7</f>
        <v>#REF!</v>
      </c>
      <c r="AI8" s="67"/>
      <c r="AJ8" s="67"/>
      <c r="AK8" s="67"/>
      <c r="AL8" s="47"/>
      <c r="AM8" s="47"/>
      <c r="AN8" s="47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</row>
    <row r="9" spans="1:194" hidden="1">
      <c r="A9" s="60"/>
      <c r="B9" s="47" t="s">
        <v>228</v>
      </c>
      <c r="C9" s="47"/>
      <c r="D9" s="48"/>
      <c r="E9" s="47"/>
      <c r="F9" s="47"/>
      <c r="G9" s="47"/>
      <c r="H9" s="47"/>
      <c r="I9" s="49"/>
      <c r="J9" s="47"/>
      <c r="K9" s="49"/>
      <c r="L9" s="78">
        <v>533.29999999999995</v>
      </c>
      <c r="M9" s="49"/>
      <c r="N9" s="49"/>
      <c r="O9" s="49"/>
      <c r="P9" s="49"/>
      <c r="Q9" s="51">
        <f>SUM(K9:P9)</f>
        <v>533.29999999999995</v>
      </c>
      <c r="R9" s="52"/>
      <c r="S9" s="52"/>
      <c r="T9" s="59"/>
      <c r="U9" s="57">
        <f>Q9*4.9%</f>
        <v>26.131699999999999</v>
      </c>
      <c r="V9" s="57">
        <f>Q9*1%</f>
        <v>5.3329999999999993</v>
      </c>
      <c r="W9" s="59"/>
      <c r="X9" s="69"/>
      <c r="Y9" s="69"/>
      <c r="Z9" s="69"/>
      <c r="AA9" s="69"/>
      <c r="AB9" s="51">
        <f>+Q9-R9</f>
        <v>533.29999999999995</v>
      </c>
      <c r="AC9" s="53">
        <f>+AB9*0.05</f>
        <v>26.664999999999999</v>
      </c>
      <c r="AD9" s="51">
        <f>+AB9-X9-AA9</f>
        <v>533.29999999999995</v>
      </c>
      <c r="AE9" s="54">
        <f>IF(AB9&lt;3000,AB9*0.1,0)</f>
        <v>53.33</v>
      </c>
      <c r="AF9" s="53">
        <v>0</v>
      </c>
      <c r="AG9" s="53"/>
      <c r="AH9" s="51">
        <f>+AB9+AE9+AF9</f>
        <v>586.63</v>
      </c>
      <c r="AI9" s="70"/>
      <c r="AJ9" s="70"/>
      <c r="AK9" s="70"/>
      <c r="AL9" s="47"/>
      <c r="AM9" s="47"/>
      <c r="AN9" s="47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</row>
    <row r="10" spans="1:194">
      <c r="AH10" s="24">
        <f>SUM(AH9:AH9)</f>
        <v>586.63</v>
      </c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</row>
    <row r="11" spans="1:194">
      <c r="B11" s="30"/>
      <c r="C11" s="30"/>
      <c r="D11" s="30"/>
      <c r="AH11" s="24">
        <f>+AH10*0.16</f>
        <v>93.860799999999998</v>
      </c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</row>
    <row r="12" spans="1:194">
      <c r="B12" s="30"/>
      <c r="C12" s="30"/>
      <c r="D12" s="30"/>
      <c r="AH12" s="24">
        <f>+AH10+AH11</f>
        <v>680.49080000000004</v>
      </c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</row>
    <row r="13" spans="1:194">
      <c r="B13" s="30"/>
      <c r="C13" s="30"/>
      <c r="D13" s="30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</row>
    <row r="14" spans="1:194">
      <c r="B14" s="30"/>
      <c r="C14" s="30"/>
      <c r="D14" s="30"/>
      <c r="AH14" s="24" t="e">
        <f>+AH8+AH12</f>
        <v>#REF!</v>
      </c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</row>
    <row r="15" spans="1:194"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</row>
    <row r="16" spans="1:194"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</row>
    <row r="17" spans="55:194"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</row>
    <row r="18" spans="55:194"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</row>
    <row r="19" spans="55:194"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</row>
  </sheetData>
  <sheetProtection selectLockedCells="1" selectUnlockedCells="1"/>
  <autoFilter ref="A5:AN6">
    <filterColumn colId="34" showButton="0"/>
    <sortState ref="A8:AN94">
      <sortCondition ref="B5:B94"/>
    </sortState>
  </autoFilter>
  <mergeCells count="36">
    <mergeCell ref="L5:L6"/>
    <mergeCell ref="A5:A6"/>
    <mergeCell ref="B5:B6"/>
    <mergeCell ref="C5:C6"/>
    <mergeCell ref="D5:D6"/>
    <mergeCell ref="E5:E6"/>
    <mergeCell ref="F5:F6"/>
    <mergeCell ref="AE5:AE6"/>
    <mergeCell ref="AF5:AF6"/>
    <mergeCell ref="U5:U6"/>
    <mergeCell ref="V5:V6"/>
    <mergeCell ref="W5:W6"/>
    <mergeCell ref="X5:X6"/>
    <mergeCell ref="Y5:Y6"/>
    <mergeCell ref="Z5:Z6"/>
    <mergeCell ref="A8:B8"/>
    <mergeCell ref="AA5:AA6"/>
    <mergeCell ref="AB5:AB6"/>
    <mergeCell ref="AC5:AC6"/>
    <mergeCell ref="AD5:AD6"/>
    <mergeCell ref="N5:N6"/>
    <mergeCell ref="O5:O6"/>
    <mergeCell ref="P5:P6"/>
    <mergeCell ref="Q5:Q6"/>
    <mergeCell ref="R5:R6"/>
    <mergeCell ref="T5:T6"/>
    <mergeCell ref="G5:G6"/>
    <mergeCell ref="H5:H6"/>
    <mergeCell ref="I5:I6"/>
    <mergeCell ref="J5:J6"/>
    <mergeCell ref="K5:K6"/>
    <mergeCell ref="AH5:AH6"/>
    <mergeCell ref="AI5:AJ5"/>
    <mergeCell ref="AK5:AK6"/>
    <mergeCell ref="AL5:AL6"/>
    <mergeCell ref="AN5:AN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FORMATO NOMINA</vt:lpstr>
      <vt:lpstr>descuentos</vt:lpstr>
      <vt:lpstr>INFONAVIT</vt:lpstr>
      <vt:lpstr>COMPLEMENTO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2016-07-08T15:15:10Z</dcterms:modified>
</cp:coreProperties>
</file>