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 activeTab="1"/>
  </bookViews>
  <sheets>
    <sheet name="FORMATO NOMINA COM" sheetId="6" r:id="rId1"/>
    <sheet name="FORMATO NOMINA" sheetId="4" r:id="rId2"/>
    <sheet name="descuentos" sheetId="2" r:id="rId3"/>
    <sheet name="INFONAVIT" sheetId="3" r:id="rId4"/>
    <sheet name="COMPLEMENTO" sheetId="5" r:id="rId5"/>
  </sheets>
  <definedNames>
    <definedName name="_xlnm._FilterDatabase" localSheetId="4" hidden="1">COMPLEMENTO!$A$5:$AN$6</definedName>
    <definedName name="_xlnm._FilterDatabase" localSheetId="1" hidden="1">'FORMATO NOMINA'!$A$5:$AN$102</definedName>
    <definedName name="_xlnm._FilterDatabase" localSheetId="0" hidden="1">'FORMATO NOMINA COM'!$A$5:$AM$104</definedName>
  </definedNames>
  <calcPr calcId="124519"/>
</workbook>
</file>

<file path=xl/calcChain.xml><?xml version="1.0" encoding="utf-8"?>
<calcChain xmlns="http://schemas.openxmlformats.org/spreadsheetml/2006/main">
  <c r="AH36" i="4"/>
  <c r="Q36"/>
  <c r="K36"/>
  <c r="Q109"/>
  <c r="AC109" s="1"/>
  <c r="L14"/>
  <c r="L68"/>
  <c r="L65"/>
  <c r="L71"/>
  <c r="L60"/>
  <c r="L74"/>
  <c r="L26"/>
  <c r="L53"/>
  <c r="L101"/>
  <c r="L24"/>
  <c r="L92"/>
  <c r="L88"/>
  <c r="L93"/>
  <c r="L73"/>
  <c r="L30"/>
  <c r="L42"/>
  <c r="L11"/>
  <c r="L75"/>
  <c r="L32"/>
  <c r="L48"/>
  <c r="L18"/>
  <c r="L100"/>
  <c r="L67"/>
  <c r="L81"/>
  <c r="L19"/>
  <c r="L98"/>
  <c r="L66"/>
  <c r="L9"/>
  <c r="L52"/>
  <c r="L86"/>
  <c r="L51"/>
  <c r="L107"/>
  <c r="AI36" l="1"/>
  <c r="AF36"/>
  <c r="AC36"/>
  <c r="AD36"/>
  <c r="AE109"/>
  <c r="AF109"/>
  <c r="AI109" s="1"/>
  <c r="AD109"/>
  <c r="K34"/>
  <c r="AE36" l="1"/>
  <c r="AL36" s="1"/>
  <c r="K48"/>
  <c r="Q48" s="1"/>
  <c r="V48" l="1"/>
  <c r="AH48" s="1"/>
  <c r="W48"/>
  <c r="AD48"/>
  <c r="AF48"/>
  <c r="K28"/>
  <c r="Q59" i="6"/>
  <c r="Q78"/>
  <c r="Q97"/>
  <c r="Q77"/>
  <c r="AE77" s="1"/>
  <c r="Q70"/>
  <c r="Q63"/>
  <c r="Q58"/>
  <c r="Q45"/>
  <c r="Q43"/>
  <c r="Q24"/>
  <c r="Q23"/>
  <c r="AG114"/>
  <c r="K114"/>
  <c r="Q114" s="1"/>
  <c r="Q110"/>
  <c r="AB110" s="1"/>
  <c r="Q109"/>
  <c r="AJ106"/>
  <c r="AI106"/>
  <c r="AF106"/>
  <c r="AA106"/>
  <c r="Z106"/>
  <c r="Y106"/>
  <c r="X106"/>
  <c r="W106"/>
  <c r="R106"/>
  <c r="P106"/>
  <c r="O106"/>
  <c r="N106"/>
  <c r="AK104"/>
  <c r="AG104"/>
  <c r="Q104"/>
  <c r="AG103"/>
  <c r="K103"/>
  <c r="AG102"/>
  <c r="K102"/>
  <c r="Q102" s="1"/>
  <c r="AG101"/>
  <c r="K101"/>
  <c r="Q101" s="1"/>
  <c r="K100"/>
  <c r="AG99"/>
  <c r="K99"/>
  <c r="Q99" s="1"/>
  <c r="AG98"/>
  <c r="K98"/>
  <c r="Q98" s="1"/>
  <c r="AE98" s="1"/>
  <c r="AG97"/>
  <c r="K97"/>
  <c r="AE97" s="1"/>
  <c r="AG96"/>
  <c r="Q96"/>
  <c r="I96"/>
  <c r="AG95"/>
  <c r="Q95"/>
  <c r="I95"/>
  <c r="AG94"/>
  <c r="Q94"/>
  <c r="I94"/>
  <c r="AG93"/>
  <c r="K93"/>
  <c r="Q93" s="1"/>
  <c r="AG92"/>
  <c r="K92"/>
  <c r="Q92" s="1"/>
  <c r="AG91"/>
  <c r="K91"/>
  <c r="Q91" s="1"/>
  <c r="AC91" s="1"/>
  <c r="AG90"/>
  <c r="K90"/>
  <c r="AG89"/>
  <c r="Q89"/>
  <c r="AB89" s="1"/>
  <c r="K88"/>
  <c r="Q88" s="1"/>
  <c r="K87"/>
  <c r="Q87" s="1"/>
  <c r="V87" s="1"/>
  <c r="AG86"/>
  <c r="K86"/>
  <c r="Q86" s="1"/>
  <c r="AG85"/>
  <c r="K85"/>
  <c r="Q85" s="1"/>
  <c r="AC85" s="1"/>
  <c r="AG84"/>
  <c r="K84"/>
  <c r="Q84" s="1"/>
  <c r="AG83"/>
  <c r="K83"/>
  <c r="Q83" s="1"/>
  <c r="AE83" s="1"/>
  <c r="AG82"/>
  <c r="Q82"/>
  <c r="I82"/>
  <c r="AG81"/>
  <c r="K81"/>
  <c r="Q81" s="1"/>
  <c r="AE81" s="1"/>
  <c r="AG80"/>
  <c r="K80"/>
  <c r="Q80" s="1"/>
  <c r="K79"/>
  <c r="Q79" s="1"/>
  <c r="AG78"/>
  <c r="K78"/>
  <c r="AG77"/>
  <c r="Q76"/>
  <c r="I76"/>
  <c r="AG75"/>
  <c r="K75"/>
  <c r="Q75" s="1"/>
  <c r="AG74"/>
  <c r="K74"/>
  <c r="Q74" s="1"/>
  <c r="AB74" s="1"/>
  <c r="AG73"/>
  <c r="K73"/>
  <c r="Q73" s="1"/>
  <c r="AC73" s="1"/>
  <c r="AG72"/>
  <c r="K72"/>
  <c r="Q72" s="1"/>
  <c r="AB72" s="1"/>
  <c r="AG71"/>
  <c r="K71"/>
  <c r="Q71" s="1"/>
  <c r="AG70"/>
  <c r="K70"/>
  <c r="AG69"/>
  <c r="K69"/>
  <c r="Q69" s="1"/>
  <c r="AE69" s="1"/>
  <c r="K68"/>
  <c r="K67"/>
  <c r="Q67" s="1"/>
  <c r="AG66"/>
  <c r="Q66"/>
  <c r="I66"/>
  <c r="K65"/>
  <c r="Q65" s="1"/>
  <c r="AG64"/>
  <c r="K64"/>
  <c r="Q64" s="1"/>
  <c r="AG63"/>
  <c r="K63"/>
  <c r="AG62"/>
  <c r="I62"/>
  <c r="K62" s="1"/>
  <c r="Q62" s="1"/>
  <c r="AG61"/>
  <c r="Q61"/>
  <c r="I61"/>
  <c r="AG60"/>
  <c r="K60"/>
  <c r="Q60" s="1"/>
  <c r="AG59"/>
  <c r="K59"/>
  <c r="AG58"/>
  <c r="K58"/>
  <c r="AG57"/>
  <c r="K57"/>
  <c r="Q57" s="1"/>
  <c r="AG56"/>
  <c r="K56"/>
  <c r="Q56" s="1"/>
  <c r="AG55"/>
  <c r="I55"/>
  <c r="K55" s="1"/>
  <c r="Q55" s="1"/>
  <c r="AG54"/>
  <c r="K54"/>
  <c r="Q54" s="1"/>
  <c r="AG53"/>
  <c r="K53"/>
  <c r="Q53" s="1"/>
  <c r="AG52"/>
  <c r="K52"/>
  <c r="Q52" s="1"/>
  <c r="K51"/>
  <c r="Q51" s="1"/>
  <c r="K50"/>
  <c r="Q50" s="1"/>
  <c r="K49"/>
  <c r="Q49" s="1"/>
  <c r="AG48"/>
  <c r="K48"/>
  <c r="Q48" s="1"/>
  <c r="AC48" s="1"/>
  <c r="AG47"/>
  <c r="K47"/>
  <c r="Q47" s="1"/>
  <c r="AG46"/>
  <c r="K46"/>
  <c r="Q46" s="1"/>
  <c r="AE46" s="1"/>
  <c r="AG45"/>
  <c r="K45"/>
  <c r="AG44"/>
  <c r="K44"/>
  <c r="Q44" s="1"/>
  <c r="AG43"/>
  <c r="K43"/>
  <c r="AG42"/>
  <c r="K42"/>
  <c r="Q42" s="1"/>
  <c r="AC42" s="1"/>
  <c r="AG41"/>
  <c r="K41"/>
  <c r="Q41" s="1"/>
  <c r="AG40"/>
  <c r="K40"/>
  <c r="Q40" s="1"/>
  <c r="AG39"/>
  <c r="K39"/>
  <c r="Q39" s="1"/>
  <c r="AG38"/>
  <c r="K38"/>
  <c r="Q38" s="1"/>
  <c r="AE38" s="1"/>
  <c r="AG37"/>
  <c r="K37"/>
  <c r="Q37" s="1"/>
  <c r="AE37" s="1"/>
  <c r="AG36"/>
  <c r="K36"/>
  <c r="Q36" s="1"/>
  <c r="AG35"/>
  <c r="Q35"/>
  <c r="AE35" s="1"/>
  <c r="I35"/>
  <c r="AG34"/>
  <c r="Q34"/>
  <c r="AE34" s="1"/>
  <c r="I34"/>
  <c r="K33"/>
  <c r="Q33" s="1"/>
  <c r="AG32"/>
  <c r="K32"/>
  <c r="Q32" s="1"/>
  <c r="Q31"/>
  <c r="AG30"/>
  <c r="K30"/>
  <c r="Q30" s="1"/>
  <c r="AC30" s="1"/>
  <c r="AG29"/>
  <c r="Q29"/>
  <c r="AE29" s="1"/>
  <c r="AG28"/>
  <c r="K28"/>
  <c r="Q28" s="1"/>
  <c r="AE28" s="1"/>
  <c r="AG27"/>
  <c r="K27"/>
  <c r="Q27" s="1"/>
  <c r="AG26"/>
  <c r="K26"/>
  <c r="Q26" s="1"/>
  <c r="AG25"/>
  <c r="Q25"/>
  <c r="AE25" s="1"/>
  <c r="I25"/>
  <c r="AG24"/>
  <c r="K24"/>
  <c r="AG23"/>
  <c r="K23"/>
  <c r="K22"/>
  <c r="Q22" s="1"/>
  <c r="AG21"/>
  <c r="K21"/>
  <c r="Q21" s="1"/>
  <c r="AC21" s="1"/>
  <c r="K20"/>
  <c r="Q20" s="1"/>
  <c r="AG19"/>
  <c r="K19"/>
  <c r="Q19" s="1"/>
  <c r="AE19" s="1"/>
  <c r="AG18"/>
  <c r="K18"/>
  <c r="Q18" s="1"/>
  <c r="AG17"/>
  <c r="K17"/>
  <c r="Q17" s="1"/>
  <c r="AC17" s="1"/>
  <c r="AG16"/>
  <c r="K16"/>
  <c r="Q16" s="1"/>
  <c r="AE16" s="1"/>
  <c r="K15"/>
  <c r="Q15" s="1"/>
  <c r="AC15" s="1"/>
  <c r="AG14"/>
  <c r="K14"/>
  <c r="Q14" s="1"/>
  <c r="AG13"/>
  <c r="K13"/>
  <c r="Q13" s="1"/>
  <c r="AG12"/>
  <c r="K12"/>
  <c r="Q12" s="1"/>
  <c r="AC12" s="1"/>
  <c r="AG11"/>
  <c r="K11"/>
  <c r="Q11" s="1"/>
  <c r="AE11" s="1"/>
  <c r="AG10"/>
  <c r="Q10"/>
  <c r="I10"/>
  <c r="L106"/>
  <c r="K9"/>
  <c r="Q9" s="1"/>
  <c r="AG8"/>
  <c r="K8"/>
  <c r="Q8" s="1"/>
  <c r="AE8" s="1"/>
  <c r="AG7"/>
  <c r="K7"/>
  <c r="Q7" s="1"/>
  <c r="AI48" i="4" l="1"/>
  <c r="AC48"/>
  <c r="AE48"/>
  <c r="AE59" i="6"/>
  <c r="Q106"/>
  <c r="AE63"/>
  <c r="AH63" s="1"/>
  <c r="AH43"/>
  <c r="AC23"/>
  <c r="AH77"/>
  <c r="AH83"/>
  <c r="AC25"/>
  <c r="AH29"/>
  <c r="AE110"/>
  <c r="AH110" s="1"/>
  <c r="AC110"/>
  <c r="AC32"/>
  <c r="AE32"/>
  <c r="AH32" s="1"/>
  <c r="V51"/>
  <c r="AC51"/>
  <c r="AE39"/>
  <c r="AH39" s="1"/>
  <c r="AC39"/>
  <c r="AB39"/>
  <c r="AC52"/>
  <c r="AE52"/>
  <c r="AH52" s="1"/>
  <c r="AC56"/>
  <c r="AE56"/>
  <c r="AH56" s="1"/>
  <c r="AE60"/>
  <c r="AH60" s="1"/>
  <c r="AC60"/>
  <c r="AC26"/>
  <c r="AE26"/>
  <c r="AC79"/>
  <c r="V79"/>
  <c r="AC19"/>
  <c r="AB25"/>
  <c r="AC59"/>
  <c r="AC70"/>
  <c r="AE70"/>
  <c r="AH70" s="1"/>
  <c r="AC97"/>
  <c r="AH8"/>
  <c r="AH69"/>
  <c r="AB8"/>
  <c r="AE17"/>
  <c r="AH17" s="1"/>
  <c r="AE23"/>
  <c r="AH23" s="1"/>
  <c r="AB29"/>
  <c r="AH38"/>
  <c r="AC46"/>
  <c r="AC47"/>
  <c r="AE51"/>
  <c r="AB69"/>
  <c r="AB77"/>
  <c r="AB83"/>
  <c r="U87"/>
  <c r="AG87" s="1"/>
  <c r="AB98"/>
  <c r="AH98"/>
  <c r="AC8"/>
  <c r="AH19"/>
  <c r="AB26"/>
  <c r="AD26" s="1"/>
  <c r="AK26" s="1"/>
  <c r="AH26"/>
  <c r="AC28"/>
  <c r="AC29"/>
  <c r="AB35"/>
  <c r="AB38"/>
  <c r="AE47"/>
  <c r="AH47" s="1"/>
  <c r="AE48"/>
  <c r="AH48" s="1"/>
  <c r="U51"/>
  <c r="AG51" s="1"/>
  <c r="AC69"/>
  <c r="AC77"/>
  <c r="AC81"/>
  <c r="AC83"/>
  <c r="AH97"/>
  <c r="AC98"/>
  <c r="AB19"/>
  <c r="AE21"/>
  <c r="AH21" s="1"/>
  <c r="AH25"/>
  <c r="AE30"/>
  <c r="AH30" s="1"/>
  <c r="AC38"/>
  <c r="AB70"/>
  <c r="AB97"/>
  <c r="AB7"/>
  <c r="AE7"/>
  <c r="AH7" s="1"/>
  <c r="AC7"/>
  <c r="AC10"/>
  <c r="AB10"/>
  <c r="AE10"/>
  <c r="AH10" s="1"/>
  <c r="AB27"/>
  <c r="AE27"/>
  <c r="AH27" s="1"/>
  <c r="AB41"/>
  <c r="AC41"/>
  <c r="AE55"/>
  <c r="AH55" s="1"/>
  <c r="AC55"/>
  <c r="AB55"/>
  <c r="AC57"/>
  <c r="AE57"/>
  <c r="AH57" s="1"/>
  <c r="AB57"/>
  <c r="AB61"/>
  <c r="AC61"/>
  <c r="AE61"/>
  <c r="AH61" s="1"/>
  <c r="AB62"/>
  <c r="AE62"/>
  <c r="AH62" s="1"/>
  <c r="AE75"/>
  <c r="AH75" s="1"/>
  <c r="AC75"/>
  <c r="AB75"/>
  <c r="AB82"/>
  <c r="AC82"/>
  <c r="AE82"/>
  <c r="AH82" s="1"/>
  <c r="AC84"/>
  <c r="AB84"/>
  <c r="AC93"/>
  <c r="AB93"/>
  <c r="AE94"/>
  <c r="AH94" s="1"/>
  <c r="AC94"/>
  <c r="AB94"/>
  <c r="AC99"/>
  <c r="AB99"/>
  <c r="AE99"/>
  <c r="AH99" s="1"/>
  <c r="AE9"/>
  <c r="V9"/>
  <c r="AC9"/>
  <c r="U9"/>
  <c r="AC18"/>
  <c r="AE18"/>
  <c r="AH18" s="1"/>
  <c r="AB18"/>
  <c r="AH24"/>
  <c r="AB24"/>
  <c r="AC24" s="1"/>
  <c r="AC40"/>
  <c r="AB40"/>
  <c r="AE40"/>
  <c r="AH40" s="1"/>
  <c r="AE41"/>
  <c r="AH41" s="1"/>
  <c r="AB45"/>
  <c r="AE45"/>
  <c r="AH45" s="1"/>
  <c r="AE53"/>
  <c r="AH53" s="1"/>
  <c r="V53"/>
  <c r="AB53" s="1"/>
  <c r="AC53"/>
  <c r="AC54"/>
  <c r="AB54"/>
  <c r="AE54"/>
  <c r="AH54" s="1"/>
  <c r="AC62"/>
  <c r="T65"/>
  <c r="AC65"/>
  <c r="U65"/>
  <c r="AG65" s="1"/>
  <c r="AB66"/>
  <c r="AC66"/>
  <c r="AE66"/>
  <c r="AH66" s="1"/>
  <c r="AE84"/>
  <c r="AH84" s="1"/>
  <c r="AE93"/>
  <c r="AH93" s="1"/>
  <c r="AC95"/>
  <c r="AE95"/>
  <c r="AH95" s="1"/>
  <c r="AB95"/>
  <c r="AC102"/>
  <c r="AB102"/>
  <c r="AB12"/>
  <c r="AD12" s="1"/>
  <c r="AK12" s="1"/>
  <c r="AE12"/>
  <c r="AH12" s="1"/>
  <c r="AC13"/>
  <c r="AB13"/>
  <c r="AB14"/>
  <c r="AE14"/>
  <c r="AH14" s="1"/>
  <c r="AC14"/>
  <c r="AE22"/>
  <c r="U22"/>
  <c r="AG22" s="1"/>
  <c r="AC22"/>
  <c r="T22"/>
  <c r="AC27"/>
  <c r="U33"/>
  <c r="AG33" s="1"/>
  <c r="V33"/>
  <c r="AE33"/>
  <c r="AB36"/>
  <c r="AC36"/>
  <c r="AE36"/>
  <c r="AH36" s="1"/>
  <c r="AC45"/>
  <c r="AE50"/>
  <c r="V50"/>
  <c r="U50"/>
  <c r="AG50" s="1"/>
  <c r="AC50"/>
  <c r="AB58"/>
  <c r="AE58"/>
  <c r="AH58" s="1"/>
  <c r="AE65"/>
  <c r="AH65" s="1"/>
  <c r="AC71"/>
  <c r="AB71"/>
  <c r="AE86"/>
  <c r="AH86" s="1"/>
  <c r="AC86"/>
  <c r="AB86"/>
  <c r="AB101"/>
  <c r="AC101"/>
  <c r="AE101"/>
  <c r="AH101" s="1"/>
  <c r="AB11"/>
  <c r="AH11"/>
  <c r="AC11"/>
  <c r="AE13"/>
  <c r="AH13" s="1"/>
  <c r="AE20"/>
  <c r="V20"/>
  <c r="AC20"/>
  <c r="U20"/>
  <c r="AG20" s="1"/>
  <c r="AE31"/>
  <c r="V31"/>
  <c r="AC31"/>
  <c r="U31"/>
  <c r="AG31" s="1"/>
  <c r="AC33"/>
  <c r="AB42"/>
  <c r="AD42" s="1"/>
  <c r="AK42" s="1"/>
  <c r="AE42"/>
  <c r="AH42" s="1"/>
  <c r="AB43"/>
  <c r="AC43" s="1"/>
  <c r="AB44"/>
  <c r="AE44"/>
  <c r="AH44" s="1"/>
  <c r="AC44"/>
  <c r="AE49"/>
  <c r="V49"/>
  <c r="AC49"/>
  <c r="U49"/>
  <c r="AG49" s="1"/>
  <c r="AC58"/>
  <c r="AC63"/>
  <c r="AB63"/>
  <c r="AC64"/>
  <c r="AB64"/>
  <c r="AE64"/>
  <c r="AH64" s="1"/>
  <c r="AE71"/>
  <c r="AH71" s="1"/>
  <c r="AB85"/>
  <c r="AD85" s="1"/>
  <c r="AK85" s="1"/>
  <c r="AE85"/>
  <c r="AH85" s="1"/>
  <c r="AE102"/>
  <c r="AH102" s="1"/>
  <c r="AB114"/>
  <c r="AD114" s="1"/>
  <c r="AK114" s="1"/>
  <c r="AE114"/>
  <c r="AH114" s="1"/>
  <c r="AC114"/>
  <c r="AH34"/>
  <c r="AC34"/>
  <c r="AC67"/>
  <c r="V67"/>
  <c r="AE67"/>
  <c r="AE78"/>
  <c r="AH78" s="1"/>
  <c r="AB78"/>
  <c r="AE80"/>
  <c r="AH80" s="1"/>
  <c r="AB80"/>
  <c r="AC88"/>
  <c r="AE88"/>
  <c r="AB92"/>
  <c r="V109"/>
  <c r="U15"/>
  <c r="AG15" s="1"/>
  <c r="AE15"/>
  <c r="AB16"/>
  <c r="AH16"/>
  <c r="AB17"/>
  <c r="AD17" s="1"/>
  <c r="AK17" s="1"/>
  <c r="AB21"/>
  <c r="AD21" s="1"/>
  <c r="AK21" s="1"/>
  <c r="AB23"/>
  <c r="AB30"/>
  <c r="AD30" s="1"/>
  <c r="AK30" s="1"/>
  <c r="AB32"/>
  <c r="AB34"/>
  <c r="AB37"/>
  <c r="AH37"/>
  <c r="AB48"/>
  <c r="AD48" s="1"/>
  <c r="AK48" s="1"/>
  <c r="AB52"/>
  <c r="AB56"/>
  <c r="U67"/>
  <c r="AG67" s="1"/>
  <c r="AE72"/>
  <c r="AH72" s="1"/>
  <c r="AC72"/>
  <c r="AD72" s="1"/>
  <c r="AK72" s="1"/>
  <c r="AB73"/>
  <c r="AD73" s="1"/>
  <c r="AK73" s="1"/>
  <c r="AE76"/>
  <c r="V76"/>
  <c r="AC76"/>
  <c r="AC78"/>
  <c r="AC80"/>
  <c r="U88"/>
  <c r="AG88" s="1"/>
  <c r="AC92"/>
  <c r="AB96"/>
  <c r="AE96"/>
  <c r="AH96" s="1"/>
  <c r="U109"/>
  <c r="K106"/>
  <c r="V15"/>
  <c r="AC16"/>
  <c r="AB28"/>
  <c r="AH28"/>
  <c r="AH35"/>
  <c r="AC35"/>
  <c r="AC37"/>
  <c r="AB46"/>
  <c r="AH46"/>
  <c r="AB47"/>
  <c r="AB59"/>
  <c r="AH59"/>
  <c r="AB60"/>
  <c r="Q68"/>
  <c r="AE73"/>
  <c r="AH73" s="1"/>
  <c r="AC74"/>
  <c r="AD74" s="1"/>
  <c r="AK74" s="1"/>
  <c r="AE74"/>
  <c r="AH74" s="1"/>
  <c r="U76"/>
  <c r="AE79"/>
  <c r="U79"/>
  <c r="AG79" s="1"/>
  <c r="AH81"/>
  <c r="AB81"/>
  <c r="AC87"/>
  <c r="AE87"/>
  <c r="V88"/>
  <c r="AC89"/>
  <c r="AD89" s="1"/>
  <c r="AE89"/>
  <c r="AH89" s="1"/>
  <c r="Q90"/>
  <c r="AE91"/>
  <c r="AH91" s="1"/>
  <c r="AB91"/>
  <c r="AD91" s="1"/>
  <c r="AK91" s="1"/>
  <c r="AE92"/>
  <c r="AH92" s="1"/>
  <c r="AC96"/>
  <c r="Q100"/>
  <c r="Q103"/>
  <c r="AC104"/>
  <c r="AE104"/>
  <c r="AH104" s="1"/>
  <c r="AD110"/>
  <c r="AD32" l="1"/>
  <c r="AK32" s="1"/>
  <c r="AD25"/>
  <c r="AK25" s="1"/>
  <c r="AH33"/>
  <c r="AD23"/>
  <c r="AK23" s="1"/>
  <c r="AD16"/>
  <c r="AK16" s="1"/>
  <c r="AD28"/>
  <c r="AK28" s="1"/>
  <c r="AD52"/>
  <c r="AK52" s="1"/>
  <c r="AD36"/>
  <c r="AK36" s="1"/>
  <c r="AD102"/>
  <c r="AK102" s="1"/>
  <c r="AB65"/>
  <c r="AD65" s="1"/>
  <c r="AK65" s="1"/>
  <c r="AD41"/>
  <c r="AK41" s="1"/>
  <c r="AB51"/>
  <c r="AD51" s="1"/>
  <c r="AK51" s="1"/>
  <c r="AD35"/>
  <c r="AK35" s="1"/>
  <c r="AH49"/>
  <c r="AD44"/>
  <c r="AD59"/>
  <c r="AK59" s="1"/>
  <c r="AD56"/>
  <c r="AK56" s="1"/>
  <c r="AD99"/>
  <c r="AK99" s="1"/>
  <c r="AD19"/>
  <c r="AK19" s="1"/>
  <c r="AB109"/>
  <c r="AD109" s="1"/>
  <c r="AD81"/>
  <c r="AK81" s="1"/>
  <c r="AH67"/>
  <c r="AD18"/>
  <c r="AK18" s="1"/>
  <c r="AD70"/>
  <c r="AK70" s="1"/>
  <c r="AD38"/>
  <c r="AK38" s="1"/>
  <c r="AD39"/>
  <c r="AK39" s="1"/>
  <c r="AH87"/>
  <c r="AD60"/>
  <c r="AK60" s="1"/>
  <c r="AH15"/>
  <c r="AD64"/>
  <c r="AK64" s="1"/>
  <c r="AH31"/>
  <c r="AH20"/>
  <c r="AD24"/>
  <c r="AK24" s="1"/>
  <c r="AD10"/>
  <c r="AK10" s="1"/>
  <c r="AB87"/>
  <c r="AD87" s="1"/>
  <c r="AK87" s="1"/>
  <c r="AD96"/>
  <c r="AK96" s="1"/>
  <c r="AD63"/>
  <c r="AK63" s="1"/>
  <c r="AD14"/>
  <c r="AK14" s="1"/>
  <c r="AD40"/>
  <c r="AK40" s="1"/>
  <c r="AD84"/>
  <c r="AK84" s="1"/>
  <c r="AD83"/>
  <c r="AK83" s="1"/>
  <c r="AD97"/>
  <c r="AK97" s="1"/>
  <c r="AH79"/>
  <c r="AD47"/>
  <c r="AD77"/>
  <c r="AB79"/>
  <c r="AD79" s="1"/>
  <c r="AK79" s="1"/>
  <c r="AH88"/>
  <c r="AD78"/>
  <c r="AK78" s="1"/>
  <c r="AB50"/>
  <c r="AD50" s="1"/>
  <c r="AK50" s="1"/>
  <c r="AD11"/>
  <c r="AK11" s="1"/>
  <c r="AD101"/>
  <c r="AK101" s="1"/>
  <c r="AH22"/>
  <c r="AD75"/>
  <c r="AK75" s="1"/>
  <c r="AD98"/>
  <c r="AK98" s="1"/>
  <c r="AD69"/>
  <c r="AK69" s="1"/>
  <c r="AD8"/>
  <c r="AK8" s="1"/>
  <c r="AD46"/>
  <c r="AK46" s="1"/>
  <c r="AD37"/>
  <c r="AD58"/>
  <c r="AK58" s="1"/>
  <c r="AH50"/>
  <c r="AB33"/>
  <c r="AD33" s="1"/>
  <c r="AK33" s="1"/>
  <c r="T106"/>
  <c r="AD95"/>
  <c r="AK95" s="1"/>
  <c r="AD54"/>
  <c r="AK54" s="1"/>
  <c r="AD53"/>
  <c r="AK53" s="1"/>
  <c r="AD93"/>
  <c r="AK93" s="1"/>
  <c r="AH51"/>
  <c r="AD29"/>
  <c r="AK29" s="1"/>
  <c r="AC109"/>
  <c r="AE109"/>
  <c r="AH109" s="1"/>
  <c r="AH111" s="1"/>
  <c r="AB90"/>
  <c r="AE90"/>
  <c r="AC90"/>
  <c r="AD27"/>
  <c r="AK27" s="1"/>
  <c r="AB103"/>
  <c r="AE103"/>
  <c r="AH103" s="1"/>
  <c r="AC103"/>
  <c r="AC68"/>
  <c r="AE68"/>
  <c r="U68"/>
  <c r="AG68" s="1"/>
  <c r="V68"/>
  <c r="AD80"/>
  <c r="AK80" s="1"/>
  <c r="AB20"/>
  <c r="AD20" s="1"/>
  <c r="AK20" s="1"/>
  <c r="AG9"/>
  <c r="AH9" s="1"/>
  <c r="AD62"/>
  <c r="AK62" s="1"/>
  <c r="AD7"/>
  <c r="AC100"/>
  <c r="V100"/>
  <c r="U100"/>
  <c r="AG100" s="1"/>
  <c r="AE100"/>
  <c r="AB67"/>
  <c r="AD67" s="1"/>
  <c r="AK67" s="1"/>
  <c r="AD34"/>
  <c r="AB88"/>
  <c r="AD88" s="1"/>
  <c r="AK88" s="1"/>
  <c r="AB15"/>
  <c r="AD15" s="1"/>
  <c r="AK15" s="1"/>
  <c r="AB49"/>
  <c r="AD49" s="1"/>
  <c r="AK49" s="1"/>
  <c r="AB22"/>
  <c r="AD22" s="1"/>
  <c r="AK22" s="1"/>
  <c r="AD66"/>
  <c r="AK66" s="1"/>
  <c r="AB9"/>
  <c r="AD9" s="1"/>
  <c r="AK9" s="1"/>
  <c r="AD61"/>
  <c r="AK61" s="1"/>
  <c r="AG76"/>
  <c r="AH76" s="1"/>
  <c r="AB76"/>
  <c r="AD76" s="1"/>
  <c r="AK76" s="1"/>
  <c r="AD92"/>
  <c r="AK92" s="1"/>
  <c r="AD43"/>
  <c r="AK43" s="1"/>
  <c r="AB31"/>
  <c r="AD31" s="1"/>
  <c r="AK31" s="1"/>
  <c r="AD86"/>
  <c r="AK86" s="1"/>
  <c r="AD71"/>
  <c r="AK71" s="1"/>
  <c r="AD13"/>
  <c r="AK13" s="1"/>
  <c r="AD45"/>
  <c r="AK45" s="1"/>
  <c r="AD94"/>
  <c r="AK94" s="1"/>
  <c r="AD82"/>
  <c r="AK82" s="1"/>
  <c r="AD57"/>
  <c r="AK57" s="1"/>
  <c r="AD55"/>
  <c r="AK55" s="1"/>
  <c r="K27" i="4"/>
  <c r="AH68" i="6" l="1"/>
  <c r="AB68"/>
  <c r="AD68" s="1"/>
  <c r="AK68" s="1"/>
  <c r="U106"/>
  <c r="AE106"/>
  <c r="AH100"/>
  <c r="AD103"/>
  <c r="AK103" s="1"/>
  <c r="AH90"/>
  <c r="AC106"/>
  <c r="AH112"/>
  <c r="AH113" s="1"/>
  <c r="AB100"/>
  <c r="AD100" s="1"/>
  <c r="AK100" s="1"/>
  <c r="AK7"/>
  <c r="V106"/>
  <c r="AG106"/>
  <c r="AD90"/>
  <c r="AK90" s="1"/>
  <c r="AH87" i="4"/>
  <c r="Q87"/>
  <c r="AC87" s="1"/>
  <c r="AH76"/>
  <c r="Q76"/>
  <c r="AC76" s="1"/>
  <c r="K37"/>
  <c r="AH106" i="6" l="1"/>
  <c r="AB106"/>
  <c r="AD106"/>
  <c r="AK106"/>
  <c r="AH107"/>
  <c r="AH108" s="1"/>
  <c r="AF76" i="4"/>
  <c r="AI76" s="1"/>
  <c r="AF87"/>
  <c r="AI87" s="1"/>
  <c r="AD87"/>
  <c r="AE87" s="1"/>
  <c r="AD76"/>
  <c r="AE76" s="1"/>
  <c r="I94"/>
  <c r="I93"/>
  <c r="I92"/>
  <c r="I80"/>
  <c r="I75"/>
  <c r="I65"/>
  <c r="I60"/>
  <c r="I33"/>
  <c r="I24"/>
  <c r="K53" l="1"/>
  <c r="AH33"/>
  <c r="AH34"/>
  <c r="AH35"/>
  <c r="AH37"/>
  <c r="AH38"/>
  <c r="AH39"/>
  <c r="AH40"/>
  <c r="AH41"/>
  <c r="AH42"/>
  <c r="AH43"/>
  <c r="AH44"/>
  <c r="Q33"/>
  <c r="AC33" s="1"/>
  <c r="Q34"/>
  <c r="AF34" s="1"/>
  <c r="Q37"/>
  <c r="AD37" s="1"/>
  <c r="AI34" l="1"/>
  <c r="AC37"/>
  <c r="AE37" s="1"/>
  <c r="AD34"/>
  <c r="AC34"/>
  <c r="AF33"/>
  <c r="AI33" s="1"/>
  <c r="AF37"/>
  <c r="AI37" s="1"/>
  <c r="AD33"/>
  <c r="AE33" s="1"/>
  <c r="K62"/>
  <c r="K63"/>
  <c r="AE34" l="1"/>
  <c r="K44"/>
  <c r="Q44" s="1"/>
  <c r="K96"/>
  <c r="K95"/>
  <c r="K77"/>
  <c r="K73"/>
  <c r="K70"/>
  <c r="AF44" l="1"/>
  <c r="AI44" s="1"/>
  <c r="AC44"/>
  <c r="AD44"/>
  <c r="K67"/>
  <c r="AE44" l="1"/>
  <c r="K52"/>
  <c r="K51"/>
  <c r="K42"/>
  <c r="Q42" s="1"/>
  <c r="K39"/>
  <c r="Q39" s="1"/>
  <c r="AC42" l="1"/>
  <c r="AD42"/>
  <c r="AF42"/>
  <c r="AI42" s="1"/>
  <c r="AC39"/>
  <c r="AD39"/>
  <c r="AF39"/>
  <c r="AI39" s="1"/>
  <c r="K32"/>
  <c r="AE42" l="1"/>
  <c r="AE39"/>
  <c r="K79"/>
  <c r="AH96" l="1"/>
  <c r="Q96"/>
  <c r="K40"/>
  <c r="Q40" s="1"/>
  <c r="AH31"/>
  <c r="K31"/>
  <c r="Q31" s="1"/>
  <c r="AF31" s="1"/>
  <c r="AH70"/>
  <c r="Q70"/>
  <c r="K26"/>
  <c r="K18"/>
  <c r="Q18" s="1"/>
  <c r="AF40" l="1"/>
  <c r="AI40" s="1"/>
  <c r="AC40"/>
  <c r="AD40"/>
  <c r="AC18"/>
  <c r="AF18"/>
  <c r="AC96"/>
  <c r="AF96"/>
  <c r="AI96" s="1"/>
  <c r="AD70"/>
  <c r="AF70"/>
  <c r="AI70" s="1"/>
  <c r="AD96"/>
  <c r="AD31"/>
  <c r="AC31"/>
  <c r="AI31"/>
  <c r="AC70"/>
  <c r="AH79"/>
  <c r="Q79"/>
  <c r="AF79" s="1"/>
  <c r="AE40" l="1"/>
  <c r="AL40" s="1"/>
  <c r="AE96"/>
  <c r="AE70"/>
  <c r="AE31"/>
  <c r="AI79"/>
  <c r="AC79"/>
  <c r="AD79"/>
  <c r="AE79" l="1"/>
  <c r="AH18"/>
  <c r="AI18" s="1"/>
  <c r="AL39" l="1"/>
  <c r="AD18"/>
  <c r="AE18" s="1"/>
  <c r="AL18" s="1"/>
  <c r="AL96"/>
  <c r="AL31" l="1"/>
  <c r="AL70"/>
  <c r="AH90"/>
  <c r="K89"/>
  <c r="Q89" s="1"/>
  <c r="K86"/>
  <c r="K71"/>
  <c r="K66"/>
  <c r="I54"/>
  <c r="K54" s="1"/>
  <c r="AH68"/>
  <c r="K68"/>
  <c r="Q68" s="1"/>
  <c r="AF68" s="1"/>
  <c r="K14"/>
  <c r="AF89" l="1"/>
  <c r="V89"/>
  <c r="AH89" s="1"/>
  <c r="W89"/>
  <c r="AD89"/>
  <c r="Q60"/>
  <c r="AD68"/>
  <c r="AC68"/>
  <c r="AI68"/>
  <c r="AI89" l="1"/>
  <c r="V60"/>
  <c r="AH60" s="1"/>
  <c r="W60"/>
  <c r="AC89"/>
  <c r="AE89" s="1"/>
  <c r="AL89" s="1"/>
  <c r="AF60"/>
  <c r="AD60"/>
  <c r="AE68"/>
  <c r="AL68" s="1"/>
  <c r="AC60" l="1"/>
  <c r="AE60" s="1"/>
  <c r="AL60" s="1"/>
  <c r="AI60"/>
  <c r="K11"/>
  <c r="AH29" l="1"/>
  <c r="K29"/>
  <c r="Q29" s="1"/>
  <c r="AC29" l="1"/>
  <c r="AF29"/>
  <c r="AI29" s="1"/>
  <c r="AD29"/>
  <c r="K83"/>
  <c r="AE29" l="1"/>
  <c r="I61"/>
  <c r="K61" s="1"/>
  <c r="AL29" l="1"/>
  <c r="AH15" l="1"/>
  <c r="AH77"/>
  <c r="K15" l="1"/>
  <c r="Q15" s="1"/>
  <c r="AF15" s="1"/>
  <c r="AH72"/>
  <c r="K72"/>
  <c r="Q72" s="1"/>
  <c r="AF72" s="1"/>
  <c r="AC72" l="1"/>
  <c r="AI72"/>
  <c r="AI15"/>
  <c r="AC15"/>
  <c r="AD15"/>
  <c r="AD72"/>
  <c r="AH112"/>
  <c r="K112"/>
  <c r="Q112" s="1"/>
  <c r="AE15" l="1"/>
  <c r="AL15" s="1"/>
  <c r="AE72"/>
  <c r="AL72" s="1"/>
  <c r="AF112"/>
  <c r="AI112" s="1"/>
  <c r="AC112"/>
  <c r="AD112"/>
  <c r="AE112" l="1"/>
  <c r="AL112" s="1"/>
  <c r="K41"/>
  <c r="Q41" s="1"/>
  <c r="AD41" l="1"/>
  <c r="AF41"/>
  <c r="AI41" s="1"/>
  <c r="AC41"/>
  <c r="AH91"/>
  <c r="K91"/>
  <c r="Q91" s="1"/>
  <c r="AF91" s="1"/>
  <c r="AE41" l="1"/>
  <c r="AC91"/>
  <c r="AI91"/>
  <c r="AD91"/>
  <c r="AE91" l="1"/>
  <c r="AL91" s="1"/>
  <c r="AL102" l="1"/>
  <c r="Q9" i="5" l="1"/>
  <c r="V9" s="1"/>
  <c r="U9" l="1"/>
  <c r="AB9"/>
  <c r="AL34" i="4" l="1"/>
  <c r="AE9" i="5"/>
  <c r="AH9" s="1"/>
  <c r="AH10" s="1"/>
  <c r="AC9"/>
  <c r="AD9"/>
  <c r="AH11" l="1"/>
  <c r="AH12" s="1"/>
  <c r="AH7" l="1"/>
  <c r="AH8" s="1"/>
  <c r="AH14" s="1"/>
  <c r="Q102" i="4" l="1"/>
  <c r="AD102" s="1"/>
  <c r="K59"/>
  <c r="Q59" s="1"/>
  <c r="AF59" l="1"/>
  <c r="V59"/>
  <c r="AH59" s="1"/>
  <c r="W59"/>
  <c r="AD59"/>
  <c r="AI59" l="1"/>
  <c r="AC59"/>
  <c r="AE59" s="1"/>
  <c r="AL59" s="1"/>
  <c r="AH23"/>
  <c r="AH61" l="1"/>
  <c r="Q61"/>
  <c r="AD61" l="1"/>
  <c r="AF61"/>
  <c r="AI61" s="1"/>
  <c r="AC61"/>
  <c r="Q75"/>
  <c r="AD75" l="1"/>
  <c r="AF75"/>
  <c r="AE61"/>
  <c r="AL61" s="1"/>
  <c r="K23"/>
  <c r="Q23" s="1"/>
  <c r="AH102"/>
  <c r="AH62"/>
  <c r="AH94"/>
  <c r="AH101"/>
  <c r="AH99"/>
  <c r="AH100"/>
  <c r="AH97"/>
  <c r="AH95"/>
  <c r="AH93"/>
  <c r="AH92"/>
  <c r="AH88"/>
  <c r="AH84"/>
  <c r="AH83"/>
  <c r="AH82"/>
  <c r="AH80"/>
  <c r="AH74"/>
  <c r="AH73"/>
  <c r="AH71"/>
  <c r="AH69"/>
  <c r="AH65"/>
  <c r="AH63"/>
  <c r="AH58"/>
  <c r="AH57"/>
  <c r="AH56"/>
  <c r="AH55"/>
  <c r="AH53"/>
  <c r="AH54"/>
  <c r="AH49"/>
  <c r="AH47"/>
  <c r="AH46"/>
  <c r="AH45"/>
  <c r="AH28"/>
  <c r="AH27"/>
  <c r="AH26"/>
  <c r="AH25"/>
  <c r="AH24"/>
  <c r="AH22"/>
  <c r="AH20"/>
  <c r="AH17"/>
  <c r="AH16"/>
  <c r="AH12"/>
  <c r="AH13"/>
  <c r="AH11"/>
  <c r="AH10"/>
  <c r="AH8"/>
  <c r="AH7"/>
  <c r="AD23" l="1"/>
  <c r="AF23"/>
  <c r="AI23" s="1"/>
  <c r="AC23"/>
  <c r="V75"/>
  <c r="AH75" s="1"/>
  <c r="W75"/>
  <c r="Q62"/>
  <c r="AD62" l="1"/>
  <c r="AF62"/>
  <c r="AI62" s="1"/>
  <c r="AE23"/>
  <c r="AL23" s="1"/>
  <c r="AI75"/>
  <c r="AC75"/>
  <c r="AE75" s="1"/>
  <c r="AL75" s="1"/>
  <c r="AC62"/>
  <c r="AF102"/>
  <c r="AI102" s="1"/>
  <c r="K74"/>
  <c r="Q74" s="1"/>
  <c r="AD74" l="1"/>
  <c r="AF74"/>
  <c r="AI74" s="1"/>
  <c r="AE62"/>
  <c r="AL62" s="1"/>
  <c r="AG104"/>
  <c r="AC74"/>
  <c r="Q108"/>
  <c r="AC108" s="1"/>
  <c r="Q107"/>
  <c r="AK104"/>
  <c r="AJ104"/>
  <c r="Y104"/>
  <c r="X104"/>
  <c r="R104"/>
  <c r="P104"/>
  <c r="O104"/>
  <c r="N104"/>
  <c r="Q94"/>
  <c r="Q77"/>
  <c r="K101"/>
  <c r="Q101" s="1"/>
  <c r="K99"/>
  <c r="K100"/>
  <c r="Q100" s="1"/>
  <c r="K98"/>
  <c r="Q98" s="1"/>
  <c r="K97"/>
  <c r="Q97" s="1"/>
  <c r="Q93"/>
  <c r="Q92"/>
  <c r="K90"/>
  <c r="Q90" s="1"/>
  <c r="AF90" s="1"/>
  <c r="K88"/>
  <c r="Q88" s="1"/>
  <c r="Q86"/>
  <c r="K85"/>
  <c r="Q85" s="1"/>
  <c r="K84"/>
  <c r="Q84" s="1"/>
  <c r="Q83"/>
  <c r="K82"/>
  <c r="Q82" s="1"/>
  <c r="K81"/>
  <c r="Q81" s="1"/>
  <c r="Q80"/>
  <c r="K78"/>
  <c r="Q78" s="1"/>
  <c r="Q73"/>
  <c r="Q71"/>
  <c r="K69"/>
  <c r="Q69" s="1"/>
  <c r="Q67"/>
  <c r="Q66"/>
  <c r="Q65"/>
  <c r="K64"/>
  <c r="Q64" s="1"/>
  <c r="Q63"/>
  <c r="K58"/>
  <c r="Q58" s="1"/>
  <c r="K57"/>
  <c r="Q57" s="1"/>
  <c r="K56"/>
  <c r="Q56" s="1"/>
  <c r="K55"/>
  <c r="Q55" s="1"/>
  <c r="Q53"/>
  <c r="Q52"/>
  <c r="Q51"/>
  <c r="K50"/>
  <c r="Q50" s="1"/>
  <c r="Q54"/>
  <c r="K49"/>
  <c r="Q49" s="1"/>
  <c r="K47"/>
  <c r="Q47" s="1"/>
  <c r="K46"/>
  <c r="Q46" s="1"/>
  <c r="K45"/>
  <c r="Q45" s="1"/>
  <c r="K43"/>
  <c r="Q43" s="1"/>
  <c r="K38"/>
  <c r="Q38" s="1"/>
  <c r="K35"/>
  <c r="Q32"/>
  <c r="Q30"/>
  <c r="Q27"/>
  <c r="Q26"/>
  <c r="K25"/>
  <c r="Q25" s="1"/>
  <c r="Q24"/>
  <c r="K22"/>
  <c r="Q22" s="1"/>
  <c r="K21"/>
  <c r="Q21" s="1"/>
  <c r="W21" s="1"/>
  <c r="K20"/>
  <c r="Q20" s="1"/>
  <c r="K19"/>
  <c r="Q19" s="1"/>
  <c r="K17"/>
  <c r="K16"/>
  <c r="Q16" s="1"/>
  <c r="Q14"/>
  <c r="K12"/>
  <c r="K13"/>
  <c r="Q13" s="1"/>
  <c r="Q11"/>
  <c r="K10"/>
  <c r="Q10" s="1"/>
  <c r="K9"/>
  <c r="Q9" s="1"/>
  <c r="K8"/>
  <c r="Q8" s="1"/>
  <c r="K7"/>
  <c r="AD108" l="1"/>
  <c r="AF108"/>
  <c r="AI108" s="1"/>
  <c r="AE108"/>
  <c r="V64"/>
  <c r="AH64" s="1"/>
  <c r="W64"/>
  <c r="V81"/>
  <c r="AH81" s="1"/>
  <c r="W81"/>
  <c r="Q35"/>
  <c r="AC38"/>
  <c r="AD38"/>
  <c r="AF38"/>
  <c r="AI38" s="1"/>
  <c r="AC43"/>
  <c r="AD43"/>
  <c r="AF43"/>
  <c r="AI43" s="1"/>
  <c r="AD69"/>
  <c r="AF69"/>
  <c r="AI69" s="1"/>
  <c r="AD54"/>
  <c r="AF54"/>
  <c r="AI54" s="1"/>
  <c r="AD46"/>
  <c r="AF46"/>
  <c r="AI46" s="1"/>
  <c r="AD47"/>
  <c r="AF47"/>
  <c r="AD57"/>
  <c r="AF57"/>
  <c r="AI57" s="1"/>
  <c r="AD63"/>
  <c r="AF63"/>
  <c r="AI63" s="1"/>
  <c r="AD22"/>
  <c r="AF22"/>
  <c r="AD58"/>
  <c r="AF58"/>
  <c r="AI58" s="1"/>
  <c r="AD45"/>
  <c r="AF45"/>
  <c r="AD49"/>
  <c r="AF49"/>
  <c r="AD55"/>
  <c r="AF55"/>
  <c r="AI55" s="1"/>
  <c r="AD56"/>
  <c r="AF56"/>
  <c r="AD25"/>
  <c r="AF25"/>
  <c r="AI25" s="1"/>
  <c r="AD13"/>
  <c r="AF13"/>
  <c r="AI13" s="1"/>
  <c r="AD8"/>
  <c r="AF8"/>
  <c r="AI8" s="1"/>
  <c r="AD10"/>
  <c r="AF10"/>
  <c r="AI10" s="1"/>
  <c r="AD20"/>
  <c r="AF20"/>
  <c r="AI20" s="1"/>
  <c r="AD14"/>
  <c r="AF14"/>
  <c r="AD71"/>
  <c r="AF71"/>
  <c r="AI71" s="1"/>
  <c r="AD26"/>
  <c r="AF26"/>
  <c r="AI26" s="1"/>
  <c r="AD11"/>
  <c r="AF11"/>
  <c r="AI11" s="1"/>
  <c r="AD19"/>
  <c r="AF19"/>
  <c r="AD66"/>
  <c r="AF66"/>
  <c r="AD64"/>
  <c r="AF64"/>
  <c r="AD21"/>
  <c r="AF21"/>
  <c r="AD9"/>
  <c r="AF9"/>
  <c r="AD50"/>
  <c r="AF50"/>
  <c r="AD30"/>
  <c r="AF30"/>
  <c r="AD65"/>
  <c r="AF65"/>
  <c r="AI65" s="1"/>
  <c r="AD24"/>
  <c r="AF24"/>
  <c r="AI24" s="1"/>
  <c r="AD53"/>
  <c r="AF53"/>
  <c r="AI53" s="1"/>
  <c r="AD16"/>
  <c r="AF16"/>
  <c r="AI16" s="1"/>
  <c r="AD27"/>
  <c r="AF27"/>
  <c r="AI27" s="1"/>
  <c r="AD78"/>
  <c r="AF78"/>
  <c r="AD80"/>
  <c r="AF80"/>
  <c r="AI80" s="1"/>
  <c r="AD84"/>
  <c r="AF84"/>
  <c r="AD98"/>
  <c r="AF98"/>
  <c r="AD88"/>
  <c r="AF88"/>
  <c r="AI88" s="1"/>
  <c r="AD97"/>
  <c r="AF97"/>
  <c r="AI97" s="1"/>
  <c r="AD101"/>
  <c r="AF101"/>
  <c r="AI101" s="1"/>
  <c r="AD82"/>
  <c r="AF82"/>
  <c r="AI82" s="1"/>
  <c r="AD86"/>
  <c r="AF86"/>
  <c r="AD93"/>
  <c r="AF93"/>
  <c r="AI93" s="1"/>
  <c r="AD83"/>
  <c r="AF83"/>
  <c r="AI83" s="1"/>
  <c r="AD81"/>
  <c r="AF81"/>
  <c r="AD85"/>
  <c r="AF85"/>
  <c r="AD92"/>
  <c r="AF92"/>
  <c r="AI92" s="1"/>
  <c r="AD94"/>
  <c r="AF94"/>
  <c r="AI94" s="1"/>
  <c r="AD100"/>
  <c r="AF100"/>
  <c r="AI100" s="1"/>
  <c r="AC77"/>
  <c r="AF77"/>
  <c r="AI77" s="1"/>
  <c r="AD73"/>
  <c r="AF73"/>
  <c r="AI73" s="1"/>
  <c r="AD67"/>
  <c r="AF67"/>
  <c r="AD52"/>
  <c r="AF52"/>
  <c r="AD51"/>
  <c r="AF51"/>
  <c r="AD32"/>
  <c r="AF32"/>
  <c r="AD90"/>
  <c r="AD77"/>
  <c r="Q17"/>
  <c r="AF17" s="1"/>
  <c r="Q95"/>
  <c r="Q99"/>
  <c r="Q12"/>
  <c r="W107"/>
  <c r="V107"/>
  <c r="Z104"/>
  <c r="Q28"/>
  <c r="AE74"/>
  <c r="AL74" s="1"/>
  <c r="W51"/>
  <c r="V51"/>
  <c r="AH51" s="1"/>
  <c r="AI90"/>
  <c r="AC71"/>
  <c r="V30"/>
  <c r="AH30" s="1"/>
  <c r="W86"/>
  <c r="W52"/>
  <c r="AA104"/>
  <c r="AC11"/>
  <c r="AC54"/>
  <c r="AC80"/>
  <c r="V19"/>
  <c r="AH19" s="1"/>
  <c r="AC57"/>
  <c r="W19"/>
  <c r="AC65"/>
  <c r="AL41"/>
  <c r="AC10"/>
  <c r="W50"/>
  <c r="AC58"/>
  <c r="AC88"/>
  <c r="AC97"/>
  <c r="AC20"/>
  <c r="V52"/>
  <c r="AH52" s="1"/>
  <c r="AC100"/>
  <c r="L104"/>
  <c r="V50"/>
  <c r="AH50" s="1"/>
  <c r="AC8"/>
  <c r="AC16"/>
  <c r="AC53"/>
  <c r="K104"/>
  <c r="Q7"/>
  <c r="W9"/>
  <c r="W14"/>
  <c r="V14"/>
  <c r="AH14" s="1"/>
  <c r="AC25"/>
  <c r="V32"/>
  <c r="AH32" s="1"/>
  <c r="W32"/>
  <c r="U64"/>
  <c r="V78"/>
  <c r="AH78" s="1"/>
  <c r="W78"/>
  <c r="AC92"/>
  <c r="AC94"/>
  <c r="V9"/>
  <c r="AH9" s="1"/>
  <c r="AC13"/>
  <c r="AC24"/>
  <c r="AC93"/>
  <c r="V21"/>
  <c r="AH21" s="1"/>
  <c r="U21"/>
  <c r="AC63"/>
  <c r="AL79"/>
  <c r="W66"/>
  <c r="AC26"/>
  <c r="AC55"/>
  <c r="V66"/>
  <c r="AH66" s="1"/>
  <c r="W67"/>
  <c r="V67"/>
  <c r="AH67" s="1"/>
  <c r="AC83"/>
  <c r="V98"/>
  <c r="AH98" s="1"/>
  <c r="AC27"/>
  <c r="W30"/>
  <c r="AC46"/>
  <c r="AC73"/>
  <c r="AC82"/>
  <c r="V85"/>
  <c r="AH85" s="1"/>
  <c r="W85"/>
  <c r="V86"/>
  <c r="AH86" s="1"/>
  <c r="W98"/>
  <c r="AC69"/>
  <c r="AC90"/>
  <c r="AC101"/>
  <c r="AC35" l="1"/>
  <c r="AF35"/>
  <c r="AI35" s="1"/>
  <c r="AD35"/>
  <c r="AE43"/>
  <c r="AE38"/>
  <c r="AE24"/>
  <c r="AL24" s="1"/>
  <c r="AE13"/>
  <c r="AL13" s="1"/>
  <c r="AE97"/>
  <c r="AL97" s="1"/>
  <c r="AE101"/>
  <c r="AL101" s="1"/>
  <c r="AE16"/>
  <c r="AL16" s="1"/>
  <c r="AE69"/>
  <c r="AL69" s="1"/>
  <c r="AE46"/>
  <c r="AL46" s="1"/>
  <c r="AE53"/>
  <c r="AL53" s="1"/>
  <c r="AE63"/>
  <c r="AL63" s="1"/>
  <c r="AE54"/>
  <c r="AL54" s="1"/>
  <c r="AD28"/>
  <c r="AF28"/>
  <c r="AI28" s="1"/>
  <c r="AF12"/>
  <c r="AI12" s="1"/>
  <c r="AD7"/>
  <c r="AF7"/>
  <c r="AI7" s="1"/>
  <c r="AE27"/>
  <c r="AL27" s="1"/>
  <c r="AD99"/>
  <c r="AF99"/>
  <c r="AI99" s="1"/>
  <c r="AE100"/>
  <c r="AL100" s="1"/>
  <c r="AD95"/>
  <c r="AF95"/>
  <c r="AI95" s="1"/>
  <c r="AD17"/>
  <c r="AC17"/>
  <c r="AC107"/>
  <c r="AD107" s="1"/>
  <c r="AE77"/>
  <c r="AL77" s="1"/>
  <c r="AC12"/>
  <c r="AD12"/>
  <c r="AC95"/>
  <c r="AI17"/>
  <c r="AC99"/>
  <c r="AC28"/>
  <c r="AE94"/>
  <c r="AL94" s="1"/>
  <c r="AL42"/>
  <c r="AE65"/>
  <c r="AL65" s="1"/>
  <c r="AE83"/>
  <c r="AL83" s="1"/>
  <c r="AE55"/>
  <c r="AL55" s="1"/>
  <c r="AE58"/>
  <c r="AL58" s="1"/>
  <c r="AE73"/>
  <c r="AL73" s="1"/>
  <c r="AE20"/>
  <c r="AL20" s="1"/>
  <c r="AE8"/>
  <c r="AL8" s="1"/>
  <c r="AE71"/>
  <c r="AL71" s="1"/>
  <c r="AE25"/>
  <c r="AL25" s="1"/>
  <c r="AE92"/>
  <c r="AL92" s="1"/>
  <c r="AE57"/>
  <c r="AL57" s="1"/>
  <c r="AE26"/>
  <c r="AL26" s="1"/>
  <c r="AE88"/>
  <c r="AL88" s="1"/>
  <c r="AE93"/>
  <c r="AL93" s="1"/>
  <c r="AE80"/>
  <c r="AL80" s="1"/>
  <c r="AE82"/>
  <c r="AL82" s="1"/>
  <c r="AE10"/>
  <c r="AL10" s="1"/>
  <c r="AE11"/>
  <c r="AL11" s="1"/>
  <c r="AE90"/>
  <c r="AL90" s="1"/>
  <c r="AI32"/>
  <c r="AI98"/>
  <c r="AI86"/>
  <c r="AI51"/>
  <c r="AI50"/>
  <c r="AI64"/>
  <c r="AI52"/>
  <c r="AI78"/>
  <c r="AI19"/>
  <c r="AI9"/>
  <c r="AI66"/>
  <c r="AI21"/>
  <c r="AI30"/>
  <c r="AI14"/>
  <c r="AI67"/>
  <c r="AI85"/>
  <c r="AH104"/>
  <c r="AC51"/>
  <c r="AE51" s="1"/>
  <c r="AL51" s="1"/>
  <c r="AC52"/>
  <c r="AE52" s="1"/>
  <c r="AL52" s="1"/>
  <c r="AC86"/>
  <c r="AE86" s="1"/>
  <c r="AL86" s="1"/>
  <c r="AC30"/>
  <c r="AE30" s="1"/>
  <c r="AL30" s="1"/>
  <c r="AC45"/>
  <c r="AI45"/>
  <c r="AI22"/>
  <c r="AI84"/>
  <c r="AC49"/>
  <c r="AI49"/>
  <c r="AC47"/>
  <c r="AI47"/>
  <c r="AC56"/>
  <c r="AI56"/>
  <c r="AC81"/>
  <c r="AI81"/>
  <c r="AC19"/>
  <c r="AE19" s="1"/>
  <c r="AL19" s="1"/>
  <c r="AC22"/>
  <c r="AC66"/>
  <c r="AE66" s="1"/>
  <c r="AL66" s="1"/>
  <c r="AC67"/>
  <c r="AE67" s="1"/>
  <c r="AL67" s="1"/>
  <c r="AC50"/>
  <c r="AE50" s="1"/>
  <c r="AL50" s="1"/>
  <c r="AC32"/>
  <c r="AE32" s="1"/>
  <c r="AL32" s="1"/>
  <c r="AC14"/>
  <c r="AE14" s="1"/>
  <c r="AL14" s="1"/>
  <c r="U104"/>
  <c r="AC64"/>
  <c r="AE64" s="1"/>
  <c r="AL64" s="1"/>
  <c r="AC78"/>
  <c r="AE78" s="1"/>
  <c r="AL78" s="1"/>
  <c r="AC98"/>
  <c r="AE98" s="1"/>
  <c r="AL98" s="1"/>
  <c r="V104"/>
  <c r="W104"/>
  <c r="AC7"/>
  <c r="Q104"/>
  <c r="AC84"/>
  <c r="AC21"/>
  <c r="AE21" s="1"/>
  <c r="AL21" s="1"/>
  <c r="AC9"/>
  <c r="AE9" s="1"/>
  <c r="AL9" s="1"/>
  <c r="AC85"/>
  <c r="AE85" s="1"/>
  <c r="AL85" s="1"/>
  <c r="AE35" l="1"/>
  <c r="AL35" s="1"/>
  <c r="AE99"/>
  <c r="AL99" s="1"/>
  <c r="AE28"/>
  <c r="AL28" s="1"/>
  <c r="AL38"/>
  <c r="AE17"/>
  <c r="AL17" s="1"/>
  <c r="AE95"/>
  <c r="AL95" s="1"/>
  <c r="AE107"/>
  <c r="AF107"/>
  <c r="AI107" s="1"/>
  <c r="AI110" s="1"/>
  <c r="AI111" s="1"/>
  <c r="AE12"/>
  <c r="AL12" s="1"/>
  <c r="AL43"/>
  <c r="AE22"/>
  <c r="AL22" s="1"/>
  <c r="AE47"/>
  <c r="AE45"/>
  <c r="AL45" s="1"/>
  <c r="AE84"/>
  <c r="AL84" s="1"/>
  <c r="AE49"/>
  <c r="AL49" s="1"/>
  <c r="AE56"/>
  <c r="AL56" s="1"/>
  <c r="AE81"/>
  <c r="AL81" s="1"/>
  <c r="AB104"/>
  <c r="AC104"/>
  <c r="AE7"/>
  <c r="AL7" s="1"/>
  <c r="AD104"/>
  <c r="AI104"/>
  <c r="AF104"/>
  <c r="AL104" l="1"/>
  <c r="AI105"/>
  <c r="AI106" s="1"/>
  <c r="AE104"/>
  <c r="D21" i="3" l="1"/>
  <c r="E21" s="1"/>
  <c r="G21" s="1"/>
  <c r="D20"/>
  <c r="E20" s="1"/>
  <c r="G20" s="1"/>
  <c r="D13"/>
  <c r="E13" s="1"/>
  <c r="G13" s="1"/>
  <c r="D12"/>
  <c r="E12" s="1"/>
  <c r="G12" s="1"/>
  <c r="D8"/>
  <c r="E8" s="1"/>
  <c r="G8" s="1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 s="1"/>
  <c r="G17" s="1"/>
  <c r="D16"/>
  <c r="E16" s="1"/>
  <c r="G16" s="1"/>
  <c r="D15"/>
  <c r="E15" s="1"/>
  <c r="G15" s="1"/>
  <c r="D14"/>
  <c r="E14" s="1"/>
  <c r="G14" s="1"/>
  <c r="D11"/>
  <c r="E11" s="1"/>
  <c r="G11" s="1"/>
  <c r="D10"/>
  <c r="E10" s="1"/>
  <c r="G10" s="1"/>
  <c r="D9"/>
  <c r="E9" s="1"/>
  <c r="G9" s="1"/>
  <c r="D7"/>
  <c r="E7" s="1"/>
  <c r="G7" s="1"/>
  <c r="C9" i="2"/>
  <c r="C8"/>
  <c r="D28" i="3" l="1"/>
  <c r="G28"/>
</calcChain>
</file>

<file path=xl/sharedStrings.xml><?xml version="1.0" encoding="utf-8"?>
<sst xmlns="http://schemas.openxmlformats.org/spreadsheetml/2006/main" count="1000" uniqueCount="310">
  <si>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</si>
  <si>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</si>
  <si>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</si>
  <si>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</si>
  <si>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</si>
  <si>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</si>
  <si>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</si>
  <si>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</si>
  <si>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</si>
  <si>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</si>
  <si>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</si>
  <si>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</si>
  <si>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</si>
  <si>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</si>
  <si>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</si>
  <si>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</si>
  <si>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</si>
  <si>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</si>
  <si>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</si>
  <si>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</si>
  <si>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</si>
  <si>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</si>
  <si>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</si>
  <si>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</si>
  <si>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</si>
  <si>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</si>
  <si>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</si>
  <si>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</si>
  <si>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</si>
  <si>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</si>
  <si>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</si>
  <si>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</si>
  <si>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</si>
  <si>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</si>
  <si>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</si>
  <si>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</si>
  <si>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</si>
  <si>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</si>
  <si>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</si>
  <si>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</si>
  <si>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</si>
  <si>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</si>
  <si>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</si>
  <si>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</si>
  <si>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</si>
  <si>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</si>
  <si>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</si>
  <si>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</si>
  <si>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</si>
  <si>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</si>
  <si>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</si>
  <si>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</si>
  <si>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</si>
  <si>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</si>
  <si>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</si>
  <si>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</si>
  <si>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</si>
  <si>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</si>
  <si>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</si>
  <si>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</si>
  <si>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</si>
  <si>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</si>
  <si>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sub   S/N</t>
  </si>
  <si>
    <t>CONSULTORES</t>
  </si>
  <si>
    <t>FIJO / VARIABLE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</si>
  <si>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</si>
  <si>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</si>
  <si>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</si>
  <si>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</si>
  <si>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</si>
  <si>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</si>
  <si>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</si>
  <si>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</si>
  <si>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</si>
  <si>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</si>
  <si>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</si>
  <si>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</si>
  <si>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</si>
  <si>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</si>
  <si>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</si>
  <si>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</si>
  <si>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</si>
  <si>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</si>
  <si>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</si>
  <si>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</si>
  <si>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</si>
  <si>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</si>
  <si>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CHG</t>
  </si>
  <si>
    <t>HS11</t>
  </si>
  <si>
    <t>ML23</t>
  </si>
  <si>
    <t>OB15</t>
  </si>
  <si>
    <t>PP05</t>
  </si>
  <si>
    <t>RB08</t>
  </si>
  <si>
    <t>SL08</t>
  </si>
  <si>
    <t>SR27</t>
  </si>
  <si>
    <t>TG06</t>
  </si>
  <si>
    <t>VM21</t>
  </si>
  <si>
    <t>VR23</t>
  </si>
  <si>
    <t>BC22</t>
  </si>
  <si>
    <t>CO16</t>
  </si>
  <si>
    <t>CO02</t>
  </si>
  <si>
    <t>DC20</t>
  </si>
  <si>
    <t>RA13</t>
  </si>
  <si>
    <t>RV23</t>
  </si>
  <si>
    <t>SC25</t>
  </si>
  <si>
    <t>CM22</t>
  </si>
  <si>
    <t>CO24</t>
  </si>
  <si>
    <t>LO14</t>
  </si>
  <si>
    <t>MPJ04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</si>
  <si>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</si>
  <si>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</si>
  <si>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</si>
  <si>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</si>
  <si>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</si>
  <si>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</si>
  <si>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</si>
  <si>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</si>
  <si>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</si>
  <si>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</si>
  <si>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</si>
  <si>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</si>
  <si>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</si>
  <si>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RG12</t>
  </si>
  <si>
    <t>RH14</t>
  </si>
  <si>
    <t>SG05</t>
  </si>
  <si>
    <t>SH17</t>
  </si>
  <si>
    <t>VM14</t>
  </si>
  <si>
    <t>AG07</t>
  </si>
  <si>
    <t>AZ14</t>
  </si>
  <si>
    <t>BL011</t>
  </si>
  <si>
    <t>GO01</t>
  </si>
  <si>
    <t>HS08</t>
  </si>
  <si>
    <t>JH19</t>
  </si>
  <si>
    <t>LR05</t>
  </si>
  <si>
    <t>MC14</t>
  </si>
  <si>
    <t>MH09</t>
  </si>
  <si>
    <t>MH25</t>
  </si>
  <si>
    <t>NB02</t>
  </si>
  <si>
    <t>PG04</t>
  </si>
  <si>
    <t>RR05</t>
  </si>
  <si>
    <t>TS31</t>
  </si>
  <si>
    <t>VG25</t>
  </si>
  <si>
    <t>HOJALATERO Y PINTOR</t>
  </si>
  <si>
    <t>PREPARADOR</t>
  </si>
  <si>
    <t>HOJALATERO</t>
  </si>
  <si>
    <t>HOJALATERO PINTOR</t>
  </si>
  <si>
    <t>ARMADOR</t>
  </si>
  <si>
    <t>PINTOR</t>
  </si>
  <si>
    <t>AYUDANTE DE HOJALATE</t>
  </si>
  <si>
    <t>AYUDANTE GENERAL</t>
  </si>
  <si>
    <t>TELEMARKETING</t>
  </si>
  <si>
    <t>VIGILANTE</t>
  </si>
  <si>
    <t>ASESOR DE VENTAS SEM</t>
  </si>
  <si>
    <t>AYUDANTE DE MECANICO</t>
  </si>
  <si>
    <t>AYUDANTE DE GENERAL</t>
  </si>
  <si>
    <t>OPERARIO B</t>
  </si>
  <si>
    <t>AYUDANTE GENERAL DE</t>
  </si>
  <si>
    <t>OPERARIO A</t>
  </si>
  <si>
    <t>TECNICO C</t>
  </si>
  <si>
    <t>ESTETICAS</t>
  </si>
  <si>
    <t>OPERARIO</t>
  </si>
  <si>
    <t>AHORRO CTM</t>
  </si>
  <si>
    <t>PRESTAMO CTM</t>
  </si>
  <si>
    <t>DISPERCION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</si>
  <si>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</si>
  <si>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</si>
  <si>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</si>
  <si>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</si>
  <si>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</si>
  <si>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</si>
  <si>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</si>
  <si>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</si>
  <si>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</si>
  <si>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</si>
  <si>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ALFARO LAZARO ISAAC</t>
  </si>
  <si>
    <t>AL26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</si>
  <si>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</si>
  <si>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</si>
  <si>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</si>
  <si>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</si>
  <si>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</si>
  <si>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</si>
  <si>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</si>
  <si>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</si>
  <si>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</si>
  <si>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</si>
  <si>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</si>
  <si>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</si>
  <si>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</si>
  <si>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</si>
  <si>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MIRANDA PEON JULIO CESAR</t>
  </si>
  <si>
    <t>CRUZ ORTIZ JUAN ANTONIO</t>
  </si>
  <si>
    <t>FONSECA GUILLEN JOSE FELIPE</t>
  </si>
  <si>
    <t>HERNANDEZ SILVA EDGAR SAMUEL</t>
  </si>
  <si>
    <t>RAMIREZ BAUTISTA MARCOS SAMUEL</t>
  </si>
  <si>
    <t>MARTINEZ LORENZO LUIS ALEJANDRO</t>
  </si>
  <si>
    <t>AGUILAR BRAVO CRISTIAN SAUL</t>
  </si>
  <si>
    <t>RODRIGUEZ RODRIGUEZ ANUAR</t>
  </si>
  <si>
    <t>TINOCO LOPEZ ALFREDO</t>
  </si>
  <si>
    <t>ASESOR SERVICIO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</si>
  <si>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</si>
  <si>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</si>
  <si>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</si>
  <si>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</si>
  <si>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</si>
  <si>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</si>
  <si>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</si>
  <si>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</si>
  <si>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</si>
  <si>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</si>
  <si>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</si>
  <si>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</si>
  <si>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</si>
  <si>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</si>
  <si>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MALDONADO HERNANDEZ ERICK</t>
  </si>
  <si>
    <t>NORIA BADILLO JUAN JOSE</t>
  </si>
  <si>
    <t>MARTINEZ GALLEGOS LUIS FERNANDO</t>
  </si>
  <si>
    <t>MG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</si>
  <si>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</si>
  <si>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</si>
  <si>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</si>
  <si>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</si>
  <si>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</si>
  <si>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</si>
  <si>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TORIBIO DEL ANGEL OSCAR</t>
  </si>
  <si>
    <t>UNIFORMES</t>
  </si>
  <si>
    <t>PALETA GUADARRAMA RICARDO</t>
  </si>
  <si>
    <t>Subsidio</t>
  </si>
  <si>
    <t>NM01</t>
  </si>
  <si>
    <t>ESPECIALES</t>
  </si>
  <si>
    <t xml:space="preserve">AGUILAR PEREZ MARCOS ARTEMIO </t>
  </si>
  <si>
    <t>CORONEL DE LEON JONATHAN</t>
  </si>
  <si>
    <t>MORALES SANCHEZ ANGEL</t>
  </si>
  <si>
    <t>MS00</t>
  </si>
  <si>
    <t>OSCAR</t>
  </si>
  <si>
    <t>COACH DE VENTAS SEMINUEVOS</t>
  </si>
  <si>
    <t>SERENO CUELLAR JUVENAL</t>
  </si>
  <si>
    <t>REYES MONTES LUIS TEODULO</t>
  </si>
  <si>
    <t>MONTES DE OCA JUAREZ JOSE ANTONIO</t>
  </si>
  <si>
    <t>NIETO MEDINA PEDRO EMMANUEL</t>
  </si>
  <si>
    <t>23/03/2016 AL 29/03/2016</t>
  </si>
  <si>
    <t>Periodo Semana 13</t>
  </si>
  <si>
    <t>Num. Cuenta</t>
  </si>
  <si>
    <t>GARCIA HUERTA ALAN</t>
  </si>
  <si>
    <t>AYUDANTE DE HOJALATERIA</t>
  </si>
  <si>
    <t>DISPERSION</t>
  </si>
  <si>
    <t>SIFONTES SARDUA DAYAN JESUS</t>
  </si>
  <si>
    <t>Incapacidad</t>
  </si>
  <si>
    <t>INCAPACIDADES</t>
  </si>
  <si>
    <t>HUGO RANGEL ZUÑIGA</t>
  </si>
  <si>
    <t>QUILLO ARRIAGA OSIEL JONATHAN</t>
  </si>
  <si>
    <t>MARTINEZ OLVERA ISMAEL</t>
  </si>
  <si>
    <t>BARRAGAN SERRANO HECTOR TONATIUH</t>
  </si>
  <si>
    <t>RODRIGUEZ VENTURA CARLOS JAVIER</t>
  </si>
  <si>
    <t>CORTES MIRANDA CARLOS ARMANDO</t>
  </si>
  <si>
    <t>TIRADO SAAVEDRA CARLOS ALEJANDRO</t>
  </si>
  <si>
    <t>RIVERA GALLEGOS FRANCISCO ALEJANDRO</t>
  </si>
  <si>
    <t>CORTEZ OVANDO FAUSTINO ALI</t>
  </si>
  <si>
    <t>OLVERA BAUTISTA J. DOLORES GILBERTO</t>
  </si>
  <si>
    <t>ARIS</t>
  </si>
  <si>
    <t>VALDEZ MARTINEZ JOSE MARTIN</t>
  </si>
  <si>
    <t>RESENDIZ ECHEVERRIA MARIO ALBERTO</t>
  </si>
  <si>
    <t>MEDINA CASTRO CARLOS MANUEL</t>
  </si>
  <si>
    <t>SALDAÑA GARCIA MARCO ANTONIO</t>
  </si>
  <si>
    <t>ARVIZU RODRIGUEZ ALEJANDRO URIEL</t>
  </si>
  <si>
    <t>GUTIERREZ OLVERA MARIHURI</t>
  </si>
  <si>
    <t>JIMENEZ HERNANDEZ JULIO CESAR</t>
  </si>
  <si>
    <t>BARCENAS COMENERO JORGE ALEJANDRO</t>
  </si>
  <si>
    <t>GRANADOS PEREZ BRENDA LAURA</t>
  </si>
  <si>
    <t>DOMINGUEZ ALCANTARA MIGUEL ANGEL</t>
  </si>
  <si>
    <t>MARTINEZ MONTOYA EFRAIN ESAUL</t>
  </si>
  <si>
    <t>MELENDEZ PADILLA CLAUDIA CRISTINA</t>
  </si>
  <si>
    <t>Sueldo Semanal</t>
  </si>
  <si>
    <t>OLVERA TAPIA SERGIO ANIRAK</t>
  </si>
  <si>
    <t>ENRIQUEZ RUBIO FERNANDO</t>
  </si>
  <si>
    <t>SANTIAGO MATILDE URIEL</t>
  </si>
  <si>
    <t>BLANCO SALOMON RACIEL</t>
  </si>
  <si>
    <t>AYUDANTE DE HyP</t>
  </si>
  <si>
    <t>FEREGRINO RAMIREZ JUAN MANUEL</t>
  </si>
  <si>
    <t>TRONCOSO PEÑA GERARDO</t>
  </si>
  <si>
    <t>PATIÑO NAVARRO OSCAR MARTIN</t>
  </si>
  <si>
    <t>HEREDIA HERNANDEZ ANDREA</t>
  </si>
  <si>
    <t>HERNANDEZ ARREOLA RODOLFO MAYOLO</t>
  </si>
  <si>
    <t>ENCARGADO DE MTTO.</t>
  </si>
  <si>
    <t>MORALES ROSAS ISRAEL</t>
  </si>
  <si>
    <t>Periodo Semana 22</t>
  </si>
  <si>
    <t>25/05/2016 AL 31/05/2016</t>
  </si>
  <si>
    <t>Se le descuenta un dìa de Falta, ya aplicado.</t>
  </si>
  <si>
    <t>Se le paga su semana completa, màs un dìa de la anterior, ya aplicado.</t>
  </si>
  <si>
    <t>SANCHEZ LOPEZ GABRIEL</t>
  </si>
  <si>
    <t>Nuevo Ingreso, se le pagan 2 dìas laborados, ya aplicado.</t>
  </si>
  <si>
    <t>GUTIERREZ OLVERA ARMANDO</t>
  </si>
  <si>
    <t>HURTADO PAJARO JOSE</t>
  </si>
  <si>
    <t>HP16</t>
  </si>
  <si>
    <t>JEFE DE TALLER</t>
  </si>
  <si>
    <t>Se cambia de nòmina quincenal a semanal</t>
  </si>
  <si>
    <t>Se le descuenta $200 requerido por Dolores</t>
  </si>
  <si>
    <t>Se modifica salario y puesto, ya aplicado</t>
  </si>
  <si>
    <t>VALUADOR</t>
  </si>
  <si>
    <t>GALLEGOS RAMIREZ JOSE</t>
  </si>
  <si>
    <t>TECNICO</t>
  </si>
  <si>
    <t>REYES ARMADILLO JORGE ANDRES</t>
  </si>
  <si>
    <t>SIFUNTES SARDUA DAYAN JESUS</t>
  </si>
  <si>
    <t>LOPEZ MIRELES ERICK</t>
  </si>
  <si>
    <t>Periodo Semana 26</t>
  </si>
  <si>
    <t>22/06/2016 AL 28/06/2016</t>
  </si>
  <si>
    <t>FALTAS</t>
  </si>
  <si>
    <t>INCAPACIDAD TODA LA SEMANA</t>
  </si>
  <si>
    <t>GUERRERO GOMEZ MARVIN NOE</t>
  </si>
  <si>
    <t>NUMERO DE CUENTA BANCOMER: 1171646753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</si>
</sst>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4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  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B082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  <xf numFmtId="0" fontId="1" fillId="0" borderId="0"/>
  </cellStyleXfs>
  <cellXfs count="217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"/>
    </xf>
    <xf numFmtId="15" fontId="10" fillId="0" borderId="0" xfId="3" applyNumberFormat="1" applyFont="1" applyFill="1" applyAlignment="1" applyProtection="1">
      <alignment horizontal="left"/>
    </xf>
    <xf numFmtId="15" fontId="10" fillId="0" borderId="0" xfId="3" applyNumberFormat="1" applyFont="1" applyFill="1" applyAlignment="1" applyProtection="1">
      <alignment horizontal="center"/>
    </xf>
    <xf numFmtId="0" fontId="12" fillId="0" borderId="0" xfId="0" applyFont="1"/>
    <xf numFmtId="43" fontId="11" fillId="0" borderId="0" xfId="2" applyFont="1"/>
    <xf numFmtId="43" fontId="12" fillId="0" borderId="0" xfId="2" applyFont="1"/>
    <xf numFmtId="43" fontId="11" fillId="0" borderId="0" xfId="2" applyFont="1" applyFill="1"/>
    <xf numFmtId="0" fontId="12" fillId="0" borderId="0" xfId="0" applyFont="1" applyFill="1"/>
    <xf numFmtId="0" fontId="11" fillId="0" borderId="1" xfId="0" applyFont="1" applyBorder="1"/>
    <xf numFmtId="43" fontId="11" fillId="0" borderId="1" xfId="2" applyFont="1" applyBorder="1"/>
    <xf numFmtId="0" fontId="11" fillId="0" borderId="0" xfId="0" applyFont="1" applyFill="1"/>
    <xf numFmtId="0" fontId="11" fillId="2" borderId="0" xfId="0" applyFont="1" applyFill="1"/>
    <xf numFmtId="0" fontId="11" fillId="0" borderId="0" xfId="0" applyFont="1"/>
    <xf numFmtId="0" fontId="14" fillId="0" borderId="0" xfId="0" applyFont="1"/>
    <xf numFmtId="0" fontId="11" fillId="11" borderId="0" xfId="0" applyFont="1" applyFill="1"/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Border="1"/>
    <xf numFmtId="0" fontId="11" fillId="15" borderId="0" xfId="0" applyFont="1" applyFill="1"/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" fillId="0" borderId="0" xfId="2" applyProtection="1"/>
    <xf numFmtId="43" fontId="1" fillId="0" borderId="0" xfId="2" applyFill="1"/>
    <xf numFmtId="43" fontId="12" fillId="8" borderId="1" xfId="2" applyFont="1" applyFill="1" applyBorder="1" applyAlignment="1">
      <alignment horizontal="center" wrapText="1"/>
    </xf>
    <xf numFmtId="43" fontId="12" fillId="8" borderId="8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wrapText="1"/>
    </xf>
    <xf numFmtId="43" fontId="1" fillId="8" borderId="2" xfId="2" applyFill="1" applyBorder="1" applyAlignment="1">
      <alignment horizontal="center" vertical="center" wrapText="1"/>
    </xf>
    <xf numFmtId="0" fontId="12" fillId="0" borderId="6" xfId="0" applyFont="1" applyFill="1" applyBorder="1"/>
    <xf numFmtId="0" fontId="11" fillId="0" borderId="8" xfId="0" applyFont="1" applyFill="1" applyBorder="1"/>
    <xf numFmtId="43" fontId="11" fillId="0" borderId="8" xfId="2" applyFont="1" applyFill="1" applyBorder="1"/>
    <xf numFmtId="43" fontId="12" fillId="0" borderId="8" xfId="2" applyFont="1" applyFill="1" applyBorder="1"/>
    <xf numFmtId="0" fontId="11" fillId="0" borderId="7" xfId="0" applyFont="1" applyBorder="1"/>
    <xf numFmtId="0" fontId="11" fillId="2" borderId="7" xfId="0" applyFont="1" applyFill="1" applyBorder="1"/>
    <xf numFmtId="43" fontId="11" fillId="0" borderId="7" xfId="2" applyFont="1" applyBorder="1"/>
    <xf numFmtId="43" fontId="11" fillId="2" borderId="7" xfId="2" applyFont="1" applyFill="1" applyBorder="1"/>
    <xf numFmtId="43" fontId="9" fillId="2" borderId="7" xfId="2" applyFont="1" applyFill="1" applyBorder="1"/>
    <xf numFmtId="43" fontId="12" fillId="3" borderId="7" xfId="2" applyFont="1" applyFill="1" applyBorder="1"/>
    <xf numFmtId="43" fontId="11" fillId="4" borderId="7" xfId="2" applyFont="1" applyFill="1" applyBorder="1"/>
    <xf numFmtId="43" fontId="11" fillId="10" borderId="7" xfId="2" applyFont="1" applyFill="1" applyBorder="1"/>
    <xf numFmtId="43" fontId="11" fillId="10" borderId="7" xfId="2" applyFont="1" applyFill="1" applyBorder="1" applyAlignment="1">
      <alignment horizontal="center"/>
    </xf>
    <xf numFmtId="0" fontId="11" fillId="10" borderId="7" xfId="0" applyFont="1" applyFill="1" applyBorder="1"/>
    <xf numFmtId="43" fontId="11" fillId="0" borderId="7" xfId="2" applyFont="1" applyFill="1" applyBorder="1" applyAlignment="1">
      <alignment horizontal="center"/>
    </xf>
    <xf numFmtId="43" fontId="11" fillId="6" borderId="7" xfId="2" applyFont="1" applyFill="1" applyBorder="1" applyAlignment="1">
      <alignment horizontal="center"/>
    </xf>
    <xf numFmtId="43" fontId="12" fillId="14" borderId="7" xfId="2" applyFont="1" applyFill="1" applyBorder="1"/>
    <xf numFmtId="43" fontId="1" fillId="0" borderId="7" xfId="2" applyFill="1" applyBorder="1"/>
    <xf numFmtId="0" fontId="11" fillId="0" borderId="7" xfId="0" applyFont="1" applyFill="1" applyBorder="1"/>
    <xf numFmtId="0" fontId="11" fillId="12" borderId="7" xfId="0" applyFont="1" applyFill="1" applyBorder="1"/>
    <xf numFmtId="43" fontId="11" fillId="12" borderId="7" xfId="2" applyFont="1" applyFill="1" applyBorder="1"/>
    <xf numFmtId="14" fontId="11" fillId="0" borderId="7" xfId="0" applyNumberFormat="1" applyFont="1" applyFill="1" applyBorder="1"/>
    <xf numFmtId="43" fontId="11" fillId="0" borderId="7" xfId="2" applyFont="1" applyFill="1" applyBorder="1"/>
    <xf numFmtId="0" fontId="12" fillId="0" borderId="7" xfId="0" applyFont="1" applyFill="1" applyBorder="1"/>
    <xf numFmtId="2" fontId="11" fillId="10" borderId="7" xfId="0" applyNumberFormat="1" applyFont="1" applyFill="1" applyBorder="1"/>
    <xf numFmtId="43" fontId="11" fillId="12" borderId="7" xfId="2" applyFont="1" applyFill="1" applyBorder="1" applyAlignment="1">
      <alignment horizontal="center"/>
    </xf>
    <xf numFmtId="2" fontId="11" fillId="0" borderId="7" xfId="0" applyNumberFormat="1" applyFont="1" applyBorder="1"/>
    <xf numFmtId="12" fontId="11" fillId="2" borderId="7" xfId="2" applyNumberFormat="1" applyFont="1" applyFill="1" applyBorder="1"/>
    <xf numFmtId="12" fontId="11" fillId="0" borderId="7" xfId="2" applyNumberFormat="1" applyFont="1" applyFill="1" applyBorder="1"/>
    <xf numFmtId="0" fontId="11" fillId="0" borderId="7" xfId="0" applyFont="1" applyBorder="1" applyAlignment="1">
      <alignment horizontal="right"/>
    </xf>
    <xf numFmtId="0" fontId="11" fillId="0" borderId="7" xfId="0" applyFont="1" applyFill="1" applyBorder="1" applyAlignment="1">
      <alignment horizontal="right"/>
    </xf>
    <xf numFmtId="0" fontId="0" fillId="0" borderId="7" xfId="0" applyBorder="1"/>
    <xf numFmtId="43" fontId="11" fillId="0" borderId="8" xfId="2" applyFont="1" applyFill="1" applyBorder="1" applyAlignment="1">
      <alignment horizontal="center"/>
    </xf>
    <xf numFmtId="0" fontId="12" fillId="0" borderId="7" xfId="0" applyFont="1" applyBorder="1"/>
    <xf numFmtId="43" fontId="12" fillId="0" borderId="7" xfId="2" applyFont="1" applyBorder="1"/>
    <xf numFmtId="43" fontId="12" fillId="13" borderId="7" xfId="2" applyFont="1" applyFill="1" applyBorder="1"/>
    <xf numFmtId="43" fontId="1" fillId="0" borderId="7" xfId="2" applyBorder="1"/>
    <xf numFmtId="0" fontId="12" fillId="7" borderId="7" xfId="0" applyFont="1" applyFill="1" applyBorder="1" applyAlignment="1">
      <alignment horizontal="center"/>
    </xf>
    <xf numFmtId="43" fontId="11" fillId="5" borderId="7" xfId="2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2" fontId="11" fillId="12" borderId="7" xfId="0" applyNumberFormat="1" applyFont="1" applyFill="1" applyBorder="1"/>
    <xf numFmtId="0" fontId="11" fillId="16" borderId="7" xfId="0" applyFont="1" applyFill="1" applyBorder="1"/>
    <xf numFmtId="0" fontId="12" fillId="7" borderId="5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43" fontId="11" fillId="11" borderId="7" xfId="2" applyFont="1" applyFill="1" applyBorder="1"/>
    <xf numFmtId="43" fontId="15" fillId="8" borderId="2" xfId="2" applyFont="1" applyFill="1" applyBorder="1" applyAlignment="1">
      <alignment horizontal="center" vertical="center" wrapText="1"/>
    </xf>
    <xf numFmtId="43" fontId="16" fillId="0" borderId="0" xfId="2" applyFont="1" applyProtection="1"/>
    <xf numFmtId="43" fontId="16" fillId="0" borderId="0" xfId="2" applyFont="1"/>
    <xf numFmtId="43" fontId="16" fillId="0" borderId="0" xfId="2" applyFont="1" applyFill="1"/>
    <xf numFmtId="43" fontId="16" fillId="0" borderId="7" xfId="2" applyFont="1" applyBorder="1"/>
    <xf numFmtId="43" fontId="16" fillId="3" borderId="7" xfId="2" applyFont="1" applyFill="1" applyBorder="1"/>
    <xf numFmtId="0" fontId="17" fillId="0" borderId="7" xfId="0" applyFont="1" applyFill="1" applyBorder="1"/>
    <xf numFmtId="43" fontId="11" fillId="16" borderId="7" xfId="2" applyFont="1" applyFill="1" applyBorder="1"/>
    <xf numFmtId="43" fontId="11" fillId="16" borderId="7" xfId="2" applyFont="1" applyFill="1" applyBorder="1" applyAlignment="1">
      <alignment horizontal="center"/>
    </xf>
    <xf numFmtId="4" fontId="17" fillId="0" borderId="7" xfId="0" applyNumberFormat="1" applyFont="1" applyFill="1" applyBorder="1"/>
    <xf numFmtId="4" fontId="11" fillId="12" borderId="7" xfId="0" applyNumberFormat="1" applyFont="1" applyFill="1" applyBorder="1"/>
    <xf numFmtId="43" fontId="11" fillId="12" borderId="7" xfId="0" applyNumberFormat="1" applyFont="1" applyFill="1" applyBorder="1"/>
    <xf numFmtId="0" fontId="12" fillId="14" borderId="7" xfId="0" applyFont="1" applyFill="1" applyBorder="1"/>
    <xf numFmtId="43" fontId="9" fillId="0" borderId="7" xfId="2" applyFont="1" applyFill="1" applyBorder="1"/>
    <xf numFmtId="0" fontId="10" fillId="0" borderId="0" xfId="3" applyFont="1" applyFill="1" applyAlignment="1" applyProtection="1">
      <alignment horizontal="center" vertical="center"/>
    </xf>
    <xf numFmtId="0" fontId="13" fillId="0" borderId="0" xfId="3" applyFont="1" applyFill="1" applyAlignment="1" applyProtection="1">
      <alignment horizontal="center" vertical="center"/>
    </xf>
    <xf numFmtId="15" fontId="10" fillId="0" borderId="0" xfId="3" applyNumberFormat="1" applyFont="1" applyFill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2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2" fillId="0" borderId="7" xfId="2" applyFont="1" applyFill="1" applyBorder="1"/>
    <xf numFmtId="43" fontId="18" fillId="0" borderId="7" xfId="2" applyFont="1" applyFill="1" applyBorder="1"/>
    <xf numFmtId="2" fontId="11" fillId="0" borderId="7" xfId="0" applyNumberFormat="1" applyFont="1" applyFill="1" applyBorder="1"/>
    <xf numFmtId="0" fontId="18" fillId="16" borderId="0" xfId="0" applyFont="1" applyFill="1"/>
    <xf numFmtId="43" fontId="18" fillId="12" borderId="7" xfId="2" applyFont="1" applyFill="1" applyBorder="1"/>
    <xf numFmtId="43" fontId="18" fillId="11" borderId="7" xfId="2" applyFont="1" applyFill="1" applyBorder="1"/>
    <xf numFmtId="0" fontId="19" fillId="0" borderId="7" xfId="0" applyFont="1" applyBorder="1"/>
    <xf numFmtId="0" fontId="0" fillId="0" borderId="0" xfId="0" applyFill="1"/>
    <xf numFmtId="4" fontId="11" fillId="16" borderId="7" xfId="0" applyNumberFormat="1" applyFont="1" applyFill="1" applyBorder="1"/>
    <xf numFmtId="43" fontId="11" fillId="16" borderId="7" xfId="0" applyNumberFormat="1" applyFont="1" applyFill="1" applyBorder="1"/>
    <xf numFmtId="14" fontId="18" fillId="0" borderId="7" xfId="0" applyNumberFormat="1" applyFont="1" applyFill="1" applyBorder="1"/>
    <xf numFmtId="165" fontId="18" fillId="0" borderId="7" xfId="0" applyNumberFormat="1" applyFont="1" applyBorder="1"/>
    <xf numFmtId="165" fontId="18" fillId="0" borderId="7" xfId="0" applyNumberFormat="1" applyFont="1" applyFill="1" applyBorder="1"/>
    <xf numFmtId="14" fontId="11" fillId="0" borderId="7" xfId="4" applyNumberFormat="1" applyFont="1" applyFill="1" applyBorder="1" applyAlignment="1"/>
    <xf numFmtId="14" fontId="11" fillId="0" borderId="7" xfId="0" applyNumberFormat="1" applyFont="1" applyFill="1" applyBorder="1" applyAlignment="1"/>
    <xf numFmtId="0" fontId="18" fillId="0" borderId="7" xfId="0" applyFont="1" applyBorder="1" applyAlignment="1">
      <alignment wrapText="1"/>
    </xf>
    <xf numFmtId="4" fontId="18" fillId="0" borderId="7" xfId="0" applyNumberFormat="1" applyFont="1" applyBorder="1" applyAlignment="1">
      <alignment wrapText="1"/>
    </xf>
    <xf numFmtId="0" fontId="18" fillId="0" borderId="7" xfId="0" applyFont="1" applyBorder="1"/>
    <xf numFmtId="4" fontId="18" fillId="0" borderId="7" xfId="0" applyNumberFormat="1" applyFont="1" applyBorder="1"/>
    <xf numFmtId="0" fontId="12" fillId="15" borderId="7" xfId="0" applyFont="1" applyFill="1" applyBorder="1"/>
    <xf numFmtId="0" fontId="18" fillId="12" borderId="7" xfId="0" applyFont="1" applyFill="1" applyBorder="1" applyAlignment="1">
      <alignment wrapText="1"/>
    </xf>
    <xf numFmtId="0" fontId="12" fillId="12" borderId="7" xfId="0" applyFont="1" applyFill="1" applyBorder="1"/>
    <xf numFmtId="0" fontId="11" fillId="11" borderId="7" xfId="0" applyFont="1" applyFill="1" applyBorder="1"/>
    <xf numFmtId="0" fontId="18" fillId="0" borderId="7" xfId="0" applyFont="1" applyFill="1" applyBorder="1" applyAlignment="1">
      <alignment wrapText="1"/>
    </xf>
    <xf numFmtId="4" fontId="18" fillId="0" borderId="7" xfId="0" applyNumberFormat="1" applyFont="1" applyFill="1" applyBorder="1" applyAlignment="1">
      <alignment wrapText="1"/>
    </xf>
    <xf numFmtId="0" fontId="19" fillId="0" borderId="7" xfId="0" applyFont="1" applyFill="1" applyBorder="1"/>
    <xf numFmtId="165" fontId="18" fillId="0" borderId="7" xfId="0" applyNumberFormat="1" applyFont="1" applyFill="1" applyBorder="1" applyAlignment="1">
      <alignment horizontal="right" vertical="center"/>
    </xf>
    <xf numFmtId="43" fontId="1" fillId="0" borderId="7" xfId="2" applyBorder="1" applyAlignment="1">
      <alignment horizontal="center" vertical="center"/>
    </xf>
    <xf numFmtId="43" fontId="1" fillId="0" borderId="7" xfId="2" applyFill="1" applyBorder="1" applyAlignment="1">
      <alignment horizontal="center" vertical="center"/>
    </xf>
    <xf numFmtId="43" fontId="1" fillId="2" borderId="7" xfId="2" applyFill="1" applyBorder="1" applyAlignment="1">
      <alignment horizontal="center" vertical="center"/>
    </xf>
    <xf numFmtId="43" fontId="1" fillId="0" borderId="4" xfId="2" applyBorder="1"/>
    <xf numFmtId="0" fontId="12" fillId="7" borderId="7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43" fontId="21" fillId="0" borderId="7" xfId="2" applyFont="1" applyBorder="1"/>
    <xf numFmtId="43" fontId="21" fillId="0" borderId="7" xfId="2" applyFont="1" applyFill="1" applyBorder="1" applyAlignment="1">
      <alignment horizontal="center" vertical="center"/>
    </xf>
    <xf numFmtId="43" fontId="20" fillId="0" borderId="7" xfId="2" applyFont="1" applyFill="1" applyBorder="1"/>
    <xf numFmtId="43" fontId="21" fillId="2" borderId="7" xfId="2" applyFont="1" applyFill="1" applyBorder="1" applyAlignment="1">
      <alignment horizontal="center" vertical="center"/>
    </xf>
    <xf numFmtId="43" fontId="21" fillId="0" borderId="7" xfId="2" applyFont="1" applyFill="1" applyBorder="1"/>
    <xf numFmtId="43" fontId="21" fillId="2" borderId="9" xfId="2" applyFont="1" applyFill="1" applyBorder="1" applyAlignment="1">
      <alignment horizontal="center" vertical="center"/>
    </xf>
    <xf numFmtId="43" fontId="21" fillId="0" borderId="0" xfId="2" applyFont="1" applyBorder="1"/>
    <xf numFmtId="43" fontId="11" fillId="3" borderId="7" xfId="2" applyFont="1" applyFill="1" applyBorder="1"/>
    <xf numFmtId="43" fontId="20" fillId="0" borderId="7" xfId="2" applyFont="1" applyBorder="1"/>
    <xf numFmtId="0" fontId="11" fillId="11" borderId="7" xfId="0" applyFont="1" applyFill="1" applyBorder="1" applyAlignment="1">
      <alignment horizontal="center" vertical="center"/>
    </xf>
    <xf numFmtId="43" fontId="12" fillId="11" borderId="7" xfId="2" applyFont="1" applyFill="1" applyBorder="1"/>
    <xf numFmtId="43" fontId="11" fillId="11" borderId="7" xfId="2" applyFont="1" applyFill="1" applyBorder="1" applyAlignment="1">
      <alignment horizontal="center"/>
    </xf>
    <xf numFmtId="0" fontId="12" fillId="11" borderId="7" xfId="0" applyFont="1" applyFill="1" applyBorder="1"/>
    <xf numFmtId="14" fontId="11" fillId="11" borderId="7" xfId="4" applyNumberFormat="1" applyFont="1" applyFill="1" applyBorder="1" applyAlignment="1"/>
    <xf numFmtId="43" fontId="16" fillId="11" borderId="7" xfId="2" applyFont="1" applyFill="1" applyBorder="1"/>
    <xf numFmtId="43" fontId="1" fillId="11" borderId="7" xfId="2" applyFill="1" applyBorder="1"/>
    <xf numFmtId="43" fontId="11" fillId="0" borderId="1" xfId="2" applyFont="1" applyFill="1" applyBorder="1"/>
    <xf numFmtId="0" fontId="18" fillId="0" borderId="0" xfId="0" applyFont="1" applyFill="1"/>
    <xf numFmtId="4" fontId="11" fillId="0" borderId="7" xfId="0" applyNumberFormat="1" applyFont="1" applyFill="1" applyBorder="1" applyAlignment="1">
      <alignment horizontal="center" vertical="center"/>
    </xf>
    <xf numFmtId="0" fontId="18" fillId="0" borderId="7" xfId="0" applyFont="1" applyFill="1" applyBorder="1"/>
    <xf numFmtId="4" fontId="18" fillId="0" borderId="7" xfId="0" applyNumberFormat="1" applyFont="1" applyFill="1" applyBorder="1"/>
    <xf numFmtId="4" fontId="11" fillId="0" borderId="7" xfId="0" applyNumberFormat="1" applyFont="1" applyFill="1" applyBorder="1"/>
    <xf numFmtId="43" fontId="1" fillId="0" borderId="4" xfId="2" applyFill="1" applyBorder="1"/>
    <xf numFmtId="43" fontId="1" fillId="0" borderId="9" xfId="2" applyFill="1" applyBorder="1" applyAlignment="1">
      <alignment horizontal="center" vertical="center"/>
    </xf>
    <xf numFmtId="43" fontId="11" fillId="0" borderId="0" xfId="2" applyFont="1" applyFill="1" applyBorder="1"/>
    <xf numFmtId="43" fontId="11" fillId="0" borderId="7" xfId="0" applyNumberFormat="1" applyFont="1" applyFill="1" applyBorder="1"/>
    <xf numFmtId="0" fontId="20" fillId="13" borderId="7" xfId="0" applyFont="1" applyFill="1" applyBorder="1"/>
    <xf numFmtId="43" fontId="20" fillId="13" borderId="7" xfId="2" applyFont="1" applyFill="1" applyBorder="1"/>
    <xf numFmtId="43" fontId="21" fillId="13" borderId="7" xfId="2" applyFont="1" applyFill="1" applyBorder="1" applyAlignment="1">
      <alignment horizontal="center" vertical="center"/>
    </xf>
    <xf numFmtId="43" fontId="22" fillId="13" borderId="7" xfId="2" applyFont="1" applyFill="1" applyBorder="1"/>
    <xf numFmtId="43" fontId="20" fillId="13" borderId="7" xfId="2" applyFont="1" applyFill="1" applyBorder="1" applyAlignment="1">
      <alignment horizontal="center"/>
    </xf>
    <xf numFmtId="0" fontId="23" fillId="13" borderId="7" xfId="0" applyFont="1" applyFill="1" applyBorder="1" applyAlignment="1">
      <alignment wrapText="1"/>
    </xf>
    <xf numFmtId="4" fontId="23" fillId="13" borderId="7" xfId="0" applyNumberFormat="1" applyFont="1" applyFill="1" applyBorder="1" applyAlignment="1">
      <alignment wrapText="1"/>
    </xf>
    <xf numFmtId="43" fontId="23" fillId="13" borderId="7" xfId="2" applyFont="1" applyFill="1" applyBorder="1"/>
    <xf numFmtId="0" fontId="22" fillId="13" borderId="7" xfId="0" applyFont="1" applyFill="1" applyBorder="1"/>
    <xf numFmtId="165" fontId="23" fillId="13" borderId="7" xfId="0" applyNumberFormat="1" applyFont="1" applyFill="1" applyBorder="1"/>
    <xf numFmtId="43" fontId="20" fillId="13" borderId="1" xfId="2" applyFont="1" applyFill="1" applyBorder="1"/>
    <xf numFmtId="43" fontId="12" fillId="8" borderId="2" xfId="2" applyFont="1" applyFill="1" applyBorder="1" applyAlignment="1">
      <alignment horizontal="center" wrapText="1"/>
    </xf>
    <xf numFmtId="0" fontId="12" fillId="14" borderId="7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5" fillId="8" borderId="3" xfId="2" applyFont="1" applyFill="1" applyBorder="1" applyAlignment="1">
      <alignment horizontal="center" wrapText="1"/>
    </xf>
    <xf numFmtId="43" fontId="15" fillId="8" borderId="4" xfId="2" applyFont="1" applyFill="1" applyBorder="1" applyAlignment="1">
      <alignment horizontal="center" wrapText="1"/>
    </xf>
    <xf numFmtId="43" fontId="1" fillId="7" borderId="5" xfId="2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9" borderId="2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43" fontId="11" fillId="8" borderId="2" xfId="2" applyFont="1" applyFill="1" applyBorder="1" applyAlignment="1">
      <alignment horizontal="center" vertical="center" wrapText="1"/>
    </xf>
    <xf numFmtId="43" fontId="11" fillId="8" borderId="8" xfId="2" applyFont="1" applyFill="1" applyBorder="1" applyAlignment="1">
      <alignment horizontal="center" vertic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43" fontId="12" fillId="12" borderId="1" xfId="2" applyFont="1" applyFill="1" applyBorder="1" applyAlignment="1">
      <alignment horizontal="center" wrapText="1"/>
    </xf>
    <xf numFmtId="3" fontId="12" fillId="8" borderId="1" xfId="0" applyNumberFormat="1" applyFont="1" applyFill="1" applyBorder="1"/>
    <xf numFmtId="3" fontId="12" fillId="8" borderId="2" xfId="0" applyNumberFormat="1" applyFont="1" applyFill="1" applyBorder="1"/>
    <xf numFmtId="43" fontId="1" fillId="8" borderId="3" xfId="2" applyFill="1" applyBorder="1" applyAlignment="1">
      <alignment horizontal="center" wrapText="1"/>
    </xf>
    <xf numFmtId="43" fontId="1" fillId="8" borderId="4" xfId="2" applyFill="1" applyBorder="1" applyAlignment="1">
      <alignment horizontal="center" wrapText="1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4B082"/>
      <color rgb="FFFF00FF"/>
      <color rgb="FF9999FF"/>
      <color rgb="FFBCD6EE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GK132"/>
  <sheetViews>
    <sheetView workbookViewId="0">
      <pane xSplit="2" ySplit="6" topLeftCell="V7" activePane="bottomRight" state="frozen"/>
      <selection pane="topRight" activeCell="C1" sqref="C1"/>
      <selection pane="bottomLeft" activeCell="A7" sqref="A7"/>
      <selection pane="bottomRight" activeCell="Z139" sqref="Z139"/>
    </sheetView>
  </sheetViews>
  <sheetFormatPr baseColWidth="10" defaultColWidth="11.5703125" defaultRowHeight="15"/>
  <cols>
    <col min="1" max="1" width="28.7109375" style="31" customWidth="1"/>
    <col min="2" max="2" width="39.140625" style="31" customWidth="1"/>
    <col min="3" max="3" width="8.140625" style="31" customWidth="1"/>
    <col min="4" max="4" width="8.85546875" style="31" customWidth="1"/>
    <col min="5" max="5" width="31.5703125" style="31" customWidth="1"/>
    <col min="6" max="6" width="20.140625" style="31" customWidth="1"/>
    <col min="7" max="7" width="13" style="31" customWidth="1"/>
    <col min="8" max="8" width="11.7109375" style="31" customWidth="1"/>
    <col min="9" max="9" width="17.140625" style="23" customWidth="1"/>
    <col min="10" max="10" width="11.7109375" style="12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98" hidden="1" customWidth="1"/>
    <col min="36" max="36" width="12.7109375" style="98" hidden="1" customWidth="1"/>
    <col min="37" max="37" width="11.5703125" style="4" hidden="1" customWidth="1"/>
    <col min="38" max="38" width="58.7109375" style="31" bestFit="1" customWidth="1"/>
    <col min="39" max="39" width="101.7109375" style="31" bestFit="1" customWidth="1"/>
    <col min="40" max="53" width="11.5703125" style="29"/>
    <col min="54" max="16384" width="11.5703125" style="31"/>
  </cols>
  <sheetData>
    <row r="1" spans="1:193" s="17" customFormat="1">
      <c r="A1" s="12" t="s">
        <v>22</v>
      </c>
      <c r="B1" s="12"/>
      <c r="C1" s="12"/>
      <c r="D1" s="12"/>
      <c r="E1" s="13"/>
      <c r="F1" s="13"/>
      <c r="G1" s="13"/>
      <c r="H1" s="13"/>
      <c r="I1" s="14"/>
      <c r="J1" s="110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97"/>
      <c r="AJ1" s="97"/>
      <c r="AK1" s="40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193" s="17" customFormat="1">
      <c r="A2" s="18" t="s">
        <v>73</v>
      </c>
      <c r="B2" s="18"/>
      <c r="C2" s="18"/>
      <c r="D2" s="18"/>
      <c r="E2" s="19"/>
      <c r="F2" s="19"/>
      <c r="G2" s="19"/>
      <c r="H2" s="19"/>
      <c r="I2" s="14"/>
      <c r="J2" s="111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97"/>
      <c r="AJ2" s="97"/>
      <c r="AK2" s="40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193" s="17" customFormat="1">
      <c r="A3" s="20" t="s">
        <v>285</v>
      </c>
      <c r="B3" s="20"/>
      <c r="C3" s="20"/>
      <c r="D3" s="20"/>
      <c r="E3" s="21"/>
      <c r="F3" s="21"/>
      <c r="G3" s="21"/>
      <c r="H3" s="21"/>
      <c r="I3" s="14"/>
      <c r="J3" s="112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97"/>
      <c r="AJ3" s="97"/>
      <c r="AK3" s="40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</row>
    <row r="4" spans="1:193" s="22" customFormat="1">
      <c r="A4" s="22" t="s">
        <v>286</v>
      </c>
      <c r="I4" s="23"/>
      <c r="J4" s="11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98"/>
      <c r="AJ4" s="98"/>
      <c r="AK4" s="4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</row>
    <row r="5" spans="1:193" s="22" customFormat="1" ht="28.5" customHeight="1">
      <c r="A5" s="209" t="s">
        <v>36</v>
      </c>
      <c r="B5" s="213" t="s">
        <v>37</v>
      </c>
      <c r="C5" s="209" t="s">
        <v>207</v>
      </c>
      <c r="D5" s="213" t="s">
        <v>38</v>
      </c>
      <c r="E5" s="213" t="s">
        <v>0</v>
      </c>
      <c r="F5" s="209" t="s">
        <v>203</v>
      </c>
      <c r="G5" s="197" t="s">
        <v>64</v>
      </c>
      <c r="H5" s="197" t="s">
        <v>62</v>
      </c>
      <c r="I5" s="205" t="s">
        <v>63</v>
      </c>
      <c r="J5" s="207" t="s">
        <v>65</v>
      </c>
      <c r="K5" s="197" t="s">
        <v>272</v>
      </c>
      <c r="L5" s="207" t="s">
        <v>72</v>
      </c>
      <c r="M5" s="156"/>
      <c r="N5" s="197" t="s">
        <v>32</v>
      </c>
      <c r="O5" s="197" t="s">
        <v>33</v>
      </c>
      <c r="P5" s="197" t="s">
        <v>60</v>
      </c>
      <c r="Q5" s="197" t="s">
        <v>34</v>
      </c>
      <c r="R5" s="197" t="s">
        <v>35</v>
      </c>
      <c r="S5" s="155"/>
      <c r="T5" s="203" t="s">
        <v>161</v>
      </c>
      <c r="U5" s="203" t="s">
        <v>182</v>
      </c>
      <c r="V5" s="203" t="s">
        <v>181</v>
      </c>
      <c r="W5" s="203" t="s">
        <v>162</v>
      </c>
      <c r="X5" s="197" t="s">
        <v>28</v>
      </c>
      <c r="Y5" s="197" t="s">
        <v>53</v>
      </c>
      <c r="Z5" s="197" t="s">
        <v>52</v>
      </c>
      <c r="AA5" s="197" t="s">
        <v>30</v>
      </c>
      <c r="AB5" s="197" t="s">
        <v>61</v>
      </c>
      <c r="AC5" s="197" t="s">
        <v>25</v>
      </c>
      <c r="AD5" s="212" t="s">
        <v>29</v>
      </c>
      <c r="AE5" s="197" t="s">
        <v>24</v>
      </c>
      <c r="AF5" s="197" t="s">
        <v>26</v>
      </c>
      <c r="AG5" s="154"/>
      <c r="AH5" s="197" t="s">
        <v>27</v>
      </c>
      <c r="AI5" s="199" t="s">
        <v>245</v>
      </c>
      <c r="AJ5" s="200"/>
      <c r="AK5" s="201" t="s">
        <v>164</v>
      </c>
      <c r="AL5" s="202" t="s">
        <v>211</v>
      </c>
      <c r="AM5" s="202" t="s">
        <v>212</v>
      </c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</row>
    <row r="6" spans="1:193" s="35" customFormat="1" ht="39" hidden="1" customHeight="1">
      <c r="A6" s="210"/>
      <c r="B6" s="214"/>
      <c r="C6" s="210"/>
      <c r="D6" s="214"/>
      <c r="E6" s="214"/>
      <c r="F6" s="210"/>
      <c r="G6" s="198"/>
      <c r="H6" s="198"/>
      <c r="I6" s="206"/>
      <c r="J6" s="208"/>
      <c r="K6" s="198"/>
      <c r="L6" s="208"/>
      <c r="M6" s="157" t="s">
        <v>227</v>
      </c>
      <c r="N6" s="198"/>
      <c r="O6" s="198"/>
      <c r="P6" s="198"/>
      <c r="Q6" s="198"/>
      <c r="R6" s="198"/>
      <c r="S6" s="44" t="s">
        <v>225</v>
      </c>
      <c r="T6" s="204"/>
      <c r="U6" s="204"/>
      <c r="V6" s="204"/>
      <c r="W6" s="204"/>
      <c r="X6" s="198"/>
      <c r="Y6" s="198"/>
      <c r="Z6" s="198"/>
      <c r="AA6" s="198"/>
      <c r="AB6" s="198"/>
      <c r="AC6" s="198"/>
      <c r="AD6" s="198"/>
      <c r="AE6" s="198"/>
      <c r="AF6" s="198"/>
      <c r="AG6" s="155"/>
      <c r="AH6" s="198"/>
      <c r="AI6" s="96" t="s">
        <v>63</v>
      </c>
      <c r="AJ6" s="96" t="s">
        <v>65</v>
      </c>
      <c r="AK6" s="201"/>
      <c r="AL6" s="202"/>
      <c r="AM6" s="202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</row>
    <row r="7" spans="1:193" s="30" customFormat="1" hidden="1">
      <c r="A7" s="64" t="s">
        <v>81</v>
      </c>
      <c r="B7" s="50" t="s">
        <v>196</v>
      </c>
      <c r="C7" s="50"/>
      <c r="D7" s="50" t="s">
        <v>85</v>
      </c>
      <c r="E7" s="50" t="s">
        <v>69</v>
      </c>
      <c r="F7" s="133">
        <v>42062</v>
      </c>
      <c r="G7" s="51"/>
      <c r="H7" s="51"/>
      <c r="I7" s="52">
        <v>1166.26</v>
      </c>
      <c r="J7" s="114"/>
      <c r="K7" s="52">
        <f t="shared" ref="K7:K70" si="0">+I7+J7</f>
        <v>1166.26</v>
      </c>
      <c r="L7" s="52"/>
      <c r="M7" s="52"/>
      <c r="N7" s="53"/>
      <c r="O7" s="53"/>
      <c r="P7" s="54"/>
      <c r="Q7" s="55">
        <f t="shared" ref="Q7:Q44" si="1">SUM(K7:O7)-P7</f>
        <v>1166.26</v>
      </c>
      <c r="R7" s="56"/>
      <c r="S7" s="103"/>
      <c r="T7" s="57">
        <v>0</v>
      </c>
      <c r="U7" s="57"/>
      <c r="V7" s="57"/>
      <c r="W7" s="57"/>
      <c r="X7" s="58"/>
      <c r="Y7" s="58"/>
      <c r="Z7" s="59"/>
      <c r="AA7" s="59">
        <v>0</v>
      </c>
      <c r="AB7" s="55">
        <f t="shared" ref="AB7:AB33" si="2">+Q7-SUM(R7:AA7)</f>
        <v>1166.26</v>
      </c>
      <c r="AC7" s="60">
        <f>IF(Q7&gt;2250,Q7*0.1,0)</f>
        <v>0</v>
      </c>
      <c r="AD7" s="55">
        <f t="shared" ref="AD7:AD70" si="3">+AB7-AC7</f>
        <v>1166.26</v>
      </c>
      <c r="AE7" s="61">
        <f>IF(Q7&lt;2250,Q7*0.1,0)</f>
        <v>116.626</v>
      </c>
      <c r="AF7" s="60">
        <v>10.23</v>
      </c>
      <c r="AG7" s="60">
        <f t="shared" ref="AG7:AG70" si="4">+U7</f>
        <v>0</v>
      </c>
      <c r="AH7" s="62">
        <f t="shared" ref="AH7:AH69" si="5">+Q7+AE7+AF7+AG7</f>
        <v>1293.116</v>
      </c>
      <c r="AI7" s="137"/>
      <c r="AJ7" s="138"/>
      <c r="AK7" s="123">
        <f t="shared" ref="AK7:AK75" si="6">+AI7+AJ7-AD7</f>
        <v>-1166.26</v>
      </c>
      <c r="AL7" s="64"/>
      <c r="AM7" s="64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</row>
    <row r="8" spans="1:193" hidden="1">
      <c r="A8" s="64" t="s">
        <v>68</v>
      </c>
      <c r="B8" s="50" t="s">
        <v>187</v>
      </c>
      <c r="C8" s="50" t="s">
        <v>207</v>
      </c>
      <c r="D8" s="50" t="s">
        <v>127</v>
      </c>
      <c r="E8" s="50" t="s">
        <v>71</v>
      </c>
      <c r="F8" s="133">
        <v>41797</v>
      </c>
      <c r="G8" s="51"/>
      <c r="H8" s="51"/>
      <c r="I8" s="52">
        <v>1633.33</v>
      </c>
      <c r="J8" s="115"/>
      <c r="K8" s="52">
        <f t="shared" si="0"/>
        <v>1633.33</v>
      </c>
      <c r="L8" s="52"/>
      <c r="M8" s="52"/>
      <c r="N8" s="53"/>
      <c r="O8" s="53"/>
      <c r="P8" s="54"/>
      <c r="Q8" s="55">
        <f t="shared" si="1"/>
        <v>1633.33</v>
      </c>
      <c r="R8" s="56"/>
      <c r="S8" s="125">
        <v>334.75</v>
      </c>
      <c r="T8" s="57">
        <v>0</v>
      </c>
      <c r="U8" s="57"/>
      <c r="V8" s="57"/>
      <c r="W8" s="57"/>
      <c r="X8" s="58"/>
      <c r="Y8" s="58"/>
      <c r="Z8" s="59"/>
      <c r="AA8" s="59">
        <v>0</v>
      </c>
      <c r="AB8" s="55">
        <f t="shared" si="2"/>
        <v>1298.58</v>
      </c>
      <c r="AC8" s="60">
        <f t="shared" ref="AC8:AC76" si="7">IF(Q8&gt;2250,Q8*0.1,0)</f>
        <v>0</v>
      </c>
      <c r="AD8" s="55">
        <f t="shared" si="3"/>
        <v>1298.58</v>
      </c>
      <c r="AE8" s="61">
        <f t="shared" ref="AE8:AE72" si="8">IF(Q8&lt;2250,Q8*0.1,0)</f>
        <v>163.333</v>
      </c>
      <c r="AF8" s="60">
        <v>10.23</v>
      </c>
      <c r="AG8" s="60">
        <f t="shared" si="4"/>
        <v>0</v>
      </c>
      <c r="AH8" s="62">
        <f t="shared" si="5"/>
        <v>1806.893</v>
      </c>
      <c r="AI8" s="137"/>
      <c r="AJ8" s="138"/>
      <c r="AK8" s="123">
        <f t="shared" si="6"/>
        <v>-1298.58</v>
      </c>
      <c r="AL8" s="64"/>
      <c r="AM8" s="64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</row>
    <row r="9" spans="1:193" hidden="1">
      <c r="A9" s="64" t="s">
        <v>84</v>
      </c>
      <c r="B9" s="50" t="s">
        <v>169</v>
      </c>
      <c r="C9" s="50"/>
      <c r="D9" s="50" t="s">
        <v>110</v>
      </c>
      <c r="E9" s="50" t="s">
        <v>158</v>
      </c>
      <c r="F9" s="133">
        <v>41381</v>
      </c>
      <c r="G9" s="51"/>
      <c r="H9" s="51"/>
      <c r="I9" s="52">
        <v>623.36</v>
      </c>
      <c r="J9" s="115"/>
      <c r="K9" s="52">
        <f t="shared" si="0"/>
        <v>623.36</v>
      </c>
      <c r="L9" s="52"/>
      <c r="M9" s="52"/>
      <c r="N9" s="53"/>
      <c r="O9" s="53"/>
      <c r="P9" s="54"/>
      <c r="Q9" s="55">
        <f t="shared" si="1"/>
        <v>623.36</v>
      </c>
      <c r="R9" s="56"/>
      <c r="S9" s="57"/>
      <c r="T9" s="57"/>
      <c r="U9" s="66">
        <f>Q9*4.9%</f>
        <v>30.544640000000001</v>
      </c>
      <c r="V9" s="66">
        <f>Q9*1%</f>
        <v>6.2336</v>
      </c>
      <c r="W9" s="57"/>
      <c r="X9" s="58"/>
      <c r="Y9" s="58"/>
      <c r="Z9" s="59"/>
      <c r="AA9" s="59">
        <v>0</v>
      </c>
      <c r="AB9" s="55">
        <f t="shared" si="2"/>
        <v>586.58176000000003</v>
      </c>
      <c r="AC9" s="60">
        <f t="shared" si="7"/>
        <v>0</v>
      </c>
      <c r="AD9" s="55">
        <f t="shared" si="3"/>
        <v>586.58176000000003</v>
      </c>
      <c r="AE9" s="61">
        <f t="shared" si="8"/>
        <v>62.336000000000006</v>
      </c>
      <c r="AF9" s="60">
        <v>10.23</v>
      </c>
      <c r="AG9" s="60">
        <f t="shared" si="4"/>
        <v>30.544640000000001</v>
      </c>
      <c r="AH9" s="62">
        <f t="shared" si="5"/>
        <v>726.47064</v>
      </c>
      <c r="AI9" s="137"/>
      <c r="AJ9" s="138"/>
      <c r="AK9" s="123">
        <f t="shared" si="6"/>
        <v>-586.58176000000003</v>
      </c>
      <c r="AL9" s="64"/>
      <c r="AM9" s="64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</row>
    <row r="10" spans="1:193" hidden="1">
      <c r="A10" s="64" t="s">
        <v>82</v>
      </c>
      <c r="B10" s="50" t="s">
        <v>174</v>
      </c>
      <c r="C10" s="50"/>
      <c r="D10" s="50" t="s">
        <v>175</v>
      </c>
      <c r="E10" s="50" t="s">
        <v>148</v>
      </c>
      <c r="F10" s="133">
        <v>42395</v>
      </c>
      <c r="G10" s="51"/>
      <c r="H10" s="51"/>
      <c r="I10" s="28">
        <f>+K10</f>
        <v>633.62</v>
      </c>
      <c r="J10" s="115"/>
      <c r="K10" s="68">
        <v>633.62</v>
      </c>
      <c r="L10" s="52"/>
      <c r="M10" s="52"/>
      <c r="N10" s="53"/>
      <c r="O10" s="53"/>
      <c r="P10" s="54"/>
      <c r="Q10" s="55">
        <f t="shared" si="1"/>
        <v>633.62</v>
      </c>
      <c r="R10" s="56"/>
      <c r="S10" s="57"/>
      <c r="T10" s="57"/>
      <c r="U10" s="57"/>
      <c r="V10" s="57"/>
      <c r="W10" s="57"/>
      <c r="X10" s="58"/>
      <c r="Y10" s="58"/>
      <c r="Z10" s="59"/>
      <c r="AA10" s="59"/>
      <c r="AB10" s="55">
        <f t="shared" si="2"/>
        <v>633.62</v>
      </c>
      <c r="AC10" s="60">
        <f t="shared" si="7"/>
        <v>0</v>
      </c>
      <c r="AD10" s="55">
        <f t="shared" si="3"/>
        <v>633.62</v>
      </c>
      <c r="AE10" s="61">
        <f t="shared" si="8"/>
        <v>63.362000000000002</v>
      </c>
      <c r="AF10" s="60">
        <v>10.23</v>
      </c>
      <c r="AG10" s="60">
        <f t="shared" si="4"/>
        <v>0</v>
      </c>
      <c r="AH10" s="62">
        <f t="shared" si="5"/>
        <v>707.21199999999999</v>
      </c>
      <c r="AI10" s="137"/>
      <c r="AJ10" s="137"/>
      <c r="AK10" s="123">
        <f t="shared" si="6"/>
        <v>-633.62</v>
      </c>
      <c r="AL10" s="64"/>
      <c r="AM10" s="141" t="s">
        <v>287</v>
      </c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</row>
    <row r="11" spans="1:193" hidden="1">
      <c r="A11" s="64" t="s">
        <v>68</v>
      </c>
      <c r="B11" s="50" t="s">
        <v>78</v>
      </c>
      <c r="C11" s="50" t="s">
        <v>207</v>
      </c>
      <c r="D11" s="50">
        <v>16</v>
      </c>
      <c r="E11" s="50" t="s">
        <v>71</v>
      </c>
      <c r="F11" s="133">
        <v>39508</v>
      </c>
      <c r="G11" s="51"/>
      <c r="H11" s="51"/>
      <c r="I11" s="52">
        <v>1633.33</v>
      </c>
      <c r="J11" s="115"/>
      <c r="K11" s="68">
        <f t="shared" si="0"/>
        <v>1633.33</v>
      </c>
      <c r="L11" s="52"/>
      <c r="M11" s="52"/>
      <c r="N11" s="53"/>
      <c r="O11" s="53"/>
      <c r="P11" s="54"/>
      <c r="Q11" s="55">
        <f t="shared" si="1"/>
        <v>1633.33</v>
      </c>
      <c r="R11" s="56"/>
      <c r="S11" s="57"/>
      <c r="T11" s="57">
        <v>0</v>
      </c>
      <c r="U11" s="57"/>
      <c r="V11" s="57"/>
      <c r="W11" s="57"/>
      <c r="X11" s="58"/>
      <c r="Y11" s="58"/>
      <c r="Z11" s="59"/>
      <c r="AA11" s="59">
        <v>0</v>
      </c>
      <c r="AB11" s="55">
        <f t="shared" si="2"/>
        <v>1633.33</v>
      </c>
      <c r="AC11" s="60">
        <f t="shared" si="7"/>
        <v>0</v>
      </c>
      <c r="AD11" s="55">
        <f t="shared" si="3"/>
        <v>1633.33</v>
      </c>
      <c r="AE11" s="61">
        <f t="shared" si="8"/>
        <v>163.333</v>
      </c>
      <c r="AF11" s="60">
        <v>10.23</v>
      </c>
      <c r="AG11" s="60">
        <f t="shared" si="4"/>
        <v>0</v>
      </c>
      <c r="AH11" s="62">
        <f t="shared" si="5"/>
        <v>1806.893</v>
      </c>
      <c r="AI11" s="137"/>
      <c r="AJ11" s="138"/>
      <c r="AK11" s="123">
        <f t="shared" si="6"/>
        <v>-1633.33</v>
      </c>
      <c r="AL11" s="64"/>
      <c r="AM11" s="64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</row>
    <row r="12" spans="1:193" s="37" customFormat="1" hidden="1">
      <c r="A12" s="64" t="s">
        <v>81</v>
      </c>
      <c r="B12" s="64" t="s">
        <v>220</v>
      </c>
      <c r="C12" s="64"/>
      <c r="D12" s="64"/>
      <c r="E12" s="64" t="s">
        <v>221</v>
      </c>
      <c r="F12" s="134">
        <v>42422</v>
      </c>
      <c r="G12" s="64"/>
      <c r="H12" s="64"/>
      <c r="I12" s="68">
        <v>739.23</v>
      </c>
      <c r="J12" s="116"/>
      <c r="K12" s="68">
        <f t="shared" si="0"/>
        <v>739.23</v>
      </c>
      <c r="L12" s="68"/>
      <c r="M12" s="68"/>
      <c r="N12" s="68"/>
      <c r="O12" s="68"/>
      <c r="P12" s="54"/>
      <c r="Q12" s="55">
        <f t="shared" si="1"/>
        <v>739.23</v>
      </c>
      <c r="R12" s="56"/>
      <c r="S12" s="57"/>
      <c r="T12" s="57">
        <v>0</v>
      </c>
      <c r="U12" s="57"/>
      <c r="V12" s="57"/>
      <c r="W12" s="57"/>
      <c r="X12" s="58"/>
      <c r="Y12" s="58"/>
      <c r="Z12" s="59"/>
      <c r="AA12" s="59">
        <v>0</v>
      </c>
      <c r="AB12" s="55">
        <f t="shared" si="2"/>
        <v>739.23</v>
      </c>
      <c r="AC12" s="60">
        <f t="shared" si="7"/>
        <v>0</v>
      </c>
      <c r="AD12" s="55">
        <f t="shared" si="3"/>
        <v>739.23</v>
      </c>
      <c r="AE12" s="61">
        <f t="shared" si="8"/>
        <v>73.923000000000002</v>
      </c>
      <c r="AF12" s="60">
        <v>10.23</v>
      </c>
      <c r="AG12" s="60">
        <f t="shared" si="4"/>
        <v>0</v>
      </c>
      <c r="AH12" s="62">
        <f t="shared" si="5"/>
        <v>823.38300000000004</v>
      </c>
      <c r="AI12" s="137"/>
      <c r="AJ12" s="138"/>
      <c r="AK12" s="123">
        <f t="shared" si="6"/>
        <v>-739.23</v>
      </c>
      <c r="AL12" s="64">
        <v>1456104819</v>
      </c>
      <c r="AM12" s="6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</row>
    <row r="13" spans="1:193" s="29" customFormat="1" hidden="1">
      <c r="A13" s="64" t="s">
        <v>68</v>
      </c>
      <c r="B13" s="64" t="s">
        <v>188</v>
      </c>
      <c r="C13" s="64" t="s">
        <v>204</v>
      </c>
      <c r="D13" s="64" t="s">
        <v>128</v>
      </c>
      <c r="E13" s="64" t="s">
        <v>70</v>
      </c>
      <c r="F13" s="134">
        <v>42383</v>
      </c>
      <c r="G13" s="64"/>
      <c r="H13" s="64"/>
      <c r="I13" s="68">
        <v>513.33000000000004</v>
      </c>
      <c r="J13" s="116">
        <v>653.33000000000004</v>
      </c>
      <c r="K13" s="68">
        <f t="shared" si="0"/>
        <v>1166.6600000000001</v>
      </c>
      <c r="L13" s="68"/>
      <c r="M13" s="68"/>
      <c r="N13" s="68"/>
      <c r="O13" s="68"/>
      <c r="P13" s="54"/>
      <c r="Q13" s="55">
        <f t="shared" si="1"/>
        <v>1166.6600000000001</v>
      </c>
      <c r="R13" s="56">
        <v>187.5</v>
      </c>
      <c r="S13" s="57"/>
      <c r="T13" s="57">
        <v>0</v>
      </c>
      <c r="U13" s="57"/>
      <c r="V13" s="57"/>
      <c r="W13" s="57"/>
      <c r="X13" s="58"/>
      <c r="Y13" s="58"/>
      <c r="Z13" s="59"/>
      <c r="AA13" s="65">
        <v>368.35</v>
      </c>
      <c r="AB13" s="55">
        <f t="shared" si="2"/>
        <v>610.81000000000006</v>
      </c>
      <c r="AC13" s="60">
        <f t="shared" si="7"/>
        <v>0</v>
      </c>
      <c r="AD13" s="55">
        <f t="shared" si="3"/>
        <v>610.81000000000006</v>
      </c>
      <c r="AE13" s="61">
        <f t="shared" si="8"/>
        <v>116.66600000000001</v>
      </c>
      <c r="AF13" s="60">
        <v>10.23</v>
      </c>
      <c r="AG13" s="60">
        <f t="shared" si="4"/>
        <v>0</v>
      </c>
      <c r="AH13" s="62">
        <f t="shared" si="5"/>
        <v>1293.556</v>
      </c>
      <c r="AI13" s="137"/>
      <c r="AJ13" s="138"/>
      <c r="AK13" s="123">
        <f t="shared" si="6"/>
        <v>-610.81000000000006</v>
      </c>
      <c r="AL13" s="64"/>
      <c r="AM13" s="64"/>
    </row>
    <row r="14" spans="1:193" hidden="1">
      <c r="A14" s="64" t="s">
        <v>67</v>
      </c>
      <c r="B14" s="64" t="s">
        <v>173</v>
      </c>
      <c r="C14" s="64" t="s">
        <v>234</v>
      </c>
      <c r="D14" s="64"/>
      <c r="E14" s="64" t="s">
        <v>152</v>
      </c>
      <c r="F14" s="134">
        <v>42416</v>
      </c>
      <c r="G14" s="64"/>
      <c r="H14" s="64"/>
      <c r="I14" s="68">
        <v>513.33000000000004</v>
      </c>
      <c r="J14" s="116">
        <v>653.33000000000004</v>
      </c>
      <c r="K14" s="68">
        <f t="shared" si="0"/>
        <v>1166.6600000000001</v>
      </c>
      <c r="L14" s="68"/>
      <c r="M14" s="68"/>
      <c r="N14" s="68"/>
      <c r="O14" s="68"/>
      <c r="P14" s="54"/>
      <c r="Q14" s="55">
        <f t="shared" si="1"/>
        <v>1166.6600000000001</v>
      </c>
      <c r="R14" s="56"/>
      <c r="S14" s="57"/>
      <c r="T14" s="57">
        <v>0</v>
      </c>
      <c r="U14" s="57"/>
      <c r="V14" s="57"/>
      <c r="W14" s="57"/>
      <c r="X14" s="71">
        <v>114.82</v>
      </c>
      <c r="Y14" s="58"/>
      <c r="Z14" s="59"/>
      <c r="AA14" s="59">
        <v>0</v>
      </c>
      <c r="AB14" s="55">
        <f t="shared" si="2"/>
        <v>1051.8400000000001</v>
      </c>
      <c r="AC14" s="60">
        <f t="shared" si="7"/>
        <v>0</v>
      </c>
      <c r="AD14" s="55">
        <f t="shared" si="3"/>
        <v>1051.8400000000001</v>
      </c>
      <c r="AE14" s="61">
        <f t="shared" si="8"/>
        <v>116.66600000000001</v>
      </c>
      <c r="AF14" s="60">
        <v>10.23</v>
      </c>
      <c r="AG14" s="60">
        <f t="shared" si="4"/>
        <v>0</v>
      </c>
      <c r="AH14" s="62">
        <f t="shared" si="5"/>
        <v>1293.556</v>
      </c>
      <c r="AI14" s="137"/>
      <c r="AJ14" s="138"/>
      <c r="AK14" s="123">
        <f t="shared" si="6"/>
        <v>-1051.8400000000001</v>
      </c>
      <c r="AL14" s="64"/>
      <c r="AM14" s="64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</row>
    <row r="15" spans="1:193" hidden="1">
      <c r="A15" s="64" t="s">
        <v>84</v>
      </c>
      <c r="B15" s="64" t="s">
        <v>264</v>
      </c>
      <c r="C15" s="64"/>
      <c r="D15" s="50" t="s">
        <v>111</v>
      </c>
      <c r="E15" s="50" t="s">
        <v>153</v>
      </c>
      <c r="F15" s="133">
        <v>41740</v>
      </c>
      <c r="G15" s="51"/>
      <c r="H15" s="51"/>
      <c r="I15" s="52">
        <v>623.36</v>
      </c>
      <c r="J15" s="115"/>
      <c r="K15" s="68">
        <f t="shared" si="0"/>
        <v>623.36</v>
      </c>
      <c r="L15" s="52"/>
      <c r="M15" s="52"/>
      <c r="N15" s="53"/>
      <c r="O15" s="53"/>
      <c r="P15" s="54"/>
      <c r="Q15" s="55">
        <f t="shared" si="1"/>
        <v>623.36</v>
      </c>
      <c r="R15" s="56"/>
      <c r="S15" s="57"/>
      <c r="T15" s="66">
        <v>250</v>
      </c>
      <c r="U15" s="66">
        <f>Q15*4.9%</f>
        <v>30.544640000000001</v>
      </c>
      <c r="V15" s="66">
        <f>Q15*1%</f>
        <v>6.2336</v>
      </c>
      <c r="W15" s="57"/>
      <c r="X15" s="58"/>
      <c r="Y15" s="58"/>
      <c r="Z15" s="59"/>
      <c r="AA15" s="59">
        <v>0</v>
      </c>
      <c r="AB15" s="55">
        <f t="shared" si="2"/>
        <v>336.58175999999997</v>
      </c>
      <c r="AC15" s="60">
        <f t="shared" si="7"/>
        <v>0</v>
      </c>
      <c r="AD15" s="55">
        <f t="shared" si="3"/>
        <v>336.58175999999997</v>
      </c>
      <c r="AE15" s="61">
        <f t="shared" si="8"/>
        <v>62.336000000000006</v>
      </c>
      <c r="AF15" s="60">
        <v>10.23</v>
      </c>
      <c r="AG15" s="60">
        <f t="shared" si="4"/>
        <v>30.544640000000001</v>
      </c>
      <c r="AH15" s="62">
        <f t="shared" si="5"/>
        <v>726.47064</v>
      </c>
      <c r="AI15" s="137"/>
      <c r="AJ15" s="138"/>
      <c r="AK15" s="123">
        <f t="shared" si="6"/>
        <v>-336.58175999999997</v>
      </c>
      <c r="AL15" s="64"/>
      <c r="AM15" s="6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</row>
    <row r="16" spans="1:193" s="29" customFormat="1" hidden="1">
      <c r="A16" s="64" t="s">
        <v>68</v>
      </c>
      <c r="B16" s="64" t="s">
        <v>252</v>
      </c>
      <c r="C16" s="64"/>
      <c r="D16" s="64"/>
      <c r="E16" s="64" t="s">
        <v>70</v>
      </c>
      <c r="F16" s="134">
        <v>42472</v>
      </c>
      <c r="G16" s="64"/>
      <c r="H16" s="64"/>
      <c r="I16" s="68">
        <v>513.33000000000004</v>
      </c>
      <c r="J16" s="116">
        <v>653.33000000000004</v>
      </c>
      <c r="K16" s="68">
        <f t="shared" si="0"/>
        <v>1166.6600000000001</v>
      </c>
      <c r="L16" s="68"/>
      <c r="M16" s="68"/>
      <c r="N16" s="68"/>
      <c r="O16" s="68"/>
      <c r="P16" s="54"/>
      <c r="Q16" s="55">
        <f t="shared" si="1"/>
        <v>1166.6600000000001</v>
      </c>
      <c r="R16" s="56"/>
      <c r="S16" s="57"/>
      <c r="T16" s="103"/>
      <c r="U16" s="103"/>
      <c r="V16" s="103"/>
      <c r="W16" s="103"/>
      <c r="X16" s="104"/>
      <c r="Y16" s="104"/>
      <c r="Z16" s="88"/>
      <c r="AA16" s="88">
        <v>0</v>
      </c>
      <c r="AB16" s="55">
        <f t="shared" si="2"/>
        <v>1166.6600000000001</v>
      </c>
      <c r="AC16" s="60">
        <f t="shared" si="7"/>
        <v>0</v>
      </c>
      <c r="AD16" s="55">
        <f t="shared" si="3"/>
        <v>1166.6600000000001</v>
      </c>
      <c r="AE16" s="61">
        <f t="shared" si="8"/>
        <v>116.66600000000001</v>
      </c>
      <c r="AF16" s="60">
        <v>10.23</v>
      </c>
      <c r="AG16" s="60">
        <f t="shared" si="4"/>
        <v>0</v>
      </c>
      <c r="AH16" s="62">
        <f t="shared" si="5"/>
        <v>1293.556</v>
      </c>
      <c r="AI16" s="139"/>
      <c r="AJ16" s="140"/>
      <c r="AK16" s="123">
        <f t="shared" si="6"/>
        <v>-1166.6600000000001</v>
      </c>
      <c r="AL16" s="64">
        <v>2899146091</v>
      </c>
      <c r="AM16" s="69"/>
    </row>
    <row r="17" spans="1:193" hidden="1">
      <c r="A17" s="64" t="s">
        <v>66</v>
      </c>
      <c r="B17" s="50" t="s">
        <v>267</v>
      </c>
      <c r="C17" s="50"/>
      <c r="D17" s="50" t="s">
        <v>98</v>
      </c>
      <c r="E17" s="50" t="s">
        <v>150</v>
      </c>
      <c r="F17" s="133">
        <v>42116</v>
      </c>
      <c r="G17" s="51"/>
      <c r="H17" s="51"/>
      <c r="I17" s="52">
        <v>513.33000000000004</v>
      </c>
      <c r="J17" s="116">
        <v>653.33000000000004</v>
      </c>
      <c r="K17" s="68">
        <f t="shared" si="0"/>
        <v>1166.6600000000001</v>
      </c>
      <c r="L17" s="52"/>
      <c r="M17" s="52"/>
      <c r="N17" s="53"/>
      <c r="O17" s="53"/>
      <c r="P17" s="54"/>
      <c r="Q17" s="55">
        <f t="shared" si="1"/>
        <v>1166.6600000000001</v>
      </c>
      <c r="R17" s="56"/>
      <c r="S17" s="57">
        <v>58.91</v>
      </c>
      <c r="T17" s="57">
        <v>0</v>
      </c>
      <c r="U17" s="57"/>
      <c r="V17" s="57"/>
      <c r="W17" s="57"/>
      <c r="X17" s="58"/>
      <c r="Y17" s="58"/>
      <c r="Z17" s="70"/>
      <c r="AA17" s="59">
        <v>0</v>
      </c>
      <c r="AB17" s="55">
        <f t="shared" si="2"/>
        <v>1107.75</v>
      </c>
      <c r="AC17" s="60">
        <f t="shared" si="7"/>
        <v>0</v>
      </c>
      <c r="AD17" s="55">
        <f t="shared" si="3"/>
        <v>1107.75</v>
      </c>
      <c r="AE17" s="61">
        <f t="shared" si="8"/>
        <v>116.66600000000001</v>
      </c>
      <c r="AF17" s="60">
        <v>10.23</v>
      </c>
      <c r="AG17" s="60">
        <f t="shared" si="4"/>
        <v>0</v>
      </c>
      <c r="AH17" s="62">
        <f t="shared" si="5"/>
        <v>1293.556</v>
      </c>
      <c r="AI17" s="139"/>
      <c r="AJ17" s="139"/>
      <c r="AK17" s="123">
        <f t="shared" si="6"/>
        <v>-1107.75</v>
      </c>
      <c r="AL17" s="64"/>
      <c r="AM17" s="64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</row>
    <row r="18" spans="1:193" s="29" customFormat="1" ht="15" hidden="1" customHeight="1">
      <c r="A18" s="64" t="s">
        <v>68</v>
      </c>
      <c r="B18" s="64" t="s">
        <v>213</v>
      </c>
      <c r="C18" s="64" t="s">
        <v>206</v>
      </c>
      <c r="D18" s="64" t="s">
        <v>129</v>
      </c>
      <c r="E18" s="64" t="s">
        <v>70</v>
      </c>
      <c r="F18" s="133">
        <v>41831</v>
      </c>
      <c r="G18" s="64"/>
      <c r="H18" s="64"/>
      <c r="I18" s="68">
        <v>513.33000000000004</v>
      </c>
      <c r="J18" s="117">
        <v>653.33000000000004</v>
      </c>
      <c r="K18" s="68">
        <f t="shared" si="0"/>
        <v>1166.6600000000001</v>
      </c>
      <c r="L18" s="68"/>
      <c r="M18" s="68"/>
      <c r="N18" s="68"/>
      <c r="O18" s="68"/>
      <c r="P18" s="54"/>
      <c r="Q18" s="55">
        <f t="shared" si="1"/>
        <v>1166.6600000000001</v>
      </c>
      <c r="R18" s="56"/>
      <c r="S18" s="103">
        <v>58.91</v>
      </c>
      <c r="T18" s="66"/>
      <c r="U18" s="103"/>
      <c r="V18" s="103"/>
      <c r="W18" s="103"/>
      <c r="X18" s="104"/>
      <c r="Y18" s="71">
        <v>167.44</v>
      </c>
      <c r="Z18" s="88"/>
      <c r="AA18" s="106">
        <v>940.31</v>
      </c>
      <c r="AB18" s="55">
        <f t="shared" si="2"/>
        <v>0</v>
      </c>
      <c r="AC18" s="60">
        <f t="shared" si="7"/>
        <v>0</v>
      </c>
      <c r="AD18" s="55">
        <f t="shared" si="3"/>
        <v>0</v>
      </c>
      <c r="AE18" s="61">
        <f t="shared" si="8"/>
        <v>116.66600000000001</v>
      </c>
      <c r="AF18" s="60">
        <v>10.23</v>
      </c>
      <c r="AG18" s="60">
        <f t="shared" si="4"/>
        <v>0</v>
      </c>
      <c r="AH18" s="62">
        <f t="shared" si="5"/>
        <v>1293.556</v>
      </c>
      <c r="AI18" s="128"/>
      <c r="AJ18" s="137"/>
      <c r="AK18" s="123">
        <f t="shared" si="6"/>
        <v>0</v>
      </c>
      <c r="AL18" s="64"/>
      <c r="AM18" s="141" t="s">
        <v>296</v>
      </c>
    </row>
    <row r="19" spans="1:193" s="29" customFormat="1" ht="15" hidden="1" customHeight="1">
      <c r="A19" s="64"/>
      <c r="B19" s="64" t="s">
        <v>276</v>
      </c>
      <c r="C19" s="64"/>
      <c r="D19" s="64"/>
      <c r="E19" s="64" t="s">
        <v>277</v>
      </c>
      <c r="F19" s="134">
        <v>42506</v>
      </c>
      <c r="G19" s="64"/>
      <c r="H19" s="64"/>
      <c r="I19" s="68">
        <v>739.23</v>
      </c>
      <c r="J19" s="117"/>
      <c r="K19" s="68">
        <f t="shared" si="0"/>
        <v>739.23</v>
      </c>
      <c r="L19" s="68"/>
      <c r="M19" s="68"/>
      <c r="N19" s="68"/>
      <c r="O19" s="68"/>
      <c r="P19" s="109"/>
      <c r="Q19" s="55">
        <f t="shared" si="1"/>
        <v>739.23</v>
      </c>
      <c r="R19" s="56"/>
      <c r="S19" s="103"/>
      <c r="T19" s="103"/>
      <c r="U19" s="103"/>
      <c r="V19" s="103"/>
      <c r="W19" s="103"/>
      <c r="X19" s="104"/>
      <c r="Y19" s="104"/>
      <c r="Z19" s="88"/>
      <c r="AA19" s="130"/>
      <c r="AB19" s="55">
        <f t="shared" si="2"/>
        <v>739.23</v>
      </c>
      <c r="AC19" s="60">
        <f t="shared" si="7"/>
        <v>0</v>
      </c>
      <c r="AD19" s="55">
        <f t="shared" si="3"/>
        <v>739.23</v>
      </c>
      <c r="AE19" s="61">
        <f t="shared" si="8"/>
        <v>73.923000000000002</v>
      </c>
      <c r="AF19" s="60">
        <v>10.23</v>
      </c>
      <c r="AG19" s="60">
        <f t="shared" si="4"/>
        <v>0</v>
      </c>
      <c r="AH19" s="62">
        <f t="shared" si="5"/>
        <v>823.38300000000004</v>
      </c>
      <c r="AI19" s="137"/>
      <c r="AJ19" s="137"/>
      <c r="AK19" s="123">
        <f t="shared" si="6"/>
        <v>-739.23</v>
      </c>
      <c r="AL19" s="129">
        <v>14058709719</v>
      </c>
      <c r="AM19" s="69"/>
    </row>
    <row r="20" spans="1:193" hidden="1">
      <c r="A20" s="64" t="s">
        <v>84</v>
      </c>
      <c r="B20" s="50" t="s">
        <v>170</v>
      </c>
      <c r="C20" s="50"/>
      <c r="D20" s="50" t="s">
        <v>112</v>
      </c>
      <c r="E20" s="50" t="s">
        <v>143</v>
      </c>
      <c r="F20" s="133">
        <v>41227</v>
      </c>
      <c r="G20" s="51"/>
      <c r="H20" s="51"/>
      <c r="I20" s="52">
        <v>511.28</v>
      </c>
      <c r="J20" s="115"/>
      <c r="K20" s="68">
        <f t="shared" si="0"/>
        <v>511.28</v>
      </c>
      <c r="L20" s="52"/>
      <c r="M20" s="52"/>
      <c r="N20" s="53"/>
      <c r="O20" s="53"/>
      <c r="P20" s="54"/>
      <c r="Q20" s="55">
        <f t="shared" si="1"/>
        <v>511.28</v>
      </c>
      <c r="R20" s="56"/>
      <c r="S20" s="57"/>
      <c r="T20" s="66">
        <v>700</v>
      </c>
      <c r="U20" s="66">
        <f>Q20*4.9%</f>
        <v>25.052720000000001</v>
      </c>
      <c r="V20" s="66">
        <f>Q20*1%</f>
        <v>5.1128</v>
      </c>
      <c r="W20" s="57"/>
      <c r="X20" s="58"/>
      <c r="Y20" s="58"/>
      <c r="Z20" s="59"/>
      <c r="AA20" s="59">
        <v>0</v>
      </c>
      <c r="AB20" s="55">
        <f t="shared" si="2"/>
        <v>-218.88552000000004</v>
      </c>
      <c r="AC20" s="60">
        <f t="shared" si="7"/>
        <v>0</v>
      </c>
      <c r="AD20" s="55">
        <f t="shared" si="3"/>
        <v>-218.88552000000004</v>
      </c>
      <c r="AE20" s="61">
        <f t="shared" si="8"/>
        <v>51.128</v>
      </c>
      <c r="AF20" s="60">
        <v>10.23</v>
      </c>
      <c r="AG20" s="60">
        <f t="shared" si="4"/>
        <v>25.052720000000001</v>
      </c>
      <c r="AH20" s="62">
        <f t="shared" si="5"/>
        <v>597.69072000000006</v>
      </c>
      <c r="AI20" s="137"/>
      <c r="AJ20" s="137"/>
      <c r="AK20" s="123">
        <f t="shared" si="6"/>
        <v>218.88552000000004</v>
      </c>
      <c r="AL20" s="64"/>
      <c r="AM20" s="64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</row>
    <row r="21" spans="1:193" hidden="1">
      <c r="A21" s="64" t="s">
        <v>68</v>
      </c>
      <c r="B21" s="50" t="s">
        <v>218</v>
      </c>
      <c r="C21" s="50" t="s">
        <v>207</v>
      </c>
      <c r="D21" s="50">
        <v>18</v>
      </c>
      <c r="E21" s="50" t="s">
        <v>71</v>
      </c>
      <c r="F21" s="133">
        <v>39699</v>
      </c>
      <c r="G21" s="51"/>
      <c r="H21" s="51"/>
      <c r="I21" s="52">
        <v>1633.33</v>
      </c>
      <c r="J21" s="115"/>
      <c r="K21" s="68">
        <f t="shared" si="0"/>
        <v>1633.33</v>
      </c>
      <c r="L21" s="52"/>
      <c r="M21" s="52"/>
      <c r="N21" s="53"/>
      <c r="O21" s="53"/>
      <c r="P21" s="54"/>
      <c r="Q21" s="55">
        <f t="shared" si="1"/>
        <v>1633.33</v>
      </c>
      <c r="R21" s="56"/>
      <c r="S21" s="57"/>
      <c r="T21" s="66">
        <v>700</v>
      </c>
      <c r="U21" s="57"/>
      <c r="V21" s="57"/>
      <c r="W21" s="57"/>
      <c r="X21" s="58"/>
      <c r="Y21" s="58"/>
      <c r="Z21" s="65">
        <v>205.7</v>
      </c>
      <c r="AA21" s="59">
        <v>0</v>
      </c>
      <c r="AB21" s="55">
        <f t="shared" si="2"/>
        <v>727.62999999999988</v>
      </c>
      <c r="AC21" s="60">
        <f t="shared" si="7"/>
        <v>0</v>
      </c>
      <c r="AD21" s="55">
        <f t="shared" si="3"/>
        <v>727.62999999999988</v>
      </c>
      <c r="AE21" s="61">
        <f t="shared" si="8"/>
        <v>163.333</v>
      </c>
      <c r="AF21" s="60">
        <v>10.23</v>
      </c>
      <c r="AG21" s="60">
        <f t="shared" si="4"/>
        <v>0</v>
      </c>
      <c r="AH21" s="62">
        <f t="shared" si="5"/>
        <v>1806.893</v>
      </c>
      <c r="AI21" s="137"/>
      <c r="AJ21" s="138"/>
      <c r="AK21" s="123">
        <f t="shared" si="6"/>
        <v>-727.62999999999988</v>
      </c>
      <c r="AL21" s="64"/>
      <c r="AM21" s="64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</row>
    <row r="22" spans="1:193" hidden="1">
      <c r="A22" s="64" t="s">
        <v>84</v>
      </c>
      <c r="B22" s="50" t="s">
        <v>219</v>
      </c>
      <c r="C22" s="50"/>
      <c r="D22" s="50" t="s">
        <v>113</v>
      </c>
      <c r="E22" s="50" t="s">
        <v>154</v>
      </c>
      <c r="F22" s="133">
        <v>42242</v>
      </c>
      <c r="G22" s="51"/>
      <c r="H22" s="51"/>
      <c r="I22" s="52">
        <v>1100</v>
      </c>
      <c r="J22" s="115"/>
      <c r="K22" s="68">
        <f t="shared" si="0"/>
        <v>1100</v>
      </c>
      <c r="L22" s="52"/>
      <c r="M22" s="52"/>
      <c r="N22" s="53"/>
      <c r="O22" s="53"/>
      <c r="P22" s="54"/>
      <c r="Q22" s="55">
        <f t="shared" si="1"/>
        <v>1100</v>
      </c>
      <c r="R22" s="56"/>
      <c r="S22" s="57"/>
      <c r="T22" s="66">
        <f>+Q22*1%</f>
        <v>11</v>
      </c>
      <c r="U22" s="66">
        <f>+Q22*4.9%</f>
        <v>53.9</v>
      </c>
      <c r="V22" s="57"/>
      <c r="W22" s="57"/>
      <c r="X22" s="58"/>
      <c r="Y22" s="58"/>
      <c r="Z22" s="59"/>
      <c r="AA22" s="59">
        <v>0</v>
      </c>
      <c r="AB22" s="55">
        <f t="shared" si="2"/>
        <v>1035.0999999999999</v>
      </c>
      <c r="AC22" s="60">
        <f t="shared" si="7"/>
        <v>0</v>
      </c>
      <c r="AD22" s="55">
        <f t="shared" si="3"/>
        <v>1035.0999999999999</v>
      </c>
      <c r="AE22" s="61">
        <f t="shared" si="8"/>
        <v>110</v>
      </c>
      <c r="AF22" s="60">
        <v>10.23</v>
      </c>
      <c r="AG22" s="60">
        <f t="shared" si="4"/>
        <v>53.9</v>
      </c>
      <c r="AH22" s="62">
        <f t="shared" si="5"/>
        <v>1274.1300000000001</v>
      </c>
      <c r="AI22" s="137"/>
      <c r="AJ22" s="138"/>
      <c r="AK22" s="123">
        <f t="shared" si="6"/>
        <v>-1035.0999999999999</v>
      </c>
      <c r="AL22" s="64"/>
      <c r="AM22" s="64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</row>
    <row r="23" spans="1:193">
      <c r="A23" s="64" t="s">
        <v>67</v>
      </c>
      <c r="B23" s="50" t="s">
        <v>202</v>
      </c>
      <c r="C23" s="64" t="s">
        <v>234</v>
      </c>
      <c r="D23" s="50" t="s">
        <v>106</v>
      </c>
      <c r="E23" s="64" t="s">
        <v>152</v>
      </c>
      <c r="F23" s="133">
        <v>42332</v>
      </c>
      <c r="G23" s="51"/>
      <c r="H23" s="51"/>
      <c r="I23" s="158">
        <v>513.33000000000004</v>
      </c>
      <c r="J23" s="159">
        <v>653.33000000000004</v>
      </c>
      <c r="K23" s="160">
        <f t="shared" si="0"/>
        <v>1166.6600000000001</v>
      </c>
      <c r="L23" s="165">
        <v>3357.91</v>
      </c>
      <c r="M23" s="52"/>
      <c r="N23" s="53"/>
      <c r="O23" s="53"/>
      <c r="P23" s="54"/>
      <c r="Q23" s="55">
        <f>+L23</f>
        <v>3357.91</v>
      </c>
      <c r="R23" s="56"/>
      <c r="S23" s="57"/>
      <c r="T23" s="57">
        <v>0</v>
      </c>
      <c r="U23" s="57"/>
      <c r="V23" s="57"/>
      <c r="W23" s="57"/>
      <c r="X23" s="58"/>
      <c r="Y23" s="58"/>
      <c r="Z23" s="59"/>
      <c r="AA23" s="65"/>
      <c r="AB23" s="55">
        <f t="shared" si="2"/>
        <v>3357.91</v>
      </c>
      <c r="AC23" s="60">
        <f t="shared" si="7"/>
        <v>335.791</v>
      </c>
      <c r="AD23" s="55">
        <f t="shared" si="3"/>
        <v>3022.1189999999997</v>
      </c>
      <c r="AE23" s="61">
        <f t="shared" si="8"/>
        <v>0</v>
      </c>
      <c r="AF23" s="60">
        <v>10.23</v>
      </c>
      <c r="AG23" s="60">
        <f t="shared" si="4"/>
        <v>0</v>
      </c>
      <c r="AH23" s="62">
        <f t="shared" si="5"/>
        <v>3368.14</v>
      </c>
      <c r="AI23" s="137"/>
      <c r="AJ23" s="138"/>
      <c r="AK23" s="123">
        <f t="shared" si="6"/>
        <v>-3022.1189999999997</v>
      </c>
      <c r="AL23" s="64"/>
      <c r="AM23" s="64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</row>
    <row r="24" spans="1:193">
      <c r="A24" s="64" t="s">
        <v>68</v>
      </c>
      <c r="B24" s="64" t="s">
        <v>231</v>
      </c>
      <c r="C24" s="64" t="s">
        <v>209</v>
      </c>
      <c r="D24" s="64"/>
      <c r="E24" s="64" t="s">
        <v>70</v>
      </c>
      <c r="F24" s="134">
        <v>42437</v>
      </c>
      <c r="G24" s="64"/>
      <c r="H24" s="64"/>
      <c r="I24" s="158">
        <v>513.33000000000004</v>
      </c>
      <c r="J24" s="161">
        <v>653.33000000000004</v>
      </c>
      <c r="K24" s="160">
        <f t="shared" si="0"/>
        <v>1166.6600000000001</v>
      </c>
      <c r="L24" s="165">
        <v>1783.11</v>
      </c>
      <c r="M24" s="68"/>
      <c r="N24" s="68"/>
      <c r="O24" s="68"/>
      <c r="P24" s="54"/>
      <c r="Q24" s="55">
        <f>+L24</f>
        <v>1783.11</v>
      </c>
      <c r="R24" s="56"/>
      <c r="S24" s="57"/>
      <c r="T24" s="57">
        <v>0</v>
      </c>
      <c r="U24" s="57"/>
      <c r="V24" s="57"/>
      <c r="W24" s="57"/>
      <c r="X24" s="58"/>
      <c r="Y24" s="58"/>
      <c r="Z24" s="59"/>
      <c r="AA24" s="59">
        <v>0</v>
      </c>
      <c r="AB24" s="55">
        <f t="shared" si="2"/>
        <v>1783.11</v>
      </c>
      <c r="AC24" s="60">
        <f>AB24*0.1</f>
        <v>178.31100000000001</v>
      </c>
      <c r="AD24" s="55">
        <f t="shared" si="3"/>
        <v>1604.799</v>
      </c>
      <c r="AE24" s="61">
        <v>0</v>
      </c>
      <c r="AF24" s="60">
        <v>10.23</v>
      </c>
      <c r="AG24" s="60">
        <f t="shared" si="4"/>
        <v>0</v>
      </c>
      <c r="AH24" s="62">
        <f t="shared" si="5"/>
        <v>1793.34</v>
      </c>
      <c r="AI24" s="137"/>
      <c r="AJ24" s="138"/>
      <c r="AK24" s="123">
        <f t="shared" si="6"/>
        <v>-1604.799</v>
      </c>
      <c r="AL24" s="64"/>
      <c r="AM24" s="6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</row>
    <row r="25" spans="1:193" hidden="1">
      <c r="A25" s="64" t="s">
        <v>82</v>
      </c>
      <c r="B25" s="50" t="s">
        <v>178</v>
      </c>
      <c r="C25" s="50"/>
      <c r="D25" s="50" t="s">
        <v>87</v>
      </c>
      <c r="E25" s="50" t="s">
        <v>142</v>
      </c>
      <c r="F25" s="133">
        <v>41885</v>
      </c>
      <c r="G25" s="50"/>
      <c r="H25" s="50"/>
      <c r="I25" s="28">
        <f>+K25</f>
        <v>633.62</v>
      </c>
      <c r="J25" s="149"/>
      <c r="K25" s="68">
        <v>633.62</v>
      </c>
      <c r="L25" s="52"/>
      <c r="M25" s="52"/>
      <c r="N25" s="52"/>
      <c r="O25" s="52"/>
      <c r="P25" s="54"/>
      <c r="Q25" s="55">
        <f t="shared" si="1"/>
        <v>633.62</v>
      </c>
      <c r="R25" s="56"/>
      <c r="S25" s="57"/>
      <c r="T25" s="57">
        <v>0</v>
      </c>
      <c r="U25" s="57"/>
      <c r="V25" s="57"/>
      <c r="W25" s="57"/>
      <c r="X25" s="58"/>
      <c r="Y25" s="58"/>
      <c r="Z25" s="59"/>
      <c r="AA25" s="59">
        <v>0</v>
      </c>
      <c r="AB25" s="55">
        <f t="shared" si="2"/>
        <v>633.62</v>
      </c>
      <c r="AC25" s="60">
        <f t="shared" si="7"/>
        <v>0</v>
      </c>
      <c r="AD25" s="55">
        <f t="shared" si="3"/>
        <v>633.62</v>
      </c>
      <c r="AE25" s="61">
        <f t="shared" si="8"/>
        <v>63.362000000000002</v>
      </c>
      <c r="AF25" s="60">
        <v>10.23</v>
      </c>
      <c r="AG25" s="60">
        <f t="shared" si="4"/>
        <v>0</v>
      </c>
      <c r="AH25" s="62">
        <f t="shared" si="5"/>
        <v>707.21199999999999</v>
      </c>
      <c r="AI25" s="137"/>
      <c r="AJ25" s="138"/>
      <c r="AK25" s="123">
        <f t="shared" si="6"/>
        <v>-633.62</v>
      </c>
      <c r="AL25" s="64"/>
      <c r="AM25" s="141" t="s">
        <v>287</v>
      </c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</row>
    <row r="26" spans="1:193" s="30" customFormat="1" hidden="1">
      <c r="A26" s="64" t="s">
        <v>67</v>
      </c>
      <c r="B26" s="50" t="s">
        <v>254</v>
      </c>
      <c r="C26" s="64" t="s">
        <v>234</v>
      </c>
      <c r="D26" s="50" t="s">
        <v>105</v>
      </c>
      <c r="E26" s="50" t="s">
        <v>152</v>
      </c>
      <c r="F26" s="133">
        <v>42304</v>
      </c>
      <c r="G26" s="51"/>
      <c r="H26" s="51"/>
      <c r="I26" s="52">
        <v>513.33000000000004</v>
      </c>
      <c r="J26" s="150">
        <v>653.33000000000004</v>
      </c>
      <c r="K26" s="68">
        <f t="shared" si="0"/>
        <v>1166.6600000000001</v>
      </c>
      <c r="L26" s="68"/>
      <c r="M26" s="52"/>
      <c r="N26" s="53"/>
      <c r="O26" s="53"/>
      <c r="P26" s="54"/>
      <c r="Q26" s="55">
        <f t="shared" si="1"/>
        <v>1166.6600000000001</v>
      </c>
      <c r="R26" s="56"/>
      <c r="S26" s="57"/>
      <c r="T26" s="57">
        <v>0</v>
      </c>
      <c r="U26" s="57"/>
      <c r="V26" s="57"/>
      <c r="W26" s="57"/>
      <c r="X26" s="58"/>
      <c r="Y26" s="58"/>
      <c r="Z26" s="59"/>
      <c r="AA26" s="59">
        <v>0</v>
      </c>
      <c r="AB26" s="55">
        <f t="shared" si="2"/>
        <v>1166.6600000000001</v>
      </c>
      <c r="AC26" s="60">
        <f t="shared" si="7"/>
        <v>0</v>
      </c>
      <c r="AD26" s="55">
        <f t="shared" si="3"/>
        <v>1166.6600000000001</v>
      </c>
      <c r="AE26" s="61">
        <f t="shared" si="8"/>
        <v>116.66600000000001</v>
      </c>
      <c r="AF26" s="60">
        <v>10.23</v>
      </c>
      <c r="AG26" s="60">
        <f t="shared" si="4"/>
        <v>0</v>
      </c>
      <c r="AH26" s="62">
        <f t="shared" si="5"/>
        <v>1293.556</v>
      </c>
      <c r="AI26" s="137"/>
      <c r="AJ26" s="137"/>
      <c r="AK26" s="123">
        <f t="shared" si="6"/>
        <v>-1166.6600000000001</v>
      </c>
      <c r="AL26" s="64"/>
      <c r="AM26" s="64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</row>
    <row r="27" spans="1:193" s="29" customFormat="1" hidden="1">
      <c r="A27" s="64" t="s">
        <v>82</v>
      </c>
      <c r="B27" s="50" t="s">
        <v>257</v>
      </c>
      <c r="C27" s="50"/>
      <c r="D27" s="50" t="s">
        <v>100</v>
      </c>
      <c r="E27" s="50" t="s">
        <v>148</v>
      </c>
      <c r="F27" s="133">
        <v>42338</v>
      </c>
      <c r="G27" s="50"/>
      <c r="H27" s="50"/>
      <c r="I27" s="52">
        <v>739.23</v>
      </c>
      <c r="J27" s="149"/>
      <c r="K27" s="68">
        <f t="shared" si="0"/>
        <v>739.23</v>
      </c>
      <c r="L27" s="52"/>
      <c r="M27" s="52"/>
      <c r="N27" s="52"/>
      <c r="O27" s="52"/>
      <c r="P27" s="54"/>
      <c r="Q27" s="55">
        <f t="shared" si="1"/>
        <v>739.23</v>
      </c>
      <c r="R27" s="56"/>
      <c r="S27" s="57"/>
      <c r="T27" s="57">
        <v>0</v>
      </c>
      <c r="U27" s="57"/>
      <c r="V27" s="57"/>
      <c r="W27" s="57"/>
      <c r="X27" s="58"/>
      <c r="Y27" s="58"/>
      <c r="Z27" s="59"/>
      <c r="AA27" s="59">
        <v>0</v>
      </c>
      <c r="AB27" s="55">
        <f t="shared" si="2"/>
        <v>739.23</v>
      </c>
      <c r="AC27" s="60">
        <f t="shared" si="7"/>
        <v>0</v>
      </c>
      <c r="AD27" s="55">
        <f t="shared" si="3"/>
        <v>739.23</v>
      </c>
      <c r="AE27" s="61">
        <f t="shared" si="8"/>
        <v>73.923000000000002</v>
      </c>
      <c r="AF27" s="60">
        <v>10.23</v>
      </c>
      <c r="AG27" s="60">
        <f t="shared" si="4"/>
        <v>0</v>
      </c>
      <c r="AH27" s="62">
        <f t="shared" si="5"/>
        <v>823.38300000000004</v>
      </c>
      <c r="AI27" s="137"/>
      <c r="AJ27" s="138"/>
      <c r="AK27" s="123">
        <f t="shared" si="6"/>
        <v>-739.23</v>
      </c>
      <c r="AL27" s="64"/>
      <c r="AM27" s="69"/>
    </row>
    <row r="28" spans="1:193" hidden="1">
      <c r="A28" s="64" t="s">
        <v>66</v>
      </c>
      <c r="B28" s="50" t="s">
        <v>191</v>
      </c>
      <c r="C28" s="50"/>
      <c r="D28" s="50" t="s">
        <v>99</v>
      </c>
      <c r="E28" s="50" t="s">
        <v>150</v>
      </c>
      <c r="F28" s="133">
        <v>42110</v>
      </c>
      <c r="G28" s="50"/>
      <c r="H28" s="50"/>
      <c r="I28" s="52">
        <v>513.33000000000004</v>
      </c>
      <c r="J28" s="149">
        <v>486.67</v>
      </c>
      <c r="K28" s="68">
        <f>+I28+J28</f>
        <v>1000</v>
      </c>
      <c r="L28" s="52"/>
      <c r="M28" s="52"/>
      <c r="N28" s="52"/>
      <c r="O28" s="52"/>
      <c r="P28" s="54"/>
      <c r="Q28" s="55">
        <f t="shared" si="1"/>
        <v>1000</v>
      </c>
      <c r="R28" s="56">
        <v>250</v>
      </c>
      <c r="S28" s="57">
        <v>58.91</v>
      </c>
      <c r="T28" s="57">
        <v>0</v>
      </c>
      <c r="U28" s="57"/>
      <c r="V28" s="57"/>
      <c r="W28" s="57"/>
      <c r="X28" s="58"/>
      <c r="Y28" s="58"/>
      <c r="Z28" s="59"/>
      <c r="AA28" s="59">
        <v>0</v>
      </c>
      <c r="AB28" s="55">
        <f t="shared" si="2"/>
        <v>691.09</v>
      </c>
      <c r="AC28" s="60">
        <f t="shared" si="7"/>
        <v>0</v>
      </c>
      <c r="AD28" s="55">
        <f t="shared" si="3"/>
        <v>691.09</v>
      </c>
      <c r="AE28" s="61">
        <f t="shared" si="8"/>
        <v>100</v>
      </c>
      <c r="AF28" s="60">
        <v>10.23</v>
      </c>
      <c r="AG28" s="60">
        <f t="shared" si="4"/>
        <v>0</v>
      </c>
      <c r="AH28" s="62">
        <f t="shared" si="5"/>
        <v>1110.23</v>
      </c>
      <c r="AI28" s="137"/>
      <c r="AJ28" s="137"/>
      <c r="AK28" s="123">
        <f t="shared" si="6"/>
        <v>-691.09</v>
      </c>
      <c r="AL28" s="64"/>
      <c r="AM28" s="141" t="s">
        <v>287</v>
      </c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</row>
    <row r="29" spans="1:193" hidden="1">
      <c r="A29" s="64" t="s">
        <v>208</v>
      </c>
      <c r="B29" s="50" t="s">
        <v>176</v>
      </c>
      <c r="C29" s="50"/>
      <c r="D29" s="50" t="s">
        <v>101</v>
      </c>
      <c r="E29" s="50" t="s">
        <v>151</v>
      </c>
      <c r="F29" s="133">
        <v>42205</v>
      </c>
      <c r="G29" s="50"/>
      <c r="H29" s="72"/>
      <c r="I29" s="52">
        <v>577.38</v>
      </c>
      <c r="J29" s="149">
        <v>1047.6199999999999</v>
      </c>
      <c r="K29" s="68"/>
      <c r="L29" s="52"/>
      <c r="M29" s="52"/>
      <c r="N29" s="52"/>
      <c r="O29" s="52"/>
      <c r="P29" s="54"/>
      <c r="Q29" s="55">
        <f t="shared" si="1"/>
        <v>0</v>
      </c>
      <c r="R29" s="56"/>
      <c r="S29" s="57"/>
      <c r="T29" s="66">
        <v>200</v>
      </c>
      <c r="U29" s="57"/>
      <c r="V29" s="57"/>
      <c r="W29" s="57"/>
      <c r="X29" s="58"/>
      <c r="Y29" s="71">
        <v>168.06</v>
      </c>
      <c r="Z29" s="59"/>
      <c r="AA29" s="59">
        <v>0</v>
      </c>
      <c r="AB29" s="55">
        <f t="shared" si="2"/>
        <v>-368.06</v>
      </c>
      <c r="AC29" s="60">
        <f t="shared" si="7"/>
        <v>0</v>
      </c>
      <c r="AD29" s="55">
        <f t="shared" si="3"/>
        <v>-368.06</v>
      </c>
      <c r="AE29" s="61">
        <f t="shared" si="8"/>
        <v>0</v>
      </c>
      <c r="AF29" s="60">
        <v>10.23</v>
      </c>
      <c r="AG29" s="60">
        <f t="shared" si="4"/>
        <v>0</v>
      </c>
      <c r="AH29" s="62">
        <f t="shared" si="5"/>
        <v>10.23</v>
      </c>
      <c r="AI29" s="137"/>
      <c r="AJ29" s="137"/>
      <c r="AK29" s="123">
        <f t="shared" si="6"/>
        <v>368.06</v>
      </c>
      <c r="AL29" s="64"/>
      <c r="AM29" s="64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</row>
    <row r="30" spans="1:193" hidden="1">
      <c r="A30" s="64" t="s">
        <v>208</v>
      </c>
      <c r="B30" s="64" t="s">
        <v>269</v>
      </c>
      <c r="C30" s="64"/>
      <c r="D30" s="64"/>
      <c r="E30" s="64" t="s">
        <v>151</v>
      </c>
      <c r="F30" s="134">
        <v>42476</v>
      </c>
      <c r="G30" s="64"/>
      <c r="H30" s="124"/>
      <c r="I30" s="52">
        <v>577.38</v>
      </c>
      <c r="J30" s="150">
        <v>822.62</v>
      </c>
      <c r="K30" s="68">
        <f t="shared" si="0"/>
        <v>1400</v>
      </c>
      <c r="L30" s="68"/>
      <c r="M30" s="68"/>
      <c r="N30" s="68"/>
      <c r="O30" s="68"/>
      <c r="P30" s="54"/>
      <c r="Q30" s="55">
        <f t="shared" si="1"/>
        <v>1400</v>
      </c>
      <c r="R30" s="56"/>
      <c r="S30" s="57"/>
      <c r="T30" s="103"/>
      <c r="U30" s="103"/>
      <c r="V30" s="103"/>
      <c r="W30" s="103"/>
      <c r="X30" s="104"/>
      <c r="Y30" s="104"/>
      <c r="Z30" s="88"/>
      <c r="AA30" s="88">
        <v>0</v>
      </c>
      <c r="AB30" s="55">
        <f t="shared" si="2"/>
        <v>1400</v>
      </c>
      <c r="AC30" s="60">
        <f t="shared" si="7"/>
        <v>0</v>
      </c>
      <c r="AD30" s="55">
        <f t="shared" si="3"/>
        <v>1400</v>
      </c>
      <c r="AE30" s="61">
        <f t="shared" si="8"/>
        <v>140</v>
      </c>
      <c r="AF30" s="60">
        <v>10.23</v>
      </c>
      <c r="AG30" s="60">
        <f t="shared" si="4"/>
        <v>0</v>
      </c>
      <c r="AH30" s="62">
        <f t="shared" si="5"/>
        <v>1550.23</v>
      </c>
      <c r="AI30" s="137"/>
      <c r="AJ30" s="137"/>
      <c r="AK30" s="123">
        <f t="shared" si="6"/>
        <v>-1400</v>
      </c>
      <c r="AL30" s="64">
        <v>2919685839</v>
      </c>
      <c r="AM30" s="6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</row>
    <row r="31" spans="1:193" s="30" customFormat="1" hidden="1">
      <c r="A31" s="64" t="s">
        <v>84</v>
      </c>
      <c r="B31" s="50" t="s">
        <v>274</v>
      </c>
      <c r="C31" s="50"/>
      <c r="D31" s="50" t="s">
        <v>114</v>
      </c>
      <c r="E31" s="50" t="s">
        <v>158</v>
      </c>
      <c r="F31" s="133">
        <v>41227</v>
      </c>
      <c r="G31" s="51"/>
      <c r="H31" s="51"/>
      <c r="I31" s="52">
        <v>608.16</v>
      </c>
      <c r="J31" s="151"/>
      <c r="K31" s="68">
        <v>608.16</v>
      </c>
      <c r="L31" s="52"/>
      <c r="M31" s="52"/>
      <c r="N31" s="53"/>
      <c r="O31" s="53"/>
      <c r="P31" s="54"/>
      <c r="Q31" s="55">
        <f t="shared" si="1"/>
        <v>608.16</v>
      </c>
      <c r="R31" s="56"/>
      <c r="S31" s="57"/>
      <c r="T31" s="66">
        <v>500</v>
      </c>
      <c r="U31" s="66">
        <f>Q31*4.9%</f>
        <v>29.79984</v>
      </c>
      <c r="V31" s="66">
        <f>Q31*1%</f>
        <v>6.0815999999999999</v>
      </c>
      <c r="W31" s="57"/>
      <c r="X31" s="58"/>
      <c r="Y31" s="58"/>
      <c r="Z31" s="59"/>
      <c r="AA31" s="59">
        <v>0</v>
      </c>
      <c r="AB31" s="55">
        <f>+Q31-SUM(R31:AA31)</f>
        <v>72.27855999999997</v>
      </c>
      <c r="AC31" s="60">
        <f t="shared" si="7"/>
        <v>0</v>
      </c>
      <c r="AD31" s="55">
        <f>+AB31-AC31</f>
        <v>72.27855999999997</v>
      </c>
      <c r="AE31" s="61">
        <f t="shared" si="8"/>
        <v>60.816000000000003</v>
      </c>
      <c r="AF31" s="60">
        <v>10.23</v>
      </c>
      <c r="AG31" s="60">
        <f t="shared" si="4"/>
        <v>29.79984</v>
      </c>
      <c r="AH31" s="62">
        <f t="shared" si="5"/>
        <v>709.00584000000003</v>
      </c>
      <c r="AI31" s="137"/>
      <c r="AJ31" s="137"/>
      <c r="AK31" s="123">
        <f t="shared" si="6"/>
        <v>-72.27855999999997</v>
      </c>
      <c r="AL31" s="64"/>
      <c r="AM31" s="141" t="s">
        <v>287</v>
      </c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</row>
    <row r="32" spans="1:193" s="30" customFormat="1" hidden="1">
      <c r="A32" s="64"/>
      <c r="B32" s="64" t="s">
        <v>278</v>
      </c>
      <c r="C32" s="64"/>
      <c r="D32" s="64"/>
      <c r="E32" s="64" t="s">
        <v>69</v>
      </c>
      <c r="F32" s="134">
        <v>42507</v>
      </c>
      <c r="G32" s="64"/>
      <c r="H32" s="64"/>
      <c r="I32" s="68">
        <v>513.33000000000004</v>
      </c>
      <c r="J32" s="150">
        <v>653.33000000000004</v>
      </c>
      <c r="K32" s="68">
        <f>+I32+J32</f>
        <v>1166.6600000000001</v>
      </c>
      <c r="L32" s="68"/>
      <c r="M32" s="68"/>
      <c r="N32" s="68"/>
      <c r="O32" s="68"/>
      <c r="P32" s="109"/>
      <c r="Q32" s="55">
        <f t="shared" si="1"/>
        <v>1166.6600000000001</v>
      </c>
      <c r="R32" s="56">
        <v>400</v>
      </c>
      <c r="S32" s="57"/>
      <c r="T32" s="103"/>
      <c r="U32" s="103"/>
      <c r="V32" s="103"/>
      <c r="W32" s="103"/>
      <c r="X32" s="104"/>
      <c r="Y32" s="104"/>
      <c r="Z32" s="88"/>
      <c r="AA32" s="88"/>
      <c r="AB32" s="55">
        <f>+Q32-SUM(R32:AA32)</f>
        <v>766.66000000000008</v>
      </c>
      <c r="AC32" s="60">
        <f t="shared" si="7"/>
        <v>0</v>
      </c>
      <c r="AD32" s="55">
        <f>+AB32-AC32</f>
        <v>766.66000000000008</v>
      </c>
      <c r="AE32" s="61">
        <f t="shared" si="8"/>
        <v>116.66600000000001</v>
      </c>
      <c r="AF32" s="60">
        <v>10.23</v>
      </c>
      <c r="AG32" s="60">
        <f t="shared" si="4"/>
        <v>0</v>
      </c>
      <c r="AH32" s="62">
        <f t="shared" si="5"/>
        <v>1293.556</v>
      </c>
      <c r="AI32" s="137"/>
      <c r="AJ32" s="137"/>
      <c r="AK32" s="123">
        <f t="shared" si="6"/>
        <v>-766.66000000000008</v>
      </c>
      <c r="AL32" s="129">
        <v>2791168061</v>
      </c>
      <c r="AM32" s="6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</row>
    <row r="33" spans="1:193" s="30" customFormat="1" hidden="1">
      <c r="A33" s="64" t="s">
        <v>84</v>
      </c>
      <c r="B33" s="50" t="s">
        <v>192</v>
      </c>
      <c r="C33" s="50"/>
      <c r="D33" s="50" t="s">
        <v>115</v>
      </c>
      <c r="E33" s="50" t="s">
        <v>158</v>
      </c>
      <c r="F33" s="133">
        <v>41227</v>
      </c>
      <c r="G33" s="51"/>
      <c r="H33" s="51"/>
      <c r="I33" s="52">
        <v>608.16</v>
      </c>
      <c r="J33" s="151"/>
      <c r="K33" s="68">
        <f>+I33+J33</f>
        <v>608.16</v>
      </c>
      <c r="L33" s="52"/>
      <c r="M33" s="52"/>
      <c r="N33" s="53"/>
      <c r="O33" s="53"/>
      <c r="P33" s="54"/>
      <c r="Q33" s="55">
        <f t="shared" si="1"/>
        <v>608.16</v>
      </c>
      <c r="R33" s="56"/>
      <c r="S33" s="57"/>
      <c r="T33" s="103">
        <v>0</v>
      </c>
      <c r="U33" s="66">
        <f>Q33*4.9%</f>
        <v>29.79984</v>
      </c>
      <c r="V33" s="66">
        <f>Q33*1%</f>
        <v>6.0815999999999999</v>
      </c>
      <c r="W33" s="66">
        <v>300</v>
      </c>
      <c r="X33" s="58"/>
      <c r="Y33" s="58"/>
      <c r="Z33" s="70"/>
      <c r="AA33" s="59">
        <v>0</v>
      </c>
      <c r="AB33" s="55">
        <f t="shared" si="2"/>
        <v>272.27855999999997</v>
      </c>
      <c r="AC33" s="60">
        <f t="shared" si="7"/>
        <v>0</v>
      </c>
      <c r="AD33" s="55">
        <f t="shared" si="3"/>
        <v>272.27855999999997</v>
      </c>
      <c r="AE33" s="61">
        <f t="shared" si="8"/>
        <v>60.816000000000003</v>
      </c>
      <c r="AF33" s="60">
        <v>10.23</v>
      </c>
      <c r="AG33" s="60">
        <f t="shared" si="4"/>
        <v>29.79984</v>
      </c>
      <c r="AH33" s="62">
        <f t="shared" si="5"/>
        <v>709.00584000000003</v>
      </c>
      <c r="AI33" s="137"/>
      <c r="AJ33" s="138"/>
      <c r="AK33" s="123">
        <f t="shared" si="6"/>
        <v>-272.27855999999997</v>
      </c>
      <c r="AL33" s="64"/>
      <c r="AM33" s="6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</row>
    <row r="34" spans="1:193" s="29" customFormat="1" hidden="1">
      <c r="A34" s="64" t="s">
        <v>81</v>
      </c>
      <c r="B34" s="64" t="s">
        <v>299</v>
      </c>
      <c r="C34" s="64"/>
      <c r="D34" s="64"/>
      <c r="E34" s="64" t="s">
        <v>69</v>
      </c>
      <c r="F34" s="134">
        <v>42514</v>
      </c>
      <c r="G34" s="64"/>
      <c r="H34" s="64"/>
      <c r="I34" s="28">
        <f>+K34</f>
        <v>1332.86</v>
      </c>
      <c r="J34" s="150"/>
      <c r="K34" s="68">
        <v>1332.86</v>
      </c>
      <c r="L34" s="68"/>
      <c r="M34" s="68"/>
      <c r="N34" s="68"/>
      <c r="O34" s="68"/>
      <c r="P34" s="109"/>
      <c r="Q34" s="55">
        <f t="shared" si="1"/>
        <v>1332.86</v>
      </c>
      <c r="R34" s="56"/>
      <c r="S34" s="103"/>
      <c r="T34" s="103">
        <v>0</v>
      </c>
      <c r="U34" s="103"/>
      <c r="V34" s="103"/>
      <c r="W34" s="103"/>
      <c r="X34" s="104"/>
      <c r="Y34" s="104"/>
      <c r="Z34" s="88"/>
      <c r="AA34" s="88">
        <v>0</v>
      </c>
      <c r="AB34" s="55">
        <f t="shared" ref="AB34:AB44" si="9">+Q34-SUM(R34:AA34)</f>
        <v>1332.86</v>
      </c>
      <c r="AC34" s="60">
        <f t="shared" si="7"/>
        <v>0</v>
      </c>
      <c r="AD34" s="55">
        <f t="shared" si="3"/>
        <v>1332.86</v>
      </c>
      <c r="AE34" s="61">
        <f t="shared" si="8"/>
        <v>133.286</v>
      </c>
      <c r="AF34" s="60">
        <v>11.23</v>
      </c>
      <c r="AG34" s="60">
        <f t="shared" si="4"/>
        <v>0</v>
      </c>
      <c r="AH34" s="62">
        <f t="shared" si="5"/>
        <v>1477.376</v>
      </c>
      <c r="AI34" s="145"/>
      <c r="AJ34" s="146"/>
      <c r="AK34" s="123"/>
      <c r="AL34" s="64">
        <v>2747910657</v>
      </c>
      <c r="AM34" s="69" t="s">
        <v>288</v>
      </c>
    </row>
    <row r="35" spans="1:193" s="29" customFormat="1" hidden="1">
      <c r="A35" s="64" t="s">
        <v>82</v>
      </c>
      <c r="B35" s="64" t="s">
        <v>243</v>
      </c>
      <c r="C35" s="64"/>
      <c r="D35" s="64"/>
      <c r="E35" s="64" t="s">
        <v>244</v>
      </c>
      <c r="F35" s="134">
        <v>42457</v>
      </c>
      <c r="G35" s="64"/>
      <c r="H35" s="64"/>
      <c r="I35" s="28">
        <f>+K35</f>
        <v>942.85</v>
      </c>
      <c r="J35" s="150"/>
      <c r="K35" s="68">
        <v>942.85</v>
      </c>
      <c r="L35" s="68"/>
      <c r="M35" s="68"/>
      <c r="N35" s="68"/>
      <c r="O35" s="68"/>
      <c r="P35" s="54"/>
      <c r="Q35" s="55">
        <f t="shared" si="1"/>
        <v>942.85</v>
      </c>
      <c r="R35" s="56"/>
      <c r="S35" s="103"/>
      <c r="T35" s="103">
        <v>0</v>
      </c>
      <c r="U35" s="103"/>
      <c r="V35" s="103"/>
      <c r="W35" s="103"/>
      <c r="X35" s="104"/>
      <c r="Y35" s="104"/>
      <c r="Z35" s="88"/>
      <c r="AA35" s="88">
        <v>0</v>
      </c>
      <c r="AB35" s="55">
        <f t="shared" si="9"/>
        <v>942.85</v>
      </c>
      <c r="AC35" s="60">
        <f t="shared" si="7"/>
        <v>0</v>
      </c>
      <c r="AD35" s="55">
        <f t="shared" si="3"/>
        <v>942.85</v>
      </c>
      <c r="AE35" s="61">
        <f t="shared" si="8"/>
        <v>94.285000000000011</v>
      </c>
      <c r="AF35" s="60">
        <v>12.23</v>
      </c>
      <c r="AG35" s="60">
        <f t="shared" si="4"/>
        <v>0</v>
      </c>
      <c r="AH35" s="62">
        <f t="shared" si="5"/>
        <v>1049.365</v>
      </c>
      <c r="AI35" s="137"/>
      <c r="AJ35" s="137"/>
      <c r="AK35" s="123">
        <f t="shared" si="6"/>
        <v>-942.85</v>
      </c>
      <c r="AL35" s="64"/>
      <c r="AM35" s="141" t="s">
        <v>287</v>
      </c>
    </row>
    <row r="36" spans="1:193" s="29" customFormat="1" hidden="1">
      <c r="A36" s="64" t="s">
        <v>68</v>
      </c>
      <c r="B36" s="64" t="s">
        <v>268</v>
      </c>
      <c r="C36" s="64" t="s">
        <v>204</v>
      </c>
      <c r="D36" s="64"/>
      <c r="E36" s="64" t="s">
        <v>70</v>
      </c>
      <c r="F36" s="134">
        <v>42413</v>
      </c>
      <c r="G36" s="64"/>
      <c r="H36" s="64"/>
      <c r="I36" s="68">
        <v>513.33000000000004</v>
      </c>
      <c r="J36" s="150">
        <v>653.33000000000004</v>
      </c>
      <c r="K36" s="68">
        <f t="shared" si="0"/>
        <v>1166.6600000000001</v>
      </c>
      <c r="L36" s="68"/>
      <c r="M36" s="68"/>
      <c r="N36" s="68"/>
      <c r="O36" s="68"/>
      <c r="P36" s="54"/>
      <c r="Q36" s="55">
        <f t="shared" si="1"/>
        <v>1166.6600000000001</v>
      </c>
      <c r="R36" s="56"/>
      <c r="S36" s="103"/>
      <c r="T36" s="103">
        <v>0</v>
      </c>
      <c r="U36" s="103"/>
      <c r="V36" s="103"/>
      <c r="W36" s="103"/>
      <c r="X36" s="104"/>
      <c r="Y36" s="104"/>
      <c r="Z36" s="88"/>
      <c r="AA36" s="88">
        <v>0</v>
      </c>
      <c r="AB36" s="55">
        <f t="shared" si="9"/>
        <v>1166.6600000000001</v>
      </c>
      <c r="AC36" s="60">
        <f t="shared" si="7"/>
        <v>0</v>
      </c>
      <c r="AD36" s="55">
        <f t="shared" si="3"/>
        <v>1166.6600000000001</v>
      </c>
      <c r="AE36" s="61">
        <f t="shared" si="8"/>
        <v>116.66600000000001</v>
      </c>
      <c r="AF36" s="60">
        <v>13.23</v>
      </c>
      <c r="AG36" s="60">
        <f t="shared" si="4"/>
        <v>0</v>
      </c>
      <c r="AH36" s="62">
        <f t="shared" si="5"/>
        <v>1296.556</v>
      </c>
      <c r="AI36" s="137"/>
      <c r="AJ36" s="138"/>
      <c r="AK36" s="123">
        <f t="shared" si="6"/>
        <v>-1166.6600000000001</v>
      </c>
      <c r="AL36" s="64"/>
      <c r="AM36" s="64"/>
    </row>
    <row r="37" spans="1:193" s="29" customFormat="1" hidden="1">
      <c r="A37" s="64" t="s">
        <v>68</v>
      </c>
      <c r="B37" s="64" t="s">
        <v>291</v>
      </c>
      <c r="C37" s="64"/>
      <c r="D37" s="64"/>
      <c r="E37" s="64" t="s">
        <v>70</v>
      </c>
      <c r="F37" s="134">
        <v>42520</v>
      </c>
      <c r="G37" s="64"/>
      <c r="H37" s="64"/>
      <c r="I37" s="68">
        <v>513.33000000000004</v>
      </c>
      <c r="J37" s="150"/>
      <c r="K37" s="68">
        <f>+I37</f>
        <v>513.33000000000004</v>
      </c>
      <c r="L37" s="68"/>
      <c r="M37" s="68"/>
      <c r="N37" s="68"/>
      <c r="O37" s="68"/>
      <c r="P37" s="109"/>
      <c r="Q37" s="55">
        <f t="shared" si="1"/>
        <v>513.33000000000004</v>
      </c>
      <c r="R37" s="56"/>
      <c r="S37" s="103"/>
      <c r="T37" s="103">
        <v>0</v>
      </c>
      <c r="U37" s="103"/>
      <c r="V37" s="103"/>
      <c r="W37" s="103"/>
      <c r="X37" s="104"/>
      <c r="Y37" s="104"/>
      <c r="Z37" s="88"/>
      <c r="AA37" s="88">
        <v>0</v>
      </c>
      <c r="AB37" s="55">
        <f t="shared" si="9"/>
        <v>513.33000000000004</v>
      </c>
      <c r="AC37" s="60">
        <f t="shared" si="7"/>
        <v>0</v>
      </c>
      <c r="AD37" s="55">
        <f t="shared" si="3"/>
        <v>513.33000000000004</v>
      </c>
      <c r="AE37" s="61">
        <f t="shared" si="8"/>
        <v>51.333000000000006</v>
      </c>
      <c r="AF37" s="60">
        <v>14.23</v>
      </c>
      <c r="AG37" s="60">
        <f t="shared" si="4"/>
        <v>0</v>
      </c>
      <c r="AH37" s="62">
        <f t="shared" si="5"/>
        <v>578.89300000000003</v>
      </c>
      <c r="AI37" s="145"/>
      <c r="AJ37" s="146"/>
      <c r="AK37" s="123"/>
      <c r="AL37" s="64">
        <v>1175437504</v>
      </c>
      <c r="AM37" s="69" t="s">
        <v>290</v>
      </c>
    </row>
    <row r="38" spans="1:193" s="29" customFormat="1" hidden="1">
      <c r="A38" s="64" t="s">
        <v>68</v>
      </c>
      <c r="B38" s="64" t="s">
        <v>265</v>
      </c>
      <c r="C38" s="64" t="s">
        <v>204</v>
      </c>
      <c r="D38" s="64" t="s">
        <v>130</v>
      </c>
      <c r="E38" s="64" t="s">
        <v>70</v>
      </c>
      <c r="F38" s="133">
        <v>41906</v>
      </c>
      <c r="G38" s="64"/>
      <c r="H38" s="64"/>
      <c r="I38" s="68">
        <v>513.33000000000004</v>
      </c>
      <c r="J38" s="150">
        <v>653.33000000000004</v>
      </c>
      <c r="K38" s="68">
        <f t="shared" si="0"/>
        <v>1166.6600000000001</v>
      </c>
      <c r="L38" s="68"/>
      <c r="M38" s="68"/>
      <c r="N38" s="68"/>
      <c r="O38" s="68"/>
      <c r="P38" s="54"/>
      <c r="Q38" s="55">
        <f t="shared" si="1"/>
        <v>1166.6600000000001</v>
      </c>
      <c r="R38" s="56"/>
      <c r="S38" s="103">
        <v>58.91</v>
      </c>
      <c r="T38" s="103">
        <v>0</v>
      </c>
      <c r="U38" s="103"/>
      <c r="V38" s="103"/>
      <c r="W38" s="103"/>
      <c r="X38" s="104"/>
      <c r="Y38" s="104"/>
      <c r="Z38" s="88"/>
      <c r="AA38" s="65">
        <v>349.07</v>
      </c>
      <c r="AB38" s="55">
        <f t="shared" si="9"/>
        <v>758.68000000000006</v>
      </c>
      <c r="AC38" s="60">
        <f t="shared" si="7"/>
        <v>0</v>
      </c>
      <c r="AD38" s="55">
        <f t="shared" si="3"/>
        <v>758.68000000000006</v>
      </c>
      <c r="AE38" s="61">
        <f t="shared" si="8"/>
        <v>116.66600000000001</v>
      </c>
      <c r="AF38" s="60">
        <v>15.23</v>
      </c>
      <c r="AG38" s="60">
        <f t="shared" si="4"/>
        <v>0</v>
      </c>
      <c r="AH38" s="62">
        <f t="shared" si="5"/>
        <v>1298.556</v>
      </c>
      <c r="AI38" s="137"/>
      <c r="AJ38" s="138"/>
      <c r="AK38" s="123">
        <f t="shared" si="6"/>
        <v>-758.68000000000006</v>
      </c>
      <c r="AL38" s="64"/>
      <c r="AM38" s="64"/>
    </row>
    <row r="39" spans="1:193" s="29" customFormat="1" hidden="1">
      <c r="A39" s="64"/>
      <c r="B39" s="64" t="s">
        <v>281</v>
      </c>
      <c r="C39" s="64"/>
      <c r="D39" s="64"/>
      <c r="E39" s="64" t="s">
        <v>150</v>
      </c>
      <c r="F39" s="134">
        <v>42506</v>
      </c>
      <c r="G39" s="64"/>
      <c r="H39" s="64"/>
      <c r="I39" s="68">
        <v>513.33000000000004</v>
      </c>
      <c r="J39" s="150">
        <v>486.67</v>
      </c>
      <c r="K39" s="68">
        <f t="shared" si="0"/>
        <v>1000</v>
      </c>
      <c r="L39" s="68"/>
      <c r="M39" s="68"/>
      <c r="N39" s="68"/>
      <c r="O39" s="68"/>
      <c r="P39" s="109"/>
      <c r="Q39" s="55">
        <f t="shared" si="1"/>
        <v>1000</v>
      </c>
      <c r="R39" s="56"/>
      <c r="S39" s="103"/>
      <c r="T39" s="103"/>
      <c r="U39" s="103"/>
      <c r="V39" s="103"/>
      <c r="W39" s="103"/>
      <c r="X39" s="104"/>
      <c r="Y39" s="104"/>
      <c r="Z39" s="88"/>
      <c r="AA39" s="88">
        <v>0</v>
      </c>
      <c r="AB39" s="55">
        <f t="shared" si="9"/>
        <v>1000</v>
      </c>
      <c r="AC39" s="60">
        <f t="shared" si="7"/>
        <v>0</v>
      </c>
      <c r="AD39" s="55">
        <f t="shared" si="3"/>
        <v>1000</v>
      </c>
      <c r="AE39" s="61">
        <f t="shared" si="8"/>
        <v>100</v>
      </c>
      <c r="AF39" s="60">
        <v>16.23</v>
      </c>
      <c r="AG39" s="60">
        <f t="shared" si="4"/>
        <v>0</v>
      </c>
      <c r="AH39" s="62">
        <f t="shared" si="5"/>
        <v>1116.23</v>
      </c>
      <c r="AI39" s="137"/>
      <c r="AJ39" s="140"/>
      <c r="AK39" s="123">
        <f t="shared" si="6"/>
        <v>-1000</v>
      </c>
      <c r="AL39" s="129">
        <v>1180560405</v>
      </c>
      <c r="AM39" s="69"/>
    </row>
    <row r="40" spans="1:193" s="29" customFormat="1" hidden="1">
      <c r="A40" s="64" t="s">
        <v>68</v>
      </c>
      <c r="B40" s="64" t="s">
        <v>282</v>
      </c>
      <c r="C40" s="64"/>
      <c r="D40" s="64"/>
      <c r="E40" s="64" t="s">
        <v>283</v>
      </c>
      <c r="F40" s="134">
        <v>42480</v>
      </c>
      <c r="G40" s="64"/>
      <c r="H40" s="64"/>
      <c r="I40" s="68">
        <v>513.33000000000004</v>
      </c>
      <c r="J40" s="150">
        <v>1470</v>
      </c>
      <c r="K40" s="68">
        <f t="shared" si="0"/>
        <v>1983.33</v>
      </c>
      <c r="L40" s="68"/>
      <c r="M40" s="68"/>
      <c r="N40" s="68"/>
      <c r="O40" s="68"/>
      <c r="P40" s="109"/>
      <c r="Q40" s="55">
        <f t="shared" si="1"/>
        <v>1983.33</v>
      </c>
      <c r="R40" s="56"/>
      <c r="S40" s="103"/>
      <c r="T40" s="103"/>
      <c r="U40" s="103"/>
      <c r="V40" s="103"/>
      <c r="W40" s="103"/>
      <c r="X40" s="104"/>
      <c r="Y40" s="104"/>
      <c r="Z40" s="88"/>
      <c r="AA40" s="88">
        <v>0</v>
      </c>
      <c r="AB40" s="55">
        <f t="shared" si="9"/>
        <v>1983.33</v>
      </c>
      <c r="AC40" s="60">
        <f t="shared" si="7"/>
        <v>0</v>
      </c>
      <c r="AD40" s="55">
        <f t="shared" si="3"/>
        <v>1983.33</v>
      </c>
      <c r="AE40" s="61">
        <f t="shared" si="8"/>
        <v>198.333</v>
      </c>
      <c r="AF40" s="60">
        <v>17.23</v>
      </c>
      <c r="AG40" s="60">
        <f t="shared" si="4"/>
        <v>0</v>
      </c>
      <c r="AH40" s="62">
        <f t="shared" si="5"/>
        <v>2198.893</v>
      </c>
      <c r="AI40" s="139"/>
      <c r="AJ40" s="140"/>
      <c r="AK40" s="123">
        <f t="shared" si="6"/>
        <v>-1983.33</v>
      </c>
      <c r="AL40" s="64">
        <v>1116618499</v>
      </c>
      <c r="AM40" s="69"/>
    </row>
    <row r="41" spans="1:193" s="29" customFormat="1" hidden="1">
      <c r="A41" s="64" t="s">
        <v>68</v>
      </c>
      <c r="B41" s="64" t="s">
        <v>205</v>
      </c>
      <c r="C41" s="64" t="s">
        <v>204</v>
      </c>
      <c r="D41" s="76"/>
      <c r="E41" s="64" t="s">
        <v>70</v>
      </c>
      <c r="F41" s="134">
        <v>42240</v>
      </c>
      <c r="G41" s="64"/>
      <c r="H41" s="64"/>
      <c r="I41" s="68"/>
      <c r="J41" s="150"/>
      <c r="K41" s="68">
        <f t="shared" si="0"/>
        <v>0</v>
      </c>
      <c r="L41" s="68"/>
      <c r="M41" s="68"/>
      <c r="N41" s="68"/>
      <c r="O41" s="68"/>
      <c r="P41" s="109"/>
      <c r="Q41" s="55">
        <f t="shared" si="1"/>
        <v>0</v>
      </c>
      <c r="R41" s="56"/>
      <c r="S41" s="103"/>
      <c r="T41" s="103">
        <v>0</v>
      </c>
      <c r="U41" s="103"/>
      <c r="V41" s="103"/>
      <c r="W41" s="103"/>
      <c r="X41" s="104"/>
      <c r="Y41" s="104"/>
      <c r="Z41" s="88"/>
      <c r="AA41" s="88">
        <v>0</v>
      </c>
      <c r="AB41" s="55">
        <f t="shared" si="9"/>
        <v>0</v>
      </c>
      <c r="AC41" s="60">
        <f t="shared" si="7"/>
        <v>0</v>
      </c>
      <c r="AD41" s="55">
        <f t="shared" si="3"/>
        <v>0</v>
      </c>
      <c r="AE41" s="61">
        <f t="shared" si="8"/>
        <v>0</v>
      </c>
      <c r="AF41" s="60">
        <v>18.23</v>
      </c>
      <c r="AG41" s="60">
        <f t="shared" si="4"/>
        <v>0</v>
      </c>
      <c r="AH41" s="62">
        <f t="shared" si="5"/>
        <v>18.23</v>
      </c>
      <c r="AI41" s="147"/>
      <c r="AJ41" s="147"/>
      <c r="AK41" s="123">
        <f t="shared" si="6"/>
        <v>0</v>
      </c>
      <c r="AL41" s="64"/>
      <c r="AM41" s="69" t="s">
        <v>247</v>
      </c>
    </row>
    <row r="42" spans="1:193" hidden="1">
      <c r="A42" s="64" t="s">
        <v>82</v>
      </c>
      <c r="B42" s="50" t="s">
        <v>193</v>
      </c>
      <c r="C42" s="50"/>
      <c r="D42" s="50" t="s">
        <v>88</v>
      </c>
      <c r="E42" s="50" t="s">
        <v>143</v>
      </c>
      <c r="F42" s="133">
        <v>42319</v>
      </c>
      <c r="G42" s="50"/>
      <c r="H42" s="50"/>
      <c r="I42" s="52">
        <v>739.23</v>
      </c>
      <c r="J42" s="149"/>
      <c r="K42" s="68">
        <f t="shared" si="0"/>
        <v>739.23</v>
      </c>
      <c r="L42" s="52"/>
      <c r="M42" s="52"/>
      <c r="N42" s="52"/>
      <c r="O42" s="52"/>
      <c r="P42" s="54"/>
      <c r="Q42" s="55">
        <f t="shared" si="1"/>
        <v>739.23</v>
      </c>
      <c r="R42" s="56"/>
      <c r="S42" s="57"/>
      <c r="T42" s="57">
        <v>0</v>
      </c>
      <c r="U42" s="57"/>
      <c r="V42" s="57"/>
      <c r="W42" s="57"/>
      <c r="X42" s="58"/>
      <c r="Y42" s="58"/>
      <c r="Z42" s="59"/>
      <c r="AA42" s="88">
        <v>0</v>
      </c>
      <c r="AB42" s="55">
        <f t="shared" si="9"/>
        <v>739.23</v>
      </c>
      <c r="AC42" s="60">
        <f t="shared" si="7"/>
        <v>0</v>
      </c>
      <c r="AD42" s="55">
        <f t="shared" si="3"/>
        <v>739.23</v>
      </c>
      <c r="AE42" s="61">
        <f t="shared" si="8"/>
        <v>73.923000000000002</v>
      </c>
      <c r="AF42" s="60">
        <v>19.23</v>
      </c>
      <c r="AG42" s="60">
        <f t="shared" si="4"/>
        <v>0</v>
      </c>
      <c r="AH42" s="62">
        <f t="shared" si="5"/>
        <v>832.38300000000004</v>
      </c>
      <c r="AI42" s="137"/>
      <c r="AJ42" s="138"/>
      <c r="AK42" s="123">
        <f t="shared" si="6"/>
        <v>-739.23</v>
      </c>
      <c r="AL42" s="64"/>
      <c r="AM42" s="6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</row>
    <row r="43" spans="1:193">
      <c r="A43" s="64" t="s">
        <v>68</v>
      </c>
      <c r="B43" s="50" t="s">
        <v>189</v>
      </c>
      <c r="C43" s="50" t="s">
        <v>206</v>
      </c>
      <c r="D43" s="50" t="s">
        <v>131</v>
      </c>
      <c r="E43" s="50" t="s">
        <v>70</v>
      </c>
      <c r="F43" s="133">
        <v>41463</v>
      </c>
      <c r="G43" s="51"/>
      <c r="H43" s="51"/>
      <c r="I43" s="162">
        <v>513.33000000000004</v>
      </c>
      <c r="J43" s="159">
        <v>653.33000000000004</v>
      </c>
      <c r="K43" s="160">
        <f t="shared" si="0"/>
        <v>1166.6600000000001</v>
      </c>
      <c r="L43" s="165">
        <v>1717.77</v>
      </c>
      <c r="M43" s="52"/>
      <c r="N43" s="53"/>
      <c r="O43" s="53"/>
      <c r="P43" s="54"/>
      <c r="Q43" s="55">
        <f>+L43</f>
        <v>1717.77</v>
      </c>
      <c r="R43" s="56"/>
      <c r="S43" s="57"/>
      <c r="T43" s="57">
        <v>0</v>
      </c>
      <c r="U43" s="57"/>
      <c r="V43" s="57"/>
      <c r="W43" s="57"/>
      <c r="X43" s="58"/>
      <c r="Y43" s="58"/>
      <c r="Z43" s="59"/>
      <c r="AA43" s="88">
        <v>0</v>
      </c>
      <c r="AB43" s="55">
        <f t="shared" si="9"/>
        <v>1717.77</v>
      </c>
      <c r="AC43" s="60">
        <f>AB43*0.1</f>
        <v>171.77700000000002</v>
      </c>
      <c r="AD43" s="55">
        <f t="shared" si="3"/>
        <v>1545.9929999999999</v>
      </c>
      <c r="AE43" s="61">
        <v>0</v>
      </c>
      <c r="AF43" s="60">
        <v>20.23</v>
      </c>
      <c r="AG43" s="60">
        <f t="shared" si="4"/>
        <v>0</v>
      </c>
      <c r="AH43" s="62">
        <f t="shared" si="5"/>
        <v>1738</v>
      </c>
      <c r="AI43" s="137"/>
      <c r="AJ43" s="138"/>
      <c r="AK43" s="123">
        <f t="shared" si="6"/>
        <v>-1545.9929999999999</v>
      </c>
      <c r="AL43" s="64"/>
      <c r="AM43" s="64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</row>
    <row r="44" spans="1:193" s="29" customFormat="1" hidden="1">
      <c r="A44" s="64" t="s">
        <v>66</v>
      </c>
      <c r="B44" s="64" t="s">
        <v>292</v>
      </c>
      <c r="C44" s="64"/>
      <c r="D44" s="64" t="s">
        <v>293</v>
      </c>
      <c r="E44" s="64" t="s">
        <v>294</v>
      </c>
      <c r="F44" s="148">
        <v>40618</v>
      </c>
      <c r="G44" s="64"/>
      <c r="H44" s="64"/>
      <c r="I44" s="68">
        <v>1750</v>
      </c>
      <c r="J44" s="150"/>
      <c r="K44" s="68">
        <f t="shared" si="0"/>
        <v>1750</v>
      </c>
      <c r="L44" s="68"/>
      <c r="M44" s="68"/>
      <c r="N44" s="68"/>
      <c r="O44" s="68"/>
      <c r="P44" s="109"/>
      <c r="Q44" s="55">
        <f t="shared" si="1"/>
        <v>1750</v>
      </c>
      <c r="R44" s="56"/>
      <c r="S44" s="103"/>
      <c r="T44" s="103">
        <v>0</v>
      </c>
      <c r="U44" s="103"/>
      <c r="V44" s="103"/>
      <c r="W44" s="103"/>
      <c r="X44" s="104"/>
      <c r="Y44" s="104"/>
      <c r="Z44" s="88"/>
      <c r="AA44" s="88">
        <v>0</v>
      </c>
      <c r="AB44" s="55">
        <f t="shared" si="9"/>
        <v>1750</v>
      </c>
      <c r="AC44" s="60">
        <f t="shared" si="7"/>
        <v>0</v>
      </c>
      <c r="AD44" s="55">
        <f t="shared" si="3"/>
        <v>1750</v>
      </c>
      <c r="AE44" s="61">
        <f t="shared" si="8"/>
        <v>175</v>
      </c>
      <c r="AF44" s="60">
        <v>21.23</v>
      </c>
      <c r="AG44" s="60">
        <f t="shared" si="4"/>
        <v>0</v>
      </c>
      <c r="AH44" s="62">
        <f t="shared" si="5"/>
        <v>1946.23</v>
      </c>
      <c r="AI44" s="145"/>
      <c r="AJ44" s="146"/>
      <c r="AK44" s="123"/>
      <c r="AL44" s="64">
        <v>2659973974</v>
      </c>
      <c r="AM44" s="69" t="s">
        <v>295</v>
      </c>
    </row>
    <row r="45" spans="1:193">
      <c r="A45" s="64" t="s">
        <v>68</v>
      </c>
      <c r="B45" s="50" t="s">
        <v>266</v>
      </c>
      <c r="C45" s="50" t="s">
        <v>209</v>
      </c>
      <c r="D45" s="50" t="s">
        <v>132</v>
      </c>
      <c r="E45" s="50" t="s">
        <v>70</v>
      </c>
      <c r="F45" s="133">
        <v>42296</v>
      </c>
      <c r="G45" s="51"/>
      <c r="H45" s="51"/>
      <c r="I45" s="158">
        <v>513.33000000000004</v>
      </c>
      <c r="J45" s="159">
        <v>653.33000000000004</v>
      </c>
      <c r="K45" s="160">
        <f t="shared" si="0"/>
        <v>1166.6600000000001</v>
      </c>
      <c r="L45" s="165">
        <v>725.85</v>
      </c>
      <c r="M45" s="52"/>
      <c r="N45" s="53"/>
      <c r="O45" s="53"/>
      <c r="P45" s="54"/>
      <c r="Q45" s="55">
        <f>+L45</f>
        <v>725.85</v>
      </c>
      <c r="R45" s="56"/>
      <c r="S45" s="57"/>
      <c r="T45" s="57">
        <v>0</v>
      </c>
      <c r="U45" s="57"/>
      <c r="V45" s="57"/>
      <c r="W45" s="57"/>
      <c r="X45" s="58"/>
      <c r="Y45" s="58"/>
      <c r="Z45" s="59"/>
      <c r="AA45" s="65"/>
      <c r="AB45" s="55">
        <f t="shared" ref="AB45:AB103" si="10">+Q45-SUM(R45:AA45)</f>
        <v>725.85</v>
      </c>
      <c r="AC45" s="60">
        <f t="shared" si="7"/>
        <v>0</v>
      </c>
      <c r="AD45" s="55">
        <f t="shared" si="3"/>
        <v>725.85</v>
      </c>
      <c r="AE45" s="61">
        <f t="shared" si="8"/>
        <v>72.585000000000008</v>
      </c>
      <c r="AF45" s="60">
        <v>10.23</v>
      </c>
      <c r="AG45" s="60">
        <f t="shared" si="4"/>
        <v>0</v>
      </c>
      <c r="AH45" s="62">
        <f t="shared" si="5"/>
        <v>808.66500000000008</v>
      </c>
      <c r="AI45" s="137"/>
      <c r="AJ45" s="138"/>
      <c r="AK45" s="123">
        <f t="shared" si="6"/>
        <v>-725.85</v>
      </c>
      <c r="AL45" s="64"/>
      <c r="AM45" s="64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</row>
    <row r="46" spans="1:193" hidden="1">
      <c r="A46" s="64" t="s">
        <v>67</v>
      </c>
      <c r="B46" s="50" t="s">
        <v>77</v>
      </c>
      <c r="C46" s="64" t="s">
        <v>234</v>
      </c>
      <c r="D46" s="50" t="s">
        <v>107</v>
      </c>
      <c r="E46" s="50" t="s">
        <v>152</v>
      </c>
      <c r="F46" s="133">
        <v>42199</v>
      </c>
      <c r="G46" s="51"/>
      <c r="H46" s="51"/>
      <c r="I46" s="52">
        <v>513.33000000000004</v>
      </c>
      <c r="J46" s="150">
        <v>653.33000000000004</v>
      </c>
      <c r="K46" s="68">
        <f t="shared" si="0"/>
        <v>1166.6600000000001</v>
      </c>
      <c r="L46" s="52"/>
      <c r="M46" s="52"/>
      <c r="N46" s="53"/>
      <c r="O46" s="53"/>
      <c r="P46" s="54"/>
      <c r="Q46" s="55">
        <f t="shared" ref="Q46:Q76" si="11">SUM(K46:O46)-P46</f>
        <v>1166.6600000000001</v>
      </c>
      <c r="R46" s="56"/>
      <c r="S46" s="57">
        <v>58.91</v>
      </c>
      <c r="T46" s="57">
        <v>0</v>
      </c>
      <c r="U46" s="57"/>
      <c r="V46" s="57"/>
      <c r="W46" s="57"/>
      <c r="X46" s="58"/>
      <c r="Y46" s="58"/>
      <c r="Z46" s="59"/>
      <c r="AA46" s="59">
        <v>0</v>
      </c>
      <c r="AB46" s="55">
        <f t="shared" si="10"/>
        <v>1107.75</v>
      </c>
      <c r="AC46" s="60">
        <f t="shared" si="7"/>
        <v>0</v>
      </c>
      <c r="AD46" s="55">
        <f t="shared" si="3"/>
        <v>1107.75</v>
      </c>
      <c r="AE46" s="61">
        <f t="shared" si="8"/>
        <v>116.66600000000001</v>
      </c>
      <c r="AF46" s="60">
        <v>10.23</v>
      </c>
      <c r="AG46" s="60">
        <f t="shared" si="4"/>
        <v>0</v>
      </c>
      <c r="AH46" s="62">
        <f t="shared" si="5"/>
        <v>1293.556</v>
      </c>
      <c r="AI46" s="137"/>
      <c r="AJ46" s="138"/>
      <c r="AK46" s="123">
        <f t="shared" si="6"/>
        <v>-1107.75</v>
      </c>
      <c r="AL46" s="64"/>
      <c r="AM46" s="64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</row>
    <row r="47" spans="1:193" hidden="1">
      <c r="A47" s="64" t="s">
        <v>68</v>
      </c>
      <c r="B47" s="50" t="s">
        <v>210</v>
      </c>
      <c r="C47" s="50" t="s">
        <v>209</v>
      </c>
      <c r="D47" s="50" t="s">
        <v>133</v>
      </c>
      <c r="E47" s="50" t="s">
        <v>70</v>
      </c>
      <c r="F47" s="133">
        <v>42304</v>
      </c>
      <c r="G47" s="51"/>
      <c r="H47" s="51"/>
      <c r="I47" s="52">
        <v>513.33000000000004</v>
      </c>
      <c r="J47" s="150">
        <v>653.33000000000004</v>
      </c>
      <c r="K47" s="68">
        <f t="shared" si="0"/>
        <v>1166.6600000000001</v>
      </c>
      <c r="L47" s="52"/>
      <c r="M47" s="52"/>
      <c r="N47" s="53"/>
      <c r="O47" s="53"/>
      <c r="P47" s="54"/>
      <c r="Q47" s="55">
        <f t="shared" si="11"/>
        <v>1166.6600000000001</v>
      </c>
      <c r="R47" s="56"/>
      <c r="S47" s="57"/>
      <c r="T47" s="57">
        <v>0</v>
      </c>
      <c r="U47" s="57"/>
      <c r="V47" s="57"/>
      <c r="W47" s="57"/>
      <c r="X47" s="58"/>
      <c r="Y47" s="58"/>
      <c r="Z47" s="59"/>
      <c r="AA47" s="59">
        <v>0</v>
      </c>
      <c r="AB47" s="55">
        <f t="shared" si="10"/>
        <v>1166.6600000000001</v>
      </c>
      <c r="AC47" s="60">
        <f t="shared" si="7"/>
        <v>0</v>
      </c>
      <c r="AD47" s="55">
        <f t="shared" si="3"/>
        <v>1166.6600000000001</v>
      </c>
      <c r="AE47" s="61">
        <f t="shared" si="8"/>
        <v>116.66600000000001</v>
      </c>
      <c r="AF47" s="60">
        <v>10.23</v>
      </c>
      <c r="AG47" s="60">
        <f t="shared" si="4"/>
        <v>0</v>
      </c>
      <c r="AH47" s="62">
        <f t="shared" si="5"/>
        <v>1293.556</v>
      </c>
      <c r="AI47" s="127"/>
      <c r="AJ47" s="127"/>
      <c r="AK47" s="127"/>
      <c r="AL47" s="64"/>
      <c r="AM47" s="64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</row>
    <row r="48" spans="1:193" s="29" customFormat="1" hidden="1">
      <c r="A48" s="64" t="s">
        <v>68</v>
      </c>
      <c r="B48" s="50" t="s">
        <v>214</v>
      </c>
      <c r="C48" s="50"/>
      <c r="D48" s="50" t="s">
        <v>135</v>
      </c>
      <c r="E48" s="50" t="s">
        <v>70</v>
      </c>
      <c r="F48" s="133">
        <v>42164</v>
      </c>
      <c r="G48" s="51"/>
      <c r="H48" s="51"/>
      <c r="I48" s="52">
        <v>513.33000000000004</v>
      </c>
      <c r="J48" s="150">
        <v>653.33000000000004</v>
      </c>
      <c r="K48" s="68">
        <f t="shared" si="0"/>
        <v>1166.6600000000001</v>
      </c>
      <c r="L48" s="52"/>
      <c r="M48" s="52"/>
      <c r="N48" s="53"/>
      <c r="O48" s="53"/>
      <c r="P48" s="54"/>
      <c r="Q48" s="55">
        <f t="shared" si="11"/>
        <v>1166.6600000000001</v>
      </c>
      <c r="R48" s="56"/>
      <c r="S48" s="57"/>
      <c r="T48" s="57">
        <v>0</v>
      </c>
      <c r="U48" s="57"/>
      <c r="V48" s="57"/>
      <c r="W48" s="57"/>
      <c r="X48" s="58"/>
      <c r="Y48" s="58"/>
      <c r="Z48" s="59"/>
      <c r="AA48" s="59">
        <v>0</v>
      </c>
      <c r="AB48" s="55">
        <f t="shared" si="10"/>
        <v>1166.6600000000001</v>
      </c>
      <c r="AC48" s="60">
        <f t="shared" si="7"/>
        <v>0</v>
      </c>
      <c r="AD48" s="55">
        <f t="shared" si="3"/>
        <v>1166.6600000000001</v>
      </c>
      <c r="AE48" s="61">
        <f t="shared" si="8"/>
        <v>116.66600000000001</v>
      </c>
      <c r="AF48" s="60">
        <v>10.23</v>
      </c>
      <c r="AG48" s="60">
        <f t="shared" si="4"/>
        <v>0</v>
      </c>
      <c r="AH48" s="62">
        <f t="shared" si="5"/>
        <v>1293.556</v>
      </c>
      <c r="AI48" s="137"/>
      <c r="AJ48" s="140"/>
      <c r="AK48" s="123">
        <f t="shared" si="6"/>
        <v>-1166.6600000000001</v>
      </c>
      <c r="AL48" s="64"/>
      <c r="AM48" s="64"/>
    </row>
    <row r="49" spans="1:193" hidden="1">
      <c r="A49" s="64" t="s">
        <v>84</v>
      </c>
      <c r="B49" s="50" t="s">
        <v>165</v>
      </c>
      <c r="C49" s="50"/>
      <c r="D49" s="50" t="s">
        <v>116</v>
      </c>
      <c r="E49" s="50" t="s">
        <v>153</v>
      </c>
      <c r="F49" s="133">
        <v>41981</v>
      </c>
      <c r="G49" s="51"/>
      <c r="H49" s="51"/>
      <c r="I49" s="52">
        <v>556.78</v>
      </c>
      <c r="J49" s="151"/>
      <c r="K49" s="68">
        <f t="shared" si="0"/>
        <v>556.78</v>
      </c>
      <c r="L49" s="52"/>
      <c r="M49" s="52"/>
      <c r="N49" s="53"/>
      <c r="O49" s="53"/>
      <c r="P49" s="54"/>
      <c r="Q49" s="55">
        <f t="shared" si="11"/>
        <v>556.78</v>
      </c>
      <c r="R49" s="56"/>
      <c r="S49" s="57"/>
      <c r="T49" s="66">
        <v>100</v>
      </c>
      <c r="U49" s="66">
        <f>Q49*4.9%</f>
        <v>27.282219999999999</v>
      </c>
      <c r="V49" s="66">
        <f>Q49*1%</f>
        <v>5.5678000000000001</v>
      </c>
      <c r="W49" s="57"/>
      <c r="X49" s="58"/>
      <c r="Y49" s="58"/>
      <c r="Z49" s="59"/>
      <c r="AA49" s="59">
        <v>0</v>
      </c>
      <c r="AB49" s="55">
        <f t="shared" si="10"/>
        <v>423.92998</v>
      </c>
      <c r="AC49" s="60">
        <f t="shared" si="7"/>
        <v>0</v>
      </c>
      <c r="AD49" s="55">
        <f t="shared" si="3"/>
        <v>423.92998</v>
      </c>
      <c r="AE49" s="61">
        <f t="shared" si="8"/>
        <v>55.677999999999997</v>
      </c>
      <c r="AF49" s="60">
        <v>10.23</v>
      </c>
      <c r="AG49" s="60">
        <f t="shared" si="4"/>
        <v>27.282219999999999</v>
      </c>
      <c r="AH49" s="62">
        <f t="shared" si="5"/>
        <v>649.97022000000004</v>
      </c>
      <c r="AI49" s="137"/>
      <c r="AJ49" s="137"/>
      <c r="AK49" s="123">
        <f t="shared" si="6"/>
        <v>-423.92998</v>
      </c>
      <c r="AL49" s="64"/>
      <c r="AM49" s="64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</row>
    <row r="50" spans="1:193" s="29" customFormat="1" hidden="1">
      <c r="A50" s="64" t="s">
        <v>84</v>
      </c>
      <c r="B50" s="64" t="s">
        <v>216</v>
      </c>
      <c r="C50" s="64"/>
      <c r="D50" s="64" t="s">
        <v>217</v>
      </c>
      <c r="E50" s="50" t="s">
        <v>158</v>
      </c>
      <c r="F50" s="132">
        <v>41284</v>
      </c>
      <c r="G50" s="64"/>
      <c r="H50" s="64"/>
      <c r="I50" s="68">
        <v>608.16</v>
      </c>
      <c r="J50" s="150"/>
      <c r="K50" s="68">
        <f t="shared" si="0"/>
        <v>608.16</v>
      </c>
      <c r="L50" s="68"/>
      <c r="M50" s="68"/>
      <c r="N50" s="68"/>
      <c r="O50" s="68"/>
      <c r="P50" s="54"/>
      <c r="Q50" s="55">
        <f t="shared" si="11"/>
        <v>608.16</v>
      </c>
      <c r="R50" s="56"/>
      <c r="S50" s="57"/>
      <c r="T50" s="57">
        <v>0</v>
      </c>
      <c r="U50" s="66">
        <f>Q50*4.9%</f>
        <v>29.79984</v>
      </c>
      <c r="V50" s="66">
        <f>Q50*1%</f>
        <v>6.0815999999999999</v>
      </c>
      <c r="W50" s="57"/>
      <c r="X50" s="58"/>
      <c r="Y50" s="58"/>
      <c r="Z50" s="59"/>
      <c r="AA50" s="59">
        <v>0</v>
      </c>
      <c r="AB50" s="55">
        <f t="shared" si="10"/>
        <v>572.27855999999997</v>
      </c>
      <c r="AC50" s="60">
        <f t="shared" si="7"/>
        <v>0</v>
      </c>
      <c r="AD50" s="55">
        <f t="shared" si="3"/>
        <v>572.27855999999997</v>
      </c>
      <c r="AE50" s="61">
        <f t="shared" si="8"/>
        <v>60.816000000000003</v>
      </c>
      <c r="AF50" s="60">
        <v>10.23</v>
      </c>
      <c r="AG50" s="60">
        <f t="shared" si="4"/>
        <v>29.79984</v>
      </c>
      <c r="AH50" s="62">
        <f t="shared" si="5"/>
        <v>709.00584000000003</v>
      </c>
      <c r="AI50" s="137"/>
      <c r="AJ50" s="138"/>
      <c r="AK50" s="123">
        <f t="shared" si="6"/>
        <v>-572.27855999999997</v>
      </c>
      <c r="AL50" s="64">
        <v>2948910731</v>
      </c>
      <c r="AM50" s="69"/>
    </row>
    <row r="51" spans="1:193" hidden="1">
      <c r="A51" s="64" t="s">
        <v>84</v>
      </c>
      <c r="B51" s="50" t="s">
        <v>167</v>
      </c>
      <c r="C51" s="50"/>
      <c r="D51" s="50" t="s">
        <v>117</v>
      </c>
      <c r="E51" s="50" t="s">
        <v>155</v>
      </c>
      <c r="F51" s="132">
        <v>41227</v>
      </c>
      <c r="G51" s="51"/>
      <c r="H51" s="51"/>
      <c r="I51" s="52">
        <v>608.16</v>
      </c>
      <c r="J51" s="151"/>
      <c r="K51" s="68">
        <f t="shared" si="0"/>
        <v>608.16</v>
      </c>
      <c r="L51" s="52"/>
      <c r="M51" s="52"/>
      <c r="N51" s="53"/>
      <c r="O51" s="53"/>
      <c r="P51" s="54"/>
      <c r="Q51" s="55">
        <f t="shared" si="11"/>
        <v>608.16</v>
      </c>
      <c r="R51" s="56"/>
      <c r="S51" s="57"/>
      <c r="T51" s="57"/>
      <c r="U51" s="66">
        <f>Q51*4.9%</f>
        <v>29.79984</v>
      </c>
      <c r="V51" s="66">
        <f>Q51*1%</f>
        <v>6.0815999999999999</v>
      </c>
      <c r="W51" s="57"/>
      <c r="X51" s="58"/>
      <c r="Y51" s="58"/>
      <c r="Z51" s="59"/>
      <c r="AA51" s="59">
        <v>0</v>
      </c>
      <c r="AB51" s="55">
        <f t="shared" si="10"/>
        <v>572.27855999999997</v>
      </c>
      <c r="AC51" s="60">
        <f t="shared" si="7"/>
        <v>0</v>
      </c>
      <c r="AD51" s="55">
        <f t="shared" si="3"/>
        <v>572.27855999999997</v>
      </c>
      <c r="AE51" s="61">
        <f t="shared" si="8"/>
        <v>60.816000000000003</v>
      </c>
      <c r="AF51" s="60">
        <v>10.23</v>
      </c>
      <c r="AG51" s="60">
        <f t="shared" si="4"/>
        <v>29.79984</v>
      </c>
      <c r="AH51" s="62">
        <f t="shared" si="5"/>
        <v>709.00584000000003</v>
      </c>
      <c r="AI51" s="137"/>
      <c r="AJ51" s="137"/>
      <c r="AK51" s="123">
        <f t="shared" si="6"/>
        <v>-572.27855999999997</v>
      </c>
      <c r="AL51" s="64"/>
      <c r="AM51" s="6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</row>
    <row r="52" spans="1:193" hidden="1">
      <c r="A52" s="64" t="s">
        <v>82</v>
      </c>
      <c r="B52" s="50" t="s">
        <v>195</v>
      </c>
      <c r="C52" s="50"/>
      <c r="D52" s="50" t="s">
        <v>89</v>
      </c>
      <c r="E52" s="50" t="s">
        <v>144</v>
      </c>
      <c r="F52" s="132">
        <v>41493</v>
      </c>
      <c r="G52" s="50"/>
      <c r="H52" s="50"/>
      <c r="I52" s="52">
        <v>633.16</v>
      </c>
      <c r="J52" s="149"/>
      <c r="K52" s="68">
        <f t="shared" si="0"/>
        <v>633.16</v>
      </c>
      <c r="L52" s="52"/>
      <c r="M52" s="52"/>
      <c r="N52" s="52"/>
      <c r="O52" s="52"/>
      <c r="P52" s="54"/>
      <c r="Q52" s="55">
        <f t="shared" si="11"/>
        <v>633.16</v>
      </c>
      <c r="R52" s="56"/>
      <c r="S52" s="57"/>
      <c r="T52" s="57">
        <v>0</v>
      </c>
      <c r="U52" s="57"/>
      <c r="V52" s="57"/>
      <c r="W52" s="57"/>
      <c r="X52" s="58"/>
      <c r="Y52" s="58"/>
      <c r="Z52" s="59"/>
      <c r="AA52" s="59">
        <v>0</v>
      </c>
      <c r="AB52" s="55">
        <f t="shared" si="10"/>
        <v>633.16</v>
      </c>
      <c r="AC52" s="60">
        <f t="shared" si="7"/>
        <v>0</v>
      </c>
      <c r="AD52" s="55">
        <f t="shared" si="3"/>
        <v>633.16</v>
      </c>
      <c r="AE52" s="61">
        <f t="shared" si="8"/>
        <v>63.316000000000003</v>
      </c>
      <c r="AF52" s="60">
        <v>10.23</v>
      </c>
      <c r="AG52" s="60">
        <f t="shared" si="4"/>
        <v>0</v>
      </c>
      <c r="AH52" s="62">
        <f t="shared" si="5"/>
        <v>706.70600000000002</v>
      </c>
      <c r="AI52" s="137"/>
      <c r="AJ52" s="138"/>
      <c r="AK52" s="123">
        <f t="shared" si="6"/>
        <v>-633.16</v>
      </c>
      <c r="AL52" s="64"/>
      <c r="AM52" s="141" t="s">
        <v>287</v>
      </c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</row>
    <row r="53" spans="1:193" s="33" customFormat="1" hidden="1">
      <c r="A53" s="64" t="s">
        <v>84</v>
      </c>
      <c r="B53" s="64" t="s">
        <v>270</v>
      </c>
      <c r="C53" s="64"/>
      <c r="D53" s="64"/>
      <c r="E53" s="64" t="s">
        <v>144</v>
      </c>
      <c r="F53" s="134">
        <v>42416</v>
      </c>
      <c r="G53" s="64"/>
      <c r="H53" s="64"/>
      <c r="I53" s="68">
        <v>739.23</v>
      </c>
      <c r="J53" s="150"/>
      <c r="K53" s="68">
        <f t="shared" si="0"/>
        <v>739.23</v>
      </c>
      <c r="L53" s="68"/>
      <c r="M53" s="68"/>
      <c r="N53" s="68"/>
      <c r="O53" s="68"/>
      <c r="P53" s="54"/>
      <c r="Q53" s="55">
        <f t="shared" si="11"/>
        <v>739.23</v>
      </c>
      <c r="R53" s="56"/>
      <c r="S53" s="57"/>
      <c r="T53" s="57">
        <v>0</v>
      </c>
      <c r="U53" s="57"/>
      <c r="V53" s="66">
        <f>Q53*1%</f>
        <v>7.3923000000000005</v>
      </c>
      <c r="W53" s="57"/>
      <c r="X53" s="58"/>
      <c r="Y53" s="58"/>
      <c r="Z53" s="59"/>
      <c r="AA53" s="59">
        <v>0</v>
      </c>
      <c r="AB53" s="55">
        <f t="shared" si="10"/>
        <v>731.83770000000004</v>
      </c>
      <c r="AC53" s="60">
        <f t="shared" si="7"/>
        <v>0</v>
      </c>
      <c r="AD53" s="55">
        <f t="shared" si="3"/>
        <v>731.83770000000004</v>
      </c>
      <c r="AE53" s="61">
        <f t="shared" si="8"/>
        <v>73.923000000000002</v>
      </c>
      <c r="AF53" s="60">
        <v>10.23</v>
      </c>
      <c r="AG53" s="60">
        <f t="shared" si="4"/>
        <v>0</v>
      </c>
      <c r="AH53" s="62">
        <f t="shared" si="5"/>
        <v>823.38300000000004</v>
      </c>
      <c r="AI53" s="137"/>
      <c r="AJ53" s="138"/>
      <c r="AK53" s="123">
        <f t="shared" si="6"/>
        <v>-731.83770000000004</v>
      </c>
      <c r="AL53" s="64">
        <v>1296641458</v>
      </c>
      <c r="AM53" s="6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</row>
    <row r="54" spans="1:193" s="29" customFormat="1" hidden="1">
      <c r="A54" s="64" t="s">
        <v>82</v>
      </c>
      <c r="B54" s="64" t="s">
        <v>251</v>
      </c>
      <c r="C54" s="64"/>
      <c r="D54" s="64"/>
      <c r="E54" s="64" t="s">
        <v>145</v>
      </c>
      <c r="F54" s="132">
        <v>42471</v>
      </c>
      <c r="G54" s="64"/>
      <c r="H54" s="64"/>
      <c r="I54" s="68">
        <v>739.23</v>
      </c>
      <c r="J54" s="150"/>
      <c r="K54" s="68">
        <f t="shared" si="0"/>
        <v>739.23</v>
      </c>
      <c r="L54" s="68"/>
      <c r="M54" s="68"/>
      <c r="N54" s="68"/>
      <c r="O54" s="68"/>
      <c r="P54" s="54"/>
      <c r="Q54" s="55">
        <f t="shared" si="11"/>
        <v>739.23</v>
      </c>
      <c r="R54" s="56"/>
      <c r="S54" s="103"/>
      <c r="T54" s="103"/>
      <c r="U54" s="103"/>
      <c r="V54" s="103"/>
      <c r="W54" s="103"/>
      <c r="X54" s="104"/>
      <c r="Y54" s="104"/>
      <c r="Z54" s="88"/>
      <c r="AA54" s="88">
        <v>0</v>
      </c>
      <c r="AB54" s="55">
        <f t="shared" si="10"/>
        <v>739.23</v>
      </c>
      <c r="AC54" s="60">
        <f t="shared" si="7"/>
        <v>0</v>
      </c>
      <c r="AD54" s="55">
        <f t="shared" si="3"/>
        <v>739.23</v>
      </c>
      <c r="AE54" s="61">
        <f t="shared" si="8"/>
        <v>73.923000000000002</v>
      </c>
      <c r="AF54" s="60">
        <v>10.23</v>
      </c>
      <c r="AG54" s="60">
        <f t="shared" si="4"/>
        <v>0</v>
      </c>
      <c r="AH54" s="62">
        <f t="shared" si="5"/>
        <v>823.38300000000004</v>
      </c>
      <c r="AI54" s="137"/>
      <c r="AJ54" s="138"/>
      <c r="AK54" s="123">
        <f t="shared" si="6"/>
        <v>-739.23</v>
      </c>
      <c r="AL54" s="64">
        <v>2777556799</v>
      </c>
      <c r="AM54" s="69"/>
    </row>
    <row r="55" spans="1:193" hidden="1">
      <c r="A55" s="64" t="s">
        <v>83</v>
      </c>
      <c r="B55" s="64" t="s">
        <v>172</v>
      </c>
      <c r="C55" s="64"/>
      <c r="D55" s="64"/>
      <c r="E55" s="64" t="s">
        <v>151</v>
      </c>
      <c r="F55" s="134">
        <v>42413</v>
      </c>
      <c r="G55" s="64"/>
      <c r="H55" s="64"/>
      <c r="I55" s="68">
        <f>1237.24/15*7</f>
        <v>577.37866666666673</v>
      </c>
      <c r="J55" s="152">
        <v>1047.6199999999999</v>
      </c>
      <c r="K55" s="68">
        <f t="shared" si="0"/>
        <v>1624.9986666666666</v>
      </c>
      <c r="L55" s="68"/>
      <c r="M55" s="68"/>
      <c r="N55" s="68"/>
      <c r="O55" s="68"/>
      <c r="P55" s="54"/>
      <c r="Q55" s="55">
        <f t="shared" si="11"/>
        <v>1624.9986666666666</v>
      </c>
      <c r="R55" s="56"/>
      <c r="S55" s="57"/>
      <c r="T55" s="57">
        <v>0</v>
      </c>
      <c r="U55" s="57"/>
      <c r="V55" s="57"/>
      <c r="W55" s="57"/>
      <c r="X55" s="58"/>
      <c r="Y55" s="58"/>
      <c r="Z55" s="59"/>
      <c r="AA55" s="59">
        <v>0</v>
      </c>
      <c r="AB55" s="55">
        <f t="shared" si="10"/>
        <v>1624.9986666666666</v>
      </c>
      <c r="AC55" s="60">
        <f t="shared" si="7"/>
        <v>0</v>
      </c>
      <c r="AD55" s="55">
        <f t="shared" si="3"/>
        <v>1624.9986666666666</v>
      </c>
      <c r="AE55" s="61">
        <f t="shared" si="8"/>
        <v>162.49986666666666</v>
      </c>
      <c r="AF55" s="60">
        <v>10.23</v>
      </c>
      <c r="AG55" s="60">
        <f t="shared" si="4"/>
        <v>0</v>
      </c>
      <c r="AH55" s="62">
        <f t="shared" si="5"/>
        <v>1797.7285333333334</v>
      </c>
      <c r="AI55" s="137"/>
      <c r="AJ55" s="138"/>
      <c r="AK55" s="123">
        <f t="shared" si="6"/>
        <v>-1624.9986666666666</v>
      </c>
      <c r="AL55" s="64"/>
      <c r="AM55" s="6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</row>
    <row r="56" spans="1:193" hidden="1">
      <c r="A56" s="64" t="s">
        <v>68</v>
      </c>
      <c r="B56" s="50" t="s">
        <v>262</v>
      </c>
      <c r="C56" s="50" t="s">
        <v>209</v>
      </c>
      <c r="D56" s="50" t="s">
        <v>134</v>
      </c>
      <c r="E56" s="50" t="s">
        <v>70</v>
      </c>
      <c r="F56" s="133">
        <v>41622</v>
      </c>
      <c r="G56" s="51"/>
      <c r="H56" s="51"/>
      <c r="I56" s="52">
        <v>513.33000000000004</v>
      </c>
      <c r="J56" s="150">
        <v>653.33000000000004</v>
      </c>
      <c r="K56" s="68">
        <f t="shared" si="0"/>
        <v>1166.6600000000001</v>
      </c>
      <c r="L56" s="52"/>
      <c r="M56" s="52"/>
      <c r="N56" s="53"/>
      <c r="O56" s="53"/>
      <c r="P56" s="54"/>
      <c r="Q56" s="55">
        <f t="shared" si="11"/>
        <v>1166.6600000000001</v>
      </c>
      <c r="R56" s="56"/>
      <c r="S56" s="57">
        <v>58.91</v>
      </c>
      <c r="T56" s="57">
        <v>0</v>
      </c>
      <c r="U56" s="57"/>
      <c r="V56" s="57"/>
      <c r="W56" s="57"/>
      <c r="X56" s="58"/>
      <c r="Y56" s="58"/>
      <c r="Z56" s="59"/>
      <c r="AA56" s="59">
        <v>0</v>
      </c>
      <c r="AB56" s="55">
        <f t="shared" si="10"/>
        <v>1107.75</v>
      </c>
      <c r="AC56" s="60">
        <f t="shared" si="7"/>
        <v>0</v>
      </c>
      <c r="AD56" s="55">
        <f t="shared" si="3"/>
        <v>1107.75</v>
      </c>
      <c r="AE56" s="61">
        <f t="shared" si="8"/>
        <v>116.66600000000001</v>
      </c>
      <c r="AF56" s="60">
        <v>10.23</v>
      </c>
      <c r="AG56" s="60">
        <f t="shared" si="4"/>
        <v>0</v>
      </c>
      <c r="AH56" s="62">
        <f t="shared" si="5"/>
        <v>1293.556</v>
      </c>
      <c r="AI56" s="137"/>
      <c r="AJ56" s="137"/>
      <c r="AK56" s="123">
        <f t="shared" si="6"/>
        <v>-1107.75</v>
      </c>
      <c r="AL56" s="64"/>
      <c r="AM56" s="64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</row>
    <row r="57" spans="1:193" hidden="1">
      <c r="A57" s="64" t="s">
        <v>68</v>
      </c>
      <c r="B57" s="50" t="s">
        <v>271</v>
      </c>
      <c r="C57" s="50" t="s">
        <v>206</v>
      </c>
      <c r="D57" s="50">
        <v>30</v>
      </c>
      <c r="E57" s="50" t="s">
        <v>70</v>
      </c>
      <c r="F57" s="133">
        <v>37834</v>
      </c>
      <c r="G57" s="51"/>
      <c r="H57" s="51"/>
      <c r="I57" s="68">
        <v>513.33000000000004</v>
      </c>
      <c r="J57" s="150">
        <v>653.33000000000004</v>
      </c>
      <c r="K57" s="68">
        <f t="shared" si="0"/>
        <v>1166.6600000000001</v>
      </c>
      <c r="L57" s="52"/>
      <c r="M57" s="52"/>
      <c r="N57" s="53"/>
      <c r="O57" s="53"/>
      <c r="P57" s="54"/>
      <c r="Q57" s="55">
        <f t="shared" si="11"/>
        <v>1166.6600000000001</v>
      </c>
      <c r="R57" s="56"/>
      <c r="S57" s="57"/>
      <c r="T57" s="57">
        <v>0</v>
      </c>
      <c r="U57" s="57"/>
      <c r="V57" s="57"/>
      <c r="W57" s="57"/>
      <c r="X57" s="58"/>
      <c r="Y57" s="58"/>
      <c r="Z57" s="59"/>
      <c r="AA57" s="59">
        <v>0</v>
      </c>
      <c r="AB57" s="55">
        <f t="shared" si="10"/>
        <v>1166.6600000000001</v>
      </c>
      <c r="AC57" s="60">
        <f t="shared" si="7"/>
        <v>0</v>
      </c>
      <c r="AD57" s="55">
        <f t="shared" si="3"/>
        <v>1166.6600000000001</v>
      </c>
      <c r="AE57" s="61">
        <f t="shared" si="8"/>
        <v>116.66600000000001</v>
      </c>
      <c r="AF57" s="60">
        <v>10.23</v>
      </c>
      <c r="AG57" s="60">
        <f t="shared" si="4"/>
        <v>0</v>
      </c>
      <c r="AH57" s="62">
        <f t="shared" si="5"/>
        <v>1293.556</v>
      </c>
      <c r="AI57" s="137"/>
      <c r="AJ57" s="138"/>
      <c r="AK57" s="123">
        <f t="shared" si="6"/>
        <v>-1166.6600000000001</v>
      </c>
      <c r="AL57" s="64"/>
      <c r="AM57" s="64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</row>
    <row r="58" spans="1:193">
      <c r="A58" s="64" t="s">
        <v>68</v>
      </c>
      <c r="B58" s="50" t="s">
        <v>184</v>
      </c>
      <c r="C58" s="50" t="s">
        <v>204</v>
      </c>
      <c r="D58" s="50" t="s">
        <v>136</v>
      </c>
      <c r="E58" s="50" t="s">
        <v>70</v>
      </c>
      <c r="F58" s="133">
        <v>42394</v>
      </c>
      <c r="G58" s="51"/>
      <c r="H58" s="51"/>
      <c r="I58" s="158">
        <v>513.33000000000004</v>
      </c>
      <c r="J58" s="161">
        <v>653.33000000000004</v>
      </c>
      <c r="K58" s="160">
        <f t="shared" si="0"/>
        <v>1166.6600000000001</v>
      </c>
      <c r="L58" s="165">
        <v>2651.96</v>
      </c>
      <c r="M58" s="52"/>
      <c r="N58" s="53"/>
      <c r="O58" s="53"/>
      <c r="P58" s="54"/>
      <c r="Q58" s="55">
        <f>+L58</f>
        <v>2651.96</v>
      </c>
      <c r="R58" s="56"/>
      <c r="S58" s="57"/>
      <c r="T58" s="57">
        <v>0</v>
      </c>
      <c r="U58" s="57"/>
      <c r="V58" s="57"/>
      <c r="W58" s="57"/>
      <c r="X58" s="58"/>
      <c r="Y58" s="58"/>
      <c r="Z58" s="70"/>
      <c r="AA58" s="87"/>
      <c r="AB58" s="55">
        <f t="shared" si="10"/>
        <v>2651.96</v>
      </c>
      <c r="AC58" s="60">
        <f t="shared" si="7"/>
        <v>265.19600000000003</v>
      </c>
      <c r="AD58" s="55">
        <f t="shared" si="3"/>
        <v>2386.7640000000001</v>
      </c>
      <c r="AE58" s="61">
        <f t="shared" si="8"/>
        <v>0</v>
      </c>
      <c r="AF58" s="60">
        <v>10.23</v>
      </c>
      <c r="AG58" s="60">
        <f t="shared" si="4"/>
        <v>0</v>
      </c>
      <c r="AH58" s="62">
        <f t="shared" si="5"/>
        <v>2662.19</v>
      </c>
      <c r="AI58" s="137"/>
      <c r="AJ58" s="138"/>
      <c r="AK58" s="123">
        <f t="shared" si="6"/>
        <v>-2386.7640000000001</v>
      </c>
      <c r="AL58" s="64"/>
      <c r="AM58" s="64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</row>
    <row r="59" spans="1:193" s="37" customFormat="1">
      <c r="A59" s="64" t="s">
        <v>67</v>
      </c>
      <c r="B59" s="50" t="s">
        <v>190</v>
      </c>
      <c r="C59" s="64" t="s">
        <v>234</v>
      </c>
      <c r="D59" s="50" t="s">
        <v>108</v>
      </c>
      <c r="E59" s="50" t="s">
        <v>298</v>
      </c>
      <c r="F59" s="133">
        <v>42342</v>
      </c>
      <c r="G59" s="51"/>
      <c r="H59" s="51"/>
      <c r="I59" s="166">
        <v>513.33000000000004</v>
      </c>
      <c r="J59" s="159">
        <v>686.67</v>
      </c>
      <c r="K59" s="160">
        <f t="shared" si="0"/>
        <v>1200</v>
      </c>
      <c r="L59" s="165">
        <v>686.67</v>
      </c>
      <c r="M59" s="52"/>
      <c r="N59" s="53"/>
      <c r="O59" s="53"/>
      <c r="P59" s="54"/>
      <c r="Q59" s="55">
        <f>+L59</f>
        <v>686.67</v>
      </c>
      <c r="R59" s="56"/>
      <c r="S59" s="57"/>
      <c r="T59" s="57">
        <v>0</v>
      </c>
      <c r="U59" s="57"/>
      <c r="V59" s="57"/>
      <c r="W59" s="57"/>
      <c r="X59" s="71"/>
      <c r="Y59" s="58"/>
      <c r="Z59" s="59"/>
      <c r="AA59" s="59">
        <v>0</v>
      </c>
      <c r="AB59" s="55">
        <f t="shared" si="10"/>
        <v>686.67</v>
      </c>
      <c r="AC59" s="60">
        <f t="shared" si="7"/>
        <v>0</v>
      </c>
      <c r="AD59" s="55">
        <f t="shared" si="3"/>
        <v>686.67</v>
      </c>
      <c r="AE59" s="61">
        <f t="shared" si="8"/>
        <v>68.667000000000002</v>
      </c>
      <c r="AF59" s="60">
        <v>10.23</v>
      </c>
      <c r="AG59" s="60">
        <f t="shared" si="4"/>
        <v>0</v>
      </c>
      <c r="AH59" s="62">
        <f t="shared" si="5"/>
        <v>765.56700000000001</v>
      </c>
      <c r="AI59" s="137"/>
      <c r="AJ59" s="137"/>
      <c r="AK59" s="123">
        <f t="shared" si="6"/>
        <v>-686.67</v>
      </c>
      <c r="AL59" s="64"/>
      <c r="AM59" s="141" t="s">
        <v>297</v>
      </c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</row>
    <row r="60" spans="1:193" hidden="1">
      <c r="A60" s="64" t="s">
        <v>84</v>
      </c>
      <c r="B60" s="64" t="s">
        <v>238</v>
      </c>
      <c r="C60" s="64"/>
      <c r="D60" s="64"/>
      <c r="E60" s="64" t="s">
        <v>153</v>
      </c>
      <c r="F60" s="134">
        <v>42444</v>
      </c>
      <c r="G60" s="64"/>
      <c r="H60" s="64"/>
      <c r="I60" s="68">
        <v>608.16</v>
      </c>
      <c r="J60" s="151"/>
      <c r="K60" s="68">
        <f t="shared" si="0"/>
        <v>608.16</v>
      </c>
      <c r="L60" s="68"/>
      <c r="M60" s="68"/>
      <c r="N60" s="68"/>
      <c r="O60" s="68"/>
      <c r="P60" s="54"/>
      <c r="Q60" s="55">
        <f t="shared" si="11"/>
        <v>608.16</v>
      </c>
      <c r="R60" s="56"/>
      <c r="S60" s="57"/>
      <c r="T60" s="57"/>
      <c r="U60" s="57"/>
      <c r="V60" s="57"/>
      <c r="W60" s="57"/>
      <c r="X60" s="58"/>
      <c r="Y60" s="58"/>
      <c r="Z60" s="59"/>
      <c r="AA60" s="59">
        <v>0</v>
      </c>
      <c r="AB60" s="55">
        <f t="shared" si="10"/>
        <v>608.16</v>
      </c>
      <c r="AC60" s="60">
        <f t="shared" si="7"/>
        <v>0</v>
      </c>
      <c r="AD60" s="55">
        <f t="shared" si="3"/>
        <v>608.16</v>
      </c>
      <c r="AE60" s="61">
        <f t="shared" si="8"/>
        <v>60.816000000000003</v>
      </c>
      <c r="AF60" s="60">
        <v>10.23</v>
      </c>
      <c r="AG60" s="60">
        <f t="shared" si="4"/>
        <v>0</v>
      </c>
      <c r="AH60" s="62">
        <f t="shared" si="5"/>
        <v>679.20600000000002</v>
      </c>
      <c r="AI60" s="137"/>
      <c r="AJ60" s="137"/>
      <c r="AK60" s="123">
        <f t="shared" si="6"/>
        <v>-608.16</v>
      </c>
      <c r="AL60" s="86">
        <v>1159718206</v>
      </c>
      <c r="AM60" s="86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</row>
    <row r="61" spans="1:193" hidden="1">
      <c r="A61" s="64" t="s">
        <v>84</v>
      </c>
      <c r="B61" s="64" t="s">
        <v>284</v>
      </c>
      <c r="C61" s="64"/>
      <c r="D61" s="64"/>
      <c r="E61" s="64" t="s">
        <v>221</v>
      </c>
      <c r="F61" s="134">
        <v>42494</v>
      </c>
      <c r="G61" s="64"/>
      <c r="H61" s="64"/>
      <c r="I61" s="28">
        <f>+K61</f>
        <v>942.85</v>
      </c>
      <c r="J61" s="150"/>
      <c r="K61" s="68">
        <v>942.85</v>
      </c>
      <c r="L61" s="68"/>
      <c r="M61" s="68"/>
      <c r="N61" s="68"/>
      <c r="O61" s="68"/>
      <c r="P61" s="109"/>
      <c r="Q61" s="55">
        <f t="shared" si="11"/>
        <v>942.85</v>
      </c>
      <c r="R61" s="56"/>
      <c r="S61" s="57"/>
      <c r="T61" s="57"/>
      <c r="U61" s="57"/>
      <c r="V61" s="57"/>
      <c r="W61" s="57"/>
      <c r="X61" s="58"/>
      <c r="Y61" s="58"/>
      <c r="Z61" s="59"/>
      <c r="AA61" s="59">
        <v>0</v>
      </c>
      <c r="AB61" s="55">
        <f t="shared" si="10"/>
        <v>942.85</v>
      </c>
      <c r="AC61" s="60">
        <f t="shared" si="7"/>
        <v>0</v>
      </c>
      <c r="AD61" s="55">
        <f t="shared" si="3"/>
        <v>942.85</v>
      </c>
      <c r="AE61" s="61">
        <f t="shared" si="8"/>
        <v>94.285000000000011</v>
      </c>
      <c r="AF61" s="60">
        <v>10.23</v>
      </c>
      <c r="AG61" s="60">
        <f t="shared" si="4"/>
        <v>0</v>
      </c>
      <c r="AH61" s="62">
        <f t="shared" si="5"/>
        <v>1047.365</v>
      </c>
      <c r="AI61" s="137"/>
      <c r="AJ61" s="138"/>
      <c r="AK61" s="123">
        <f t="shared" si="6"/>
        <v>-942.85</v>
      </c>
      <c r="AL61" s="86">
        <v>2858432805</v>
      </c>
      <c r="AM61" s="141" t="s">
        <v>287</v>
      </c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</row>
    <row r="62" spans="1:193" hidden="1">
      <c r="A62" s="64" t="s">
        <v>83</v>
      </c>
      <c r="B62" s="64" t="s">
        <v>232</v>
      </c>
      <c r="C62" s="64"/>
      <c r="D62" s="64" t="s">
        <v>233</v>
      </c>
      <c r="E62" s="64" t="s">
        <v>151</v>
      </c>
      <c r="F62" s="133">
        <v>40813</v>
      </c>
      <c r="G62" s="64"/>
      <c r="H62" s="64"/>
      <c r="I62" s="68">
        <f>1237.24/15*7</f>
        <v>577.37866666666673</v>
      </c>
      <c r="J62" s="82">
        <v>1047.6199999999999</v>
      </c>
      <c r="K62" s="68">
        <f t="shared" si="0"/>
        <v>1624.9986666666666</v>
      </c>
      <c r="L62" s="68"/>
      <c r="M62" s="68"/>
      <c r="N62" s="68"/>
      <c r="O62" s="68"/>
      <c r="P62" s="54"/>
      <c r="Q62" s="55">
        <f t="shared" si="11"/>
        <v>1624.9986666666666</v>
      </c>
      <c r="R62" s="56"/>
      <c r="S62" s="57"/>
      <c r="T62" s="57"/>
      <c r="U62" s="57"/>
      <c r="V62" s="57"/>
      <c r="W62" s="57"/>
      <c r="X62" s="58"/>
      <c r="Y62" s="58"/>
      <c r="Z62" s="59"/>
      <c r="AA62" s="59">
        <v>0</v>
      </c>
      <c r="AB62" s="55">
        <f t="shared" si="10"/>
        <v>1624.9986666666666</v>
      </c>
      <c r="AC62" s="60">
        <f t="shared" si="7"/>
        <v>0</v>
      </c>
      <c r="AD62" s="55">
        <f t="shared" si="3"/>
        <v>1624.9986666666666</v>
      </c>
      <c r="AE62" s="61">
        <f t="shared" si="8"/>
        <v>162.49986666666666</v>
      </c>
      <c r="AF62" s="60">
        <v>10.23</v>
      </c>
      <c r="AG62" s="60">
        <f t="shared" si="4"/>
        <v>0</v>
      </c>
      <c r="AH62" s="62">
        <f t="shared" si="5"/>
        <v>1797.7285333333334</v>
      </c>
      <c r="AI62" s="137"/>
      <c r="AJ62" s="138"/>
      <c r="AK62" s="123">
        <f t="shared" si="6"/>
        <v>-1624.9986666666666</v>
      </c>
      <c r="AL62" s="64"/>
      <c r="AM62" s="6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</row>
    <row r="63" spans="1:193">
      <c r="A63" s="86" t="s">
        <v>68</v>
      </c>
      <c r="B63" s="50" t="s">
        <v>239</v>
      </c>
      <c r="C63" s="64" t="s">
        <v>234</v>
      </c>
      <c r="D63" s="77" t="s">
        <v>228</v>
      </c>
      <c r="E63" s="64" t="s">
        <v>150</v>
      </c>
      <c r="F63" s="133">
        <v>42282</v>
      </c>
      <c r="G63" s="50"/>
      <c r="H63" s="50"/>
      <c r="I63" s="158">
        <v>513.33000000000004</v>
      </c>
      <c r="J63" s="163">
        <v>986.67</v>
      </c>
      <c r="K63" s="160">
        <f t="shared" si="0"/>
        <v>1500</v>
      </c>
      <c r="L63" s="165">
        <v>500</v>
      </c>
      <c r="M63" s="52"/>
      <c r="N63" s="52"/>
      <c r="O63" s="52"/>
      <c r="P63" s="54"/>
      <c r="Q63" s="55">
        <f>+L63</f>
        <v>500</v>
      </c>
      <c r="R63" s="56"/>
      <c r="S63" s="57"/>
      <c r="T63" s="57"/>
      <c r="U63" s="57"/>
      <c r="V63" s="57"/>
      <c r="W63" s="57"/>
      <c r="X63" s="58"/>
      <c r="Y63" s="58"/>
      <c r="Z63" s="59"/>
      <c r="AA63" s="59">
        <v>0</v>
      </c>
      <c r="AB63" s="55">
        <f t="shared" si="10"/>
        <v>500</v>
      </c>
      <c r="AC63" s="60">
        <f t="shared" si="7"/>
        <v>0</v>
      </c>
      <c r="AD63" s="55">
        <f t="shared" si="3"/>
        <v>500</v>
      </c>
      <c r="AE63" s="61">
        <f t="shared" si="8"/>
        <v>50</v>
      </c>
      <c r="AF63" s="60">
        <v>10.23</v>
      </c>
      <c r="AG63" s="60">
        <f t="shared" si="4"/>
        <v>0</v>
      </c>
      <c r="AH63" s="62">
        <f t="shared" si="5"/>
        <v>560.23</v>
      </c>
      <c r="AI63" s="137"/>
      <c r="AJ63" s="138"/>
      <c r="AK63" s="123">
        <f t="shared" si="6"/>
        <v>-500</v>
      </c>
      <c r="AL63" s="64"/>
      <c r="AM63" s="141" t="s">
        <v>297</v>
      </c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</row>
    <row r="64" spans="1:193" hidden="1">
      <c r="A64" s="64" t="s">
        <v>68</v>
      </c>
      <c r="B64" s="50" t="s">
        <v>215</v>
      </c>
      <c r="C64" s="50" t="s">
        <v>206</v>
      </c>
      <c r="D64" s="50" t="s">
        <v>137</v>
      </c>
      <c r="E64" s="50" t="s">
        <v>70</v>
      </c>
      <c r="F64" s="133">
        <v>42310</v>
      </c>
      <c r="G64" s="51"/>
      <c r="H64" s="51"/>
      <c r="I64" s="52">
        <v>513.33000000000004</v>
      </c>
      <c r="J64" s="150">
        <v>653.33000000000004</v>
      </c>
      <c r="K64" s="68">
        <f t="shared" si="0"/>
        <v>1166.6600000000001</v>
      </c>
      <c r="L64" s="52"/>
      <c r="M64" s="52"/>
      <c r="N64" s="53"/>
      <c r="O64" s="53"/>
      <c r="P64" s="54"/>
      <c r="Q64" s="55">
        <f t="shared" si="11"/>
        <v>1166.6600000000001</v>
      </c>
      <c r="R64" s="56"/>
      <c r="S64" s="57"/>
      <c r="T64" s="57">
        <v>0</v>
      </c>
      <c r="U64" s="57"/>
      <c r="V64" s="57"/>
      <c r="W64" s="57"/>
      <c r="X64" s="71">
        <v>460.45</v>
      </c>
      <c r="Y64" s="58"/>
      <c r="Z64" s="59"/>
      <c r="AA64" s="65">
        <v>517.25</v>
      </c>
      <c r="AB64" s="55">
        <f t="shared" si="10"/>
        <v>188.96000000000004</v>
      </c>
      <c r="AC64" s="60">
        <f t="shared" si="7"/>
        <v>0</v>
      </c>
      <c r="AD64" s="55">
        <f t="shared" si="3"/>
        <v>188.96000000000004</v>
      </c>
      <c r="AE64" s="61">
        <f t="shared" si="8"/>
        <v>116.66600000000001</v>
      </c>
      <c r="AF64" s="60">
        <v>10.23</v>
      </c>
      <c r="AG64" s="60">
        <f t="shared" si="4"/>
        <v>0</v>
      </c>
      <c r="AH64" s="62">
        <f t="shared" si="5"/>
        <v>1293.556</v>
      </c>
      <c r="AI64" s="137"/>
      <c r="AJ64" s="138"/>
      <c r="AK64" s="123">
        <f t="shared" si="6"/>
        <v>-188.96000000000004</v>
      </c>
      <c r="AL64" s="64"/>
      <c r="AM64" s="64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</row>
    <row r="65" spans="1:193" hidden="1">
      <c r="A65" s="64" t="s">
        <v>84</v>
      </c>
      <c r="B65" s="50" t="s">
        <v>200</v>
      </c>
      <c r="C65" s="50"/>
      <c r="D65" s="50" t="s">
        <v>118</v>
      </c>
      <c r="E65" s="50" t="s">
        <v>156</v>
      </c>
      <c r="F65" s="133">
        <v>42242</v>
      </c>
      <c r="G65" s="51"/>
      <c r="H65" s="51"/>
      <c r="I65" s="52">
        <v>1100</v>
      </c>
      <c r="J65" s="151"/>
      <c r="K65" s="68">
        <f t="shared" si="0"/>
        <v>1100</v>
      </c>
      <c r="L65" s="52"/>
      <c r="M65" s="52"/>
      <c r="N65" s="53"/>
      <c r="O65" s="53"/>
      <c r="P65" s="54"/>
      <c r="Q65" s="55">
        <f t="shared" si="11"/>
        <v>1100</v>
      </c>
      <c r="R65" s="56"/>
      <c r="S65" s="57"/>
      <c r="T65" s="66">
        <f>+Q65*1%</f>
        <v>11</v>
      </c>
      <c r="U65" s="66">
        <f>+Q65*4.9%</f>
        <v>53.9</v>
      </c>
      <c r="V65" s="57"/>
      <c r="W65" s="57"/>
      <c r="X65" s="58"/>
      <c r="Y65" s="58"/>
      <c r="Z65" s="59"/>
      <c r="AA65" s="59">
        <v>0</v>
      </c>
      <c r="AB65" s="55">
        <f t="shared" si="10"/>
        <v>1035.0999999999999</v>
      </c>
      <c r="AC65" s="60">
        <f t="shared" si="7"/>
        <v>0</v>
      </c>
      <c r="AD65" s="55">
        <f t="shared" si="3"/>
        <v>1035.0999999999999</v>
      </c>
      <c r="AE65" s="61">
        <f t="shared" si="8"/>
        <v>110</v>
      </c>
      <c r="AF65" s="60">
        <v>10.23</v>
      </c>
      <c r="AG65" s="60">
        <f t="shared" si="4"/>
        <v>53.9</v>
      </c>
      <c r="AH65" s="62">
        <f t="shared" si="5"/>
        <v>1274.1300000000001</v>
      </c>
      <c r="AI65" s="137"/>
      <c r="AJ65" s="137"/>
      <c r="AK65" s="123">
        <f t="shared" si="6"/>
        <v>-1035.0999999999999</v>
      </c>
      <c r="AL65" s="64"/>
      <c r="AM65" s="64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</row>
    <row r="66" spans="1:193" hidden="1">
      <c r="A66" s="64" t="s">
        <v>82</v>
      </c>
      <c r="B66" s="50" t="s">
        <v>258</v>
      </c>
      <c r="C66" s="50"/>
      <c r="D66" s="50" t="s">
        <v>90</v>
      </c>
      <c r="E66" s="50" t="s">
        <v>144</v>
      </c>
      <c r="F66" s="133">
        <v>42170</v>
      </c>
      <c r="G66" s="50"/>
      <c r="H66" s="50"/>
      <c r="I66" s="28">
        <f>+K66</f>
        <v>633.62</v>
      </c>
      <c r="J66" s="149"/>
      <c r="K66" s="68">
        <v>633.62</v>
      </c>
      <c r="L66" s="52"/>
      <c r="M66" s="52"/>
      <c r="N66" s="52"/>
      <c r="O66" s="52"/>
      <c r="P66" s="54"/>
      <c r="Q66" s="55">
        <f t="shared" si="11"/>
        <v>633.62</v>
      </c>
      <c r="R66" s="56"/>
      <c r="S66" s="57"/>
      <c r="T66" s="57">
        <v>0</v>
      </c>
      <c r="U66" s="57"/>
      <c r="V66" s="57"/>
      <c r="W66" s="57"/>
      <c r="X66" s="58"/>
      <c r="Y66" s="58"/>
      <c r="Z66" s="59"/>
      <c r="AA66" s="59">
        <v>0</v>
      </c>
      <c r="AB66" s="55">
        <f t="shared" si="10"/>
        <v>633.62</v>
      </c>
      <c r="AC66" s="60">
        <f t="shared" si="7"/>
        <v>0</v>
      </c>
      <c r="AD66" s="55">
        <f t="shared" si="3"/>
        <v>633.62</v>
      </c>
      <c r="AE66" s="61">
        <f t="shared" si="8"/>
        <v>63.362000000000002</v>
      </c>
      <c r="AF66" s="60">
        <v>10.23</v>
      </c>
      <c r="AG66" s="60">
        <f t="shared" si="4"/>
        <v>0</v>
      </c>
      <c r="AH66" s="62">
        <f t="shared" si="5"/>
        <v>707.21199999999999</v>
      </c>
      <c r="AI66" s="137"/>
      <c r="AJ66" s="138"/>
      <c r="AK66" s="123">
        <f t="shared" si="6"/>
        <v>-633.62</v>
      </c>
      <c r="AL66" s="64"/>
      <c r="AM66" s="141" t="s">
        <v>287</v>
      </c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</row>
    <row r="67" spans="1:193" hidden="1">
      <c r="A67" s="64" t="s">
        <v>84</v>
      </c>
      <c r="B67" s="50" t="s">
        <v>177</v>
      </c>
      <c r="C67" s="50"/>
      <c r="D67" s="50" t="s">
        <v>119</v>
      </c>
      <c r="E67" s="50" t="s">
        <v>157</v>
      </c>
      <c r="F67" s="133">
        <v>36868</v>
      </c>
      <c r="G67" s="51"/>
      <c r="H67" s="51"/>
      <c r="I67" s="52">
        <v>623.36</v>
      </c>
      <c r="J67" s="151"/>
      <c r="K67" s="68">
        <f t="shared" si="0"/>
        <v>623.36</v>
      </c>
      <c r="L67" s="52"/>
      <c r="M67" s="52"/>
      <c r="N67" s="53"/>
      <c r="O67" s="53"/>
      <c r="P67" s="54"/>
      <c r="Q67" s="55">
        <f t="shared" si="11"/>
        <v>623.36</v>
      </c>
      <c r="R67" s="56"/>
      <c r="S67" s="57"/>
      <c r="T67" s="57"/>
      <c r="U67" s="66">
        <f>Q67*4.9%</f>
        <v>30.544640000000001</v>
      </c>
      <c r="V67" s="66">
        <f>Q67*1%</f>
        <v>6.2336</v>
      </c>
      <c r="W67" s="57"/>
      <c r="X67" s="58"/>
      <c r="Y67" s="58"/>
      <c r="Z67" s="59"/>
      <c r="AA67" s="59">
        <v>0</v>
      </c>
      <c r="AB67" s="55">
        <f t="shared" si="10"/>
        <v>586.58176000000003</v>
      </c>
      <c r="AC67" s="60">
        <f t="shared" si="7"/>
        <v>0</v>
      </c>
      <c r="AD67" s="55">
        <f t="shared" si="3"/>
        <v>586.58176000000003</v>
      </c>
      <c r="AE67" s="61">
        <f t="shared" si="8"/>
        <v>62.336000000000006</v>
      </c>
      <c r="AF67" s="60">
        <v>10.23</v>
      </c>
      <c r="AG67" s="60">
        <f t="shared" si="4"/>
        <v>30.544640000000001</v>
      </c>
      <c r="AH67" s="62">
        <f t="shared" si="5"/>
        <v>726.47064</v>
      </c>
      <c r="AI67" s="137"/>
      <c r="AJ67" s="137"/>
      <c r="AK67" s="123">
        <f t="shared" si="6"/>
        <v>-586.58176000000003</v>
      </c>
      <c r="AL67" s="64"/>
      <c r="AM67" s="64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</row>
    <row r="68" spans="1:193" s="29" customFormat="1" hidden="1">
      <c r="A68" s="64" t="s">
        <v>84</v>
      </c>
      <c r="B68" s="50" t="s">
        <v>171</v>
      </c>
      <c r="C68" s="50"/>
      <c r="D68" s="50" t="s">
        <v>120</v>
      </c>
      <c r="E68" s="50" t="s">
        <v>221</v>
      </c>
      <c r="F68" s="133">
        <v>41949</v>
      </c>
      <c r="G68" s="51"/>
      <c r="H68" s="51"/>
      <c r="I68" s="52">
        <v>511.28</v>
      </c>
      <c r="J68" s="151"/>
      <c r="K68" s="68">
        <f t="shared" si="0"/>
        <v>511.28</v>
      </c>
      <c r="L68" s="52"/>
      <c r="M68" s="52"/>
      <c r="N68" s="53"/>
      <c r="O68" s="53"/>
      <c r="P68" s="54"/>
      <c r="Q68" s="55">
        <f t="shared" si="11"/>
        <v>511.28</v>
      </c>
      <c r="R68" s="56"/>
      <c r="S68" s="57"/>
      <c r="T68" s="66">
        <v>100</v>
      </c>
      <c r="U68" s="66">
        <f>Q68*4.9%</f>
        <v>25.052720000000001</v>
      </c>
      <c r="V68" s="66">
        <f>Q68*1%</f>
        <v>5.1128</v>
      </c>
      <c r="W68" s="57"/>
      <c r="X68" s="58"/>
      <c r="Y68" s="58"/>
      <c r="Z68" s="59"/>
      <c r="AA68" s="59">
        <v>0</v>
      </c>
      <c r="AB68" s="55">
        <f t="shared" si="10"/>
        <v>381.11447999999996</v>
      </c>
      <c r="AC68" s="60">
        <f t="shared" si="7"/>
        <v>0</v>
      </c>
      <c r="AD68" s="55">
        <f t="shared" si="3"/>
        <v>381.11447999999996</v>
      </c>
      <c r="AE68" s="61">
        <f t="shared" si="8"/>
        <v>51.128</v>
      </c>
      <c r="AF68" s="60">
        <v>10.23</v>
      </c>
      <c r="AG68" s="60">
        <f t="shared" si="4"/>
        <v>25.052720000000001</v>
      </c>
      <c r="AH68" s="62">
        <f t="shared" si="5"/>
        <v>597.69072000000006</v>
      </c>
      <c r="AI68" s="137"/>
      <c r="AJ68" s="138"/>
      <c r="AK68" s="123">
        <f t="shared" si="6"/>
        <v>-381.11447999999996</v>
      </c>
      <c r="AL68" s="64"/>
      <c r="AM68" s="64"/>
    </row>
    <row r="69" spans="1:193" s="29" customFormat="1" hidden="1">
      <c r="A69" s="64" t="s">
        <v>82</v>
      </c>
      <c r="B69" s="64" t="s">
        <v>273</v>
      </c>
      <c r="C69" s="64"/>
      <c r="D69" s="64"/>
      <c r="E69" s="64" t="s">
        <v>221</v>
      </c>
      <c r="F69" s="134">
        <v>42493</v>
      </c>
      <c r="G69" s="64"/>
      <c r="H69" s="64"/>
      <c r="I69" s="68">
        <v>739.23</v>
      </c>
      <c r="J69" s="150"/>
      <c r="K69" s="68">
        <f t="shared" si="0"/>
        <v>739.23</v>
      </c>
      <c r="L69" s="68"/>
      <c r="M69" s="68"/>
      <c r="N69" s="68"/>
      <c r="O69" s="68"/>
      <c r="P69" s="109"/>
      <c r="Q69" s="55">
        <f t="shared" si="11"/>
        <v>739.23</v>
      </c>
      <c r="R69" s="56"/>
      <c r="S69" s="57"/>
      <c r="T69" s="103"/>
      <c r="U69" s="103"/>
      <c r="V69" s="103"/>
      <c r="W69" s="103"/>
      <c r="X69" s="104"/>
      <c r="Y69" s="104"/>
      <c r="Z69" s="88"/>
      <c r="AA69" s="88">
        <v>0</v>
      </c>
      <c r="AB69" s="55">
        <f t="shared" si="10"/>
        <v>739.23</v>
      </c>
      <c r="AC69" s="60">
        <f t="shared" si="7"/>
        <v>0</v>
      </c>
      <c r="AD69" s="55">
        <f t="shared" si="3"/>
        <v>739.23</v>
      </c>
      <c r="AE69" s="61">
        <f t="shared" si="8"/>
        <v>73.923000000000002</v>
      </c>
      <c r="AF69" s="60">
        <v>10.23</v>
      </c>
      <c r="AG69" s="60">
        <f t="shared" si="4"/>
        <v>0</v>
      </c>
      <c r="AH69" s="62">
        <f t="shared" si="5"/>
        <v>823.38300000000004</v>
      </c>
      <c r="AI69" s="137"/>
      <c r="AJ69" s="137"/>
      <c r="AK69" s="123">
        <f t="shared" si="6"/>
        <v>-739.23</v>
      </c>
      <c r="AL69" s="64">
        <v>2999103732</v>
      </c>
      <c r="AM69" s="69"/>
    </row>
    <row r="70" spans="1:193">
      <c r="A70" s="64" t="s">
        <v>68</v>
      </c>
      <c r="B70" s="50" t="s">
        <v>226</v>
      </c>
      <c r="C70" s="50" t="s">
        <v>209</v>
      </c>
      <c r="D70" s="50" t="s">
        <v>138</v>
      </c>
      <c r="E70" s="50" t="s">
        <v>70</v>
      </c>
      <c r="F70" s="133">
        <v>42251</v>
      </c>
      <c r="G70" s="51"/>
      <c r="H70" s="51"/>
      <c r="I70" s="158">
        <v>513.33000000000004</v>
      </c>
      <c r="J70" s="159">
        <v>653.33000000000004</v>
      </c>
      <c r="K70" s="160">
        <f t="shared" si="0"/>
        <v>1166.6600000000001</v>
      </c>
      <c r="L70" s="165">
        <v>4769.7299999999996</v>
      </c>
      <c r="M70" s="52"/>
      <c r="N70" s="53"/>
      <c r="O70" s="53"/>
      <c r="P70" s="54"/>
      <c r="Q70" s="55">
        <f>+L70</f>
        <v>4769.7299999999996</v>
      </c>
      <c r="R70" s="56"/>
      <c r="S70" s="57"/>
      <c r="T70" s="57">
        <v>0</v>
      </c>
      <c r="U70" s="57"/>
      <c r="V70" s="57"/>
      <c r="W70" s="57"/>
      <c r="X70" s="58"/>
      <c r="Y70" s="58"/>
      <c r="Z70" s="59"/>
      <c r="AA70" s="59">
        <v>0</v>
      </c>
      <c r="AB70" s="55">
        <f>+Q70-SUM(R70:AA70)</f>
        <v>4769.7299999999996</v>
      </c>
      <c r="AC70" s="60">
        <f>IF(Q70&gt;2250,Q70*0.1,0)</f>
        <v>476.97299999999996</v>
      </c>
      <c r="AD70" s="55">
        <f t="shared" si="3"/>
        <v>4292.7569999999996</v>
      </c>
      <c r="AE70" s="61">
        <f t="shared" si="8"/>
        <v>0</v>
      </c>
      <c r="AF70" s="60">
        <v>10.23</v>
      </c>
      <c r="AG70" s="60">
        <f t="shared" si="4"/>
        <v>0</v>
      </c>
      <c r="AH70" s="62">
        <f>+Q70+AE70+AF70+AG70</f>
        <v>4779.9599999999991</v>
      </c>
      <c r="AI70" s="137"/>
      <c r="AJ70" s="138"/>
      <c r="AK70" s="123">
        <f t="shared" si="6"/>
        <v>-4292.7569999999996</v>
      </c>
      <c r="AL70" s="64"/>
      <c r="AM70" s="64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</row>
    <row r="71" spans="1:193" hidden="1">
      <c r="A71" s="64"/>
      <c r="B71" s="64" t="s">
        <v>280</v>
      </c>
      <c r="C71" s="64"/>
      <c r="D71" s="64"/>
      <c r="E71" s="64" t="s">
        <v>69</v>
      </c>
      <c r="F71" s="134">
        <v>42506</v>
      </c>
      <c r="G71" s="64"/>
      <c r="H71" s="64"/>
      <c r="I71" s="68">
        <v>1166.6600000000001</v>
      </c>
      <c r="J71" s="150"/>
      <c r="K71" s="68">
        <f t="shared" ref="K71:K103" si="12">+I71+J71</f>
        <v>1166.6600000000001</v>
      </c>
      <c r="L71" s="68"/>
      <c r="M71" s="68"/>
      <c r="N71" s="68"/>
      <c r="O71" s="68"/>
      <c r="P71" s="109"/>
      <c r="Q71" s="55">
        <f>SUM(K71:O71)-P71</f>
        <v>1166.6600000000001</v>
      </c>
      <c r="R71" s="56"/>
      <c r="S71" s="57"/>
      <c r="T71" s="57">
        <v>0</v>
      </c>
      <c r="U71" s="57"/>
      <c r="V71" s="57"/>
      <c r="W71" s="57"/>
      <c r="X71" s="58"/>
      <c r="Y71" s="58"/>
      <c r="Z71" s="59"/>
      <c r="AA71" s="59">
        <v>0</v>
      </c>
      <c r="AB71" s="55">
        <f>+Q71-SUM(R71:AA71)</f>
        <v>1166.6600000000001</v>
      </c>
      <c r="AC71" s="60">
        <f>IF(Q71&gt;2250,Q71*0.1,0)</f>
        <v>0</v>
      </c>
      <c r="AD71" s="55">
        <f t="shared" ref="AD71:AD103" si="13">+AB71-AC71</f>
        <v>1166.6600000000001</v>
      </c>
      <c r="AE71" s="61">
        <f t="shared" si="8"/>
        <v>116.66600000000001</v>
      </c>
      <c r="AF71" s="60">
        <v>10.23</v>
      </c>
      <c r="AG71" s="60">
        <f t="shared" ref="AG71:AG104" si="14">+U71</f>
        <v>0</v>
      </c>
      <c r="AH71" s="62">
        <f>+Q71+AE71+AF71+AG71</f>
        <v>1293.556</v>
      </c>
      <c r="AI71" s="137"/>
      <c r="AJ71" s="137"/>
      <c r="AK71" s="123">
        <f t="shared" si="6"/>
        <v>-1166.6600000000001</v>
      </c>
      <c r="AL71" s="129">
        <v>2928860106</v>
      </c>
      <c r="AM71" s="6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  <c r="GG71" s="29"/>
      <c r="GH71" s="29"/>
      <c r="GI71" s="29"/>
      <c r="GJ71" s="29"/>
      <c r="GK71" s="29"/>
    </row>
    <row r="72" spans="1:193" s="37" customFormat="1" hidden="1">
      <c r="A72" s="64" t="s">
        <v>82</v>
      </c>
      <c r="B72" s="50" t="s">
        <v>74</v>
      </c>
      <c r="C72" s="50"/>
      <c r="D72" s="50" t="s">
        <v>91</v>
      </c>
      <c r="E72" s="50" t="s">
        <v>145</v>
      </c>
      <c r="F72" s="133">
        <v>42129</v>
      </c>
      <c r="G72" s="50"/>
      <c r="H72" s="51"/>
      <c r="I72" s="52">
        <v>739.23</v>
      </c>
      <c r="J72" s="151"/>
      <c r="K72" s="68">
        <f t="shared" si="12"/>
        <v>739.23</v>
      </c>
      <c r="L72" s="52"/>
      <c r="M72" s="52"/>
      <c r="N72" s="73"/>
      <c r="O72" s="53"/>
      <c r="P72" s="54"/>
      <c r="Q72" s="55">
        <f t="shared" si="11"/>
        <v>739.23</v>
      </c>
      <c r="R72" s="56"/>
      <c r="S72" s="57"/>
      <c r="T72" s="57">
        <v>0</v>
      </c>
      <c r="U72" s="57"/>
      <c r="V72" s="57"/>
      <c r="W72" s="57"/>
      <c r="X72" s="58"/>
      <c r="Y72" s="58"/>
      <c r="Z72" s="59"/>
      <c r="AA72" s="59">
        <v>0</v>
      </c>
      <c r="AB72" s="55">
        <f t="shared" si="10"/>
        <v>739.23</v>
      </c>
      <c r="AC72" s="60">
        <f t="shared" si="7"/>
        <v>0</v>
      </c>
      <c r="AD72" s="55">
        <f t="shared" si="13"/>
        <v>739.23</v>
      </c>
      <c r="AE72" s="61">
        <f t="shared" si="8"/>
        <v>73.923000000000002</v>
      </c>
      <c r="AF72" s="60">
        <v>10.23</v>
      </c>
      <c r="AG72" s="60">
        <f t="shared" si="14"/>
        <v>0</v>
      </c>
      <c r="AH72" s="62">
        <f t="shared" ref="AH72:AH104" si="15">+Q72+AE72+AF72+AG72</f>
        <v>823.38300000000004</v>
      </c>
      <c r="AI72" s="137"/>
      <c r="AJ72" s="138"/>
      <c r="AK72" s="123">
        <f t="shared" si="6"/>
        <v>-739.23</v>
      </c>
      <c r="AL72" s="64"/>
      <c r="AM72" s="6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/>
      <c r="GG72" s="29"/>
      <c r="GH72" s="29"/>
      <c r="GI72" s="29"/>
      <c r="GJ72" s="29"/>
      <c r="GK72" s="29"/>
    </row>
    <row r="73" spans="1:193" s="29" customFormat="1" hidden="1">
      <c r="A73" s="64" t="s">
        <v>81</v>
      </c>
      <c r="B73" s="64" t="s">
        <v>250</v>
      </c>
      <c r="C73" s="64"/>
      <c r="D73" s="64"/>
      <c r="E73" s="64" t="s">
        <v>69</v>
      </c>
      <c r="F73" s="134">
        <v>42472</v>
      </c>
      <c r="G73" s="64"/>
      <c r="H73" s="64"/>
      <c r="I73" s="68">
        <v>1166.26</v>
      </c>
      <c r="J73" s="150"/>
      <c r="K73" s="68">
        <f t="shared" si="12"/>
        <v>1166.26</v>
      </c>
      <c r="L73" s="68"/>
      <c r="M73" s="68"/>
      <c r="N73" s="74"/>
      <c r="O73" s="68"/>
      <c r="P73" s="54"/>
      <c r="Q73" s="55">
        <f t="shared" si="11"/>
        <v>1166.26</v>
      </c>
      <c r="R73" s="56">
        <v>250</v>
      </c>
      <c r="S73" s="103"/>
      <c r="T73" s="103"/>
      <c r="U73" s="103"/>
      <c r="V73" s="103"/>
      <c r="W73" s="103"/>
      <c r="X73" s="104"/>
      <c r="Y73" s="104"/>
      <c r="Z73" s="88"/>
      <c r="AA73" s="88">
        <v>0</v>
      </c>
      <c r="AB73" s="55">
        <f t="shared" si="10"/>
        <v>916.26</v>
      </c>
      <c r="AC73" s="60">
        <f t="shared" si="7"/>
        <v>0</v>
      </c>
      <c r="AD73" s="55">
        <f t="shared" si="13"/>
        <v>916.26</v>
      </c>
      <c r="AE73" s="61">
        <f t="shared" ref="AE73:AE103" si="16">IF(Q73&lt;2250,Q73*0.1,0)</f>
        <v>116.626</v>
      </c>
      <c r="AF73" s="60">
        <v>10.23</v>
      </c>
      <c r="AG73" s="60">
        <f t="shared" si="14"/>
        <v>0</v>
      </c>
      <c r="AH73" s="62">
        <f t="shared" si="15"/>
        <v>1293.116</v>
      </c>
      <c r="AI73" s="137"/>
      <c r="AJ73" s="138"/>
      <c r="AK73" s="123">
        <f t="shared" si="6"/>
        <v>-916.26</v>
      </c>
      <c r="AL73" s="144">
        <v>1123036669</v>
      </c>
      <c r="AM73" s="69"/>
    </row>
    <row r="74" spans="1:193" hidden="1">
      <c r="A74" s="64" t="s">
        <v>82</v>
      </c>
      <c r="B74" s="50" t="s">
        <v>194</v>
      </c>
      <c r="C74" s="50"/>
      <c r="D74" s="50" t="s">
        <v>92</v>
      </c>
      <c r="E74" s="50" t="s">
        <v>144</v>
      </c>
      <c r="F74" s="134">
        <v>42377</v>
      </c>
      <c r="G74" s="50"/>
      <c r="H74" s="51"/>
      <c r="I74" s="52">
        <v>739.23</v>
      </c>
      <c r="J74" s="151"/>
      <c r="K74" s="68">
        <f t="shared" si="12"/>
        <v>739.23</v>
      </c>
      <c r="L74" s="52"/>
      <c r="M74" s="52"/>
      <c r="N74" s="53"/>
      <c r="O74" s="53"/>
      <c r="P74" s="54"/>
      <c r="Q74" s="55">
        <f t="shared" si="11"/>
        <v>739.23</v>
      </c>
      <c r="R74" s="56"/>
      <c r="S74" s="57"/>
      <c r="T74" s="57">
        <v>0</v>
      </c>
      <c r="U74" s="57"/>
      <c r="V74" s="57"/>
      <c r="W74" s="57"/>
      <c r="X74" s="58"/>
      <c r="Y74" s="58"/>
      <c r="Z74" s="59"/>
      <c r="AA74" s="59">
        <v>0</v>
      </c>
      <c r="AB74" s="55">
        <f t="shared" si="10"/>
        <v>739.23</v>
      </c>
      <c r="AC74" s="60">
        <f t="shared" si="7"/>
        <v>0</v>
      </c>
      <c r="AD74" s="55">
        <f t="shared" si="13"/>
        <v>739.23</v>
      </c>
      <c r="AE74" s="61">
        <f t="shared" si="16"/>
        <v>73.923000000000002</v>
      </c>
      <c r="AF74" s="60">
        <v>10.23</v>
      </c>
      <c r="AG74" s="60">
        <f t="shared" si="14"/>
        <v>0</v>
      </c>
      <c r="AH74" s="62">
        <f t="shared" si="15"/>
        <v>823.38300000000004</v>
      </c>
      <c r="AI74" s="137"/>
      <c r="AJ74" s="138"/>
      <c r="AK74" s="123">
        <f t="shared" si="6"/>
        <v>-739.23</v>
      </c>
      <c r="AL74" s="64"/>
      <c r="AM74" s="6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/>
      <c r="GG74" s="29"/>
      <c r="GH74" s="29"/>
      <c r="GI74" s="29"/>
      <c r="GJ74" s="29"/>
      <c r="GK74" s="29"/>
    </row>
    <row r="75" spans="1:193" hidden="1">
      <c r="A75" s="64" t="s">
        <v>82</v>
      </c>
      <c r="B75" s="64" t="s">
        <v>223</v>
      </c>
      <c r="C75" s="64"/>
      <c r="D75" s="64"/>
      <c r="E75" s="64" t="s">
        <v>144</v>
      </c>
      <c r="F75" s="134">
        <v>42422</v>
      </c>
      <c r="G75" s="64"/>
      <c r="H75" s="64"/>
      <c r="I75" s="52">
        <v>739.23</v>
      </c>
      <c r="J75" s="151"/>
      <c r="K75" s="68">
        <f t="shared" si="12"/>
        <v>739.23</v>
      </c>
      <c r="L75" s="52"/>
      <c r="M75" s="52"/>
      <c r="N75" s="53"/>
      <c r="O75" s="53"/>
      <c r="P75" s="54"/>
      <c r="Q75" s="55">
        <f t="shared" si="11"/>
        <v>739.23</v>
      </c>
      <c r="R75" s="56"/>
      <c r="S75" s="57"/>
      <c r="T75" s="57">
        <v>0</v>
      </c>
      <c r="U75" s="57"/>
      <c r="V75" s="57"/>
      <c r="W75" s="57"/>
      <c r="X75" s="58"/>
      <c r="Y75" s="58"/>
      <c r="Z75" s="59"/>
      <c r="AA75" s="59">
        <v>0</v>
      </c>
      <c r="AB75" s="55">
        <f t="shared" si="10"/>
        <v>739.23</v>
      </c>
      <c r="AC75" s="60">
        <f t="shared" si="7"/>
        <v>0</v>
      </c>
      <c r="AD75" s="55">
        <f t="shared" si="13"/>
        <v>739.23</v>
      </c>
      <c r="AE75" s="61">
        <f t="shared" si="16"/>
        <v>73.923000000000002</v>
      </c>
      <c r="AF75" s="60">
        <v>10.23</v>
      </c>
      <c r="AG75" s="60">
        <f t="shared" si="14"/>
        <v>0</v>
      </c>
      <c r="AH75" s="62">
        <f t="shared" si="15"/>
        <v>823.38300000000004</v>
      </c>
      <c r="AI75" s="137"/>
      <c r="AJ75" s="138"/>
      <c r="AK75" s="123">
        <f t="shared" si="6"/>
        <v>-739.23</v>
      </c>
      <c r="AL75" s="64"/>
      <c r="AM75" s="6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9"/>
      <c r="GD75" s="29"/>
      <c r="GE75" s="29"/>
      <c r="GF75" s="29"/>
      <c r="GG75" s="29"/>
      <c r="GH75" s="29"/>
      <c r="GI75" s="29"/>
      <c r="GJ75" s="29"/>
      <c r="GK75" s="29"/>
    </row>
    <row r="76" spans="1:193" hidden="1">
      <c r="A76" s="64" t="s">
        <v>84</v>
      </c>
      <c r="B76" s="50" t="s">
        <v>261</v>
      </c>
      <c r="C76" s="50"/>
      <c r="D76" s="50" t="s">
        <v>121</v>
      </c>
      <c r="E76" s="50" t="s">
        <v>158</v>
      </c>
      <c r="F76" s="133">
        <v>41227</v>
      </c>
      <c r="G76" s="51"/>
      <c r="H76" s="51"/>
      <c r="I76" s="28">
        <f>+K76</f>
        <v>534.29999999999995</v>
      </c>
      <c r="J76" s="151"/>
      <c r="K76" s="68">
        <v>534.29999999999995</v>
      </c>
      <c r="L76" s="52"/>
      <c r="M76" s="52"/>
      <c r="N76" s="53"/>
      <c r="O76" s="53"/>
      <c r="P76" s="54"/>
      <c r="Q76" s="55">
        <f t="shared" si="11"/>
        <v>534.29999999999995</v>
      </c>
      <c r="R76" s="56"/>
      <c r="S76" s="57"/>
      <c r="T76" s="66">
        <v>200</v>
      </c>
      <c r="U76" s="66">
        <f>Q76*4.9%</f>
        <v>26.180699999999998</v>
      </c>
      <c r="V76" s="66">
        <f>Q76*1%</f>
        <v>5.343</v>
      </c>
      <c r="W76" s="66">
        <v>321.74</v>
      </c>
      <c r="X76" s="58"/>
      <c r="Y76" s="58"/>
      <c r="Z76" s="59"/>
      <c r="AA76" s="59">
        <v>0</v>
      </c>
      <c r="AB76" s="55">
        <f t="shared" si="10"/>
        <v>-18.963700000000017</v>
      </c>
      <c r="AC76" s="60">
        <f t="shared" si="7"/>
        <v>0</v>
      </c>
      <c r="AD76" s="55">
        <f t="shared" si="13"/>
        <v>-18.963700000000017</v>
      </c>
      <c r="AE76" s="61">
        <f t="shared" si="16"/>
        <v>53.43</v>
      </c>
      <c r="AF76" s="60">
        <v>10.23</v>
      </c>
      <c r="AG76" s="60">
        <f t="shared" si="14"/>
        <v>26.180699999999998</v>
      </c>
      <c r="AH76" s="62">
        <f t="shared" si="15"/>
        <v>624.14069999999992</v>
      </c>
      <c r="AI76" s="137"/>
      <c r="AJ76" s="137"/>
      <c r="AK76" s="123">
        <f t="shared" ref="AK76:AK104" si="17">+AI76+AJ76-AD76</f>
        <v>18.963700000000017</v>
      </c>
      <c r="AL76" s="64"/>
      <c r="AM76" s="141" t="s">
        <v>287</v>
      </c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  <c r="GH76" s="29"/>
      <c r="GI76" s="29"/>
      <c r="GJ76" s="29"/>
      <c r="GK76" s="29"/>
    </row>
    <row r="77" spans="1:193" hidden="1">
      <c r="A77" s="64" t="s">
        <v>68</v>
      </c>
      <c r="B77" s="50" t="s">
        <v>301</v>
      </c>
      <c r="C77" s="50"/>
      <c r="D77" s="50"/>
      <c r="E77" s="64" t="s">
        <v>70</v>
      </c>
      <c r="F77" s="133">
        <v>42522</v>
      </c>
      <c r="G77" s="51"/>
      <c r="H77" s="51"/>
      <c r="I77" s="164">
        <v>513.33000000000004</v>
      </c>
      <c r="J77" s="161">
        <v>653.33000000000004</v>
      </c>
      <c r="K77" s="160">
        <v>534.29999999999995</v>
      </c>
      <c r="L77" s="52"/>
      <c r="M77" s="52"/>
      <c r="N77" s="53"/>
      <c r="O77" s="53"/>
      <c r="P77" s="54"/>
      <c r="Q77" s="55">
        <f>+L77</f>
        <v>0</v>
      </c>
      <c r="R77" s="56"/>
      <c r="S77" s="57"/>
      <c r="T77" s="66"/>
      <c r="U77" s="66"/>
      <c r="V77" s="66"/>
      <c r="W77" s="66"/>
      <c r="X77" s="58"/>
      <c r="Y77" s="58"/>
      <c r="Z77" s="59"/>
      <c r="AA77" s="59">
        <v>0</v>
      </c>
      <c r="AB77" s="55">
        <f t="shared" ref="AB77" si="18">+Q77-SUM(R77:AA77)</f>
        <v>0</v>
      </c>
      <c r="AC77" s="60">
        <f t="shared" ref="AC77:AC104" si="19">IF(Q77&gt;2250,Q77*0.1,0)</f>
        <v>0</v>
      </c>
      <c r="AD77" s="55">
        <f t="shared" si="13"/>
        <v>0</v>
      </c>
      <c r="AE77" s="61">
        <f t="shared" si="16"/>
        <v>0</v>
      </c>
      <c r="AF77" s="60">
        <v>10.23</v>
      </c>
      <c r="AG77" s="60">
        <f t="shared" si="14"/>
        <v>0</v>
      </c>
      <c r="AH77" s="62">
        <f t="shared" si="15"/>
        <v>10.23</v>
      </c>
      <c r="AI77" s="137"/>
      <c r="AJ77" s="137"/>
      <c r="AK77" s="123"/>
      <c r="AL77" s="64"/>
      <c r="AM77" s="141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29"/>
      <c r="FZ77" s="29"/>
      <c r="GA77" s="29"/>
      <c r="GB77" s="29"/>
      <c r="GC77" s="29"/>
      <c r="GD77" s="29"/>
      <c r="GE77" s="29"/>
      <c r="GF77" s="29"/>
      <c r="GG77" s="29"/>
      <c r="GH77" s="29"/>
      <c r="GI77" s="29"/>
      <c r="GJ77" s="29"/>
      <c r="GK77" s="29"/>
    </row>
    <row r="78" spans="1:193" s="29" customFormat="1">
      <c r="A78" s="64" t="s">
        <v>68</v>
      </c>
      <c r="B78" s="64" t="s">
        <v>185</v>
      </c>
      <c r="C78" s="64" t="s">
        <v>206</v>
      </c>
      <c r="D78" s="76" t="s">
        <v>186</v>
      </c>
      <c r="E78" s="64" t="s">
        <v>70</v>
      </c>
      <c r="F78" s="133">
        <v>42396</v>
      </c>
      <c r="G78" s="64"/>
      <c r="H78" s="64"/>
      <c r="I78" s="160">
        <v>513.33000000000004</v>
      </c>
      <c r="J78" s="159">
        <v>653.33000000000004</v>
      </c>
      <c r="K78" s="160">
        <f t="shared" si="12"/>
        <v>1166.6600000000001</v>
      </c>
      <c r="L78" s="165">
        <v>2895.77</v>
      </c>
      <c r="M78" s="68"/>
      <c r="N78" s="68"/>
      <c r="O78" s="68"/>
      <c r="P78" s="54"/>
      <c r="Q78" s="55">
        <f>+L78</f>
        <v>2895.77</v>
      </c>
      <c r="R78" s="56"/>
      <c r="S78" s="57"/>
      <c r="T78" s="103"/>
      <c r="U78" s="103"/>
      <c r="V78" s="103"/>
      <c r="W78" s="103"/>
      <c r="X78" s="71"/>
      <c r="Y78" s="104"/>
      <c r="Z78" s="88"/>
      <c r="AA78" s="65"/>
      <c r="AB78" s="55">
        <f t="shared" si="10"/>
        <v>2895.77</v>
      </c>
      <c r="AC78" s="60">
        <f t="shared" si="19"/>
        <v>289.577</v>
      </c>
      <c r="AD78" s="55">
        <f t="shared" si="13"/>
        <v>2606.1930000000002</v>
      </c>
      <c r="AE78" s="61">
        <f t="shared" si="16"/>
        <v>0</v>
      </c>
      <c r="AF78" s="60">
        <v>10.23</v>
      </c>
      <c r="AG78" s="60">
        <f t="shared" si="14"/>
        <v>0</v>
      </c>
      <c r="AH78" s="62">
        <f t="shared" si="15"/>
        <v>2906</v>
      </c>
      <c r="AI78" s="137"/>
      <c r="AJ78" s="137"/>
      <c r="AK78" s="123">
        <f t="shared" si="17"/>
        <v>-2606.1930000000002</v>
      </c>
      <c r="AL78" s="64"/>
      <c r="AM78" s="69"/>
    </row>
    <row r="79" spans="1:193" hidden="1">
      <c r="A79" s="64" t="s">
        <v>84</v>
      </c>
      <c r="B79" s="50" t="s">
        <v>168</v>
      </c>
      <c r="C79" s="50"/>
      <c r="D79" s="50" t="s">
        <v>123</v>
      </c>
      <c r="E79" s="50" t="s">
        <v>153</v>
      </c>
      <c r="F79" s="133">
        <v>41732</v>
      </c>
      <c r="G79" s="51"/>
      <c r="H79" s="51"/>
      <c r="I79" s="52">
        <v>556.78</v>
      </c>
      <c r="J79" s="151"/>
      <c r="K79" s="68">
        <f t="shared" si="12"/>
        <v>556.78</v>
      </c>
      <c r="L79" s="52"/>
      <c r="M79" s="52"/>
      <c r="N79" s="53"/>
      <c r="O79" s="53"/>
      <c r="P79" s="54"/>
      <c r="Q79" s="55">
        <f t="shared" ref="Q79:Q104" si="20">SUM(K79:O79)-P79</f>
        <v>556.78</v>
      </c>
      <c r="R79" s="56"/>
      <c r="S79" s="57"/>
      <c r="T79" s="57">
        <v>0</v>
      </c>
      <c r="U79" s="66">
        <f>Q79*4.9%</f>
        <v>27.282219999999999</v>
      </c>
      <c r="V79" s="66">
        <f>Q79*1%</f>
        <v>5.5678000000000001</v>
      </c>
      <c r="W79" s="57"/>
      <c r="X79" s="58"/>
      <c r="Y79" s="58"/>
      <c r="Z79" s="59"/>
      <c r="AA79" s="59">
        <v>0</v>
      </c>
      <c r="AB79" s="55">
        <f t="shared" si="10"/>
        <v>523.92998</v>
      </c>
      <c r="AC79" s="60">
        <f t="shared" si="19"/>
        <v>0</v>
      </c>
      <c r="AD79" s="55">
        <f t="shared" si="13"/>
        <v>523.92998</v>
      </c>
      <c r="AE79" s="61">
        <f t="shared" si="16"/>
        <v>55.677999999999997</v>
      </c>
      <c r="AF79" s="60">
        <v>10.23</v>
      </c>
      <c r="AG79" s="60">
        <f t="shared" si="14"/>
        <v>27.282219999999999</v>
      </c>
      <c r="AH79" s="62">
        <f t="shared" si="15"/>
        <v>649.97022000000004</v>
      </c>
      <c r="AI79" s="137"/>
      <c r="AJ79" s="137"/>
      <c r="AK79" s="123">
        <f t="shared" si="17"/>
        <v>-523.92998</v>
      </c>
      <c r="AL79" s="64"/>
      <c r="AM79" s="64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29"/>
      <c r="GJ79" s="29"/>
      <c r="GK79" s="29"/>
    </row>
    <row r="80" spans="1:193" hidden="1">
      <c r="A80" s="64" t="s">
        <v>68</v>
      </c>
      <c r="B80" s="50" t="s">
        <v>237</v>
      </c>
      <c r="C80" s="50"/>
      <c r="D80" s="50"/>
      <c r="E80" s="50" t="s">
        <v>70</v>
      </c>
      <c r="F80" s="134">
        <v>42443</v>
      </c>
      <c r="G80" s="51"/>
      <c r="H80" s="51"/>
      <c r="I80" s="52">
        <v>513.33000000000004</v>
      </c>
      <c r="J80" s="150">
        <v>653.33000000000004</v>
      </c>
      <c r="K80" s="68">
        <f t="shared" si="12"/>
        <v>1166.6600000000001</v>
      </c>
      <c r="L80" s="52"/>
      <c r="M80" s="52"/>
      <c r="N80" s="53"/>
      <c r="O80" s="53"/>
      <c r="P80" s="54"/>
      <c r="Q80" s="55">
        <f t="shared" si="20"/>
        <v>1166.6600000000001</v>
      </c>
      <c r="R80" s="56"/>
      <c r="S80" s="57"/>
      <c r="T80" s="57"/>
      <c r="U80" s="66"/>
      <c r="V80" s="66"/>
      <c r="W80" s="57"/>
      <c r="X80" s="58"/>
      <c r="Y80" s="58"/>
      <c r="Z80" s="59"/>
      <c r="AA80" s="65">
        <v>1155.6199999999999</v>
      </c>
      <c r="AB80" s="55">
        <f t="shared" si="10"/>
        <v>11.040000000000191</v>
      </c>
      <c r="AC80" s="60">
        <f t="shared" si="19"/>
        <v>0</v>
      </c>
      <c r="AD80" s="55">
        <f t="shared" si="13"/>
        <v>11.040000000000191</v>
      </c>
      <c r="AE80" s="61">
        <f t="shared" si="16"/>
        <v>116.66600000000001</v>
      </c>
      <c r="AF80" s="60">
        <v>10.23</v>
      </c>
      <c r="AG80" s="60">
        <f t="shared" si="14"/>
        <v>0</v>
      </c>
      <c r="AH80" s="62">
        <f t="shared" si="15"/>
        <v>1293.556</v>
      </c>
      <c r="AI80" s="137"/>
      <c r="AJ80" s="137"/>
      <c r="AK80" s="123">
        <f t="shared" si="17"/>
        <v>-11.040000000000191</v>
      </c>
      <c r="AL80" s="64">
        <v>2713019144</v>
      </c>
      <c r="AM80" s="86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/>
      <c r="GG80" s="29"/>
      <c r="GH80" s="29"/>
      <c r="GI80" s="29"/>
      <c r="GJ80" s="29"/>
      <c r="GK80" s="29"/>
    </row>
    <row r="81" spans="1:193" s="29" customFormat="1" hidden="1">
      <c r="A81" s="64" t="s">
        <v>81</v>
      </c>
      <c r="B81" s="64" t="s">
        <v>201</v>
      </c>
      <c r="C81" s="64"/>
      <c r="D81" s="64" t="s">
        <v>102</v>
      </c>
      <c r="E81" s="64" t="s">
        <v>151</v>
      </c>
      <c r="F81" s="133">
        <v>42321</v>
      </c>
      <c r="G81" s="64"/>
      <c r="H81" s="64"/>
      <c r="I81" s="52">
        <v>577.38</v>
      </c>
      <c r="J81" s="149">
        <v>1047.6199999999999</v>
      </c>
      <c r="K81" s="68">
        <f t="shared" si="12"/>
        <v>1625</v>
      </c>
      <c r="L81" s="68"/>
      <c r="M81" s="68"/>
      <c r="N81" s="68"/>
      <c r="O81" s="68"/>
      <c r="P81" s="109"/>
      <c r="Q81" s="55">
        <f t="shared" si="20"/>
        <v>1625</v>
      </c>
      <c r="R81" s="56"/>
      <c r="S81" s="103"/>
      <c r="T81" s="103">
        <v>0</v>
      </c>
      <c r="U81" s="103"/>
      <c r="V81" s="103"/>
      <c r="W81" s="103"/>
      <c r="X81" s="104"/>
      <c r="Y81" s="104"/>
      <c r="Z81" s="88"/>
      <c r="AA81" s="88">
        <v>0</v>
      </c>
      <c r="AB81" s="55">
        <f t="shared" ref="AB81" si="21">+Q81-SUM(R81:AA81)</f>
        <v>1625</v>
      </c>
      <c r="AC81" s="60">
        <f t="shared" si="19"/>
        <v>0</v>
      </c>
      <c r="AD81" s="55">
        <f t="shared" si="13"/>
        <v>1625</v>
      </c>
      <c r="AE81" s="61">
        <f t="shared" si="16"/>
        <v>162.5</v>
      </c>
      <c r="AF81" s="60">
        <v>10.23</v>
      </c>
      <c r="AG81" s="60">
        <f t="shared" si="14"/>
        <v>0</v>
      </c>
      <c r="AH81" s="62">
        <f t="shared" si="15"/>
        <v>1797.73</v>
      </c>
      <c r="AI81" s="137"/>
      <c r="AJ81" s="138"/>
      <c r="AK81" s="123">
        <f t="shared" si="17"/>
        <v>-1625</v>
      </c>
      <c r="AL81" s="64"/>
      <c r="AM81" s="69"/>
    </row>
    <row r="82" spans="1:193" hidden="1">
      <c r="A82" s="64" t="s">
        <v>82</v>
      </c>
      <c r="B82" s="64" t="s">
        <v>256</v>
      </c>
      <c r="C82" s="64"/>
      <c r="D82" s="64"/>
      <c r="E82" s="64" t="s">
        <v>144</v>
      </c>
      <c r="F82" s="134">
        <v>42416</v>
      </c>
      <c r="G82" s="64"/>
      <c r="H82" s="64"/>
      <c r="I82" s="28">
        <f>+K82</f>
        <v>633.62</v>
      </c>
      <c r="J82" s="150"/>
      <c r="K82" s="68">
        <v>633.62</v>
      </c>
      <c r="L82" s="68"/>
      <c r="M82" s="68"/>
      <c r="N82" s="68"/>
      <c r="O82" s="68"/>
      <c r="P82" s="54"/>
      <c r="Q82" s="55">
        <f t="shared" si="20"/>
        <v>633.62</v>
      </c>
      <c r="R82" s="56"/>
      <c r="S82" s="57"/>
      <c r="T82" s="57">
        <v>0</v>
      </c>
      <c r="U82" s="57"/>
      <c r="V82" s="57"/>
      <c r="W82" s="57"/>
      <c r="X82" s="58"/>
      <c r="Y82" s="58"/>
      <c r="Z82" s="59"/>
      <c r="AA82" s="59">
        <v>0</v>
      </c>
      <c r="AB82" s="55">
        <f t="shared" si="10"/>
        <v>633.62</v>
      </c>
      <c r="AC82" s="60">
        <f t="shared" si="19"/>
        <v>0</v>
      </c>
      <c r="AD82" s="55">
        <f t="shared" si="13"/>
        <v>633.62</v>
      </c>
      <c r="AE82" s="61">
        <f t="shared" si="16"/>
        <v>63.362000000000002</v>
      </c>
      <c r="AF82" s="60">
        <v>10.23</v>
      </c>
      <c r="AG82" s="60">
        <f t="shared" si="14"/>
        <v>0</v>
      </c>
      <c r="AH82" s="62">
        <f t="shared" si="15"/>
        <v>707.21199999999999</v>
      </c>
      <c r="AI82" s="137"/>
      <c r="AJ82" s="138"/>
      <c r="AK82" s="123">
        <f t="shared" si="17"/>
        <v>-633.62</v>
      </c>
      <c r="AL82" s="64"/>
      <c r="AM82" s="141" t="s">
        <v>287</v>
      </c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</row>
    <row r="83" spans="1:193">
      <c r="A83" s="64" t="s">
        <v>84</v>
      </c>
      <c r="B83" s="50" t="s">
        <v>183</v>
      </c>
      <c r="C83" s="50"/>
      <c r="D83" s="50" t="s">
        <v>122</v>
      </c>
      <c r="E83" s="50" t="s">
        <v>159</v>
      </c>
      <c r="F83" s="133">
        <v>42228</v>
      </c>
      <c r="G83" s="51"/>
      <c r="H83" s="51"/>
      <c r="I83" s="158">
        <v>511.28</v>
      </c>
      <c r="J83" s="161">
        <v>988.72</v>
      </c>
      <c r="K83" s="160">
        <f t="shared" si="12"/>
        <v>1500</v>
      </c>
      <c r="L83" s="165">
        <v>988.72</v>
      </c>
      <c r="M83" s="52"/>
      <c r="N83" s="53"/>
      <c r="O83" s="53"/>
      <c r="P83" s="54"/>
      <c r="Q83" s="55">
        <f t="shared" si="20"/>
        <v>2488.7200000000003</v>
      </c>
      <c r="R83" s="56"/>
      <c r="S83" s="57"/>
      <c r="T83" s="66"/>
      <c r="U83" s="57"/>
      <c r="V83" s="57"/>
      <c r="W83" s="57"/>
      <c r="X83" s="58"/>
      <c r="Y83" s="58"/>
      <c r="Z83" s="59"/>
      <c r="AA83" s="65"/>
      <c r="AB83" s="55">
        <f t="shared" si="10"/>
        <v>2488.7200000000003</v>
      </c>
      <c r="AC83" s="60">
        <f t="shared" si="19"/>
        <v>248.87200000000004</v>
      </c>
      <c r="AD83" s="55">
        <f t="shared" si="13"/>
        <v>2239.8480000000004</v>
      </c>
      <c r="AE83" s="61">
        <f t="shared" si="16"/>
        <v>0</v>
      </c>
      <c r="AF83" s="60">
        <v>10.23</v>
      </c>
      <c r="AG83" s="60">
        <f t="shared" si="14"/>
        <v>0</v>
      </c>
      <c r="AH83" s="62">
        <f t="shared" si="15"/>
        <v>2498.9500000000003</v>
      </c>
      <c r="AI83" s="137"/>
      <c r="AJ83" s="137"/>
      <c r="AK83" s="123">
        <f t="shared" si="17"/>
        <v>-2239.8480000000004</v>
      </c>
      <c r="AL83" s="64"/>
      <c r="AM83" s="64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29"/>
      <c r="ET83" s="29"/>
      <c r="EU83" s="29"/>
      <c r="EV83" s="29"/>
      <c r="EW83" s="29"/>
      <c r="EX83" s="29"/>
      <c r="EY83" s="29"/>
      <c r="EZ83" s="29"/>
      <c r="FA83" s="29"/>
      <c r="FB83" s="29"/>
      <c r="FC83" s="29"/>
      <c r="FD83" s="29"/>
      <c r="FE83" s="29"/>
      <c r="FF83" s="29"/>
      <c r="FG83" s="29"/>
      <c r="FH83" s="29"/>
      <c r="FI83" s="29"/>
      <c r="FJ83" s="29"/>
      <c r="FK83" s="29"/>
      <c r="FL83" s="29"/>
      <c r="FM83" s="29"/>
      <c r="FN83" s="29"/>
      <c r="FO83" s="29"/>
      <c r="FP83" s="29"/>
      <c r="FQ83" s="29"/>
      <c r="FR83" s="29"/>
      <c r="FS83" s="29"/>
      <c r="FT83" s="29"/>
      <c r="FU83" s="29"/>
      <c r="FV83" s="29"/>
      <c r="FW83" s="29"/>
      <c r="FX83" s="29"/>
      <c r="FY83" s="29"/>
      <c r="FZ83" s="29"/>
      <c r="GA83" s="29"/>
      <c r="GB83" s="29"/>
      <c r="GC83" s="29"/>
      <c r="GD83" s="29"/>
      <c r="GE83" s="29"/>
      <c r="GF83" s="29"/>
      <c r="GG83" s="29"/>
      <c r="GH83" s="29"/>
      <c r="GI83" s="29"/>
      <c r="GJ83" s="29"/>
      <c r="GK83" s="29"/>
    </row>
    <row r="84" spans="1:193" hidden="1">
      <c r="A84" s="64" t="s">
        <v>81</v>
      </c>
      <c r="B84" s="50" t="s">
        <v>197</v>
      </c>
      <c r="C84" s="50"/>
      <c r="D84" s="50" t="s">
        <v>86</v>
      </c>
      <c r="E84" s="50" t="s">
        <v>69</v>
      </c>
      <c r="F84" s="133">
        <v>42065</v>
      </c>
      <c r="G84" s="50"/>
      <c r="H84" s="50"/>
      <c r="I84" s="52">
        <v>1166.26</v>
      </c>
      <c r="J84" s="149"/>
      <c r="K84" s="68">
        <f t="shared" si="12"/>
        <v>1166.26</v>
      </c>
      <c r="L84" s="52"/>
      <c r="M84" s="52"/>
      <c r="N84" s="52"/>
      <c r="O84" s="52"/>
      <c r="P84" s="54"/>
      <c r="Q84" s="55">
        <f t="shared" si="20"/>
        <v>1166.26</v>
      </c>
      <c r="R84" s="56"/>
      <c r="S84" s="57"/>
      <c r="T84" s="57">
        <v>0</v>
      </c>
      <c r="U84" s="57"/>
      <c r="V84" s="57"/>
      <c r="W84" s="57"/>
      <c r="X84" s="58"/>
      <c r="Y84" s="58"/>
      <c r="Z84" s="59"/>
      <c r="AA84" s="59">
        <v>0</v>
      </c>
      <c r="AB84" s="55">
        <f t="shared" si="10"/>
        <v>1166.26</v>
      </c>
      <c r="AC84" s="60">
        <f t="shared" si="19"/>
        <v>0</v>
      </c>
      <c r="AD84" s="55">
        <f t="shared" si="13"/>
        <v>1166.26</v>
      </c>
      <c r="AE84" s="61">
        <f t="shared" si="16"/>
        <v>116.626</v>
      </c>
      <c r="AF84" s="60">
        <v>10.23</v>
      </c>
      <c r="AG84" s="60">
        <f t="shared" si="14"/>
        <v>0</v>
      </c>
      <c r="AH84" s="62">
        <f t="shared" si="15"/>
        <v>1293.116</v>
      </c>
      <c r="AI84" s="137"/>
      <c r="AJ84" s="138"/>
      <c r="AK84" s="123">
        <f t="shared" si="17"/>
        <v>-1166.26</v>
      </c>
      <c r="AL84" s="64"/>
      <c r="AM84" s="64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  <c r="FP84" s="29"/>
      <c r="FQ84" s="29"/>
      <c r="FR84" s="29"/>
      <c r="FS84" s="29"/>
      <c r="FT84" s="29"/>
      <c r="FU84" s="29"/>
      <c r="FV84" s="29"/>
      <c r="FW84" s="29"/>
      <c r="FX84" s="29"/>
      <c r="FY84" s="29"/>
      <c r="FZ84" s="29"/>
      <c r="GA84" s="29"/>
      <c r="GB84" s="29"/>
      <c r="GC84" s="29"/>
      <c r="GD84" s="29"/>
      <c r="GE84" s="29"/>
      <c r="GF84" s="29"/>
      <c r="GG84" s="29"/>
      <c r="GH84" s="29"/>
      <c r="GI84" s="29"/>
      <c r="GJ84" s="29"/>
      <c r="GK84" s="29"/>
    </row>
    <row r="85" spans="1:193" hidden="1">
      <c r="A85" s="64" t="s">
        <v>83</v>
      </c>
      <c r="B85" s="50" t="s">
        <v>253</v>
      </c>
      <c r="C85" s="50" t="s">
        <v>259</v>
      </c>
      <c r="D85" s="50" t="s">
        <v>103</v>
      </c>
      <c r="E85" s="50" t="s">
        <v>149</v>
      </c>
      <c r="F85" s="133">
        <v>42392</v>
      </c>
      <c r="G85" s="50"/>
      <c r="H85" s="50"/>
      <c r="I85" s="52">
        <v>1100</v>
      </c>
      <c r="J85" s="149"/>
      <c r="K85" s="68">
        <f t="shared" si="12"/>
        <v>1100</v>
      </c>
      <c r="L85" s="52"/>
      <c r="M85" s="52"/>
      <c r="N85" s="52"/>
      <c r="O85" s="52"/>
      <c r="P85" s="54"/>
      <c r="Q85" s="55">
        <f t="shared" si="20"/>
        <v>1100</v>
      </c>
      <c r="R85" s="56"/>
      <c r="S85" s="57"/>
      <c r="T85" s="57">
        <v>0</v>
      </c>
      <c r="U85" s="57"/>
      <c r="V85" s="57"/>
      <c r="W85" s="57"/>
      <c r="X85" s="58"/>
      <c r="Y85" s="58"/>
      <c r="Z85" s="59"/>
      <c r="AA85" s="59">
        <v>0</v>
      </c>
      <c r="AB85" s="55">
        <f t="shared" si="10"/>
        <v>1100</v>
      </c>
      <c r="AC85" s="60">
        <f t="shared" si="19"/>
        <v>0</v>
      </c>
      <c r="AD85" s="55">
        <f t="shared" si="13"/>
        <v>1100</v>
      </c>
      <c r="AE85" s="61">
        <f t="shared" si="16"/>
        <v>110</v>
      </c>
      <c r="AF85" s="60">
        <v>10.23</v>
      </c>
      <c r="AG85" s="60">
        <f t="shared" si="14"/>
        <v>0</v>
      </c>
      <c r="AH85" s="62">
        <f t="shared" si="15"/>
        <v>1220.23</v>
      </c>
      <c r="AI85" s="137"/>
      <c r="AJ85" s="137"/>
      <c r="AK85" s="123">
        <f t="shared" si="17"/>
        <v>-1100</v>
      </c>
      <c r="AL85" s="64"/>
      <c r="AM85" s="6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29"/>
      <c r="GF85" s="29"/>
      <c r="GG85" s="29"/>
      <c r="GH85" s="29"/>
      <c r="GI85" s="29"/>
      <c r="GJ85" s="29"/>
      <c r="GK85" s="29"/>
    </row>
    <row r="86" spans="1:193" hidden="1">
      <c r="A86" s="64" t="s">
        <v>68</v>
      </c>
      <c r="B86" s="50" t="s">
        <v>79</v>
      </c>
      <c r="C86" s="50" t="s">
        <v>204</v>
      </c>
      <c r="D86" s="50" t="s">
        <v>139</v>
      </c>
      <c r="E86" s="50" t="s">
        <v>70</v>
      </c>
      <c r="F86" s="133">
        <v>41218</v>
      </c>
      <c r="G86" s="51"/>
      <c r="H86" s="51"/>
      <c r="I86" s="52">
        <v>513.33000000000004</v>
      </c>
      <c r="J86" s="150">
        <v>653.33000000000004</v>
      </c>
      <c r="K86" s="68">
        <f t="shared" si="12"/>
        <v>1166.6600000000001</v>
      </c>
      <c r="L86" s="52"/>
      <c r="M86" s="52"/>
      <c r="N86" s="53"/>
      <c r="O86" s="53"/>
      <c r="P86" s="54"/>
      <c r="Q86" s="55">
        <f t="shared" si="20"/>
        <v>1166.6600000000001</v>
      </c>
      <c r="R86" s="56"/>
      <c r="S86" s="57">
        <v>58.91</v>
      </c>
      <c r="T86" s="57">
        <v>0</v>
      </c>
      <c r="U86" s="57"/>
      <c r="V86" s="57"/>
      <c r="W86" s="57"/>
      <c r="X86" s="58"/>
      <c r="Y86" s="58"/>
      <c r="Z86" s="59"/>
      <c r="AA86" s="59">
        <v>0</v>
      </c>
      <c r="AB86" s="55">
        <f t="shared" si="10"/>
        <v>1107.75</v>
      </c>
      <c r="AC86" s="60">
        <f t="shared" si="19"/>
        <v>0</v>
      </c>
      <c r="AD86" s="55">
        <f t="shared" si="13"/>
        <v>1107.75</v>
      </c>
      <c r="AE86" s="61">
        <f t="shared" si="16"/>
        <v>116.66600000000001</v>
      </c>
      <c r="AF86" s="60">
        <v>10.23</v>
      </c>
      <c r="AG86" s="60">
        <f t="shared" si="14"/>
        <v>0</v>
      </c>
      <c r="AH86" s="62">
        <f t="shared" si="15"/>
        <v>1293.556</v>
      </c>
      <c r="AI86" s="137"/>
      <c r="AJ86" s="138"/>
      <c r="AK86" s="123">
        <f t="shared" si="17"/>
        <v>-1107.75</v>
      </c>
      <c r="AL86" s="64"/>
      <c r="AM86" s="64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29"/>
      <c r="FF86" s="29"/>
      <c r="FG86" s="29"/>
      <c r="FH86" s="29"/>
      <c r="FI86" s="29"/>
      <c r="FJ86" s="29"/>
      <c r="FK86" s="29"/>
      <c r="FL86" s="29"/>
      <c r="FM86" s="29"/>
      <c r="FN86" s="29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  <c r="GI86" s="29"/>
      <c r="GJ86" s="29"/>
      <c r="GK86" s="29"/>
    </row>
    <row r="87" spans="1:193" s="33" customFormat="1" hidden="1">
      <c r="A87" s="64" t="s">
        <v>84</v>
      </c>
      <c r="B87" s="50" t="s">
        <v>263</v>
      </c>
      <c r="C87" s="50"/>
      <c r="D87" s="50" t="s">
        <v>124</v>
      </c>
      <c r="E87" s="50" t="s">
        <v>160</v>
      </c>
      <c r="F87" s="133">
        <v>41703</v>
      </c>
      <c r="G87" s="51"/>
      <c r="H87" s="51"/>
      <c r="I87" s="52">
        <v>556.78</v>
      </c>
      <c r="J87" s="151"/>
      <c r="K87" s="68">
        <f t="shared" si="12"/>
        <v>556.78</v>
      </c>
      <c r="L87" s="52"/>
      <c r="M87" s="52"/>
      <c r="N87" s="53"/>
      <c r="O87" s="53"/>
      <c r="P87" s="54"/>
      <c r="Q87" s="55">
        <f t="shared" si="20"/>
        <v>556.78</v>
      </c>
      <c r="R87" s="56"/>
      <c r="S87" s="57"/>
      <c r="T87" s="57">
        <v>0</v>
      </c>
      <c r="U87" s="66">
        <f>Q87*4.9%</f>
        <v>27.282219999999999</v>
      </c>
      <c r="V87" s="66">
        <f>Q87*1%</f>
        <v>5.5678000000000001</v>
      </c>
      <c r="W87" s="57"/>
      <c r="X87" s="58"/>
      <c r="Y87" s="58"/>
      <c r="Z87" s="59"/>
      <c r="AA87" s="59">
        <v>0</v>
      </c>
      <c r="AB87" s="55">
        <f t="shared" si="10"/>
        <v>523.92998</v>
      </c>
      <c r="AC87" s="60">
        <f t="shared" si="19"/>
        <v>0</v>
      </c>
      <c r="AD87" s="55">
        <f t="shared" si="13"/>
        <v>523.92998</v>
      </c>
      <c r="AE87" s="61">
        <f t="shared" si="16"/>
        <v>55.677999999999997</v>
      </c>
      <c r="AF87" s="60">
        <v>10.23</v>
      </c>
      <c r="AG87" s="60">
        <f t="shared" si="14"/>
        <v>27.282219999999999</v>
      </c>
      <c r="AH87" s="62">
        <f t="shared" si="15"/>
        <v>649.97022000000004</v>
      </c>
      <c r="AI87" s="137"/>
      <c r="AJ87" s="137"/>
      <c r="AK87" s="123">
        <f t="shared" si="17"/>
        <v>-523.92998</v>
      </c>
      <c r="AL87" s="64"/>
      <c r="AM87" s="64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29"/>
      <c r="ET87" s="29"/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29"/>
      <c r="FF87" s="29"/>
      <c r="FG87" s="29"/>
      <c r="FH87" s="29"/>
      <c r="FI87" s="29"/>
      <c r="FJ87" s="29"/>
      <c r="FK87" s="29"/>
      <c r="FL87" s="29"/>
      <c r="FM87" s="29"/>
      <c r="FN87" s="29"/>
      <c r="FO87" s="29"/>
      <c r="FP87" s="29"/>
      <c r="FQ87" s="29"/>
      <c r="FR87" s="29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  <c r="GH87" s="29"/>
      <c r="GI87" s="29"/>
      <c r="GJ87" s="29"/>
      <c r="GK87" s="29"/>
    </row>
    <row r="88" spans="1:193" hidden="1">
      <c r="A88" s="64" t="s">
        <v>84</v>
      </c>
      <c r="B88" s="50" t="s">
        <v>166</v>
      </c>
      <c r="C88" s="50"/>
      <c r="D88" s="50" t="s">
        <v>125</v>
      </c>
      <c r="E88" s="50" t="s">
        <v>158</v>
      </c>
      <c r="F88" s="133">
        <v>41291</v>
      </c>
      <c r="G88" s="51"/>
      <c r="H88" s="51"/>
      <c r="I88" s="52">
        <v>623.36</v>
      </c>
      <c r="J88" s="151"/>
      <c r="K88" s="68">
        <f t="shared" si="12"/>
        <v>623.36</v>
      </c>
      <c r="L88" s="52"/>
      <c r="M88" s="52"/>
      <c r="N88" s="53"/>
      <c r="O88" s="53"/>
      <c r="P88" s="54"/>
      <c r="Q88" s="55">
        <f t="shared" si="20"/>
        <v>623.36</v>
      </c>
      <c r="R88" s="56"/>
      <c r="S88" s="57"/>
      <c r="T88" s="66">
        <v>200</v>
      </c>
      <c r="U88" s="66">
        <f>Q88*4.9%</f>
        <v>30.544640000000001</v>
      </c>
      <c r="V88" s="66">
        <f>Q88*1%</f>
        <v>6.2336</v>
      </c>
      <c r="W88" s="66">
        <v>257.64</v>
      </c>
      <c r="X88" s="58"/>
      <c r="Y88" s="58"/>
      <c r="Z88" s="65">
        <v>201.24</v>
      </c>
      <c r="AA88" s="59">
        <v>0</v>
      </c>
      <c r="AB88" s="55">
        <f t="shared" si="10"/>
        <v>-72.298239999999964</v>
      </c>
      <c r="AC88" s="60">
        <f t="shared" si="19"/>
        <v>0</v>
      </c>
      <c r="AD88" s="55">
        <f t="shared" si="13"/>
        <v>-72.298239999999964</v>
      </c>
      <c r="AE88" s="61">
        <f t="shared" si="16"/>
        <v>62.336000000000006</v>
      </c>
      <c r="AF88" s="60">
        <v>10.23</v>
      </c>
      <c r="AG88" s="60">
        <f t="shared" si="14"/>
        <v>30.544640000000001</v>
      </c>
      <c r="AH88" s="62">
        <f t="shared" si="15"/>
        <v>726.47064</v>
      </c>
      <c r="AI88" s="137"/>
      <c r="AJ88" s="137"/>
      <c r="AK88" s="123">
        <f t="shared" si="17"/>
        <v>72.298239999999964</v>
      </c>
      <c r="AL88" s="64"/>
      <c r="AM88" s="6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  <c r="FL88" s="29"/>
      <c r="FM88" s="29"/>
      <c r="FN88" s="29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29"/>
      <c r="GE88" s="29"/>
      <c r="GF88" s="29"/>
      <c r="GG88" s="29"/>
      <c r="GH88" s="29"/>
      <c r="GI88" s="29"/>
      <c r="GJ88" s="29"/>
      <c r="GK88" s="29"/>
    </row>
    <row r="89" spans="1:193" hidden="1">
      <c r="A89" s="64" t="s">
        <v>68</v>
      </c>
      <c r="B89" s="64" t="s">
        <v>289</v>
      </c>
      <c r="C89" s="64"/>
      <c r="D89" s="64"/>
      <c r="E89" s="64" t="s">
        <v>70</v>
      </c>
      <c r="F89" s="134">
        <v>42520</v>
      </c>
      <c r="G89" s="64"/>
      <c r="H89" s="64"/>
      <c r="I89" s="28">
        <v>513.33000000000004</v>
      </c>
      <c r="J89" s="150"/>
      <c r="K89" s="68">
        <v>513.33000000000004</v>
      </c>
      <c r="L89" s="68"/>
      <c r="M89" s="68"/>
      <c r="N89" s="68"/>
      <c r="O89" s="68"/>
      <c r="P89" s="109"/>
      <c r="Q89" s="55">
        <f t="shared" si="20"/>
        <v>513.33000000000004</v>
      </c>
      <c r="R89" s="56"/>
      <c r="S89" s="57"/>
      <c r="T89" s="103"/>
      <c r="U89" s="103"/>
      <c r="V89" s="103"/>
      <c r="W89" s="103"/>
      <c r="X89" s="104"/>
      <c r="Y89" s="104"/>
      <c r="Z89" s="88"/>
      <c r="AA89" s="88">
        <v>0</v>
      </c>
      <c r="AB89" s="55">
        <f t="shared" ref="AB89" si="22">+Q89-SUM(R89:AA89)</f>
        <v>513.33000000000004</v>
      </c>
      <c r="AC89" s="60">
        <f t="shared" si="19"/>
        <v>0</v>
      </c>
      <c r="AD89" s="55">
        <f t="shared" si="13"/>
        <v>513.33000000000004</v>
      </c>
      <c r="AE89" s="61">
        <f t="shared" si="16"/>
        <v>51.333000000000006</v>
      </c>
      <c r="AF89" s="60">
        <v>11.23</v>
      </c>
      <c r="AG89" s="60">
        <f t="shared" si="14"/>
        <v>0</v>
      </c>
      <c r="AH89" s="62">
        <f t="shared" si="15"/>
        <v>575.89300000000003</v>
      </c>
      <c r="AI89" s="142"/>
      <c r="AJ89" s="142"/>
      <c r="AK89" s="126"/>
      <c r="AL89" s="65">
        <v>189347992</v>
      </c>
      <c r="AM89" s="143" t="s">
        <v>290</v>
      </c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29"/>
      <c r="ET89" s="29"/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29"/>
      <c r="FF89" s="29"/>
      <c r="FG89" s="29"/>
      <c r="FH89" s="29"/>
      <c r="FI89" s="29"/>
      <c r="FJ89" s="29"/>
      <c r="FK89" s="29"/>
      <c r="FL89" s="29"/>
      <c r="FM89" s="29"/>
      <c r="FN89" s="29"/>
      <c r="FO89" s="29"/>
      <c r="FP89" s="29"/>
      <c r="FQ89" s="29"/>
      <c r="FR89" s="29"/>
      <c r="FS89" s="29"/>
      <c r="FT89" s="29"/>
      <c r="FU89" s="29"/>
      <c r="FV89" s="29"/>
      <c r="FW89" s="29"/>
      <c r="FX89" s="29"/>
      <c r="FY89" s="29"/>
      <c r="FZ89" s="29"/>
      <c r="GA89" s="29"/>
      <c r="GB89" s="29"/>
      <c r="GC89" s="29"/>
      <c r="GD89" s="29"/>
      <c r="GE89" s="29"/>
      <c r="GF89" s="29"/>
      <c r="GG89" s="29"/>
      <c r="GH89" s="29"/>
      <c r="GI89" s="29"/>
      <c r="GJ89" s="29"/>
      <c r="GK89" s="29"/>
    </row>
    <row r="90" spans="1:193" hidden="1">
      <c r="A90" s="64" t="s">
        <v>82</v>
      </c>
      <c r="B90" s="50" t="s">
        <v>180</v>
      </c>
      <c r="C90" s="50"/>
      <c r="D90" s="50" t="s">
        <v>94</v>
      </c>
      <c r="E90" s="50" t="s">
        <v>146</v>
      </c>
      <c r="F90" s="133">
        <v>41666</v>
      </c>
      <c r="G90" s="50"/>
      <c r="H90" s="50"/>
      <c r="I90" s="52">
        <v>739.23</v>
      </c>
      <c r="J90" s="149"/>
      <c r="K90" s="68">
        <f t="shared" si="12"/>
        <v>739.23</v>
      </c>
      <c r="L90" s="52"/>
      <c r="M90" s="52"/>
      <c r="N90" s="53"/>
      <c r="O90" s="53"/>
      <c r="P90" s="54"/>
      <c r="Q90" s="55">
        <f t="shared" si="20"/>
        <v>739.23</v>
      </c>
      <c r="R90" s="56"/>
      <c r="S90" s="57"/>
      <c r="T90" s="66">
        <v>150</v>
      </c>
      <c r="U90" s="57"/>
      <c r="V90" s="57"/>
      <c r="W90" s="57"/>
      <c r="X90" s="58"/>
      <c r="Y90" s="58"/>
      <c r="Z90" s="59"/>
      <c r="AA90" s="59">
        <v>0</v>
      </c>
      <c r="AB90" s="55">
        <f t="shared" si="10"/>
        <v>589.23</v>
      </c>
      <c r="AC90" s="60">
        <f t="shared" si="19"/>
        <v>0</v>
      </c>
      <c r="AD90" s="55">
        <f t="shared" si="13"/>
        <v>589.23</v>
      </c>
      <c r="AE90" s="61">
        <f t="shared" si="16"/>
        <v>73.923000000000002</v>
      </c>
      <c r="AF90" s="60">
        <v>10.23</v>
      </c>
      <c r="AG90" s="60">
        <f t="shared" si="14"/>
        <v>0</v>
      </c>
      <c r="AH90" s="62">
        <f t="shared" si="15"/>
        <v>823.38300000000004</v>
      </c>
      <c r="AI90" s="137"/>
      <c r="AJ90" s="138"/>
      <c r="AK90" s="123">
        <f t="shared" si="17"/>
        <v>-589.23</v>
      </c>
      <c r="AL90" s="64"/>
      <c r="AM90" s="64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  <c r="FP90" s="29"/>
      <c r="FQ90" s="29"/>
      <c r="FR90" s="29"/>
      <c r="FS90" s="29"/>
      <c r="FT90" s="29"/>
      <c r="FU90" s="29"/>
      <c r="FV90" s="29"/>
      <c r="FW90" s="29"/>
      <c r="FX90" s="29"/>
      <c r="FY90" s="29"/>
      <c r="FZ90" s="29"/>
      <c r="GA90" s="29"/>
      <c r="GB90" s="29"/>
      <c r="GC90" s="29"/>
      <c r="GD90" s="29"/>
      <c r="GE90" s="29"/>
      <c r="GF90" s="29"/>
      <c r="GG90" s="29"/>
      <c r="GH90" s="29"/>
      <c r="GI90" s="29"/>
      <c r="GJ90" s="29"/>
      <c r="GK90" s="29"/>
    </row>
    <row r="91" spans="1:193" hidden="1">
      <c r="A91" s="64" t="s">
        <v>84</v>
      </c>
      <c r="B91" s="64" t="s">
        <v>275</v>
      </c>
      <c r="C91" s="64"/>
      <c r="D91" s="64"/>
      <c r="E91" s="64" t="s">
        <v>153</v>
      </c>
      <c r="F91" s="134">
        <v>42493</v>
      </c>
      <c r="G91" s="64"/>
      <c r="H91" s="64"/>
      <c r="I91" s="68">
        <v>511.28</v>
      </c>
      <c r="J91" s="150"/>
      <c r="K91" s="68">
        <f t="shared" si="12"/>
        <v>511.28</v>
      </c>
      <c r="L91" s="68"/>
      <c r="M91" s="68"/>
      <c r="N91" s="68"/>
      <c r="O91" s="68"/>
      <c r="P91" s="109"/>
      <c r="Q91" s="55">
        <f t="shared" si="20"/>
        <v>511.28</v>
      </c>
      <c r="R91" s="56"/>
      <c r="S91" s="57"/>
      <c r="T91" s="103"/>
      <c r="U91" s="103"/>
      <c r="V91" s="103"/>
      <c r="W91" s="103"/>
      <c r="X91" s="104"/>
      <c r="Y91" s="104"/>
      <c r="Z91" s="88"/>
      <c r="AA91" s="88">
        <v>0</v>
      </c>
      <c r="AB91" s="55">
        <f t="shared" si="10"/>
        <v>511.28</v>
      </c>
      <c r="AC91" s="60">
        <f t="shared" si="19"/>
        <v>0</v>
      </c>
      <c r="AD91" s="55">
        <f t="shared" si="13"/>
        <v>511.28</v>
      </c>
      <c r="AE91" s="61">
        <f t="shared" si="16"/>
        <v>51.128</v>
      </c>
      <c r="AF91" s="60">
        <v>10.23</v>
      </c>
      <c r="AG91" s="60">
        <f t="shared" si="14"/>
        <v>0</v>
      </c>
      <c r="AH91" s="62">
        <f t="shared" si="15"/>
        <v>572.63800000000003</v>
      </c>
      <c r="AI91" s="137"/>
      <c r="AJ91" s="137"/>
      <c r="AK91" s="123">
        <f t="shared" si="17"/>
        <v>-511.28</v>
      </c>
      <c r="AL91" s="64"/>
      <c r="AM91" s="6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29"/>
      <c r="ES91" s="29"/>
      <c r="ET91" s="29"/>
      <c r="EU91" s="29"/>
      <c r="EV91" s="29"/>
      <c r="EW91" s="29"/>
      <c r="EX91" s="29"/>
      <c r="EY91" s="29"/>
      <c r="EZ91" s="29"/>
      <c r="FA91" s="29"/>
      <c r="FB91" s="29"/>
      <c r="FC91" s="29"/>
      <c r="FD91" s="29"/>
      <c r="FE91" s="29"/>
      <c r="FF91" s="29"/>
      <c r="FG91" s="29"/>
      <c r="FH91" s="29"/>
      <c r="FI91" s="29"/>
      <c r="FJ91" s="29"/>
      <c r="FK91" s="29"/>
      <c r="FL91" s="29"/>
      <c r="FM91" s="29"/>
      <c r="FN91" s="29"/>
      <c r="FO91" s="29"/>
      <c r="FP91" s="29"/>
      <c r="FQ91" s="29"/>
      <c r="FR91" s="29"/>
      <c r="FS91" s="29"/>
      <c r="FT91" s="29"/>
      <c r="FU91" s="29"/>
      <c r="FV91" s="29"/>
      <c r="FW91" s="29"/>
      <c r="FX91" s="29"/>
      <c r="FY91" s="29"/>
      <c r="FZ91" s="29"/>
      <c r="GA91" s="29"/>
      <c r="GB91" s="29"/>
      <c r="GC91" s="29"/>
      <c r="GD91" s="29"/>
      <c r="GE91" s="29"/>
      <c r="GF91" s="29"/>
      <c r="GG91" s="29"/>
      <c r="GH91" s="29"/>
      <c r="GI91" s="29"/>
      <c r="GJ91" s="29"/>
      <c r="GK91" s="29"/>
    </row>
    <row r="92" spans="1:193" hidden="1">
      <c r="A92" s="64" t="s">
        <v>83</v>
      </c>
      <c r="B92" s="50" t="s">
        <v>236</v>
      </c>
      <c r="C92" s="50"/>
      <c r="D92" s="50" t="s">
        <v>104</v>
      </c>
      <c r="E92" s="50" t="s">
        <v>151</v>
      </c>
      <c r="F92" s="133">
        <v>42333</v>
      </c>
      <c r="G92" s="51"/>
      <c r="H92" s="51"/>
      <c r="I92" s="52">
        <v>577.38</v>
      </c>
      <c r="J92" s="149">
        <v>1047.6199999999999</v>
      </c>
      <c r="K92" s="68">
        <f t="shared" si="12"/>
        <v>1625</v>
      </c>
      <c r="L92" s="80"/>
      <c r="M92" s="52"/>
      <c r="N92" s="53"/>
      <c r="O92" s="53"/>
      <c r="P92" s="54"/>
      <c r="Q92" s="55">
        <f t="shared" si="20"/>
        <v>1625</v>
      </c>
      <c r="R92" s="56"/>
      <c r="S92" s="57"/>
      <c r="T92" s="57">
        <v>0</v>
      </c>
      <c r="U92" s="57"/>
      <c r="V92" s="57"/>
      <c r="W92" s="57"/>
      <c r="X92" s="58"/>
      <c r="Y92" s="58"/>
      <c r="Z92" s="59"/>
      <c r="AA92" s="65">
        <v>351.55</v>
      </c>
      <c r="AB92" s="55">
        <f t="shared" si="10"/>
        <v>1273.45</v>
      </c>
      <c r="AC92" s="60">
        <f t="shared" si="19"/>
        <v>0</v>
      </c>
      <c r="AD92" s="55">
        <f t="shared" si="13"/>
        <v>1273.45</v>
      </c>
      <c r="AE92" s="61">
        <f t="shared" si="16"/>
        <v>162.5</v>
      </c>
      <c r="AF92" s="60">
        <v>10.23</v>
      </c>
      <c r="AG92" s="60">
        <f t="shared" si="14"/>
        <v>0</v>
      </c>
      <c r="AH92" s="62">
        <f t="shared" si="15"/>
        <v>1797.73</v>
      </c>
      <c r="AI92" s="137"/>
      <c r="AJ92" s="138"/>
      <c r="AK92" s="123">
        <f t="shared" si="17"/>
        <v>-1273.45</v>
      </c>
      <c r="AL92" s="64"/>
      <c r="AM92" s="64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29"/>
      <c r="ET92" s="29"/>
      <c r="EU92" s="29"/>
      <c r="EV92" s="29"/>
      <c r="EW92" s="29"/>
      <c r="EX92" s="29"/>
      <c r="EY92" s="29"/>
      <c r="EZ92" s="29"/>
      <c r="FA92" s="29"/>
      <c r="FB92" s="29"/>
      <c r="FC92" s="29"/>
      <c r="FD92" s="29"/>
      <c r="FE92" s="29"/>
      <c r="FF92" s="29"/>
      <c r="FG92" s="29"/>
      <c r="FH92" s="29"/>
      <c r="FI92" s="29"/>
      <c r="FJ92" s="29"/>
      <c r="FK92" s="29"/>
      <c r="FL92" s="29"/>
      <c r="FM92" s="29"/>
      <c r="FN92" s="29"/>
      <c r="FO92" s="29"/>
      <c r="FP92" s="29"/>
      <c r="FQ92" s="29"/>
      <c r="FR92" s="29"/>
      <c r="FS92" s="29"/>
      <c r="FT92" s="29"/>
      <c r="FU92" s="29"/>
      <c r="FV92" s="29"/>
      <c r="FW92" s="29"/>
      <c r="FX92" s="29"/>
      <c r="FY92" s="29"/>
      <c r="FZ92" s="29"/>
      <c r="GA92" s="29"/>
      <c r="GB92" s="29"/>
      <c r="GC92" s="29"/>
      <c r="GD92" s="29"/>
      <c r="GE92" s="29"/>
      <c r="GF92" s="29"/>
      <c r="GG92" s="29"/>
      <c r="GH92" s="29"/>
      <c r="GI92" s="29"/>
      <c r="GJ92" s="29"/>
      <c r="GK92" s="29"/>
    </row>
    <row r="93" spans="1:193" s="29" customFormat="1">
      <c r="A93" s="64" t="s">
        <v>68</v>
      </c>
      <c r="B93" s="64" t="s">
        <v>246</v>
      </c>
      <c r="C93" s="64"/>
      <c r="D93" s="64"/>
      <c r="E93" s="64" t="s">
        <v>70</v>
      </c>
      <c r="F93" s="134">
        <v>42459</v>
      </c>
      <c r="G93" s="64"/>
      <c r="H93" s="64"/>
      <c r="I93" s="162">
        <v>513.33000000000004</v>
      </c>
      <c r="J93" s="159">
        <v>653.33000000000004</v>
      </c>
      <c r="K93" s="160">
        <f t="shared" si="12"/>
        <v>1166.6600000000001</v>
      </c>
      <c r="L93" s="165">
        <v>6578.54</v>
      </c>
      <c r="M93" s="68"/>
      <c r="N93" s="68"/>
      <c r="O93" s="68"/>
      <c r="P93" s="54"/>
      <c r="Q93" s="55">
        <f t="shared" si="20"/>
        <v>7745.2</v>
      </c>
      <c r="R93" s="56"/>
      <c r="S93" s="103"/>
      <c r="T93" s="103"/>
      <c r="U93" s="103"/>
      <c r="V93" s="103"/>
      <c r="W93" s="103"/>
      <c r="X93" s="104"/>
      <c r="Y93" s="104"/>
      <c r="Z93" s="88"/>
      <c r="AA93" s="88"/>
      <c r="AB93" s="55">
        <f t="shared" si="10"/>
        <v>7745.2</v>
      </c>
      <c r="AC93" s="60">
        <f>IF(Q93&gt;2250,Q93*0.1,0)</f>
        <v>774.52</v>
      </c>
      <c r="AD93" s="55">
        <f>+AB93-AC93</f>
        <v>6970.68</v>
      </c>
      <c r="AE93" s="61">
        <f t="shared" si="16"/>
        <v>0</v>
      </c>
      <c r="AF93" s="60">
        <v>10.23</v>
      </c>
      <c r="AG93" s="60">
        <f>+U93</f>
        <v>0</v>
      </c>
      <c r="AH93" s="62">
        <f t="shared" si="15"/>
        <v>7755.4299999999994</v>
      </c>
      <c r="AI93" s="139"/>
      <c r="AJ93" s="138"/>
      <c r="AK93" s="123">
        <f t="shared" si="17"/>
        <v>-6970.68</v>
      </c>
      <c r="AL93" s="64"/>
      <c r="AM93" s="69"/>
    </row>
    <row r="94" spans="1:193" hidden="1">
      <c r="A94" s="64" t="s">
        <v>82</v>
      </c>
      <c r="B94" s="50" t="s">
        <v>222</v>
      </c>
      <c r="C94" s="50"/>
      <c r="D94" s="50" t="s">
        <v>93</v>
      </c>
      <c r="E94" s="50" t="s">
        <v>144</v>
      </c>
      <c r="F94" s="134">
        <v>42346</v>
      </c>
      <c r="G94" s="50"/>
      <c r="H94" s="50"/>
      <c r="I94" s="28">
        <f>+K94</f>
        <v>633.62</v>
      </c>
      <c r="J94" s="149"/>
      <c r="K94" s="68">
        <v>633.62</v>
      </c>
      <c r="L94" s="52"/>
      <c r="M94" s="52"/>
      <c r="N94" s="53"/>
      <c r="O94" s="53"/>
      <c r="P94" s="54"/>
      <c r="Q94" s="55">
        <f t="shared" si="20"/>
        <v>633.62</v>
      </c>
      <c r="R94" s="56"/>
      <c r="S94" s="57"/>
      <c r="T94" s="57">
        <v>0</v>
      </c>
      <c r="U94" s="57"/>
      <c r="V94" s="57"/>
      <c r="W94" s="57"/>
      <c r="X94" s="58"/>
      <c r="Y94" s="58"/>
      <c r="Z94" s="59"/>
      <c r="AA94" s="59">
        <v>0</v>
      </c>
      <c r="AB94" s="55">
        <f t="shared" si="10"/>
        <v>633.62</v>
      </c>
      <c r="AC94" s="60">
        <f t="shared" si="19"/>
        <v>0</v>
      </c>
      <c r="AD94" s="55">
        <f t="shared" si="13"/>
        <v>633.62</v>
      </c>
      <c r="AE94" s="61">
        <f t="shared" si="16"/>
        <v>63.362000000000002</v>
      </c>
      <c r="AF94" s="60">
        <v>10.23</v>
      </c>
      <c r="AG94" s="60">
        <f t="shared" si="14"/>
        <v>0</v>
      </c>
      <c r="AH94" s="62">
        <f t="shared" si="15"/>
        <v>707.21199999999999</v>
      </c>
      <c r="AI94" s="137"/>
      <c r="AJ94" s="138"/>
      <c r="AK94" s="123">
        <f t="shared" si="17"/>
        <v>-633.62</v>
      </c>
      <c r="AL94" s="64"/>
      <c r="AM94" s="141" t="s">
        <v>287</v>
      </c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  <c r="EM94" s="29"/>
      <c r="EN94" s="29"/>
      <c r="EO94" s="29"/>
      <c r="EP94" s="29"/>
      <c r="EQ94" s="29"/>
      <c r="ER94" s="29"/>
      <c r="ES94" s="29"/>
      <c r="ET94" s="29"/>
      <c r="EU94" s="29"/>
      <c r="EV94" s="29"/>
      <c r="EW94" s="29"/>
      <c r="EX94" s="29"/>
      <c r="EY94" s="29"/>
      <c r="EZ94" s="29"/>
      <c r="FA94" s="29"/>
      <c r="FB94" s="29"/>
      <c r="FC94" s="29"/>
      <c r="FD94" s="29"/>
      <c r="FE94" s="29"/>
      <c r="FF94" s="29"/>
      <c r="FG94" s="29"/>
      <c r="FH94" s="29"/>
      <c r="FI94" s="29"/>
      <c r="FJ94" s="29"/>
      <c r="FK94" s="29"/>
      <c r="FL94" s="29"/>
      <c r="FM94" s="29"/>
      <c r="FN94" s="29"/>
      <c r="FO94" s="29"/>
      <c r="FP94" s="29"/>
      <c r="FQ94" s="29"/>
      <c r="FR94" s="29"/>
      <c r="FS94" s="29"/>
      <c r="FT94" s="29"/>
      <c r="FU94" s="29"/>
      <c r="FV94" s="29"/>
      <c r="FW94" s="29"/>
      <c r="FX94" s="29"/>
      <c r="FY94" s="29"/>
      <c r="FZ94" s="29"/>
      <c r="GA94" s="29"/>
      <c r="GB94" s="29"/>
      <c r="GC94" s="29"/>
      <c r="GD94" s="29"/>
      <c r="GE94" s="29"/>
      <c r="GF94" s="29"/>
      <c r="GG94" s="29"/>
      <c r="GH94" s="29"/>
      <c r="GI94" s="29"/>
      <c r="GJ94" s="29"/>
      <c r="GK94" s="29"/>
    </row>
    <row r="95" spans="1:193" hidden="1">
      <c r="A95" s="64" t="s">
        <v>82</v>
      </c>
      <c r="B95" s="50" t="s">
        <v>75</v>
      </c>
      <c r="C95" s="50"/>
      <c r="D95" s="50" t="s">
        <v>95</v>
      </c>
      <c r="E95" s="50" t="s">
        <v>147</v>
      </c>
      <c r="F95" s="133">
        <v>42100</v>
      </c>
      <c r="G95" s="50"/>
      <c r="H95" s="50"/>
      <c r="I95" s="28">
        <f>+K95</f>
        <v>633.62</v>
      </c>
      <c r="J95" s="149"/>
      <c r="K95" s="68">
        <v>633.62</v>
      </c>
      <c r="L95" s="52"/>
      <c r="M95" s="52"/>
      <c r="N95" s="52"/>
      <c r="O95" s="52"/>
      <c r="P95" s="54"/>
      <c r="Q95" s="55">
        <f t="shared" si="20"/>
        <v>633.62</v>
      </c>
      <c r="R95" s="56"/>
      <c r="S95" s="57"/>
      <c r="T95" s="57">
        <v>0</v>
      </c>
      <c r="U95" s="57"/>
      <c r="V95" s="57"/>
      <c r="W95" s="57"/>
      <c r="X95" s="58"/>
      <c r="Y95" s="58"/>
      <c r="Z95" s="59"/>
      <c r="AA95" s="59">
        <v>0</v>
      </c>
      <c r="AB95" s="55">
        <f t="shared" si="10"/>
        <v>633.62</v>
      </c>
      <c r="AC95" s="60">
        <f t="shared" si="19"/>
        <v>0</v>
      </c>
      <c r="AD95" s="55">
        <f t="shared" si="13"/>
        <v>633.62</v>
      </c>
      <c r="AE95" s="61">
        <f t="shared" si="16"/>
        <v>63.362000000000002</v>
      </c>
      <c r="AF95" s="60">
        <v>10.23</v>
      </c>
      <c r="AG95" s="60">
        <f t="shared" si="14"/>
        <v>0</v>
      </c>
      <c r="AH95" s="62">
        <f t="shared" si="15"/>
        <v>707.21199999999999</v>
      </c>
      <c r="AI95" s="137"/>
      <c r="AJ95" s="138"/>
      <c r="AK95" s="123">
        <f t="shared" si="17"/>
        <v>-633.62</v>
      </c>
      <c r="AL95" s="64"/>
      <c r="AM95" s="141" t="s">
        <v>287</v>
      </c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29"/>
      <c r="ES95" s="29"/>
      <c r="ET95" s="29"/>
      <c r="EU95" s="29"/>
      <c r="EV95" s="29"/>
      <c r="EW95" s="29"/>
      <c r="EX95" s="29"/>
      <c r="EY95" s="29"/>
      <c r="EZ95" s="29"/>
      <c r="FA95" s="29"/>
      <c r="FB95" s="29"/>
      <c r="FC95" s="29"/>
      <c r="FD95" s="29"/>
      <c r="FE95" s="29"/>
      <c r="FF95" s="29"/>
      <c r="FG95" s="29"/>
      <c r="FH95" s="29"/>
      <c r="FI95" s="29"/>
      <c r="FJ95" s="29"/>
      <c r="FK95" s="29"/>
      <c r="FL95" s="29"/>
      <c r="FM95" s="29"/>
      <c r="FN95" s="29"/>
      <c r="FO95" s="29"/>
      <c r="FP95" s="29"/>
      <c r="FQ95" s="29"/>
      <c r="FR95" s="29"/>
      <c r="FS95" s="29"/>
      <c r="FT95" s="29"/>
      <c r="FU95" s="29"/>
      <c r="FV95" s="29"/>
      <c r="FW95" s="29"/>
      <c r="FX95" s="29"/>
      <c r="FY95" s="29"/>
      <c r="FZ95" s="29"/>
      <c r="GA95" s="29"/>
      <c r="GB95" s="29"/>
      <c r="GC95" s="29"/>
      <c r="GD95" s="29"/>
      <c r="GE95" s="29"/>
      <c r="GF95" s="29"/>
      <c r="GG95" s="29"/>
      <c r="GH95" s="29"/>
      <c r="GI95" s="29"/>
      <c r="GJ95" s="29"/>
      <c r="GK95" s="29"/>
    </row>
    <row r="96" spans="1:193" hidden="1">
      <c r="A96" s="64" t="s">
        <v>81</v>
      </c>
      <c r="B96" s="64" t="s">
        <v>198</v>
      </c>
      <c r="C96" s="64"/>
      <c r="D96" s="75"/>
      <c r="E96" s="50" t="s">
        <v>199</v>
      </c>
      <c r="F96" s="133">
        <v>42328</v>
      </c>
      <c r="G96" s="51"/>
      <c r="H96" s="51"/>
      <c r="I96" s="28">
        <f>+K96</f>
        <v>999.65</v>
      </c>
      <c r="J96" s="151"/>
      <c r="K96" s="68">
        <v>999.65</v>
      </c>
      <c r="L96" s="52"/>
      <c r="M96" s="52"/>
      <c r="N96" s="53"/>
      <c r="O96" s="53"/>
      <c r="P96" s="54"/>
      <c r="Q96" s="55">
        <f t="shared" si="20"/>
        <v>999.65</v>
      </c>
      <c r="R96" s="56"/>
      <c r="S96" s="57"/>
      <c r="T96" s="57"/>
      <c r="U96" s="57"/>
      <c r="V96" s="57"/>
      <c r="W96" s="57"/>
      <c r="X96" s="58"/>
      <c r="Y96" s="58"/>
      <c r="Z96" s="59"/>
      <c r="AA96" s="59">
        <v>0</v>
      </c>
      <c r="AB96" s="55">
        <f t="shared" si="10"/>
        <v>999.65</v>
      </c>
      <c r="AC96" s="60">
        <f t="shared" si="19"/>
        <v>0</v>
      </c>
      <c r="AD96" s="55">
        <f t="shared" si="13"/>
        <v>999.65</v>
      </c>
      <c r="AE96" s="61">
        <f t="shared" si="16"/>
        <v>99.965000000000003</v>
      </c>
      <c r="AF96" s="60">
        <v>10.23</v>
      </c>
      <c r="AG96" s="60">
        <f t="shared" si="14"/>
        <v>0</v>
      </c>
      <c r="AH96" s="62">
        <f t="shared" si="15"/>
        <v>1109.845</v>
      </c>
      <c r="AI96" s="137"/>
      <c r="AJ96" s="138"/>
      <c r="AK96" s="123">
        <f t="shared" si="17"/>
        <v>-999.65</v>
      </c>
      <c r="AL96" s="64"/>
      <c r="AM96" s="141" t="s">
        <v>287</v>
      </c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  <c r="ET96" s="29"/>
      <c r="EU96" s="29"/>
      <c r="EV96" s="29"/>
      <c r="EW96" s="29"/>
      <c r="EX96" s="29"/>
      <c r="EY96" s="29"/>
      <c r="EZ96" s="29"/>
      <c r="FA96" s="29"/>
      <c r="FB96" s="29"/>
      <c r="FC96" s="29"/>
      <c r="FD96" s="29"/>
      <c r="FE96" s="29"/>
      <c r="FF96" s="29"/>
      <c r="FG96" s="29"/>
      <c r="FH96" s="29"/>
      <c r="FI96" s="29"/>
      <c r="FJ96" s="29"/>
      <c r="FK96" s="29"/>
      <c r="FL96" s="29"/>
      <c r="FM96" s="29"/>
      <c r="FN96" s="29"/>
      <c r="FO96" s="29"/>
      <c r="FP96" s="29"/>
      <c r="FQ96" s="29"/>
      <c r="FR96" s="29"/>
      <c r="FS96" s="29"/>
      <c r="FT96" s="29"/>
      <c r="FU96" s="29"/>
      <c r="FV96" s="29"/>
      <c r="FW96" s="29"/>
      <c r="FX96" s="29"/>
      <c r="FY96" s="29"/>
      <c r="FZ96" s="29"/>
      <c r="GA96" s="29"/>
      <c r="GB96" s="29"/>
      <c r="GC96" s="29"/>
      <c r="GD96" s="29"/>
      <c r="GE96" s="29"/>
      <c r="GF96" s="29"/>
      <c r="GG96" s="29"/>
      <c r="GH96" s="29"/>
      <c r="GI96" s="29"/>
      <c r="GJ96" s="29"/>
      <c r="GK96" s="29"/>
    </row>
    <row r="97" spans="1:193" s="29" customFormat="1">
      <c r="A97" s="64" t="s">
        <v>68</v>
      </c>
      <c r="B97" s="64" t="s">
        <v>255</v>
      </c>
      <c r="C97" s="64" t="s">
        <v>206</v>
      </c>
      <c r="D97" s="64" t="s">
        <v>140</v>
      </c>
      <c r="E97" s="64" t="s">
        <v>70</v>
      </c>
      <c r="F97" s="133">
        <v>42327</v>
      </c>
      <c r="G97" s="64"/>
      <c r="H97" s="64"/>
      <c r="I97" s="162">
        <v>513.33000000000004</v>
      </c>
      <c r="J97" s="159">
        <v>653.33000000000004</v>
      </c>
      <c r="K97" s="160">
        <f t="shared" si="12"/>
        <v>1166.6600000000001</v>
      </c>
      <c r="L97" s="165">
        <v>1513.32</v>
      </c>
      <c r="M97" s="68"/>
      <c r="N97" s="68"/>
      <c r="O97" s="68"/>
      <c r="P97" s="54"/>
      <c r="Q97" s="55">
        <f>+L97</f>
        <v>1513.32</v>
      </c>
      <c r="R97" s="56"/>
      <c r="S97" s="103"/>
      <c r="T97" s="103">
        <v>0</v>
      </c>
      <c r="U97" s="103"/>
      <c r="V97" s="103"/>
      <c r="W97" s="103"/>
      <c r="X97" s="71"/>
      <c r="Y97" s="104"/>
      <c r="Z97" s="88"/>
      <c r="AA97" s="107"/>
      <c r="AB97" s="55">
        <f t="shared" si="10"/>
        <v>1513.32</v>
      </c>
      <c r="AC97" s="60">
        <f t="shared" si="19"/>
        <v>0</v>
      </c>
      <c r="AD97" s="55">
        <f t="shared" si="13"/>
        <v>1513.32</v>
      </c>
      <c r="AE97" s="61">
        <f t="shared" si="16"/>
        <v>151.33199999999999</v>
      </c>
      <c r="AF97" s="60">
        <v>10.23</v>
      </c>
      <c r="AG97" s="60">
        <f t="shared" si="14"/>
        <v>0</v>
      </c>
      <c r="AH97" s="62">
        <f t="shared" si="15"/>
        <v>1674.8820000000001</v>
      </c>
      <c r="AI97" s="137"/>
      <c r="AJ97" s="138"/>
      <c r="AK97" s="123">
        <f t="shared" si="17"/>
        <v>-1513.32</v>
      </c>
      <c r="AL97" s="64"/>
      <c r="AM97" s="69"/>
    </row>
    <row r="98" spans="1:193" s="29" customFormat="1" hidden="1">
      <c r="A98" s="64"/>
      <c r="B98" s="64" t="s">
        <v>279</v>
      </c>
      <c r="C98" s="64" t="s">
        <v>204</v>
      </c>
      <c r="D98" s="64"/>
      <c r="E98" s="64" t="s">
        <v>70</v>
      </c>
      <c r="F98" s="134">
        <v>42506</v>
      </c>
      <c r="G98" s="64"/>
      <c r="H98" s="64"/>
      <c r="I98" s="68">
        <v>1166.6600000000001</v>
      </c>
      <c r="J98" s="150"/>
      <c r="K98" s="52">
        <f t="shared" si="12"/>
        <v>1166.6600000000001</v>
      </c>
      <c r="L98" s="68"/>
      <c r="M98" s="68"/>
      <c r="N98" s="68"/>
      <c r="O98" s="68"/>
      <c r="P98" s="109"/>
      <c r="Q98" s="55">
        <f t="shared" si="20"/>
        <v>1166.6600000000001</v>
      </c>
      <c r="R98" s="56"/>
      <c r="S98" s="103"/>
      <c r="T98" s="103"/>
      <c r="U98" s="103"/>
      <c r="V98" s="103"/>
      <c r="W98" s="103"/>
      <c r="X98" s="104"/>
      <c r="Y98" s="104"/>
      <c r="Z98" s="88"/>
      <c r="AA98" s="131">
        <v>0</v>
      </c>
      <c r="AB98" s="55">
        <f t="shared" si="10"/>
        <v>1166.6600000000001</v>
      </c>
      <c r="AC98" s="60">
        <f t="shared" si="19"/>
        <v>0</v>
      </c>
      <c r="AD98" s="55">
        <f t="shared" si="13"/>
        <v>1166.6600000000001</v>
      </c>
      <c r="AE98" s="61">
        <f t="shared" si="16"/>
        <v>116.66600000000001</v>
      </c>
      <c r="AF98" s="60">
        <v>10.23</v>
      </c>
      <c r="AG98" s="60">
        <f t="shared" si="14"/>
        <v>0</v>
      </c>
      <c r="AH98" s="62">
        <f t="shared" si="15"/>
        <v>1293.556</v>
      </c>
      <c r="AI98" s="139"/>
      <c r="AJ98" s="139"/>
      <c r="AK98" s="126">
        <f t="shared" si="17"/>
        <v>-1166.6600000000001</v>
      </c>
      <c r="AL98" s="129">
        <v>1179675078</v>
      </c>
      <c r="AM98" s="69"/>
    </row>
    <row r="99" spans="1:193" hidden="1">
      <c r="A99" s="64" t="s">
        <v>67</v>
      </c>
      <c r="B99" s="50" t="s">
        <v>224</v>
      </c>
      <c r="C99" s="50" t="s">
        <v>207</v>
      </c>
      <c r="D99" s="50" t="s">
        <v>109</v>
      </c>
      <c r="E99" s="50" t="s">
        <v>235</v>
      </c>
      <c r="F99" s="133">
        <v>42173</v>
      </c>
      <c r="G99" s="51"/>
      <c r="H99" s="51"/>
      <c r="I99" s="52">
        <v>1633.33</v>
      </c>
      <c r="J99" s="151">
        <v>1500</v>
      </c>
      <c r="K99" s="52">
        <f t="shared" si="12"/>
        <v>3133.33</v>
      </c>
      <c r="L99" s="52"/>
      <c r="M99" s="52"/>
      <c r="N99" s="53"/>
      <c r="O99" s="53"/>
      <c r="P99" s="54"/>
      <c r="Q99" s="55">
        <f t="shared" si="20"/>
        <v>3133.33</v>
      </c>
      <c r="R99" s="56"/>
      <c r="S99" s="57">
        <v>58.91</v>
      </c>
      <c r="T99" s="57">
        <v>0</v>
      </c>
      <c r="U99" s="57"/>
      <c r="V99" s="57"/>
      <c r="W99" s="57"/>
      <c r="X99" s="58"/>
      <c r="Y99" s="58"/>
      <c r="Z99" s="59"/>
      <c r="AA99" s="59">
        <v>0</v>
      </c>
      <c r="AB99" s="55">
        <f t="shared" si="10"/>
        <v>3074.42</v>
      </c>
      <c r="AC99" s="60">
        <f t="shared" si="19"/>
        <v>313.33300000000003</v>
      </c>
      <c r="AD99" s="55">
        <f t="shared" si="13"/>
        <v>2761.087</v>
      </c>
      <c r="AE99" s="61">
        <f t="shared" si="16"/>
        <v>0</v>
      </c>
      <c r="AF99" s="60">
        <v>10.23</v>
      </c>
      <c r="AG99" s="60">
        <f t="shared" si="14"/>
        <v>0</v>
      </c>
      <c r="AH99" s="62">
        <f t="shared" si="15"/>
        <v>3143.56</v>
      </c>
      <c r="AI99" s="139"/>
      <c r="AJ99" s="140"/>
      <c r="AK99" s="123">
        <f t="shared" si="17"/>
        <v>-2761.087</v>
      </c>
      <c r="AL99" s="64"/>
      <c r="AM99" s="64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  <c r="FD99" s="29"/>
      <c r="FE99" s="29"/>
      <c r="FF99" s="29"/>
      <c r="FG99" s="29"/>
      <c r="FH99" s="29"/>
      <c r="FI99" s="29"/>
      <c r="FJ99" s="29"/>
      <c r="FK99" s="29"/>
      <c r="FL99" s="29"/>
      <c r="FM99" s="29"/>
      <c r="FN99" s="29"/>
      <c r="FO99" s="29"/>
      <c r="FP99" s="29"/>
      <c r="FQ99" s="29"/>
      <c r="FR99" s="29"/>
      <c r="FS99" s="29"/>
      <c r="FT99" s="29"/>
      <c r="FU99" s="29"/>
      <c r="FV99" s="29"/>
      <c r="FW99" s="29"/>
      <c r="FX99" s="29"/>
      <c r="FY99" s="29"/>
      <c r="FZ99" s="29"/>
      <c r="GA99" s="29"/>
      <c r="GB99" s="29"/>
      <c r="GC99" s="29"/>
      <c r="GD99" s="29"/>
      <c r="GE99" s="29"/>
      <c r="GF99" s="29"/>
      <c r="GG99" s="29"/>
      <c r="GH99" s="29"/>
      <c r="GI99" s="29"/>
      <c r="GJ99" s="29"/>
      <c r="GK99" s="29"/>
    </row>
    <row r="100" spans="1:193" hidden="1">
      <c r="A100" s="64" t="s">
        <v>84</v>
      </c>
      <c r="B100" s="50" t="s">
        <v>260</v>
      </c>
      <c r="C100" s="50"/>
      <c r="D100" s="50" t="s">
        <v>126</v>
      </c>
      <c r="E100" s="50" t="s">
        <v>157</v>
      </c>
      <c r="F100" s="133">
        <v>41227</v>
      </c>
      <c r="G100" s="51"/>
      <c r="H100" s="51"/>
      <c r="I100" s="52">
        <v>623.36</v>
      </c>
      <c r="J100" s="151"/>
      <c r="K100" s="52">
        <f t="shared" si="12"/>
        <v>623.36</v>
      </c>
      <c r="L100" s="52"/>
      <c r="M100" s="52"/>
      <c r="N100" s="53"/>
      <c r="O100" s="53"/>
      <c r="P100" s="54"/>
      <c r="Q100" s="55">
        <f t="shared" si="20"/>
        <v>623.36</v>
      </c>
      <c r="R100" s="56"/>
      <c r="S100" s="57"/>
      <c r="T100" s="66">
        <v>200</v>
      </c>
      <c r="U100" s="66">
        <f>Q100*4.9%</f>
        <v>30.544640000000001</v>
      </c>
      <c r="V100" s="66">
        <f>Q100*1%</f>
        <v>6.2336</v>
      </c>
      <c r="W100" s="57"/>
      <c r="X100" s="58"/>
      <c r="Y100" s="58"/>
      <c r="Z100" s="59"/>
      <c r="AA100" s="59">
        <v>0</v>
      </c>
      <c r="AB100" s="55">
        <f t="shared" si="10"/>
        <v>386.58176000000003</v>
      </c>
      <c r="AC100" s="60">
        <f t="shared" si="19"/>
        <v>0</v>
      </c>
      <c r="AD100" s="55">
        <f t="shared" si="13"/>
        <v>386.58176000000003</v>
      </c>
      <c r="AE100" s="61">
        <f t="shared" si="16"/>
        <v>62.336000000000006</v>
      </c>
      <c r="AF100" s="60">
        <v>10.23</v>
      </c>
      <c r="AG100" s="60">
        <f t="shared" si="14"/>
        <v>30.544640000000001</v>
      </c>
      <c r="AH100" s="62">
        <f t="shared" si="15"/>
        <v>726.47064</v>
      </c>
      <c r="AI100" s="137"/>
      <c r="AJ100" s="138"/>
      <c r="AK100" s="123">
        <f t="shared" si="17"/>
        <v>-386.58176000000003</v>
      </c>
      <c r="AL100" s="64"/>
      <c r="AM100" s="64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29"/>
      <c r="GF100" s="29"/>
      <c r="GG100" s="29"/>
      <c r="GH100" s="29"/>
      <c r="GI100" s="29"/>
      <c r="GJ100" s="29"/>
      <c r="GK100" s="29"/>
    </row>
    <row r="101" spans="1:193" s="29" customFormat="1" hidden="1">
      <c r="A101" s="64" t="s">
        <v>68</v>
      </c>
      <c r="B101" s="64" t="s">
        <v>80</v>
      </c>
      <c r="C101" s="64" t="s">
        <v>209</v>
      </c>
      <c r="D101" s="64" t="s">
        <v>141</v>
      </c>
      <c r="E101" s="64" t="s">
        <v>70</v>
      </c>
      <c r="F101" s="133">
        <v>42333</v>
      </c>
      <c r="G101" s="64"/>
      <c r="H101" s="64"/>
      <c r="I101" s="68">
        <v>513.33000000000004</v>
      </c>
      <c r="J101" s="150">
        <v>653.33000000000004</v>
      </c>
      <c r="K101" s="68">
        <f t="shared" si="12"/>
        <v>1166.6600000000001</v>
      </c>
      <c r="L101" s="68"/>
      <c r="M101" s="68"/>
      <c r="N101" s="68"/>
      <c r="O101" s="68"/>
      <c r="P101" s="54"/>
      <c r="Q101" s="55">
        <f t="shared" si="20"/>
        <v>1166.6600000000001</v>
      </c>
      <c r="R101" s="56">
        <v>250</v>
      </c>
      <c r="S101" s="103"/>
      <c r="T101" s="103">
        <v>0</v>
      </c>
      <c r="U101" s="103"/>
      <c r="V101" s="103"/>
      <c r="W101" s="103"/>
      <c r="X101" s="104"/>
      <c r="Y101" s="104"/>
      <c r="Z101" s="88"/>
      <c r="AA101" s="88">
        <v>0</v>
      </c>
      <c r="AB101" s="55">
        <f t="shared" si="10"/>
        <v>916.66000000000008</v>
      </c>
      <c r="AC101" s="60">
        <f t="shared" si="19"/>
        <v>0</v>
      </c>
      <c r="AD101" s="55">
        <f t="shared" si="13"/>
        <v>916.66000000000008</v>
      </c>
      <c r="AE101" s="61">
        <f t="shared" si="16"/>
        <v>116.66600000000001</v>
      </c>
      <c r="AF101" s="60">
        <v>10.23</v>
      </c>
      <c r="AG101" s="60">
        <f t="shared" si="14"/>
        <v>0</v>
      </c>
      <c r="AH101" s="62">
        <f t="shared" si="15"/>
        <v>1293.556</v>
      </c>
      <c r="AI101" s="137"/>
      <c r="AJ101" s="140"/>
      <c r="AK101" s="123">
        <f t="shared" si="17"/>
        <v>-916.66000000000008</v>
      </c>
      <c r="AL101" s="64"/>
      <c r="AM101" s="64"/>
    </row>
    <row r="102" spans="1:193" s="29" customFormat="1" hidden="1">
      <c r="A102" s="64" t="s">
        <v>81</v>
      </c>
      <c r="B102" s="50" t="s">
        <v>76</v>
      </c>
      <c r="C102" s="50"/>
      <c r="D102" s="50" t="s">
        <v>97</v>
      </c>
      <c r="E102" s="50" t="s">
        <v>149</v>
      </c>
      <c r="F102" s="133">
        <v>42361</v>
      </c>
      <c r="G102" s="50"/>
      <c r="H102" s="50"/>
      <c r="I102" s="52">
        <v>739.23</v>
      </c>
      <c r="J102" s="149"/>
      <c r="K102" s="52">
        <f t="shared" si="12"/>
        <v>739.23</v>
      </c>
      <c r="L102" s="52"/>
      <c r="M102" s="52"/>
      <c r="N102" s="52"/>
      <c r="O102" s="52"/>
      <c r="P102" s="54"/>
      <c r="Q102" s="55">
        <f t="shared" si="20"/>
        <v>739.23</v>
      </c>
      <c r="R102" s="56"/>
      <c r="S102" s="57"/>
      <c r="T102" s="57">
        <v>0</v>
      </c>
      <c r="U102" s="57"/>
      <c r="V102" s="57"/>
      <c r="W102" s="57"/>
      <c r="X102" s="58"/>
      <c r="Y102" s="58"/>
      <c r="Z102" s="59"/>
      <c r="AA102" s="59">
        <v>0</v>
      </c>
      <c r="AB102" s="55">
        <f t="shared" si="10"/>
        <v>739.23</v>
      </c>
      <c r="AC102" s="60">
        <f t="shared" si="19"/>
        <v>0</v>
      </c>
      <c r="AD102" s="55">
        <f t="shared" si="13"/>
        <v>739.23</v>
      </c>
      <c r="AE102" s="61">
        <f t="shared" si="16"/>
        <v>73.923000000000002</v>
      </c>
      <c r="AF102" s="60">
        <v>10.23</v>
      </c>
      <c r="AG102" s="60">
        <f t="shared" si="14"/>
        <v>0</v>
      </c>
      <c r="AH102" s="62">
        <f t="shared" si="15"/>
        <v>823.38300000000004</v>
      </c>
      <c r="AI102" s="137"/>
      <c r="AJ102" s="139"/>
      <c r="AK102" s="123">
        <f t="shared" si="17"/>
        <v>-739.23</v>
      </c>
      <c r="AL102" s="64"/>
      <c r="AM102" s="64"/>
    </row>
    <row r="103" spans="1:193" hidden="1">
      <c r="A103" s="64" t="s">
        <v>82</v>
      </c>
      <c r="B103" s="50" t="s">
        <v>179</v>
      </c>
      <c r="C103" s="50"/>
      <c r="D103" s="50" t="s">
        <v>96</v>
      </c>
      <c r="E103" s="50" t="s">
        <v>147</v>
      </c>
      <c r="F103" s="133">
        <v>41549</v>
      </c>
      <c r="G103" s="50"/>
      <c r="H103" s="50"/>
      <c r="I103" s="52">
        <v>739.23</v>
      </c>
      <c r="J103" s="149"/>
      <c r="K103" s="52">
        <f t="shared" si="12"/>
        <v>739.23</v>
      </c>
      <c r="L103" s="52"/>
      <c r="M103" s="52"/>
      <c r="N103" s="52"/>
      <c r="O103" s="52"/>
      <c r="P103" s="54"/>
      <c r="Q103" s="55">
        <f t="shared" si="20"/>
        <v>739.23</v>
      </c>
      <c r="R103" s="56"/>
      <c r="S103" s="57"/>
      <c r="T103" s="103"/>
      <c r="U103" s="57"/>
      <c r="V103" s="57"/>
      <c r="W103" s="57"/>
      <c r="X103" s="58"/>
      <c r="Y103" s="58"/>
      <c r="Z103" s="59"/>
      <c r="AA103" s="59">
        <v>0</v>
      </c>
      <c r="AB103" s="55">
        <f t="shared" si="10"/>
        <v>739.23</v>
      </c>
      <c r="AC103" s="60">
        <f t="shared" si="19"/>
        <v>0</v>
      </c>
      <c r="AD103" s="55">
        <f t="shared" si="13"/>
        <v>739.23</v>
      </c>
      <c r="AE103" s="61">
        <f t="shared" si="16"/>
        <v>73.923000000000002</v>
      </c>
      <c r="AF103" s="60">
        <v>10.23</v>
      </c>
      <c r="AG103" s="60">
        <f t="shared" si="14"/>
        <v>0</v>
      </c>
      <c r="AH103" s="62">
        <f t="shared" si="15"/>
        <v>823.38300000000004</v>
      </c>
      <c r="AI103" s="137"/>
      <c r="AJ103" s="138"/>
      <c r="AK103" s="123">
        <f t="shared" si="17"/>
        <v>-739.23</v>
      </c>
      <c r="AL103" s="64"/>
      <c r="AM103" s="64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29"/>
      <c r="EZ103" s="29"/>
      <c r="FA103" s="29"/>
      <c r="FB103" s="29"/>
      <c r="FC103" s="29"/>
      <c r="FD103" s="29"/>
      <c r="FE103" s="29"/>
      <c r="FF103" s="29"/>
      <c r="FG103" s="29"/>
      <c r="FH103" s="29"/>
      <c r="FI103" s="29"/>
      <c r="FJ103" s="29"/>
      <c r="FK103" s="29"/>
      <c r="FL103" s="29"/>
      <c r="FM103" s="29"/>
      <c r="FN103" s="29"/>
      <c r="FO103" s="29"/>
      <c r="FP103" s="29"/>
      <c r="FQ103" s="29"/>
      <c r="FR103" s="29"/>
      <c r="FS103" s="29"/>
      <c r="FT103" s="29"/>
      <c r="FU103" s="29"/>
      <c r="FV103" s="29"/>
      <c r="FW103" s="29"/>
      <c r="FX103" s="29"/>
      <c r="FY103" s="29"/>
      <c r="FZ103" s="29"/>
      <c r="GA103" s="29"/>
      <c r="GB103" s="29"/>
      <c r="GC103" s="29"/>
      <c r="GD103" s="29"/>
      <c r="GE103" s="29"/>
      <c r="GF103" s="29"/>
      <c r="GG103" s="29"/>
      <c r="GH103" s="29"/>
      <c r="GI103" s="29"/>
      <c r="GJ103" s="29"/>
      <c r="GK103" s="29"/>
    </row>
    <row r="104" spans="1:193" hidden="1">
      <c r="A104" s="69"/>
      <c r="B104" s="50"/>
      <c r="C104" s="50"/>
      <c r="D104" s="51"/>
      <c r="E104" s="50"/>
      <c r="F104" s="50"/>
      <c r="G104" s="50"/>
      <c r="H104" s="50"/>
      <c r="I104" s="52"/>
      <c r="J104" s="149"/>
      <c r="K104" s="52"/>
      <c r="L104" s="52"/>
      <c r="M104" s="52"/>
      <c r="N104" s="52"/>
      <c r="O104" s="52"/>
      <c r="P104" s="54"/>
      <c r="Q104" s="55">
        <f t="shared" si="20"/>
        <v>0</v>
      </c>
      <c r="R104" s="56"/>
      <c r="S104" s="57"/>
      <c r="T104" s="57"/>
      <c r="U104" s="57"/>
      <c r="V104" s="57"/>
      <c r="W104" s="57"/>
      <c r="X104" s="58"/>
      <c r="Y104" s="58"/>
      <c r="Z104" s="58"/>
      <c r="AA104" s="58"/>
      <c r="AB104" s="55"/>
      <c r="AC104" s="60">
        <f t="shared" si="19"/>
        <v>0</v>
      </c>
      <c r="AD104" s="55"/>
      <c r="AE104" s="61">
        <f t="shared" ref="AE104" si="23">IF(Q104&lt;3500,Q104*0.1,0)</f>
        <v>0</v>
      </c>
      <c r="AF104" s="60"/>
      <c r="AG104" s="60">
        <f t="shared" si="14"/>
        <v>0</v>
      </c>
      <c r="AH104" s="62">
        <f t="shared" si="15"/>
        <v>0</v>
      </c>
      <c r="AI104" s="68"/>
      <c r="AJ104" s="68"/>
      <c r="AK104" s="123">
        <f t="shared" si="17"/>
        <v>0</v>
      </c>
      <c r="AL104" s="64"/>
      <c r="AM104" s="64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29"/>
      <c r="FB104" s="29"/>
      <c r="FC104" s="29"/>
      <c r="FD104" s="29"/>
      <c r="FE104" s="29"/>
      <c r="FF104" s="29"/>
      <c r="FG104" s="29"/>
      <c r="FH104" s="29"/>
      <c r="FI104" s="29"/>
      <c r="FJ104" s="29"/>
      <c r="FK104" s="29"/>
      <c r="FL104" s="29"/>
      <c r="FM104" s="29"/>
      <c r="FN104" s="29"/>
      <c r="FO104" s="29"/>
      <c r="FP104" s="29"/>
      <c r="FQ104" s="29"/>
      <c r="FR104" s="29"/>
      <c r="FS104" s="29"/>
      <c r="FT104" s="29"/>
      <c r="FU104" s="29"/>
      <c r="FV104" s="29"/>
      <c r="FW104" s="29"/>
      <c r="FX104" s="29"/>
      <c r="FY104" s="29"/>
      <c r="FZ104" s="29"/>
      <c r="GA104" s="29"/>
      <c r="GB104" s="29"/>
      <c r="GC104" s="29"/>
      <c r="GD104" s="29"/>
      <c r="GE104" s="29"/>
      <c r="GF104" s="29"/>
      <c r="GG104" s="29"/>
      <c r="GH104" s="29"/>
      <c r="GI104" s="29"/>
      <c r="GJ104" s="29"/>
      <c r="GK104" s="29"/>
    </row>
    <row r="105" spans="1:193" s="29" customFormat="1">
      <c r="A105" s="46"/>
      <c r="B105" s="47"/>
      <c r="C105" s="47"/>
      <c r="D105" s="47"/>
      <c r="E105" s="47"/>
      <c r="F105" s="47"/>
      <c r="G105" s="47"/>
      <c r="H105" s="47"/>
      <c r="I105" s="48"/>
      <c r="J105" s="119"/>
      <c r="K105" s="48"/>
      <c r="L105" s="48"/>
      <c r="M105" s="48"/>
      <c r="N105" s="48"/>
      <c r="O105" s="48"/>
      <c r="P105" s="48"/>
      <c r="Q105" s="49"/>
      <c r="R105" s="48"/>
      <c r="S105" s="48"/>
      <c r="T105" s="48"/>
      <c r="U105" s="48"/>
      <c r="V105" s="48"/>
      <c r="W105" s="48"/>
      <c r="X105" s="78"/>
      <c r="Y105" s="78"/>
      <c r="Z105" s="78"/>
      <c r="AA105" s="78"/>
      <c r="AB105" s="49"/>
      <c r="AC105" s="78"/>
      <c r="AD105" s="49"/>
      <c r="AE105" s="78"/>
      <c r="AF105" s="78"/>
      <c r="AG105" s="78"/>
      <c r="AH105" s="49"/>
      <c r="AI105" s="99"/>
      <c r="AJ105" s="99"/>
      <c r="AK105" s="41"/>
    </row>
    <row r="106" spans="1:193">
      <c r="B106" s="79" t="s">
        <v>17</v>
      </c>
      <c r="C106" s="79"/>
      <c r="D106" s="79"/>
      <c r="E106" s="79"/>
      <c r="F106" s="79"/>
      <c r="G106" s="79"/>
      <c r="H106" s="79"/>
      <c r="I106" s="52"/>
      <c r="J106" s="120"/>
      <c r="K106" s="80">
        <f>SUM(K7:K105)</f>
        <v>96218.687333333379</v>
      </c>
      <c r="L106" s="80">
        <f>SUM(L7:L105)</f>
        <v>28169.35</v>
      </c>
      <c r="M106" s="80"/>
      <c r="N106" s="80">
        <f>SUM(N7:N105)</f>
        <v>0</v>
      </c>
      <c r="O106" s="80">
        <f>SUM(O7:O105)</f>
        <v>0</v>
      </c>
      <c r="P106" s="80">
        <f>SUM(P7:P105)</f>
        <v>0</v>
      </c>
      <c r="Q106" s="80">
        <f>+Q23+Q24+Q43+Q45+Q58+Q63+Q70+Q78+Q83+Q93+Q97</f>
        <v>30149.34</v>
      </c>
      <c r="R106" s="80">
        <f>SUM(R7:R105)</f>
        <v>1337.5</v>
      </c>
      <c r="S106" s="80"/>
      <c r="T106" s="81">
        <f t="shared" ref="T106:AK106" si="24">SUM(T7:T105)</f>
        <v>3322</v>
      </c>
      <c r="U106" s="81">
        <f t="shared" si="24"/>
        <v>537.85536000000002</v>
      </c>
      <c r="V106" s="81">
        <f t="shared" si="24"/>
        <v>95.15870000000001</v>
      </c>
      <c r="W106" s="81">
        <f t="shared" si="24"/>
        <v>879.38</v>
      </c>
      <c r="X106" s="80">
        <f t="shared" si="24"/>
        <v>575.27</v>
      </c>
      <c r="Y106" s="80">
        <f t="shared" si="24"/>
        <v>335.5</v>
      </c>
      <c r="Z106" s="80">
        <f t="shared" si="24"/>
        <v>406.94</v>
      </c>
      <c r="AA106" s="80">
        <f t="shared" si="24"/>
        <v>3682.1499999999996</v>
      </c>
      <c r="AB106" s="80">
        <f t="shared" si="24"/>
        <v>99842.673273333319</v>
      </c>
      <c r="AC106" s="80">
        <f t="shared" si="24"/>
        <v>3054.35</v>
      </c>
      <c r="AD106" s="80">
        <f t="shared" si="24"/>
        <v>96788.323273333313</v>
      </c>
      <c r="AE106" s="80">
        <f t="shared" si="24"/>
        <v>8127.6957333333339</v>
      </c>
      <c r="AF106" s="80">
        <f t="shared" si="24"/>
        <v>1059.3100000000011</v>
      </c>
      <c r="AG106" s="80">
        <f t="shared" si="24"/>
        <v>537.85536000000002</v>
      </c>
      <c r="AH106" s="80">
        <f t="shared" si="24"/>
        <v>121545.31842666662</v>
      </c>
      <c r="AI106" s="100">
        <f t="shared" si="24"/>
        <v>0</v>
      </c>
      <c r="AJ106" s="100">
        <f t="shared" si="24"/>
        <v>0</v>
      </c>
      <c r="AK106" s="82">
        <f t="shared" si="24"/>
        <v>-91512.14327333332</v>
      </c>
      <c r="AL106" s="50"/>
      <c r="AM106" s="50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9"/>
      <c r="GD106" s="29"/>
      <c r="GE106" s="29"/>
      <c r="GF106" s="29"/>
      <c r="GG106" s="29"/>
      <c r="GH106" s="29"/>
      <c r="GI106" s="29"/>
      <c r="GJ106" s="29"/>
      <c r="GK106" s="29"/>
    </row>
    <row r="107" spans="1:193">
      <c r="AH107" s="24">
        <f>AH106*0.16</f>
        <v>19447.250948266661</v>
      </c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  <c r="FD107" s="29"/>
      <c r="FE107" s="29"/>
      <c r="FF107" s="29"/>
      <c r="FG107" s="29"/>
      <c r="FH107" s="29"/>
      <c r="FI107" s="29"/>
      <c r="FJ107" s="29"/>
      <c r="FK107" s="29"/>
      <c r="FL107" s="29"/>
      <c r="FM107" s="29"/>
      <c r="FN107" s="29"/>
      <c r="FO107" s="29"/>
      <c r="FP107" s="29"/>
      <c r="FQ107" s="29"/>
      <c r="FR107" s="29"/>
      <c r="FS107" s="29"/>
      <c r="FT107" s="29"/>
      <c r="FU107" s="29"/>
      <c r="FV107" s="29"/>
      <c r="FW107" s="29"/>
      <c r="FX107" s="29"/>
      <c r="FY107" s="29"/>
      <c r="FZ107" s="29"/>
      <c r="GA107" s="29"/>
      <c r="GB107" s="29"/>
      <c r="GC107" s="29"/>
      <c r="GD107" s="29"/>
      <c r="GE107" s="29"/>
      <c r="GF107" s="29"/>
      <c r="GG107" s="29"/>
      <c r="GH107" s="29"/>
      <c r="GI107" s="29"/>
      <c r="GJ107" s="29"/>
      <c r="GK107" s="29"/>
    </row>
    <row r="108" spans="1:193" hidden="1">
      <c r="A108" s="211" t="s">
        <v>229</v>
      </c>
      <c r="B108" s="211"/>
      <c r="C108" s="153"/>
      <c r="D108" s="50"/>
      <c r="E108" s="50"/>
      <c r="F108" s="50"/>
      <c r="G108" s="50"/>
      <c r="H108" s="50"/>
      <c r="I108" s="52"/>
      <c r="J108" s="118"/>
      <c r="K108" s="52"/>
      <c r="L108" s="52"/>
      <c r="M108" s="52"/>
      <c r="N108" s="52"/>
      <c r="O108" s="52"/>
      <c r="P108" s="52"/>
      <c r="Q108" s="80"/>
      <c r="R108" s="52"/>
      <c r="S108" s="52"/>
      <c r="T108" s="68"/>
      <c r="U108" s="68"/>
      <c r="V108" s="68"/>
      <c r="W108" s="68"/>
      <c r="X108" s="52"/>
      <c r="Y108" s="52"/>
      <c r="Z108" s="52"/>
      <c r="AA108" s="52"/>
      <c r="AB108" s="80"/>
      <c r="AC108" s="52"/>
      <c r="AD108" s="80"/>
      <c r="AE108" s="52"/>
      <c r="AF108" s="52"/>
      <c r="AG108" s="52"/>
      <c r="AH108" s="80">
        <f>+AH106+AH107</f>
        <v>140992.56937493329</v>
      </c>
      <c r="AI108" s="100"/>
      <c r="AJ108" s="100"/>
      <c r="AK108" s="82"/>
      <c r="AL108" s="50"/>
      <c r="AM108" s="50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29"/>
      <c r="FS108" s="29"/>
      <c r="FT108" s="29"/>
      <c r="FU108" s="29"/>
      <c r="FV108" s="29"/>
      <c r="FW108" s="29"/>
      <c r="FX108" s="29"/>
      <c r="FY108" s="29"/>
      <c r="FZ108" s="29"/>
      <c r="GA108" s="29"/>
      <c r="GB108" s="29"/>
      <c r="GC108" s="29"/>
      <c r="GD108" s="29"/>
      <c r="GE108" s="29"/>
      <c r="GF108" s="29"/>
      <c r="GG108" s="29"/>
      <c r="GH108" s="29"/>
      <c r="GI108" s="29"/>
      <c r="GJ108" s="29"/>
      <c r="GK108" s="29"/>
    </row>
    <row r="109" spans="1:193" hidden="1">
      <c r="A109" s="64" t="s">
        <v>84</v>
      </c>
      <c r="B109" s="50" t="s">
        <v>230</v>
      </c>
      <c r="C109" s="50"/>
      <c r="D109" s="51"/>
      <c r="E109" s="50" t="s">
        <v>300</v>
      </c>
      <c r="F109" s="135">
        <v>41142</v>
      </c>
      <c r="G109" s="50"/>
      <c r="H109" s="50"/>
      <c r="I109" s="52"/>
      <c r="J109" s="118"/>
      <c r="K109" s="68"/>
      <c r="L109" s="52"/>
      <c r="M109" s="52"/>
      <c r="N109" s="52"/>
      <c r="O109" s="52"/>
      <c r="P109" s="52"/>
      <c r="Q109" s="55">
        <f>SUM(K109:P109)</f>
        <v>0</v>
      </c>
      <c r="R109" s="56"/>
      <c r="S109" s="56"/>
      <c r="T109" s="68"/>
      <c r="U109" s="66">
        <f>Q109*4.9%</f>
        <v>0</v>
      </c>
      <c r="V109" s="66">
        <f>Q109*1%</f>
        <v>0</v>
      </c>
      <c r="W109" s="68"/>
      <c r="X109" s="84"/>
      <c r="Y109" s="84"/>
      <c r="Z109" s="84"/>
      <c r="AA109" s="84"/>
      <c r="AB109" s="55">
        <f t="shared" ref="AB109:AB110" si="25">+Q109-SUM(R109:AA109)</f>
        <v>0</v>
      </c>
      <c r="AC109" s="60">
        <f>+AB109*0.05</f>
        <v>0</v>
      </c>
      <c r="AD109" s="55">
        <f>+AB109-X109-AA109</f>
        <v>0</v>
      </c>
      <c r="AE109" s="61">
        <f>IF(AB109&lt;3000,AB109*0.1,0)</f>
        <v>0</v>
      </c>
      <c r="AF109" s="60">
        <v>0</v>
      </c>
      <c r="AG109" s="60"/>
      <c r="AH109" s="55">
        <f>+AB109+AE109+AF109</f>
        <v>0</v>
      </c>
      <c r="AI109" s="101"/>
      <c r="AJ109" s="101"/>
      <c r="AK109" s="85"/>
      <c r="AL109" s="50"/>
      <c r="AM109" s="6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  <c r="FD109" s="29"/>
      <c r="FE109" s="29"/>
      <c r="FF109" s="29"/>
      <c r="FG109" s="29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29"/>
      <c r="FS109" s="29"/>
      <c r="FT109" s="29"/>
      <c r="FU109" s="29"/>
      <c r="FV109" s="29"/>
      <c r="FW109" s="29"/>
      <c r="FX109" s="29"/>
      <c r="FY109" s="29"/>
      <c r="FZ109" s="29"/>
      <c r="GA109" s="29"/>
      <c r="GB109" s="29"/>
      <c r="GC109" s="29"/>
      <c r="GD109" s="29"/>
      <c r="GE109" s="29"/>
      <c r="GF109" s="29"/>
      <c r="GG109" s="29"/>
      <c r="GH109" s="29"/>
      <c r="GI109" s="29"/>
      <c r="GJ109" s="29"/>
      <c r="GK109" s="29"/>
    </row>
    <row r="110" spans="1:193" hidden="1">
      <c r="A110" s="64" t="s">
        <v>84</v>
      </c>
      <c r="B110" s="51" t="s">
        <v>249</v>
      </c>
      <c r="C110" s="51"/>
      <c r="D110" s="51"/>
      <c r="E110" s="51"/>
      <c r="F110" s="136">
        <v>40824</v>
      </c>
      <c r="G110" s="51"/>
      <c r="H110" s="51"/>
      <c r="I110" s="53"/>
      <c r="J110" s="115"/>
      <c r="K110" s="68"/>
      <c r="L110" s="68"/>
      <c r="M110" s="53"/>
      <c r="N110" s="53"/>
      <c r="O110" s="53"/>
      <c r="P110" s="53"/>
      <c r="Q110" s="55">
        <f>SUM(K110:P110)</f>
        <v>0</v>
      </c>
      <c r="R110" s="56"/>
      <c r="S110" s="56"/>
      <c r="T110" s="68"/>
      <c r="U110" s="68"/>
      <c r="V110" s="68"/>
      <c r="W110" s="68"/>
      <c r="X110" s="84"/>
      <c r="Y110" s="84"/>
      <c r="Z110" s="71">
        <v>364.96</v>
      </c>
      <c r="AA110" s="84"/>
      <c r="AB110" s="55">
        <f t="shared" si="25"/>
        <v>-364.96</v>
      </c>
      <c r="AC110" s="60">
        <f>+AB110*0.05</f>
        <v>-18.248000000000001</v>
      </c>
      <c r="AD110" s="55">
        <f>+AB110-X110-AA110</f>
        <v>-364.96</v>
      </c>
      <c r="AE110" s="61">
        <f>IF(AB110&lt;3000,AB110*0.1,0)</f>
        <v>-36.496000000000002</v>
      </c>
      <c r="AF110" s="60">
        <v>0</v>
      </c>
      <c r="AG110" s="60"/>
      <c r="AH110" s="55">
        <f>+AB110+AE110+AF110</f>
        <v>-401.45599999999996</v>
      </c>
      <c r="AI110" s="101"/>
      <c r="AJ110" s="101"/>
      <c r="AK110" s="85"/>
      <c r="AL110" s="50"/>
      <c r="AM110" s="141" t="s">
        <v>287</v>
      </c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  <c r="EM110" s="29"/>
      <c r="EN110" s="29"/>
      <c r="EO110" s="29"/>
      <c r="EP110" s="29"/>
      <c r="EQ110" s="29"/>
      <c r="ER110" s="29"/>
      <c r="ES110" s="29"/>
      <c r="ET110" s="29"/>
      <c r="EU110" s="29"/>
      <c r="EV110" s="29"/>
      <c r="EW110" s="29"/>
      <c r="EX110" s="29"/>
      <c r="EY110" s="29"/>
      <c r="EZ110" s="29"/>
      <c r="FA110" s="29"/>
      <c r="FB110" s="29"/>
      <c r="FC110" s="29"/>
      <c r="FD110" s="29"/>
      <c r="FE110" s="29"/>
      <c r="FF110" s="29"/>
      <c r="FG110" s="29"/>
      <c r="FH110" s="29"/>
      <c r="FI110" s="29"/>
      <c r="FJ110" s="29"/>
      <c r="FK110" s="29"/>
      <c r="FL110" s="29"/>
      <c r="FM110" s="29"/>
      <c r="FN110" s="29"/>
      <c r="FO110" s="29"/>
      <c r="FP110" s="29"/>
      <c r="FQ110" s="29"/>
      <c r="FR110" s="29"/>
      <c r="FS110" s="29"/>
      <c r="FT110" s="29"/>
      <c r="FU110" s="29"/>
      <c r="FV110" s="29"/>
      <c r="FW110" s="29"/>
      <c r="FX110" s="29"/>
      <c r="FY110" s="29"/>
      <c r="FZ110" s="29"/>
      <c r="GA110" s="29"/>
      <c r="GB110" s="29"/>
      <c r="GC110" s="29"/>
      <c r="GD110" s="29"/>
      <c r="GE110" s="29"/>
      <c r="GF110" s="29"/>
      <c r="GG110" s="29"/>
      <c r="GH110" s="29"/>
      <c r="GI110" s="29"/>
      <c r="GJ110" s="29"/>
      <c r="GK110" s="29"/>
    </row>
    <row r="111" spans="1:193" hidden="1">
      <c r="AH111" s="24">
        <f>SUM(AH109:AH110)</f>
        <v>-401.45599999999996</v>
      </c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  <c r="EM111" s="29"/>
      <c r="EN111" s="29"/>
      <c r="EO111" s="29"/>
      <c r="EP111" s="29"/>
      <c r="EQ111" s="29"/>
      <c r="ER111" s="29"/>
      <c r="ES111" s="29"/>
      <c r="ET111" s="29"/>
      <c r="EU111" s="29"/>
      <c r="EV111" s="29"/>
      <c r="EW111" s="29"/>
      <c r="EX111" s="29"/>
      <c r="EY111" s="29"/>
      <c r="EZ111" s="29"/>
      <c r="FA111" s="29"/>
      <c r="FB111" s="29"/>
      <c r="FC111" s="29"/>
      <c r="FD111" s="29"/>
      <c r="FE111" s="29"/>
      <c r="FF111" s="29"/>
      <c r="FG111" s="29"/>
      <c r="FH111" s="29"/>
      <c r="FI111" s="29"/>
      <c r="FJ111" s="29"/>
      <c r="FK111" s="29"/>
      <c r="FL111" s="29"/>
      <c r="FM111" s="29"/>
      <c r="FN111" s="29"/>
      <c r="FO111" s="29"/>
      <c r="FP111" s="29"/>
      <c r="FQ111" s="29"/>
      <c r="FR111" s="29"/>
      <c r="FS111" s="29"/>
      <c r="FT111" s="29"/>
      <c r="FU111" s="29"/>
      <c r="FV111" s="29"/>
      <c r="FW111" s="29"/>
      <c r="FX111" s="29"/>
      <c r="FY111" s="29"/>
      <c r="FZ111" s="29"/>
      <c r="GA111" s="29"/>
      <c r="GB111" s="29"/>
      <c r="GC111" s="29"/>
      <c r="GD111" s="29"/>
      <c r="GE111" s="29"/>
      <c r="GF111" s="29"/>
      <c r="GG111" s="29"/>
      <c r="GH111" s="29"/>
      <c r="GI111" s="29"/>
      <c r="GJ111" s="29"/>
      <c r="GK111" s="29"/>
    </row>
    <row r="112" spans="1:193" hidden="1">
      <c r="B112" s="32"/>
      <c r="C112" s="32"/>
      <c r="D112" s="32"/>
      <c r="AH112" s="24">
        <f>+AH111*0.16</f>
        <v>-64.232959999999991</v>
      </c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  <c r="EM112" s="29"/>
      <c r="EN112" s="29"/>
      <c r="EO112" s="29"/>
      <c r="EP112" s="29"/>
      <c r="EQ112" s="29"/>
      <c r="ER112" s="29"/>
      <c r="ES112" s="29"/>
      <c r="ET112" s="29"/>
      <c r="EU112" s="29"/>
      <c r="EV112" s="29"/>
      <c r="EW112" s="29"/>
      <c r="EX112" s="29"/>
      <c r="EY112" s="29"/>
      <c r="EZ112" s="29"/>
      <c r="FA112" s="29"/>
      <c r="FB112" s="29"/>
      <c r="FC112" s="29"/>
      <c r="FD112" s="29"/>
      <c r="FE112" s="29"/>
      <c r="FF112" s="29"/>
      <c r="FG112" s="29"/>
      <c r="FH112" s="29"/>
      <c r="FI112" s="29"/>
      <c r="FJ112" s="29"/>
      <c r="FK112" s="29"/>
      <c r="FL112" s="29"/>
      <c r="FM112" s="29"/>
      <c r="FN112" s="29"/>
      <c r="FO112" s="29"/>
      <c r="FP112" s="29"/>
      <c r="FQ112" s="29"/>
      <c r="FR112" s="29"/>
      <c r="FS112" s="29"/>
      <c r="FT112" s="29"/>
      <c r="FU112" s="29"/>
      <c r="FV112" s="29"/>
      <c r="FW112" s="29"/>
      <c r="FX112" s="29"/>
      <c r="FY112" s="29"/>
      <c r="FZ112" s="29"/>
      <c r="GA112" s="29"/>
      <c r="GB112" s="29"/>
      <c r="GC112" s="29"/>
      <c r="GD112" s="29"/>
      <c r="GE112" s="29"/>
      <c r="GF112" s="29"/>
      <c r="GG112" s="29"/>
      <c r="GH112" s="29"/>
      <c r="GI112" s="29"/>
      <c r="GJ112" s="29"/>
      <c r="GK112" s="29"/>
    </row>
    <row r="113" spans="1:193" hidden="1">
      <c r="A113" s="196" t="s">
        <v>248</v>
      </c>
      <c r="B113" s="196"/>
      <c r="C113" s="32"/>
      <c r="D113" s="32"/>
      <c r="AH113" s="24">
        <f>+AH111+AH112</f>
        <v>-465.68895999999995</v>
      </c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29"/>
      <c r="FI113" s="29"/>
      <c r="FJ113" s="29"/>
      <c r="FK113" s="29"/>
      <c r="FL113" s="29"/>
      <c r="FM113" s="29"/>
      <c r="FN113" s="29"/>
      <c r="FO113" s="29"/>
      <c r="FP113" s="29"/>
      <c r="FQ113" s="29"/>
      <c r="FR113" s="29"/>
      <c r="FS113" s="29"/>
      <c r="FT113" s="29"/>
      <c r="FU113" s="29"/>
      <c r="FV113" s="29"/>
      <c r="FW113" s="29"/>
      <c r="FX113" s="29"/>
      <c r="FY113" s="29"/>
      <c r="FZ113" s="29"/>
      <c r="GA113" s="29"/>
      <c r="GB113" s="29"/>
      <c r="GC113" s="29"/>
      <c r="GD113" s="29"/>
      <c r="GE113" s="29"/>
      <c r="GF113" s="29"/>
      <c r="GG113" s="29"/>
      <c r="GH113" s="29"/>
      <c r="GI113" s="29"/>
      <c r="GJ113" s="29"/>
      <c r="GK113" s="29"/>
    </row>
    <row r="114" spans="1:193" s="29" customFormat="1" hidden="1">
      <c r="A114" s="64" t="s">
        <v>68</v>
      </c>
      <c r="B114" s="64" t="s">
        <v>205</v>
      </c>
      <c r="C114" s="64" t="s">
        <v>204</v>
      </c>
      <c r="D114" s="76"/>
      <c r="E114" s="64" t="s">
        <v>70</v>
      </c>
      <c r="F114" s="67">
        <v>42240</v>
      </c>
      <c r="G114" s="64"/>
      <c r="H114" s="64"/>
      <c r="I114" s="68"/>
      <c r="J114" s="116"/>
      <c r="K114" s="68">
        <f t="shared" ref="K114" si="26">+I114+J114</f>
        <v>0</v>
      </c>
      <c r="L114" s="68"/>
      <c r="M114" s="68"/>
      <c r="N114" s="68"/>
      <c r="O114" s="68"/>
      <c r="P114" s="109"/>
      <c r="Q114" s="122">
        <f t="shared" ref="Q114" si="27">SUM(K114:O114)-P114</f>
        <v>0</v>
      </c>
      <c r="R114" s="68"/>
      <c r="S114" s="68">
        <v>58.91</v>
      </c>
      <c r="T114" s="68"/>
      <c r="U114" s="68"/>
      <c r="V114" s="68"/>
      <c r="W114" s="68"/>
      <c r="X114" s="60"/>
      <c r="Y114" s="60"/>
      <c r="Z114" s="64"/>
      <c r="AA114" s="64">
        <v>0</v>
      </c>
      <c r="AB114" s="122">
        <f t="shared" ref="AB114" si="28">+Q114-SUM(R114:AA114)</f>
        <v>-58.91</v>
      </c>
      <c r="AC114" s="60">
        <f t="shared" ref="AC114" si="29">IF(Q114&gt;2250,Q114*0.1,0)</f>
        <v>0</v>
      </c>
      <c r="AD114" s="122">
        <f>+AB114-AC114</f>
        <v>-58.91</v>
      </c>
      <c r="AE114" s="60">
        <f>IF(Q114&lt;3500,Q114*0.1,0)</f>
        <v>0</v>
      </c>
      <c r="AF114" s="60">
        <v>10.23</v>
      </c>
      <c r="AG114" s="60">
        <f t="shared" ref="AG114" si="30">+U114</f>
        <v>0</v>
      </c>
      <c r="AH114" s="122">
        <f t="shared" ref="AH114" si="31">+Q114+AE114+AF114+AG114</f>
        <v>10.23</v>
      </c>
      <c r="AI114" s="102"/>
      <c r="AJ114" s="105"/>
      <c r="AK114" s="63">
        <f t="shared" ref="AK114" si="32">+AI114+AJ114-AD114</f>
        <v>58.91</v>
      </c>
      <c r="AL114" s="64"/>
      <c r="AM114" s="108" t="s">
        <v>247</v>
      </c>
    </row>
    <row r="115" spans="1:193" hidden="1"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29"/>
      <c r="ES115" s="29"/>
      <c r="ET115" s="29"/>
      <c r="EU115" s="29"/>
      <c r="EV115" s="29"/>
      <c r="EW115" s="29"/>
      <c r="EX115" s="29"/>
      <c r="EY115" s="29"/>
      <c r="EZ115" s="29"/>
      <c r="FA115" s="29"/>
      <c r="FB115" s="29"/>
      <c r="FC115" s="29"/>
      <c r="FD115" s="29"/>
      <c r="FE115" s="29"/>
      <c r="FF115" s="29"/>
      <c r="FG115" s="29"/>
      <c r="FH115" s="29"/>
      <c r="FI115" s="29"/>
      <c r="FJ115" s="29"/>
      <c r="FK115" s="29"/>
      <c r="FL115" s="29"/>
      <c r="FM115" s="29"/>
      <c r="FN115" s="29"/>
      <c r="FO115" s="29"/>
      <c r="FP115" s="29"/>
      <c r="FQ115" s="29"/>
      <c r="FR115" s="29"/>
      <c r="FS115" s="29"/>
      <c r="FT115" s="29"/>
      <c r="FU115" s="29"/>
      <c r="FV115" s="29"/>
      <c r="FW115" s="29"/>
      <c r="FX115" s="29"/>
      <c r="FY115" s="29"/>
      <c r="FZ115" s="29"/>
      <c r="GA115" s="29"/>
      <c r="GB115" s="29"/>
      <c r="GC115" s="29"/>
      <c r="GD115" s="29"/>
      <c r="GE115" s="29"/>
      <c r="GF115" s="29"/>
      <c r="GG115" s="29"/>
      <c r="GH115" s="29"/>
      <c r="GI115" s="29"/>
      <c r="GJ115" s="29"/>
      <c r="GK115" s="29"/>
    </row>
    <row r="116" spans="1:193" hidden="1"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29"/>
      <c r="GB116" s="29"/>
      <c r="GC116" s="29"/>
      <c r="GD116" s="29"/>
      <c r="GE116" s="29"/>
      <c r="GF116" s="29"/>
      <c r="GG116" s="29"/>
      <c r="GH116" s="29"/>
      <c r="GI116" s="29"/>
      <c r="GJ116" s="29"/>
      <c r="GK116" s="29"/>
    </row>
    <row r="117" spans="1:193" hidden="1"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  <c r="FD117" s="29"/>
      <c r="FE117" s="29"/>
      <c r="FF117" s="29"/>
      <c r="FG117" s="29"/>
      <c r="FH117" s="29"/>
      <c r="FI117" s="29"/>
      <c r="FJ117" s="29"/>
      <c r="FK117" s="29"/>
      <c r="FL117" s="29"/>
      <c r="FM117" s="29"/>
      <c r="FN117" s="29"/>
      <c r="FO117" s="29"/>
      <c r="FP117" s="29"/>
      <c r="FQ117" s="29"/>
      <c r="FR117" s="29"/>
      <c r="FS117" s="29"/>
      <c r="FT117" s="29"/>
      <c r="FU117" s="29"/>
      <c r="FV117" s="29"/>
      <c r="FW117" s="29"/>
      <c r="FX117" s="29"/>
      <c r="FY117" s="29"/>
      <c r="FZ117" s="29"/>
      <c r="GA117" s="29"/>
      <c r="GB117" s="29"/>
      <c r="GC117" s="29"/>
      <c r="GD117" s="29"/>
      <c r="GE117" s="29"/>
      <c r="GF117" s="29"/>
      <c r="GG117" s="29"/>
      <c r="GH117" s="29"/>
      <c r="GI117" s="29"/>
      <c r="GJ117" s="29"/>
      <c r="GK117" s="29"/>
    </row>
    <row r="118" spans="1:193" hidden="1"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29"/>
      <c r="GD118" s="29"/>
      <c r="GE118" s="29"/>
      <c r="GF118" s="29"/>
      <c r="GG118" s="29"/>
      <c r="GH118" s="29"/>
      <c r="GI118" s="29"/>
      <c r="GJ118" s="29"/>
      <c r="GK118" s="29"/>
    </row>
    <row r="119" spans="1:193" hidden="1"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29"/>
      <c r="GD119" s="29"/>
      <c r="GE119" s="29"/>
      <c r="GF119" s="29"/>
      <c r="GG119" s="29"/>
      <c r="GH119" s="29"/>
      <c r="GI119" s="29"/>
      <c r="GJ119" s="29"/>
      <c r="GK119" s="29"/>
    </row>
    <row r="120" spans="1:193" hidden="1"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29"/>
      <c r="ES120" s="29"/>
      <c r="ET120" s="29"/>
      <c r="EU120" s="29"/>
      <c r="EV120" s="29"/>
      <c r="EW120" s="29"/>
      <c r="EX120" s="29"/>
      <c r="EY120" s="29"/>
      <c r="EZ120" s="29"/>
      <c r="FA120" s="29"/>
      <c r="FB120" s="29"/>
      <c r="FC120" s="29"/>
      <c r="FD120" s="29"/>
      <c r="FE120" s="29"/>
      <c r="FF120" s="29"/>
      <c r="FG120" s="29"/>
      <c r="FH120" s="29"/>
      <c r="FI120" s="29"/>
      <c r="FJ120" s="29"/>
      <c r="FK120" s="29"/>
      <c r="FL120" s="29"/>
      <c r="FM120" s="29"/>
      <c r="FN120" s="29"/>
      <c r="FO120" s="29"/>
      <c r="FP120" s="29"/>
      <c r="FQ120" s="29"/>
      <c r="FR120" s="29"/>
      <c r="FS120" s="29"/>
      <c r="FT120" s="29"/>
      <c r="FU120" s="29"/>
      <c r="FV120" s="29"/>
      <c r="FW120" s="29"/>
      <c r="FX120" s="29"/>
      <c r="FY120" s="29"/>
      <c r="FZ120" s="29"/>
      <c r="GA120" s="29"/>
      <c r="GB120" s="29"/>
      <c r="GC120" s="29"/>
      <c r="GD120" s="29"/>
      <c r="GE120" s="29"/>
      <c r="GF120" s="29"/>
      <c r="GG120" s="29"/>
      <c r="GH120" s="29"/>
      <c r="GI120" s="29"/>
      <c r="GJ120" s="29"/>
      <c r="GK120" s="29"/>
    </row>
    <row r="121" spans="1:193" hidden="1">
      <c r="A121" s="31" t="s">
        <v>54</v>
      </c>
      <c r="B121" s="23"/>
      <c r="C121" s="23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  <c r="EM121" s="29"/>
      <c r="EN121" s="29"/>
      <c r="EO121" s="29"/>
      <c r="EP121" s="29"/>
      <c r="EQ121" s="29"/>
      <c r="ER121" s="29"/>
      <c r="ES121" s="29"/>
      <c r="ET121" s="29"/>
      <c r="EU121" s="29"/>
      <c r="EV121" s="29"/>
      <c r="EW121" s="29"/>
      <c r="EX121" s="29"/>
      <c r="EY121" s="29"/>
      <c r="EZ121" s="29"/>
      <c r="FA121" s="29"/>
      <c r="FB121" s="29"/>
      <c r="FC121" s="29"/>
      <c r="FD121" s="29"/>
      <c r="FE121" s="29"/>
      <c r="FF121" s="29"/>
      <c r="FG121" s="29"/>
      <c r="FH121" s="29"/>
      <c r="FI121" s="29"/>
      <c r="FJ121" s="29"/>
      <c r="FK121" s="29"/>
      <c r="FL121" s="29"/>
      <c r="FM121" s="29"/>
      <c r="FN121" s="29"/>
      <c r="FO121" s="29"/>
      <c r="FP121" s="29"/>
      <c r="FQ121" s="29"/>
      <c r="FR121" s="29"/>
      <c r="FS121" s="29"/>
      <c r="FT121" s="29"/>
      <c r="FU121" s="29"/>
      <c r="FV121" s="29"/>
      <c r="FW121" s="29"/>
      <c r="FX121" s="29"/>
      <c r="FY121" s="29"/>
      <c r="FZ121" s="29"/>
      <c r="GA121" s="29"/>
      <c r="GB121" s="29"/>
      <c r="GC121" s="29"/>
      <c r="GD121" s="29"/>
      <c r="GE121" s="29"/>
      <c r="GF121" s="29"/>
      <c r="GG121" s="29"/>
      <c r="GH121" s="29"/>
      <c r="GI121" s="29"/>
      <c r="GJ121" s="29"/>
      <c r="GK121" s="29"/>
    </row>
    <row r="122" spans="1:193" hidden="1">
      <c r="A122" s="31" t="s">
        <v>55</v>
      </c>
      <c r="B122" s="23"/>
      <c r="C122" s="23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  <c r="EM122" s="29"/>
      <c r="EN122" s="29"/>
      <c r="EO122" s="29"/>
      <c r="EP122" s="29"/>
      <c r="EQ122" s="29"/>
      <c r="ER122" s="29"/>
      <c r="ES122" s="29"/>
      <c r="ET122" s="29"/>
      <c r="EU122" s="29"/>
      <c r="EV122" s="29"/>
      <c r="EW122" s="29"/>
      <c r="EX122" s="29"/>
      <c r="EY122" s="29"/>
      <c r="EZ122" s="29"/>
      <c r="FA122" s="29"/>
      <c r="FB122" s="29"/>
      <c r="FC122" s="29"/>
      <c r="FD122" s="29"/>
      <c r="FE122" s="29"/>
      <c r="FF122" s="29"/>
      <c r="FG122" s="29"/>
      <c r="FH122" s="29"/>
      <c r="FI122" s="29"/>
      <c r="FJ122" s="29"/>
      <c r="FK122" s="29"/>
      <c r="FL122" s="29"/>
      <c r="FM122" s="29"/>
      <c r="FN122" s="29"/>
      <c r="FO122" s="29"/>
      <c r="FP122" s="29"/>
      <c r="FQ122" s="29"/>
      <c r="FR122" s="29"/>
      <c r="FS122" s="29"/>
      <c r="FT122" s="29"/>
      <c r="FU122" s="29"/>
      <c r="FV122" s="29"/>
      <c r="FW122" s="29"/>
      <c r="FX122" s="29"/>
      <c r="FY122" s="29"/>
      <c r="FZ122" s="29"/>
      <c r="GA122" s="29"/>
      <c r="GB122" s="29"/>
      <c r="GC122" s="29"/>
      <c r="GD122" s="29"/>
      <c r="GE122" s="29"/>
      <c r="GF122" s="29"/>
      <c r="GG122" s="29"/>
      <c r="GH122" s="29"/>
      <c r="GI122" s="29"/>
      <c r="GJ122" s="29"/>
      <c r="GK122" s="29"/>
    </row>
    <row r="123" spans="1:193" hidden="1">
      <c r="A123" s="31" t="s">
        <v>56</v>
      </c>
      <c r="B123" s="23"/>
      <c r="C123" s="23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29"/>
      <c r="EZ123" s="29"/>
      <c r="FA123" s="29"/>
      <c r="FB123" s="29"/>
      <c r="FC123" s="29"/>
      <c r="FD123" s="29"/>
      <c r="FE123" s="29"/>
      <c r="FF123" s="29"/>
      <c r="FG123" s="29"/>
      <c r="FH123" s="29"/>
      <c r="FI123" s="29"/>
      <c r="FJ123" s="29"/>
      <c r="FK123" s="29"/>
      <c r="FL123" s="29"/>
      <c r="FM123" s="29"/>
      <c r="FN123" s="29"/>
      <c r="FO123" s="29"/>
      <c r="FP123" s="29"/>
      <c r="FQ123" s="29"/>
      <c r="FR123" s="29"/>
      <c r="FS123" s="29"/>
      <c r="FT123" s="29"/>
      <c r="FU123" s="29"/>
      <c r="FV123" s="29"/>
      <c r="FW123" s="29"/>
      <c r="FX123" s="29"/>
      <c r="FY123" s="29"/>
      <c r="FZ123" s="29"/>
      <c r="GA123" s="29"/>
      <c r="GB123" s="29"/>
      <c r="GC123" s="29"/>
      <c r="GD123" s="29"/>
      <c r="GE123" s="29"/>
      <c r="GF123" s="29"/>
      <c r="GG123" s="29"/>
      <c r="GH123" s="29"/>
      <c r="GI123" s="29"/>
      <c r="GJ123" s="29"/>
      <c r="GK123" s="29"/>
    </row>
    <row r="124" spans="1:193" hidden="1">
      <c r="A124" s="31" t="s">
        <v>57</v>
      </c>
      <c r="B124" s="23"/>
      <c r="C124" s="23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29"/>
      <c r="GJ124" s="29"/>
      <c r="GK124" s="29"/>
    </row>
    <row r="125" spans="1:193" hidden="1">
      <c r="A125" s="31" t="s">
        <v>58</v>
      </c>
      <c r="B125" s="23"/>
      <c r="C125" s="23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29"/>
      <c r="ES125" s="29"/>
      <c r="ET125" s="29"/>
      <c r="EU125" s="29"/>
      <c r="EV125" s="29"/>
      <c r="EW125" s="29"/>
      <c r="EX125" s="29"/>
      <c r="EY125" s="29"/>
      <c r="EZ125" s="29"/>
      <c r="FA125" s="29"/>
      <c r="FB125" s="29"/>
      <c r="FC125" s="29"/>
      <c r="FD125" s="29"/>
      <c r="FE125" s="29"/>
      <c r="FF125" s="29"/>
      <c r="FG125" s="29"/>
      <c r="FH125" s="29"/>
      <c r="FI125" s="29"/>
      <c r="FJ125" s="29"/>
      <c r="FK125" s="29"/>
      <c r="FL125" s="29"/>
      <c r="FM125" s="29"/>
      <c r="FN125" s="29"/>
      <c r="FO125" s="29"/>
      <c r="FP125" s="29"/>
      <c r="FQ125" s="29"/>
      <c r="FR125" s="29"/>
      <c r="FS125" s="29"/>
      <c r="FT125" s="29"/>
      <c r="FU125" s="29"/>
      <c r="FV125" s="29"/>
      <c r="FW125" s="29"/>
      <c r="FX125" s="29"/>
      <c r="FY125" s="29"/>
      <c r="FZ125" s="29"/>
      <c r="GA125" s="29"/>
      <c r="GB125" s="29"/>
      <c r="GC125" s="29"/>
      <c r="GD125" s="29"/>
      <c r="GE125" s="29"/>
      <c r="GF125" s="29"/>
      <c r="GG125" s="29"/>
      <c r="GH125" s="29"/>
      <c r="GI125" s="29"/>
      <c r="GJ125" s="29"/>
      <c r="GK125" s="29"/>
    </row>
    <row r="126" spans="1:193" hidden="1">
      <c r="A126" s="31" t="s">
        <v>59</v>
      </c>
      <c r="B126" s="23"/>
      <c r="C126" s="23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  <c r="ET126" s="29"/>
      <c r="EU126" s="29"/>
      <c r="EV126" s="29"/>
      <c r="EW126" s="29"/>
      <c r="EX126" s="29"/>
      <c r="EY126" s="29"/>
      <c r="EZ126" s="29"/>
      <c r="FA126" s="29"/>
      <c r="FB126" s="29"/>
      <c r="FC126" s="29"/>
      <c r="FD126" s="29"/>
      <c r="FE126" s="29"/>
      <c r="FF126" s="29"/>
      <c r="FG126" s="29"/>
      <c r="FH126" s="29"/>
      <c r="FI126" s="29"/>
      <c r="FJ126" s="29"/>
      <c r="FK126" s="29"/>
      <c r="FL126" s="29"/>
      <c r="FM126" s="29"/>
      <c r="FN126" s="29"/>
      <c r="FO126" s="29"/>
      <c r="FP126" s="29"/>
      <c r="FQ126" s="29"/>
      <c r="FR126" s="29"/>
      <c r="FS126" s="29"/>
      <c r="FT126" s="29"/>
      <c r="FU126" s="29"/>
      <c r="FV126" s="29"/>
      <c r="FW126" s="29"/>
      <c r="FX126" s="29"/>
      <c r="FY126" s="29"/>
      <c r="FZ126" s="29"/>
      <c r="GA126" s="29"/>
      <c r="GB126" s="29"/>
      <c r="GC126" s="29"/>
      <c r="GD126" s="29"/>
      <c r="GE126" s="29"/>
      <c r="GF126" s="29"/>
      <c r="GG126" s="29"/>
      <c r="GH126" s="29"/>
      <c r="GI126" s="29"/>
      <c r="GJ126" s="29"/>
      <c r="GK126" s="29"/>
    </row>
    <row r="127" spans="1:193" hidden="1"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  <c r="EM127" s="29"/>
      <c r="EN127" s="29"/>
      <c r="EO127" s="29"/>
      <c r="EP127" s="29"/>
      <c r="EQ127" s="29"/>
      <c r="ER127" s="29"/>
      <c r="ES127" s="29"/>
      <c r="ET127" s="29"/>
      <c r="EU127" s="29"/>
      <c r="EV127" s="29"/>
      <c r="EW127" s="29"/>
      <c r="EX127" s="29"/>
      <c r="EY127" s="29"/>
      <c r="EZ127" s="29"/>
      <c r="FA127" s="29"/>
      <c r="FB127" s="29"/>
      <c r="FC127" s="29"/>
      <c r="FD127" s="29"/>
      <c r="FE127" s="29"/>
      <c r="FF127" s="29"/>
      <c r="FG127" s="29"/>
      <c r="FH127" s="29"/>
      <c r="FI127" s="29"/>
      <c r="FJ127" s="29"/>
      <c r="FK127" s="29"/>
      <c r="FL127" s="29"/>
      <c r="FM127" s="29"/>
      <c r="FN127" s="29"/>
      <c r="FO127" s="29"/>
      <c r="FP127" s="29"/>
      <c r="FQ127" s="29"/>
      <c r="FR127" s="29"/>
      <c r="FS127" s="29"/>
      <c r="FT127" s="29"/>
      <c r="FU127" s="29"/>
      <c r="FV127" s="29"/>
      <c r="FW127" s="29"/>
      <c r="FX127" s="29"/>
      <c r="FY127" s="29"/>
      <c r="FZ127" s="29"/>
      <c r="GA127" s="29"/>
      <c r="GB127" s="29"/>
      <c r="GC127" s="29"/>
      <c r="GD127" s="29"/>
      <c r="GE127" s="29"/>
      <c r="GF127" s="29"/>
      <c r="GG127" s="29"/>
      <c r="GH127" s="29"/>
      <c r="GI127" s="29"/>
      <c r="GJ127" s="29"/>
      <c r="GK127" s="29"/>
    </row>
    <row r="128" spans="1:193" hidden="1"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  <c r="ET128" s="29"/>
      <c r="EU128" s="29"/>
      <c r="EV128" s="29"/>
      <c r="EW128" s="29"/>
      <c r="EX128" s="29"/>
      <c r="EY128" s="29"/>
      <c r="EZ128" s="29"/>
      <c r="FA128" s="29"/>
      <c r="FB128" s="29"/>
      <c r="FC128" s="29"/>
      <c r="FD128" s="29"/>
      <c r="FE128" s="29"/>
      <c r="FF128" s="29"/>
      <c r="FG128" s="29"/>
      <c r="FH128" s="29"/>
      <c r="FI128" s="29"/>
      <c r="FJ128" s="29"/>
      <c r="FK128" s="29"/>
      <c r="FL128" s="29"/>
      <c r="FM128" s="29"/>
      <c r="FN128" s="29"/>
      <c r="FO128" s="29"/>
      <c r="FP128" s="29"/>
      <c r="FQ128" s="29"/>
      <c r="FR128" s="29"/>
      <c r="FS128" s="29"/>
      <c r="FT128" s="29"/>
      <c r="FU128" s="29"/>
      <c r="FV128" s="29"/>
      <c r="FW128" s="29"/>
      <c r="FX128" s="29"/>
      <c r="FY128" s="29"/>
      <c r="FZ128" s="29"/>
      <c r="GA128" s="29"/>
      <c r="GB128" s="29"/>
      <c r="GC128" s="29"/>
      <c r="GD128" s="29"/>
      <c r="GE128" s="29"/>
      <c r="GF128" s="29"/>
      <c r="GG128" s="29"/>
      <c r="GH128" s="29"/>
      <c r="GI128" s="29"/>
      <c r="GJ128" s="29"/>
      <c r="GK128" s="29"/>
    </row>
    <row r="129" spans="2:3" hidden="1"/>
    <row r="130" spans="2:3" hidden="1">
      <c r="B130" s="27"/>
      <c r="C130" s="36"/>
    </row>
    <row r="131" spans="2:3">
      <c r="B131" s="27"/>
      <c r="C131" s="36"/>
    </row>
    <row r="132" spans="2:3">
      <c r="B132" s="27"/>
      <c r="C132" s="36"/>
    </row>
  </sheetData>
  <sheetProtection selectLockedCells="1" selectUnlockedCells="1"/>
  <autoFilter ref="A5:AM104">
    <filterColumn colId="11">
      <customFilters>
        <customFilter operator="notEqual" val=" "/>
      </customFilters>
    </filterColumn>
    <filterColumn colId="34" showButton="0"/>
    <sortState ref="A8:AN94">
      <sortCondition ref="B5:B94"/>
    </sortState>
  </autoFilter>
  <mergeCells count="37">
    <mergeCell ref="B5:B6"/>
    <mergeCell ref="C5:C6"/>
    <mergeCell ref="D5:D6"/>
    <mergeCell ref="E5:E6"/>
    <mergeCell ref="F5:F6"/>
    <mergeCell ref="AM5:AM6"/>
    <mergeCell ref="A108:B108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N5:N6"/>
    <mergeCell ref="O5:O6"/>
    <mergeCell ref="A113:B113"/>
    <mergeCell ref="AH5:AH6"/>
    <mergeCell ref="AI5:AJ5"/>
    <mergeCell ref="AK5:AK6"/>
    <mergeCell ref="AL5:AL6"/>
    <mergeCell ref="P5:P6"/>
    <mergeCell ref="Q5:Q6"/>
    <mergeCell ref="R5:R6"/>
    <mergeCell ref="T5:T6"/>
    <mergeCell ref="G5:G6"/>
    <mergeCell ref="H5:H6"/>
    <mergeCell ref="I5:I6"/>
    <mergeCell ref="J5:J6"/>
    <mergeCell ref="K5:K6"/>
    <mergeCell ref="L5:L6"/>
    <mergeCell ref="A5:A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L130"/>
  <sheetViews>
    <sheetView tabSelected="1" zoomScale="90" zoomScaleNormal="90" workbookViewId="0">
      <pane xSplit="2" ySplit="6" topLeftCell="C40" activePane="bottomRight" state="frozen"/>
      <selection pane="topRight" activeCell="C1" sqref="C1"/>
      <selection pane="bottomLeft" activeCell="A7" sqref="A7"/>
      <selection pane="bottomRight" activeCell="B61" sqref="B61"/>
    </sheetView>
  </sheetViews>
  <sheetFormatPr baseColWidth="10" defaultColWidth="11.5703125" defaultRowHeight="15"/>
  <cols>
    <col min="1" max="1" width="28.7109375" style="31" customWidth="1"/>
    <col min="2" max="2" width="39.140625" style="31" customWidth="1"/>
    <col min="3" max="3" width="8.140625" style="31" customWidth="1"/>
    <col min="4" max="4" width="8.85546875" style="31" customWidth="1"/>
    <col min="5" max="5" width="31.5703125" style="31" customWidth="1"/>
    <col min="6" max="6" width="20.140625" style="31" customWidth="1"/>
    <col min="7" max="7" width="13" style="31" customWidth="1"/>
    <col min="8" max="8" width="11.7109375" style="31" customWidth="1"/>
    <col min="9" max="9" width="17.140625" style="23" customWidth="1"/>
    <col min="10" max="10" width="11.7109375" style="121" customWidth="1"/>
    <col min="11" max="13" width="13.85546875" style="23" customWidth="1"/>
    <col min="14" max="16" width="13.5703125" style="23" customWidth="1"/>
    <col min="17" max="17" width="17" style="24" customWidth="1"/>
    <col min="18" max="20" width="13.5703125" style="23" customWidth="1"/>
    <col min="21" max="21" width="13.5703125" style="25" customWidth="1"/>
    <col min="22" max="22" width="19.28515625" style="25" customWidth="1"/>
    <col min="23" max="23" width="16.85546875" style="25" customWidth="1"/>
    <col min="24" max="24" width="16.140625" style="25" customWidth="1"/>
    <col min="25" max="28" width="13.5703125" style="23" customWidth="1"/>
    <col min="29" max="29" width="16.7109375" style="24" customWidth="1"/>
    <col min="30" max="30" width="16.7109375" style="23" customWidth="1"/>
    <col min="31" max="31" width="15.42578125" style="24" customWidth="1"/>
    <col min="32" max="34" width="13.5703125" style="23" customWidth="1"/>
    <col min="35" max="35" width="15.42578125" style="24" customWidth="1"/>
    <col min="36" max="36" width="15.28515625" style="98" hidden="1" customWidth="1"/>
    <col min="37" max="37" width="12.7109375" style="98" hidden="1" customWidth="1"/>
    <col min="38" max="38" width="11.5703125" style="4" hidden="1" customWidth="1"/>
    <col min="39" max="39" width="58.7109375" style="31" bestFit="1" customWidth="1"/>
    <col min="40" max="40" width="101.7109375" style="31" bestFit="1" customWidth="1"/>
    <col min="41" max="54" width="11.5703125" style="29"/>
    <col min="55" max="16384" width="11.5703125" style="31"/>
  </cols>
  <sheetData>
    <row r="1" spans="1:54" s="17" customFormat="1">
      <c r="A1" s="12" t="s">
        <v>22</v>
      </c>
      <c r="B1" s="12"/>
      <c r="C1" s="12"/>
      <c r="D1" s="12"/>
      <c r="E1" s="13"/>
      <c r="F1" s="13"/>
      <c r="G1" s="13"/>
      <c r="H1" s="13"/>
      <c r="I1" s="14"/>
      <c r="J1" s="110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5"/>
      <c r="AD1" s="14"/>
      <c r="AE1" s="15"/>
      <c r="AF1" s="14"/>
      <c r="AG1" s="14"/>
      <c r="AH1" s="14"/>
      <c r="AI1" s="15"/>
      <c r="AJ1" s="97"/>
      <c r="AK1" s="97"/>
      <c r="AL1" s="40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54" s="17" customFormat="1">
      <c r="A2" s="18" t="s">
        <v>73</v>
      </c>
      <c r="B2" s="18"/>
      <c r="C2" s="18"/>
      <c r="D2" s="18"/>
      <c r="E2" s="19"/>
      <c r="F2" s="19"/>
      <c r="G2" s="19"/>
      <c r="H2" s="19"/>
      <c r="I2" s="14"/>
      <c r="J2" s="111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5"/>
      <c r="AD2" s="14"/>
      <c r="AE2" s="15"/>
      <c r="AF2" s="14"/>
      <c r="AG2" s="14"/>
      <c r="AH2" s="14"/>
      <c r="AI2" s="15"/>
      <c r="AJ2" s="97"/>
      <c r="AK2" s="97"/>
      <c r="AL2" s="40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54" s="17" customFormat="1">
      <c r="A3" s="20" t="s">
        <v>304</v>
      </c>
      <c r="B3" s="20"/>
      <c r="C3" s="20"/>
      <c r="D3" s="20"/>
      <c r="E3" s="21"/>
      <c r="F3" s="21"/>
      <c r="G3" s="21"/>
      <c r="H3" s="21"/>
      <c r="I3" s="14"/>
      <c r="J3" s="112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5"/>
      <c r="AD3" s="14"/>
      <c r="AE3" s="15"/>
      <c r="AF3" s="14"/>
      <c r="AG3" s="14"/>
      <c r="AH3" s="14"/>
      <c r="AI3" s="15"/>
      <c r="AJ3" s="97"/>
      <c r="AK3" s="97"/>
      <c r="AL3" s="40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s="22" customFormat="1">
      <c r="A4" s="22" t="s">
        <v>305</v>
      </c>
      <c r="I4" s="23"/>
      <c r="J4" s="113"/>
      <c r="K4" s="23"/>
      <c r="L4" s="23"/>
      <c r="M4" s="23"/>
      <c r="N4" s="23"/>
      <c r="O4" s="23"/>
      <c r="P4" s="23"/>
      <c r="Q4" s="24"/>
      <c r="R4" s="23"/>
      <c r="S4" s="23"/>
      <c r="T4" s="23"/>
      <c r="U4" s="25"/>
      <c r="V4" s="25"/>
      <c r="W4" s="25"/>
      <c r="X4" s="25"/>
      <c r="Y4" s="23"/>
      <c r="Z4" s="23"/>
      <c r="AA4" s="23"/>
      <c r="AB4" s="23"/>
      <c r="AC4" s="24"/>
      <c r="AD4" s="23"/>
      <c r="AE4" s="24"/>
      <c r="AF4" s="23"/>
      <c r="AG4" s="23"/>
      <c r="AH4" s="23"/>
      <c r="AI4" s="24"/>
      <c r="AJ4" s="98"/>
      <c r="AK4" s="98"/>
      <c r="AL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54" s="22" customFormat="1" ht="28.5" customHeight="1">
      <c r="A5" s="209" t="s">
        <v>36</v>
      </c>
      <c r="B5" s="213" t="s">
        <v>37</v>
      </c>
      <c r="C5" s="209" t="s">
        <v>207</v>
      </c>
      <c r="D5" s="213" t="s">
        <v>38</v>
      </c>
      <c r="E5" s="213" t="s">
        <v>0</v>
      </c>
      <c r="F5" s="209" t="s">
        <v>203</v>
      </c>
      <c r="G5" s="197" t="s">
        <v>64</v>
      </c>
      <c r="H5" s="197" t="s">
        <v>62</v>
      </c>
      <c r="I5" s="205" t="s">
        <v>63</v>
      </c>
      <c r="J5" s="207" t="s">
        <v>65</v>
      </c>
      <c r="K5" s="197" t="s">
        <v>272</v>
      </c>
      <c r="L5" s="207" t="s">
        <v>72</v>
      </c>
      <c r="M5" s="39"/>
      <c r="N5" s="197" t="s">
        <v>32</v>
      </c>
      <c r="O5" s="197" t="s">
        <v>33</v>
      </c>
      <c r="P5" s="197" t="s">
        <v>60</v>
      </c>
      <c r="Q5" s="197" t="s">
        <v>34</v>
      </c>
      <c r="R5" s="197" t="s">
        <v>35</v>
      </c>
      <c r="S5" s="195"/>
      <c r="T5" s="38"/>
      <c r="U5" s="203" t="s">
        <v>161</v>
      </c>
      <c r="V5" s="203" t="s">
        <v>182</v>
      </c>
      <c r="W5" s="203" t="s">
        <v>181</v>
      </c>
      <c r="X5" s="203" t="s">
        <v>162</v>
      </c>
      <c r="Y5" s="197" t="s">
        <v>28</v>
      </c>
      <c r="Z5" s="197" t="s">
        <v>53</v>
      </c>
      <c r="AA5" s="197" t="s">
        <v>52</v>
      </c>
      <c r="AB5" s="197" t="s">
        <v>30</v>
      </c>
      <c r="AC5" s="197" t="s">
        <v>61</v>
      </c>
      <c r="AD5" s="197" t="s">
        <v>25</v>
      </c>
      <c r="AE5" s="197" t="s">
        <v>29</v>
      </c>
      <c r="AF5" s="197" t="s">
        <v>24</v>
      </c>
      <c r="AG5" s="197" t="s">
        <v>26</v>
      </c>
      <c r="AH5" s="42"/>
      <c r="AI5" s="197" t="s">
        <v>27</v>
      </c>
      <c r="AJ5" s="199" t="s">
        <v>245</v>
      </c>
      <c r="AK5" s="200"/>
      <c r="AL5" s="201" t="s">
        <v>164</v>
      </c>
      <c r="AM5" s="202" t="s">
        <v>211</v>
      </c>
      <c r="AN5" s="202" t="s">
        <v>212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s="35" customFormat="1" ht="39" customHeight="1">
      <c r="A6" s="210"/>
      <c r="B6" s="214"/>
      <c r="C6" s="210"/>
      <c r="D6" s="214"/>
      <c r="E6" s="214"/>
      <c r="F6" s="210"/>
      <c r="G6" s="198"/>
      <c r="H6" s="198"/>
      <c r="I6" s="206"/>
      <c r="J6" s="208"/>
      <c r="K6" s="198"/>
      <c r="L6" s="208"/>
      <c r="M6" s="43" t="s">
        <v>227</v>
      </c>
      <c r="N6" s="198"/>
      <c r="O6" s="198"/>
      <c r="P6" s="198"/>
      <c r="Q6" s="198"/>
      <c r="R6" s="198"/>
      <c r="S6" s="44" t="s">
        <v>306</v>
      </c>
      <c r="T6" s="44" t="s">
        <v>225</v>
      </c>
      <c r="U6" s="204"/>
      <c r="V6" s="204"/>
      <c r="W6" s="204"/>
      <c r="X6" s="204"/>
      <c r="Y6" s="198"/>
      <c r="Z6" s="198"/>
      <c r="AA6" s="198"/>
      <c r="AB6" s="198"/>
      <c r="AC6" s="198"/>
      <c r="AD6" s="198"/>
      <c r="AE6" s="198"/>
      <c r="AF6" s="198"/>
      <c r="AG6" s="198"/>
      <c r="AH6" s="38"/>
      <c r="AI6" s="198"/>
      <c r="AJ6" s="96" t="s">
        <v>63</v>
      </c>
      <c r="AK6" s="96" t="s">
        <v>65</v>
      </c>
      <c r="AL6" s="201"/>
      <c r="AM6" s="202"/>
      <c r="AN6" s="202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</row>
    <row r="7" spans="1:54" s="29" customFormat="1">
      <c r="A7" s="64" t="s">
        <v>81</v>
      </c>
      <c r="B7" s="64" t="s">
        <v>196</v>
      </c>
      <c r="C7" s="64"/>
      <c r="D7" s="64" t="s">
        <v>85</v>
      </c>
      <c r="E7" s="64" t="s">
        <v>69</v>
      </c>
      <c r="F7" s="134">
        <v>42062</v>
      </c>
      <c r="G7" s="64"/>
      <c r="H7" s="64"/>
      <c r="I7" s="68">
        <v>1166.26</v>
      </c>
      <c r="J7" s="176"/>
      <c r="K7" s="68">
        <f t="shared" ref="K7:K41" si="0">+I7+J7</f>
        <v>1166.26</v>
      </c>
      <c r="L7" s="68">
        <v>1601.28</v>
      </c>
      <c r="M7" s="68"/>
      <c r="N7" s="68"/>
      <c r="O7" s="68"/>
      <c r="P7" s="109"/>
      <c r="Q7" s="122">
        <f t="shared" ref="Q7:Q44" si="1">SUM(K7:O7)-P7</f>
        <v>2767.54</v>
      </c>
      <c r="R7" s="68"/>
      <c r="S7" s="68"/>
      <c r="T7" s="68"/>
      <c r="U7" s="68">
        <v>0</v>
      </c>
      <c r="V7" s="68"/>
      <c r="W7" s="68"/>
      <c r="X7" s="68"/>
      <c r="Y7" s="60"/>
      <c r="Z7" s="60"/>
      <c r="AA7" s="64"/>
      <c r="AB7" s="64">
        <v>0</v>
      </c>
      <c r="AC7" s="122">
        <f t="shared" ref="AC7:AC39" si="2">+Q7-SUM(R7:AB7)</f>
        <v>2767.54</v>
      </c>
      <c r="AD7" s="60">
        <f>IF(Q7&gt;2250,Q7*0.1,0)</f>
        <v>276.75400000000002</v>
      </c>
      <c r="AE7" s="122">
        <f t="shared" ref="AE7:AE32" si="3">+AC7-AD7</f>
        <v>2490.7860000000001</v>
      </c>
      <c r="AF7" s="60">
        <f>IF(Q7&lt;2250,Q7*0.1,0)</f>
        <v>0</v>
      </c>
      <c r="AG7" s="60">
        <v>10.23</v>
      </c>
      <c r="AH7" s="60">
        <f t="shared" ref="AH7:AH32" si="4">+V7</f>
        <v>0</v>
      </c>
      <c r="AI7" s="122">
        <f t="shared" ref="AI7:AI39" si="5">+Q7+AF7+AG7+AH7</f>
        <v>2777.77</v>
      </c>
      <c r="AJ7" s="145"/>
      <c r="AK7" s="146"/>
      <c r="AL7" s="123">
        <f t="shared" ref="AL7:AL74" si="6">+AJ7+AK7-AE7</f>
        <v>-2490.7860000000001</v>
      </c>
      <c r="AM7" s="64"/>
      <c r="AN7" s="64"/>
    </row>
    <row r="8" spans="1:54" s="29" customFormat="1">
      <c r="A8" s="64" t="s">
        <v>68</v>
      </c>
      <c r="B8" s="64" t="s">
        <v>187</v>
      </c>
      <c r="C8" s="64" t="s">
        <v>207</v>
      </c>
      <c r="D8" s="64" t="s">
        <v>127</v>
      </c>
      <c r="E8" s="64" t="s">
        <v>71</v>
      </c>
      <c r="F8" s="134">
        <v>41797</v>
      </c>
      <c r="G8" s="64"/>
      <c r="H8" s="64"/>
      <c r="I8" s="68">
        <v>1633.33</v>
      </c>
      <c r="J8" s="116"/>
      <c r="K8" s="68">
        <f t="shared" si="0"/>
        <v>1633.33</v>
      </c>
      <c r="L8" s="68"/>
      <c r="M8" s="68"/>
      <c r="N8" s="68"/>
      <c r="O8" s="68"/>
      <c r="P8" s="109"/>
      <c r="Q8" s="122">
        <f t="shared" si="1"/>
        <v>1633.33</v>
      </c>
      <c r="R8" s="68"/>
      <c r="S8" s="182"/>
      <c r="T8" s="175">
        <v>334.75</v>
      </c>
      <c r="U8" s="68">
        <v>0</v>
      </c>
      <c r="V8" s="68"/>
      <c r="W8" s="68"/>
      <c r="X8" s="68"/>
      <c r="Y8" s="60"/>
      <c r="Z8" s="60"/>
      <c r="AA8" s="64"/>
      <c r="AB8" s="64">
        <v>0</v>
      </c>
      <c r="AC8" s="122">
        <f t="shared" si="2"/>
        <v>1298.58</v>
      </c>
      <c r="AD8" s="60">
        <f t="shared" ref="AD8:AD75" si="7">IF(Q8&gt;2250,Q8*0.1,0)</f>
        <v>0</v>
      </c>
      <c r="AE8" s="122">
        <f t="shared" si="3"/>
        <v>1298.58</v>
      </c>
      <c r="AF8" s="60">
        <f t="shared" ref="AF8:AF71" si="8">IF(Q8&lt;2250,Q8*0.1,0)</f>
        <v>163.333</v>
      </c>
      <c r="AG8" s="60">
        <v>10.23</v>
      </c>
      <c r="AH8" s="60">
        <f t="shared" si="4"/>
        <v>0</v>
      </c>
      <c r="AI8" s="122">
        <f t="shared" si="5"/>
        <v>1806.893</v>
      </c>
      <c r="AJ8" s="145"/>
      <c r="AK8" s="146"/>
      <c r="AL8" s="123">
        <f t="shared" si="6"/>
        <v>-1298.58</v>
      </c>
      <c r="AM8" s="64"/>
      <c r="AN8" s="64"/>
    </row>
    <row r="9" spans="1:54" s="29" customFormat="1">
      <c r="A9" s="64" t="s">
        <v>84</v>
      </c>
      <c r="B9" s="64" t="s">
        <v>169</v>
      </c>
      <c r="C9" s="64"/>
      <c r="D9" s="64" t="s">
        <v>110</v>
      </c>
      <c r="E9" s="64" t="s">
        <v>158</v>
      </c>
      <c r="F9" s="134">
        <v>41381</v>
      </c>
      <c r="G9" s="64"/>
      <c r="H9" s="64"/>
      <c r="I9" s="68">
        <v>623.36</v>
      </c>
      <c r="J9" s="116"/>
      <c r="K9" s="68">
        <f t="shared" si="0"/>
        <v>623.36</v>
      </c>
      <c r="L9" s="68">
        <f>5229.416+2.599</f>
        <v>5232.0150000000003</v>
      </c>
      <c r="M9" s="68"/>
      <c r="N9" s="68"/>
      <c r="O9" s="68"/>
      <c r="P9" s="109"/>
      <c r="Q9" s="122">
        <f t="shared" si="1"/>
        <v>5855.375</v>
      </c>
      <c r="R9" s="68"/>
      <c r="S9" s="68"/>
      <c r="T9" s="68"/>
      <c r="U9" s="68"/>
      <c r="V9" s="68">
        <f>Q9*4.9%</f>
        <v>286.91337500000003</v>
      </c>
      <c r="W9" s="68">
        <f>Q9*1%</f>
        <v>58.553750000000001</v>
      </c>
      <c r="X9" s="68"/>
      <c r="Y9" s="60"/>
      <c r="Z9" s="60"/>
      <c r="AA9" s="64"/>
      <c r="AB9" s="64">
        <v>0</v>
      </c>
      <c r="AC9" s="122">
        <f t="shared" si="2"/>
        <v>5509.9078749999999</v>
      </c>
      <c r="AD9" s="60">
        <f t="shared" si="7"/>
        <v>585.53750000000002</v>
      </c>
      <c r="AE9" s="122">
        <f t="shared" si="3"/>
        <v>4924.3703749999995</v>
      </c>
      <c r="AF9" s="60">
        <f t="shared" si="8"/>
        <v>0</v>
      </c>
      <c r="AG9" s="60">
        <v>10.23</v>
      </c>
      <c r="AH9" s="60">
        <f t="shared" si="4"/>
        <v>286.91337500000003</v>
      </c>
      <c r="AI9" s="122">
        <f t="shared" si="5"/>
        <v>6152.5183749999997</v>
      </c>
      <c r="AJ9" s="145"/>
      <c r="AK9" s="146"/>
      <c r="AL9" s="123">
        <f t="shared" si="6"/>
        <v>-4924.3703749999995</v>
      </c>
      <c r="AM9" s="64"/>
      <c r="AN9" s="64"/>
    </row>
    <row r="10" spans="1:54" s="29" customFormat="1">
      <c r="A10" s="64" t="s">
        <v>68</v>
      </c>
      <c r="B10" s="64" t="s">
        <v>78</v>
      </c>
      <c r="C10" s="64" t="s">
        <v>207</v>
      </c>
      <c r="D10" s="64">
        <v>16</v>
      </c>
      <c r="E10" s="64" t="s">
        <v>71</v>
      </c>
      <c r="F10" s="134">
        <v>39508</v>
      </c>
      <c r="G10" s="64"/>
      <c r="H10" s="64"/>
      <c r="I10" s="68">
        <v>1633.33</v>
      </c>
      <c r="J10" s="116"/>
      <c r="K10" s="68">
        <f t="shared" si="0"/>
        <v>1633.33</v>
      </c>
      <c r="L10" s="68"/>
      <c r="M10" s="68"/>
      <c r="N10" s="68"/>
      <c r="O10" s="68"/>
      <c r="P10" s="109"/>
      <c r="Q10" s="122">
        <f t="shared" si="1"/>
        <v>1633.33</v>
      </c>
      <c r="R10" s="68"/>
      <c r="S10" s="68"/>
      <c r="T10" s="68"/>
      <c r="U10" s="68">
        <v>0</v>
      </c>
      <c r="V10" s="68"/>
      <c r="W10" s="68"/>
      <c r="X10" s="68"/>
      <c r="Y10" s="60"/>
      <c r="Z10" s="60"/>
      <c r="AA10" s="64"/>
      <c r="AB10" s="64">
        <v>0</v>
      </c>
      <c r="AC10" s="122">
        <f t="shared" si="2"/>
        <v>1633.33</v>
      </c>
      <c r="AD10" s="60">
        <f t="shared" si="7"/>
        <v>0</v>
      </c>
      <c r="AE10" s="122">
        <f t="shared" si="3"/>
        <v>1633.33</v>
      </c>
      <c r="AF10" s="60">
        <f t="shared" si="8"/>
        <v>163.333</v>
      </c>
      <c r="AG10" s="60">
        <v>10.23</v>
      </c>
      <c r="AH10" s="60">
        <f t="shared" si="4"/>
        <v>0</v>
      </c>
      <c r="AI10" s="122">
        <f t="shared" si="5"/>
        <v>1806.893</v>
      </c>
      <c r="AJ10" s="145"/>
      <c r="AK10" s="146"/>
      <c r="AL10" s="123">
        <f t="shared" si="6"/>
        <v>-1633.33</v>
      </c>
      <c r="AM10" s="64"/>
      <c r="AN10" s="64"/>
    </row>
    <row r="11" spans="1:54" s="29" customFormat="1">
      <c r="A11" s="64" t="s">
        <v>81</v>
      </c>
      <c r="B11" s="64" t="s">
        <v>220</v>
      </c>
      <c r="C11" s="64"/>
      <c r="D11" s="64"/>
      <c r="E11" s="64" t="s">
        <v>221</v>
      </c>
      <c r="F11" s="134">
        <v>42422</v>
      </c>
      <c r="G11" s="64"/>
      <c r="H11" s="64"/>
      <c r="I11" s="68">
        <v>739.23</v>
      </c>
      <c r="J11" s="116"/>
      <c r="K11" s="68">
        <f t="shared" si="0"/>
        <v>739.23</v>
      </c>
      <c r="L11" s="68">
        <f>1191.888+5.571</f>
        <v>1197.4589999999998</v>
      </c>
      <c r="M11" s="68"/>
      <c r="N11" s="68"/>
      <c r="O11" s="68"/>
      <c r="P11" s="109"/>
      <c r="Q11" s="122">
        <f t="shared" si="1"/>
        <v>1936.6889999999999</v>
      </c>
      <c r="R11" s="68"/>
      <c r="S11" s="68">
        <v>105.6</v>
      </c>
      <c r="T11" s="68"/>
      <c r="U11" s="68">
        <v>0</v>
      </c>
      <c r="V11" s="68"/>
      <c r="W11" s="68"/>
      <c r="X11" s="68"/>
      <c r="Y11" s="60"/>
      <c r="Z11" s="60"/>
      <c r="AA11" s="64"/>
      <c r="AB11" s="64">
        <v>0</v>
      </c>
      <c r="AC11" s="122">
        <f t="shared" si="2"/>
        <v>1831.0889999999999</v>
      </c>
      <c r="AD11" s="60">
        <f t="shared" si="7"/>
        <v>0</v>
      </c>
      <c r="AE11" s="122">
        <f t="shared" si="3"/>
        <v>1831.0889999999999</v>
      </c>
      <c r="AF11" s="60">
        <f t="shared" si="8"/>
        <v>193.66890000000001</v>
      </c>
      <c r="AG11" s="60">
        <v>10.23</v>
      </c>
      <c r="AH11" s="60">
        <f t="shared" si="4"/>
        <v>0</v>
      </c>
      <c r="AI11" s="122">
        <f t="shared" si="5"/>
        <v>2140.5879</v>
      </c>
      <c r="AJ11" s="145"/>
      <c r="AK11" s="146"/>
      <c r="AL11" s="123">
        <f t="shared" si="6"/>
        <v>-1831.0889999999999</v>
      </c>
      <c r="AM11" s="64">
        <v>1456104819</v>
      </c>
      <c r="AN11" s="69"/>
    </row>
    <row r="12" spans="1:54" s="29" customFormat="1">
      <c r="A12" s="64" t="s">
        <v>68</v>
      </c>
      <c r="B12" s="64" t="s">
        <v>188</v>
      </c>
      <c r="C12" s="64" t="s">
        <v>204</v>
      </c>
      <c r="D12" s="64" t="s">
        <v>128</v>
      </c>
      <c r="E12" s="64" t="s">
        <v>70</v>
      </c>
      <c r="F12" s="134">
        <v>42383</v>
      </c>
      <c r="G12" s="64"/>
      <c r="H12" s="64"/>
      <c r="I12" s="68">
        <v>513.33000000000004</v>
      </c>
      <c r="J12" s="116">
        <v>653.33000000000004</v>
      </c>
      <c r="K12" s="68">
        <f t="shared" si="0"/>
        <v>1166.6600000000001</v>
      </c>
      <c r="L12" s="68">
        <v>13689.73</v>
      </c>
      <c r="M12" s="68"/>
      <c r="N12" s="68"/>
      <c r="O12" s="68"/>
      <c r="P12" s="109"/>
      <c r="Q12" s="122">
        <f t="shared" si="1"/>
        <v>14856.39</v>
      </c>
      <c r="R12" s="68">
        <v>187.5</v>
      </c>
      <c r="S12" s="68"/>
      <c r="T12" s="68"/>
      <c r="U12" s="68">
        <v>0</v>
      </c>
      <c r="V12" s="68"/>
      <c r="W12" s="68"/>
      <c r="X12" s="68"/>
      <c r="Y12" s="60"/>
      <c r="Z12" s="60"/>
      <c r="AA12" s="64"/>
      <c r="AB12" s="64">
        <v>368.35</v>
      </c>
      <c r="AC12" s="122">
        <f t="shared" si="2"/>
        <v>14300.539999999999</v>
      </c>
      <c r="AD12" s="60">
        <f t="shared" si="7"/>
        <v>1485.6390000000001</v>
      </c>
      <c r="AE12" s="122">
        <f t="shared" si="3"/>
        <v>12814.900999999998</v>
      </c>
      <c r="AF12" s="60">
        <f t="shared" si="8"/>
        <v>0</v>
      </c>
      <c r="AG12" s="60">
        <v>10.23</v>
      </c>
      <c r="AH12" s="60">
        <f t="shared" si="4"/>
        <v>0</v>
      </c>
      <c r="AI12" s="122">
        <f t="shared" si="5"/>
        <v>14866.619999999999</v>
      </c>
      <c r="AJ12" s="145"/>
      <c r="AK12" s="146"/>
      <c r="AL12" s="123">
        <f t="shared" si="6"/>
        <v>-12814.900999999998</v>
      </c>
      <c r="AM12" s="64"/>
      <c r="AN12" s="64"/>
    </row>
    <row r="13" spans="1:54" s="29" customFormat="1">
      <c r="A13" s="64" t="s">
        <v>67</v>
      </c>
      <c r="B13" s="64" t="s">
        <v>173</v>
      </c>
      <c r="C13" s="64" t="s">
        <v>234</v>
      </c>
      <c r="D13" s="64"/>
      <c r="E13" s="64" t="s">
        <v>152</v>
      </c>
      <c r="F13" s="134">
        <v>42416</v>
      </c>
      <c r="G13" s="64"/>
      <c r="H13" s="64"/>
      <c r="I13" s="68">
        <v>513.33000000000004</v>
      </c>
      <c r="J13" s="116">
        <v>653.33000000000004</v>
      </c>
      <c r="K13" s="68">
        <f t="shared" si="0"/>
        <v>1166.6600000000001</v>
      </c>
      <c r="L13" s="68">
        <v>9435.25</v>
      </c>
      <c r="M13" s="68"/>
      <c r="N13" s="68"/>
      <c r="O13" s="68"/>
      <c r="P13" s="109"/>
      <c r="Q13" s="122">
        <f t="shared" si="1"/>
        <v>10601.91</v>
      </c>
      <c r="R13" s="68"/>
      <c r="S13" s="68"/>
      <c r="T13" s="68"/>
      <c r="U13" s="68">
        <v>0</v>
      </c>
      <c r="V13" s="68"/>
      <c r="W13" s="68"/>
      <c r="X13" s="68"/>
      <c r="Y13" s="60">
        <v>114.82</v>
      </c>
      <c r="Z13" s="60"/>
      <c r="AA13" s="64"/>
      <c r="AB13" s="64">
        <v>0</v>
      </c>
      <c r="AC13" s="122">
        <f t="shared" si="2"/>
        <v>10487.09</v>
      </c>
      <c r="AD13" s="60">
        <f t="shared" si="7"/>
        <v>1060.191</v>
      </c>
      <c r="AE13" s="122">
        <f t="shared" si="3"/>
        <v>9426.8989999999994</v>
      </c>
      <c r="AF13" s="60">
        <f t="shared" si="8"/>
        <v>0</v>
      </c>
      <c r="AG13" s="60">
        <v>10.23</v>
      </c>
      <c r="AH13" s="60">
        <f t="shared" si="4"/>
        <v>0</v>
      </c>
      <c r="AI13" s="122">
        <f t="shared" si="5"/>
        <v>10612.14</v>
      </c>
      <c r="AJ13" s="145"/>
      <c r="AK13" s="146"/>
      <c r="AL13" s="123">
        <f t="shared" si="6"/>
        <v>-9426.8989999999994</v>
      </c>
      <c r="AM13" s="64"/>
      <c r="AN13" s="64"/>
    </row>
    <row r="14" spans="1:54" s="29" customFormat="1">
      <c r="A14" s="64" t="s">
        <v>84</v>
      </c>
      <c r="B14" s="64" t="s">
        <v>264</v>
      </c>
      <c r="C14" s="64"/>
      <c r="D14" s="64" t="s">
        <v>111</v>
      </c>
      <c r="E14" s="64" t="s">
        <v>153</v>
      </c>
      <c r="F14" s="134">
        <v>41740</v>
      </c>
      <c r="G14" s="64"/>
      <c r="H14" s="64"/>
      <c r="I14" s="68">
        <v>623.36</v>
      </c>
      <c r="J14" s="116"/>
      <c r="K14" s="68">
        <f t="shared" si="0"/>
        <v>623.36</v>
      </c>
      <c r="L14" s="68">
        <f>1636.748+5.571</f>
        <v>1642.319</v>
      </c>
      <c r="M14" s="68"/>
      <c r="N14" s="68"/>
      <c r="O14" s="68"/>
      <c r="P14" s="109"/>
      <c r="Q14" s="122">
        <f t="shared" si="1"/>
        <v>2265.6790000000001</v>
      </c>
      <c r="R14" s="68"/>
      <c r="S14" s="68"/>
      <c r="T14" s="68"/>
      <c r="U14" s="68">
        <v>250</v>
      </c>
      <c r="V14" s="68">
        <f>Q14*4.9%</f>
        <v>111.01827100000001</v>
      </c>
      <c r="W14" s="68">
        <f>Q14*1%</f>
        <v>22.656790000000001</v>
      </c>
      <c r="X14" s="68"/>
      <c r="Y14" s="60"/>
      <c r="Z14" s="60"/>
      <c r="AA14" s="64"/>
      <c r="AB14" s="64">
        <v>0</v>
      </c>
      <c r="AC14" s="122">
        <f t="shared" si="2"/>
        <v>1882.0039390000002</v>
      </c>
      <c r="AD14" s="60">
        <f t="shared" si="7"/>
        <v>226.56790000000001</v>
      </c>
      <c r="AE14" s="122">
        <f t="shared" si="3"/>
        <v>1655.4360390000002</v>
      </c>
      <c r="AF14" s="60">
        <f t="shared" si="8"/>
        <v>0</v>
      </c>
      <c r="AG14" s="60">
        <v>10.23</v>
      </c>
      <c r="AH14" s="60">
        <f t="shared" si="4"/>
        <v>111.01827100000001</v>
      </c>
      <c r="AI14" s="122">
        <f t="shared" si="5"/>
        <v>2386.927271</v>
      </c>
      <c r="AJ14" s="145"/>
      <c r="AK14" s="146"/>
      <c r="AL14" s="123">
        <f t="shared" si="6"/>
        <v>-1655.4360390000002</v>
      </c>
      <c r="AM14" s="64"/>
      <c r="AN14" s="69"/>
    </row>
    <row r="15" spans="1:54" s="29" customFormat="1">
      <c r="A15" s="64" t="s">
        <v>68</v>
      </c>
      <c r="B15" s="64" t="s">
        <v>252</v>
      </c>
      <c r="C15" s="64"/>
      <c r="D15" s="64"/>
      <c r="E15" s="64" t="s">
        <v>70</v>
      </c>
      <c r="F15" s="134">
        <v>42472</v>
      </c>
      <c r="G15" s="64"/>
      <c r="H15" s="64"/>
      <c r="I15" s="68">
        <v>513.33000000000004</v>
      </c>
      <c r="J15" s="116">
        <v>653.33000000000004</v>
      </c>
      <c r="K15" s="68">
        <f t="shared" si="0"/>
        <v>1166.6600000000001</v>
      </c>
      <c r="L15" s="68"/>
      <c r="M15" s="68"/>
      <c r="N15" s="68"/>
      <c r="O15" s="68"/>
      <c r="P15" s="109"/>
      <c r="Q15" s="122">
        <f t="shared" si="1"/>
        <v>1166.6600000000001</v>
      </c>
      <c r="R15" s="68"/>
      <c r="S15" s="68"/>
      <c r="T15" s="68"/>
      <c r="U15" s="68"/>
      <c r="V15" s="68"/>
      <c r="W15" s="68"/>
      <c r="X15" s="68"/>
      <c r="Y15" s="60"/>
      <c r="Z15" s="60"/>
      <c r="AA15" s="64"/>
      <c r="AB15" s="64">
        <v>0</v>
      </c>
      <c r="AC15" s="122">
        <f t="shared" si="2"/>
        <v>1166.6600000000001</v>
      </c>
      <c r="AD15" s="60">
        <f t="shared" si="7"/>
        <v>0</v>
      </c>
      <c r="AE15" s="122">
        <f t="shared" si="3"/>
        <v>1166.6600000000001</v>
      </c>
      <c r="AF15" s="60">
        <f t="shared" si="8"/>
        <v>116.66600000000001</v>
      </c>
      <c r="AG15" s="60">
        <v>10.23</v>
      </c>
      <c r="AH15" s="60">
        <f t="shared" ref="AH15" si="9">+V15</f>
        <v>0</v>
      </c>
      <c r="AI15" s="122">
        <f t="shared" si="5"/>
        <v>1293.556</v>
      </c>
      <c r="AJ15" s="177"/>
      <c r="AK15" s="178"/>
      <c r="AL15" s="123">
        <f t="shared" si="6"/>
        <v>-1166.6600000000001</v>
      </c>
      <c r="AM15" s="64">
        <v>2899146091</v>
      </c>
      <c r="AN15" s="69"/>
    </row>
    <row r="16" spans="1:54" s="29" customFormat="1">
      <c r="A16" s="64" t="s">
        <v>66</v>
      </c>
      <c r="B16" s="64" t="s">
        <v>267</v>
      </c>
      <c r="C16" s="64"/>
      <c r="D16" s="64" t="s">
        <v>98</v>
      </c>
      <c r="E16" s="64" t="s">
        <v>150</v>
      </c>
      <c r="F16" s="134">
        <v>42116</v>
      </c>
      <c r="G16" s="64"/>
      <c r="H16" s="64"/>
      <c r="I16" s="68">
        <v>513.33000000000004</v>
      </c>
      <c r="J16" s="116">
        <v>486.67</v>
      </c>
      <c r="K16" s="68">
        <f t="shared" si="0"/>
        <v>1000</v>
      </c>
      <c r="L16" s="68">
        <v>700</v>
      </c>
      <c r="M16" s="68"/>
      <c r="N16" s="68"/>
      <c r="O16" s="68"/>
      <c r="P16" s="109"/>
      <c r="Q16" s="122">
        <f t="shared" si="1"/>
        <v>1700</v>
      </c>
      <c r="R16" s="68"/>
      <c r="S16" s="68"/>
      <c r="T16" s="68">
        <v>58.91</v>
      </c>
      <c r="U16" s="68">
        <v>0</v>
      </c>
      <c r="V16" s="68"/>
      <c r="W16" s="68"/>
      <c r="X16" s="68"/>
      <c r="Y16" s="60"/>
      <c r="Z16" s="60"/>
      <c r="AA16" s="124"/>
      <c r="AB16" s="64">
        <v>0</v>
      </c>
      <c r="AC16" s="122">
        <f t="shared" si="2"/>
        <v>1641.09</v>
      </c>
      <c r="AD16" s="60">
        <f t="shared" si="7"/>
        <v>0</v>
      </c>
      <c r="AE16" s="122">
        <f t="shared" si="3"/>
        <v>1641.09</v>
      </c>
      <c r="AF16" s="60">
        <f t="shared" si="8"/>
        <v>170</v>
      </c>
      <c r="AG16" s="60">
        <v>10.23</v>
      </c>
      <c r="AH16" s="60">
        <f t="shared" si="4"/>
        <v>0</v>
      </c>
      <c r="AI16" s="122">
        <f t="shared" si="5"/>
        <v>1880.23</v>
      </c>
      <c r="AJ16" s="177"/>
      <c r="AK16" s="177"/>
      <c r="AL16" s="123">
        <f t="shared" si="6"/>
        <v>-1641.09</v>
      </c>
      <c r="AM16" s="64"/>
      <c r="AN16" s="64"/>
    </row>
    <row r="17" spans="1:40" s="29" customFormat="1" ht="15" customHeight="1">
      <c r="A17" s="64" t="s">
        <v>68</v>
      </c>
      <c r="B17" s="64" t="s">
        <v>213</v>
      </c>
      <c r="C17" s="64" t="s">
        <v>206</v>
      </c>
      <c r="D17" s="64" t="s">
        <v>129</v>
      </c>
      <c r="E17" s="64" t="s">
        <v>70</v>
      </c>
      <c r="F17" s="134">
        <v>41831</v>
      </c>
      <c r="G17" s="64"/>
      <c r="H17" s="64"/>
      <c r="I17" s="68">
        <v>513.33000000000004</v>
      </c>
      <c r="J17" s="117">
        <v>653.33000000000004</v>
      </c>
      <c r="K17" s="68">
        <f t="shared" si="0"/>
        <v>1166.6600000000001</v>
      </c>
      <c r="L17" s="68">
        <v>3353.5</v>
      </c>
      <c r="M17" s="68"/>
      <c r="N17" s="68"/>
      <c r="O17" s="68"/>
      <c r="P17" s="109"/>
      <c r="Q17" s="122">
        <f t="shared" si="1"/>
        <v>4520.16</v>
      </c>
      <c r="R17" s="68"/>
      <c r="S17" s="68"/>
      <c r="T17" s="68">
        <v>58.91</v>
      </c>
      <c r="U17" s="68"/>
      <c r="V17" s="68"/>
      <c r="W17" s="68"/>
      <c r="X17" s="68"/>
      <c r="Y17" s="60"/>
      <c r="Z17" s="60">
        <v>167.44</v>
      </c>
      <c r="AA17" s="64"/>
      <c r="AB17" s="179">
        <v>940.31</v>
      </c>
      <c r="AC17" s="122">
        <f t="shared" si="2"/>
        <v>3353.5</v>
      </c>
      <c r="AD17" s="60">
        <f t="shared" si="7"/>
        <v>452.01600000000002</v>
      </c>
      <c r="AE17" s="122">
        <f t="shared" si="3"/>
        <v>2901.4839999999999</v>
      </c>
      <c r="AF17" s="60">
        <f t="shared" si="8"/>
        <v>0</v>
      </c>
      <c r="AG17" s="60">
        <v>10.23</v>
      </c>
      <c r="AH17" s="60">
        <f t="shared" si="4"/>
        <v>0</v>
      </c>
      <c r="AI17" s="122">
        <f t="shared" si="5"/>
        <v>4530.3899999999994</v>
      </c>
      <c r="AJ17" s="147"/>
      <c r="AK17" s="145"/>
      <c r="AL17" s="123">
        <f t="shared" si="6"/>
        <v>-2901.4839999999999</v>
      </c>
      <c r="AM17" s="64"/>
      <c r="AN17" s="69"/>
    </row>
    <row r="18" spans="1:40" s="29" customFormat="1" ht="15" customHeight="1">
      <c r="A18" s="64"/>
      <c r="B18" s="64" t="s">
        <v>276</v>
      </c>
      <c r="C18" s="64"/>
      <c r="D18" s="64"/>
      <c r="E18" s="64" t="s">
        <v>277</v>
      </c>
      <c r="F18" s="134">
        <v>42506</v>
      </c>
      <c r="G18" s="64"/>
      <c r="H18" s="64"/>
      <c r="I18" s="68">
        <v>739.23</v>
      </c>
      <c r="J18" s="117"/>
      <c r="K18" s="68">
        <f t="shared" si="0"/>
        <v>739.23</v>
      </c>
      <c r="L18" s="68">
        <f>1275.192+5.571</f>
        <v>1280.7629999999999</v>
      </c>
      <c r="M18" s="68"/>
      <c r="N18" s="68"/>
      <c r="O18" s="68"/>
      <c r="P18" s="109"/>
      <c r="Q18" s="122">
        <f t="shared" si="1"/>
        <v>2019.9929999999999</v>
      </c>
      <c r="R18" s="68"/>
      <c r="S18" s="68"/>
      <c r="T18" s="68"/>
      <c r="U18" s="68"/>
      <c r="V18" s="68"/>
      <c r="W18" s="68"/>
      <c r="X18" s="68"/>
      <c r="Y18" s="60"/>
      <c r="Z18" s="60"/>
      <c r="AA18" s="64"/>
      <c r="AB18" s="179"/>
      <c r="AC18" s="122">
        <f t="shared" si="2"/>
        <v>2019.9929999999999</v>
      </c>
      <c r="AD18" s="60">
        <f t="shared" ref="AD18" si="10">IF(Q18&gt;2250,Q18*0.1,0)</f>
        <v>0</v>
      </c>
      <c r="AE18" s="122">
        <f t="shared" ref="AE18" si="11">+AC18-AD18</f>
        <v>2019.9929999999999</v>
      </c>
      <c r="AF18" s="60">
        <f t="shared" si="8"/>
        <v>201.99930000000001</v>
      </c>
      <c r="AG18" s="60">
        <v>10.23</v>
      </c>
      <c r="AH18" s="60">
        <f t="shared" ref="AH18" si="12">+V18</f>
        <v>0</v>
      </c>
      <c r="AI18" s="122">
        <f t="shared" si="5"/>
        <v>2232.2222999999999</v>
      </c>
      <c r="AJ18" s="145"/>
      <c r="AK18" s="145"/>
      <c r="AL18" s="123">
        <f t="shared" si="6"/>
        <v>-2019.9929999999999</v>
      </c>
      <c r="AM18" s="129">
        <v>14058709719</v>
      </c>
      <c r="AN18" s="69"/>
    </row>
    <row r="19" spans="1:40" s="29" customFormat="1">
      <c r="A19" s="64" t="s">
        <v>84</v>
      </c>
      <c r="B19" s="64" t="s">
        <v>170</v>
      </c>
      <c r="C19" s="64"/>
      <c r="D19" s="64" t="s">
        <v>112</v>
      </c>
      <c r="E19" s="64" t="s">
        <v>143</v>
      </c>
      <c r="F19" s="134">
        <v>41227</v>
      </c>
      <c r="G19" s="64"/>
      <c r="H19" s="64"/>
      <c r="I19" s="68">
        <v>511.28</v>
      </c>
      <c r="J19" s="116"/>
      <c r="K19" s="68">
        <f t="shared" si="0"/>
        <v>511.28</v>
      </c>
      <c r="L19" s="68">
        <f>3647.22+7.428</f>
        <v>3654.6479999999997</v>
      </c>
      <c r="M19" s="68"/>
      <c r="N19" s="68"/>
      <c r="O19" s="68"/>
      <c r="P19" s="109"/>
      <c r="Q19" s="122">
        <f t="shared" si="1"/>
        <v>4165.9279999999999</v>
      </c>
      <c r="R19" s="68"/>
      <c r="S19" s="68"/>
      <c r="T19" s="68"/>
      <c r="U19" s="68">
        <v>700</v>
      </c>
      <c r="V19" s="68">
        <f>Q19*4.9%</f>
        <v>204.130472</v>
      </c>
      <c r="W19" s="68">
        <f>Q19*1%</f>
        <v>41.659280000000003</v>
      </c>
      <c r="X19" s="68"/>
      <c r="Y19" s="60"/>
      <c r="Z19" s="60"/>
      <c r="AA19" s="64"/>
      <c r="AB19" s="64">
        <v>0</v>
      </c>
      <c r="AC19" s="122">
        <f t="shared" si="2"/>
        <v>3220.1382479999997</v>
      </c>
      <c r="AD19" s="60">
        <f t="shared" si="7"/>
        <v>416.59280000000001</v>
      </c>
      <c r="AE19" s="122">
        <f t="shared" si="3"/>
        <v>2803.5454479999999</v>
      </c>
      <c r="AF19" s="60">
        <f t="shared" si="8"/>
        <v>0</v>
      </c>
      <c r="AG19" s="60">
        <v>10.23</v>
      </c>
      <c r="AH19" s="60">
        <f t="shared" si="4"/>
        <v>204.130472</v>
      </c>
      <c r="AI19" s="122">
        <f t="shared" si="5"/>
        <v>4380.2884719999993</v>
      </c>
      <c r="AJ19" s="145"/>
      <c r="AK19" s="145"/>
      <c r="AL19" s="123">
        <f t="shared" si="6"/>
        <v>-2803.5454479999999</v>
      </c>
      <c r="AM19" s="64"/>
      <c r="AN19" s="64"/>
    </row>
    <row r="20" spans="1:40" s="29" customFormat="1">
      <c r="A20" s="64" t="s">
        <v>68</v>
      </c>
      <c r="B20" s="64" t="s">
        <v>218</v>
      </c>
      <c r="C20" s="64" t="s">
        <v>207</v>
      </c>
      <c r="D20" s="64">
        <v>18</v>
      </c>
      <c r="E20" s="64" t="s">
        <v>71</v>
      </c>
      <c r="F20" s="134">
        <v>39699</v>
      </c>
      <c r="G20" s="64"/>
      <c r="H20" s="64"/>
      <c r="I20" s="68">
        <v>1633.33</v>
      </c>
      <c r="J20" s="116"/>
      <c r="K20" s="68">
        <f t="shared" si="0"/>
        <v>1633.33</v>
      </c>
      <c r="L20" s="68"/>
      <c r="M20" s="68"/>
      <c r="N20" s="68"/>
      <c r="O20" s="68"/>
      <c r="P20" s="109"/>
      <c r="Q20" s="122">
        <f t="shared" si="1"/>
        <v>1633.33</v>
      </c>
      <c r="R20" s="68"/>
      <c r="S20" s="68"/>
      <c r="T20" s="68"/>
      <c r="U20" s="68">
        <v>700</v>
      </c>
      <c r="V20" s="68"/>
      <c r="W20" s="68"/>
      <c r="X20" s="68"/>
      <c r="Y20" s="60"/>
      <c r="Z20" s="60"/>
      <c r="AA20" s="64">
        <v>205.7</v>
      </c>
      <c r="AB20" s="64">
        <v>0</v>
      </c>
      <c r="AC20" s="122">
        <f t="shared" si="2"/>
        <v>727.62999999999988</v>
      </c>
      <c r="AD20" s="60">
        <f t="shared" si="7"/>
        <v>0</v>
      </c>
      <c r="AE20" s="122">
        <f t="shared" si="3"/>
        <v>727.62999999999988</v>
      </c>
      <c r="AF20" s="60">
        <f t="shared" si="8"/>
        <v>163.333</v>
      </c>
      <c r="AG20" s="60">
        <v>10.23</v>
      </c>
      <c r="AH20" s="60">
        <f t="shared" si="4"/>
        <v>0</v>
      </c>
      <c r="AI20" s="122">
        <f t="shared" si="5"/>
        <v>1806.893</v>
      </c>
      <c r="AJ20" s="145"/>
      <c r="AK20" s="146"/>
      <c r="AL20" s="123">
        <f t="shared" si="6"/>
        <v>-727.62999999999988</v>
      </c>
      <c r="AM20" s="64"/>
      <c r="AN20" s="64"/>
    </row>
    <row r="21" spans="1:40" s="29" customFormat="1">
      <c r="A21" s="64" t="s">
        <v>84</v>
      </c>
      <c r="B21" s="64" t="s">
        <v>219</v>
      </c>
      <c r="C21" s="64"/>
      <c r="D21" s="64" t="s">
        <v>113</v>
      </c>
      <c r="E21" s="64" t="s">
        <v>154</v>
      </c>
      <c r="F21" s="134">
        <v>42242</v>
      </c>
      <c r="G21" s="64"/>
      <c r="H21" s="64"/>
      <c r="I21" s="68">
        <v>1100</v>
      </c>
      <c r="J21" s="116"/>
      <c r="K21" s="68">
        <f t="shared" si="0"/>
        <v>1100</v>
      </c>
      <c r="L21" s="68">
        <v>567.6</v>
      </c>
      <c r="M21" s="68"/>
      <c r="N21" s="68"/>
      <c r="O21" s="68"/>
      <c r="P21" s="109"/>
      <c r="Q21" s="122">
        <f t="shared" si="1"/>
        <v>1667.6</v>
      </c>
      <c r="R21" s="68"/>
      <c r="S21" s="68"/>
      <c r="T21" s="68"/>
      <c r="U21" s="68">
        <f>+Q21*1%</f>
        <v>16.675999999999998</v>
      </c>
      <c r="V21" s="68">
        <f>+Q21*4.9%</f>
        <v>81.712400000000002</v>
      </c>
      <c r="W21" s="68">
        <f>Q21*1%</f>
        <v>16.675999999999998</v>
      </c>
      <c r="X21" s="68"/>
      <c r="Y21" s="60"/>
      <c r="Z21" s="60"/>
      <c r="AA21" s="64"/>
      <c r="AB21" s="64">
        <v>0</v>
      </c>
      <c r="AC21" s="122">
        <f t="shared" si="2"/>
        <v>1552.5355999999999</v>
      </c>
      <c r="AD21" s="60">
        <f t="shared" si="7"/>
        <v>0</v>
      </c>
      <c r="AE21" s="122">
        <f t="shared" si="3"/>
        <v>1552.5355999999999</v>
      </c>
      <c r="AF21" s="60">
        <f t="shared" si="8"/>
        <v>166.76</v>
      </c>
      <c r="AG21" s="60">
        <v>10.23</v>
      </c>
      <c r="AH21" s="60">
        <f t="shared" si="4"/>
        <v>81.712400000000002</v>
      </c>
      <c r="AI21" s="122">
        <f t="shared" si="5"/>
        <v>1926.3024</v>
      </c>
      <c r="AJ21" s="145"/>
      <c r="AK21" s="146"/>
      <c r="AL21" s="123">
        <f t="shared" si="6"/>
        <v>-1552.5355999999999</v>
      </c>
      <c r="AM21" s="64"/>
      <c r="AN21" s="64"/>
    </row>
    <row r="22" spans="1:40" s="29" customFormat="1">
      <c r="A22" s="64" t="s">
        <v>67</v>
      </c>
      <c r="B22" s="64" t="s">
        <v>202</v>
      </c>
      <c r="C22" s="64" t="s">
        <v>234</v>
      </c>
      <c r="D22" s="64" t="s">
        <v>106</v>
      </c>
      <c r="E22" s="64" t="s">
        <v>152</v>
      </c>
      <c r="F22" s="134">
        <v>42332</v>
      </c>
      <c r="G22" s="64"/>
      <c r="H22" s="64"/>
      <c r="I22" s="68">
        <v>513.33000000000004</v>
      </c>
      <c r="J22" s="116">
        <v>653.33000000000004</v>
      </c>
      <c r="K22" s="68">
        <f t="shared" si="0"/>
        <v>1166.6600000000001</v>
      </c>
      <c r="L22" s="68">
        <v>2795.38</v>
      </c>
      <c r="M22" s="68"/>
      <c r="N22" s="68"/>
      <c r="O22" s="68"/>
      <c r="P22" s="109"/>
      <c r="Q22" s="122">
        <f t="shared" si="1"/>
        <v>3962.04</v>
      </c>
      <c r="R22" s="68">
        <v>375</v>
      </c>
      <c r="S22" s="68"/>
      <c r="T22" s="68"/>
      <c r="U22" s="68">
        <v>0</v>
      </c>
      <c r="V22" s="68"/>
      <c r="W22" s="68"/>
      <c r="X22" s="68"/>
      <c r="Y22" s="60"/>
      <c r="Z22" s="60"/>
      <c r="AA22" s="64"/>
      <c r="AB22" s="64">
        <v>566.61</v>
      </c>
      <c r="AC22" s="122">
        <f t="shared" si="2"/>
        <v>3020.43</v>
      </c>
      <c r="AD22" s="60">
        <f t="shared" si="7"/>
        <v>396.20400000000001</v>
      </c>
      <c r="AE22" s="122">
        <f t="shared" si="3"/>
        <v>2624.2259999999997</v>
      </c>
      <c r="AF22" s="60">
        <f t="shared" si="8"/>
        <v>0</v>
      </c>
      <c r="AG22" s="60">
        <v>10.23</v>
      </c>
      <c r="AH22" s="60">
        <f t="shared" si="4"/>
        <v>0</v>
      </c>
      <c r="AI22" s="122">
        <f t="shared" si="5"/>
        <v>3972.27</v>
      </c>
      <c r="AJ22" s="145"/>
      <c r="AK22" s="146"/>
      <c r="AL22" s="123">
        <f t="shared" si="6"/>
        <v>-2624.2259999999997</v>
      </c>
      <c r="AM22" s="64"/>
      <c r="AN22" s="64"/>
    </row>
    <row r="23" spans="1:40" s="29" customFormat="1">
      <c r="A23" s="64" t="s">
        <v>68</v>
      </c>
      <c r="B23" s="64" t="s">
        <v>231</v>
      </c>
      <c r="C23" s="64" t="s">
        <v>209</v>
      </c>
      <c r="D23" s="64"/>
      <c r="E23" s="64" t="s">
        <v>70</v>
      </c>
      <c r="F23" s="134">
        <v>42437</v>
      </c>
      <c r="G23" s="64"/>
      <c r="H23" s="64"/>
      <c r="I23" s="68">
        <v>513.33000000000004</v>
      </c>
      <c r="J23" s="116">
        <v>653.33000000000004</v>
      </c>
      <c r="K23" s="68">
        <f t="shared" si="0"/>
        <v>1166.6600000000001</v>
      </c>
      <c r="L23" s="68"/>
      <c r="M23" s="68"/>
      <c r="N23" s="68"/>
      <c r="O23" s="68"/>
      <c r="P23" s="109"/>
      <c r="Q23" s="122">
        <f t="shared" si="1"/>
        <v>1166.6600000000001</v>
      </c>
      <c r="R23" s="68"/>
      <c r="S23" s="68"/>
      <c r="T23" s="68"/>
      <c r="U23" s="68">
        <v>0</v>
      </c>
      <c r="V23" s="68"/>
      <c r="W23" s="68"/>
      <c r="X23" s="68"/>
      <c r="Y23" s="60"/>
      <c r="Z23" s="60"/>
      <c r="AA23" s="64"/>
      <c r="AB23" s="64">
        <v>0</v>
      </c>
      <c r="AC23" s="122">
        <f t="shared" si="2"/>
        <v>1166.6600000000001</v>
      </c>
      <c r="AD23" s="60">
        <f t="shared" si="7"/>
        <v>0</v>
      </c>
      <c r="AE23" s="122">
        <f t="shared" si="3"/>
        <v>1166.6600000000001</v>
      </c>
      <c r="AF23" s="60">
        <f t="shared" si="8"/>
        <v>116.66600000000001</v>
      </c>
      <c r="AG23" s="60">
        <v>10.23</v>
      </c>
      <c r="AH23" s="60">
        <f t="shared" si="4"/>
        <v>0</v>
      </c>
      <c r="AI23" s="122">
        <f t="shared" si="5"/>
        <v>1293.556</v>
      </c>
      <c r="AJ23" s="145"/>
      <c r="AK23" s="146"/>
      <c r="AL23" s="123">
        <f t="shared" si="6"/>
        <v>-1166.6600000000001</v>
      </c>
      <c r="AM23" s="64"/>
      <c r="AN23" s="69"/>
    </row>
    <row r="24" spans="1:40" s="29" customFormat="1">
      <c r="A24" s="64" t="s">
        <v>82</v>
      </c>
      <c r="B24" s="64" t="s">
        <v>178</v>
      </c>
      <c r="C24" s="64"/>
      <c r="D24" s="64" t="s">
        <v>87</v>
      </c>
      <c r="E24" s="64" t="s">
        <v>142</v>
      </c>
      <c r="F24" s="134">
        <v>41885</v>
      </c>
      <c r="G24" s="64"/>
      <c r="H24" s="64"/>
      <c r="I24" s="174">
        <f>+K24</f>
        <v>633.62</v>
      </c>
      <c r="J24" s="150"/>
      <c r="K24" s="68">
        <v>633.62</v>
      </c>
      <c r="L24" s="68">
        <f>2640.154+13.099</f>
        <v>2653.2530000000002</v>
      </c>
      <c r="M24" s="68"/>
      <c r="N24" s="68"/>
      <c r="O24" s="68"/>
      <c r="P24" s="109"/>
      <c r="Q24" s="122">
        <f t="shared" si="1"/>
        <v>3286.873</v>
      </c>
      <c r="R24" s="68"/>
      <c r="S24" s="68"/>
      <c r="T24" s="68"/>
      <c r="U24" s="68">
        <v>0</v>
      </c>
      <c r="V24" s="68"/>
      <c r="W24" s="68"/>
      <c r="X24" s="68"/>
      <c r="Y24" s="60"/>
      <c r="Z24" s="60"/>
      <c r="AA24" s="64"/>
      <c r="AB24" s="64">
        <v>0</v>
      </c>
      <c r="AC24" s="122">
        <f t="shared" si="2"/>
        <v>3286.873</v>
      </c>
      <c r="AD24" s="60">
        <f t="shared" si="7"/>
        <v>328.68730000000005</v>
      </c>
      <c r="AE24" s="122">
        <f t="shared" si="3"/>
        <v>2958.1857</v>
      </c>
      <c r="AF24" s="60">
        <f t="shared" si="8"/>
        <v>0</v>
      </c>
      <c r="AG24" s="60">
        <v>10.23</v>
      </c>
      <c r="AH24" s="60">
        <f t="shared" si="4"/>
        <v>0</v>
      </c>
      <c r="AI24" s="122">
        <f t="shared" si="5"/>
        <v>3297.1030000000001</v>
      </c>
      <c r="AJ24" s="145"/>
      <c r="AK24" s="146"/>
      <c r="AL24" s="123">
        <f t="shared" si="6"/>
        <v>-2958.1857</v>
      </c>
      <c r="AM24" s="64"/>
      <c r="AN24" s="69"/>
    </row>
    <row r="25" spans="1:40" s="29" customFormat="1">
      <c r="A25" s="64" t="s">
        <v>67</v>
      </c>
      <c r="B25" s="64" t="s">
        <v>254</v>
      </c>
      <c r="C25" s="64" t="s">
        <v>234</v>
      </c>
      <c r="D25" s="64" t="s">
        <v>105</v>
      </c>
      <c r="E25" s="64" t="s">
        <v>152</v>
      </c>
      <c r="F25" s="134">
        <v>42304</v>
      </c>
      <c r="G25" s="64"/>
      <c r="H25" s="64"/>
      <c r="I25" s="68">
        <v>513.33000000000004</v>
      </c>
      <c r="J25" s="150">
        <v>653.33000000000004</v>
      </c>
      <c r="K25" s="68">
        <f t="shared" si="0"/>
        <v>1166.6600000000001</v>
      </c>
      <c r="L25" s="68">
        <v>10203.31</v>
      </c>
      <c r="M25" s="68"/>
      <c r="N25" s="68"/>
      <c r="O25" s="68"/>
      <c r="P25" s="109"/>
      <c r="Q25" s="122">
        <f t="shared" si="1"/>
        <v>11369.97</v>
      </c>
      <c r="R25" s="68"/>
      <c r="S25" s="68"/>
      <c r="T25" s="68"/>
      <c r="U25" s="68">
        <v>0</v>
      </c>
      <c r="V25" s="68"/>
      <c r="W25" s="68"/>
      <c r="X25" s="68"/>
      <c r="Y25" s="60"/>
      <c r="Z25" s="60"/>
      <c r="AA25" s="64"/>
      <c r="AB25" s="64">
        <v>0</v>
      </c>
      <c r="AC25" s="122">
        <f t="shared" si="2"/>
        <v>11369.97</v>
      </c>
      <c r="AD25" s="60">
        <f t="shared" si="7"/>
        <v>1136.9970000000001</v>
      </c>
      <c r="AE25" s="122">
        <f t="shared" si="3"/>
        <v>10232.973</v>
      </c>
      <c r="AF25" s="60">
        <f t="shared" si="8"/>
        <v>0</v>
      </c>
      <c r="AG25" s="60">
        <v>10.23</v>
      </c>
      <c r="AH25" s="60">
        <f t="shared" si="4"/>
        <v>0</v>
      </c>
      <c r="AI25" s="122">
        <f t="shared" si="5"/>
        <v>11380.199999999999</v>
      </c>
      <c r="AJ25" s="145"/>
      <c r="AK25" s="145"/>
      <c r="AL25" s="123">
        <f t="shared" si="6"/>
        <v>-10232.973</v>
      </c>
      <c r="AM25" s="64"/>
      <c r="AN25" s="64"/>
    </row>
    <row r="26" spans="1:40" s="29" customFormat="1">
      <c r="A26" s="64" t="s">
        <v>82</v>
      </c>
      <c r="B26" s="64" t="s">
        <v>257</v>
      </c>
      <c r="C26" s="64"/>
      <c r="D26" s="64" t="s">
        <v>100</v>
      </c>
      <c r="E26" s="64" t="s">
        <v>148</v>
      </c>
      <c r="F26" s="134">
        <v>42338</v>
      </c>
      <c r="G26" s="64"/>
      <c r="H26" s="64"/>
      <c r="I26" s="68">
        <v>739.23</v>
      </c>
      <c r="J26" s="150"/>
      <c r="K26" s="68">
        <f t="shared" si="0"/>
        <v>739.23</v>
      </c>
      <c r="L26" s="68">
        <f>1346.748+5.571</f>
        <v>1352.319</v>
      </c>
      <c r="M26" s="68"/>
      <c r="N26" s="68"/>
      <c r="O26" s="68"/>
      <c r="P26" s="109"/>
      <c r="Q26" s="122">
        <f t="shared" si="1"/>
        <v>2091.549</v>
      </c>
      <c r="R26" s="68"/>
      <c r="S26" s="68"/>
      <c r="T26" s="68"/>
      <c r="U26" s="68">
        <v>0</v>
      </c>
      <c r="V26" s="68"/>
      <c r="W26" s="68"/>
      <c r="X26" s="68"/>
      <c r="Y26" s="60"/>
      <c r="Z26" s="60"/>
      <c r="AA26" s="64"/>
      <c r="AB26" s="64">
        <v>0</v>
      </c>
      <c r="AC26" s="122">
        <f t="shared" si="2"/>
        <v>2091.549</v>
      </c>
      <c r="AD26" s="60">
        <f t="shared" si="7"/>
        <v>0</v>
      </c>
      <c r="AE26" s="122">
        <f t="shared" si="3"/>
        <v>2091.549</v>
      </c>
      <c r="AF26" s="60">
        <f t="shared" si="8"/>
        <v>209.1549</v>
      </c>
      <c r="AG26" s="60">
        <v>10.23</v>
      </c>
      <c r="AH26" s="60">
        <f t="shared" si="4"/>
        <v>0</v>
      </c>
      <c r="AI26" s="122">
        <f t="shared" si="5"/>
        <v>2310.9339</v>
      </c>
      <c r="AJ26" s="145"/>
      <c r="AK26" s="146"/>
      <c r="AL26" s="123">
        <f t="shared" si="6"/>
        <v>-2091.549</v>
      </c>
      <c r="AM26" s="64"/>
      <c r="AN26" s="69"/>
    </row>
    <row r="27" spans="1:40" s="29" customFormat="1">
      <c r="A27" s="64" t="s">
        <v>66</v>
      </c>
      <c r="B27" s="64" t="s">
        <v>191</v>
      </c>
      <c r="C27" s="64"/>
      <c r="D27" s="64" t="s">
        <v>99</v>
      </c>
      <c r="E27" s="64" t="s">
        <v>150</v>
      </c>
      <c r="F27" s="134">
        <v>42110</v>
      </c>
      <c r="G27" s="64"/>
      <c r="H27" s="64"/>
      <c r="I27" s="68">
        <v>513.33000000000004</v>
      </c>
      <c r="J27" s="150">
        <v>486.67</v>
      </c>
      <c r="K27" s="68">
        <f>+I27+J27</f>
        <v>1000</v>
      </c>
      <c r="L27" s="68">
        <v>700</v>
      </c>
      <c r="M27" s="68"/>
      <c r="N27" s="68"/>
      <c r="O27" s="68"/>
      <c r="P27" s="109"/>
      <c r="Q27" s="122">
        <f t="shared" si="1"/>
        <v>1700</v>
      </c>
      <c r="R27" s="68">
        <v>250</v>
      </c>
      <c r="S27" s="68"/>
      <c r="T27" s="68">
        <v>58.91</v>
      </c>
      <c r="U27" s="68">
        <v>0</v>
      </c>
      <c r="V27" s="68"/>
      <c r="W27" s="68"/>
      <c r="X27" s="68"/>
      <c r="Y27" s="60"/>
      <c r="Z27" s="60"/>
      <c r="AA27" s="64"/>
      <c r="AB27" s="64">
        <v>0</v>
      </c>
      <c r="AC27" s="122">
        <f t="shared" si="2"/>
        <v>1391.0900000000001</v>
      </c>
      <c r="AD27" s="60">
        <f t="shared" si="7"/>
        <v>0</v>
      </c>
      <c r="AE27" s="122">
        <f t="shared" si="3"/>
        <v>1391.0900000000001</v>
      </c>
      <c r="AF27" s="60">
        <f t="shared" si="8"/>
        <v>170</v>
      </c>
      <c r="AG27" s="60">
        <v>10.23</v>
      </c>
      <c r="AH27" s="60">
        <f t="shared" si="4"/>
        <v>0</v>
      </c>
      <c r="AI27" s="122">
        <f t="shared" si="5"/>
        <v>1880.23</v>
      </c>
      <c r="AJ27" s="145"/>
      <c r="AK27" s="145"/>
      <c r="AL27" s="123">
        <f t="shared" si="6"/>
        <v>-1391.0900000000001</v>
      </c>
      <c r="AM27" s="64"/>
      <c r="AN27" s="69"/>
    </row>
    <row r="28" spans="1:40" s="29" customFormat="1">
      <c r="A28" s="64" t="s">
        <v>208</v>
      </c>
      <c r="B28" s="64" t="s">
        <v>176</v>
      </c>
      <c r="C28" s="64"/>
      <c r="D28" s="64" t="s">
        <v>101</v>
      </c>
      <c r="E28" s="64" t="s">
        <v>151</v>
      </c>
      <c r="F28" s="134">
        <v>42205</v>
      </c>
      <c r="G28" s="64"/>
      <c r="H28" s="124"/>
      <c r="I28" s="68">
        <v>577.38</v>
      </c>
      <c r="J28" s="150">
        <v>1047.6199999999999</v>
      </c>
      <c r="K28" s="68">
        <f>+I28+J28</f>
        <v>1625</v>
      </c>
      <c r="L28" s="68"/>
      <c r="M28" s="68"/>
      <c r="N28" s="68"/>
      <c r="O28" s="68"/>
      <c r="P28" s="109"/>
      <c r="Q28" s="122">
        <f t="shared" si="1"/>
        <v>1625</v>
      </c>
      <c r="R28" s="68"/>
      <c r="S28" s="68"/>
      <c r="T28" s="68"/>
      <c r="U28" s="68">
        <v>200</v>
      </c>
      <c r="V28" s="68"/>
      <c r="W28" s="68"/>
      <c r="X28" s="68"/>
      <c r="Y28" s="60"/>
      <c r="Z28" s="60">
        <v>168.06</v>
      </c>
      <c r="AA28" s="64"/>
      <c r="AB28" s="64">
        <v>0</v>
      </c>
      <c r="AC28" s="122">
        <f t="shared" si="2"/>
        <v>1256.94</v>
      </c>
      <c r="AD28" s="60">
        <f t="shared" si="7"/>
        <v>0</v>
      </c>
      <c r="AE28" s="122">
        <f t="shared" si="3"/>
        <v>1256.94</v>
      </c>
      <c r="AF28" s="60">
        <f t="shared" si="8"/>
        <v>162.5</v>
      </c>
      <c r="AG28" s="60">
        <v>10.23</v>
      </c>
      <c r="AH28" s="60">
        <f t="shared" si="4"/>
        <v>0</v>
      </c>
      <c r="AI28" s="122">
        <f t="shared" si="5"/>
        <v>1797.73</v>
      </c>
      <c r="AJ28" s="145"/>
      <c r="AK28" s="145"/>
      <c r="AL28" s="123">
        <f t="shared" si="6"/>
        <v>-1256.94</v>
      </c>
      <c r="AM28" s="64"/>
      <c r="AN28" s="64"/>
    </row>
    <row r="29" spans="1:40" s="29" customFormat="1">
      <c r="A29" s="64" t="s">
        <v>208</v>
      </c>
      <c r="B29" s="64" t="s">
        <v>269</v>
      </c>
      <c r="C29" s="64"/>
      <c r="D29" s="64"/>
      <c r="E29" s="64" t="s">
        <v>151</v>
      </c>
      <c r="F29" s="134">
        <v>42476</v>
      </c>
      <c r="G29" s="64"/>
      <c r="H29" s="124"/>
      <c r="I29" s="68">
        <v>577.38</v>
      </c>
      <c r="J29" s="150">
        <v>822.62</v>
      </c>
      <c r="K29" s="68">
        <f t="shared" si="0"/>
        <v>1400</v>
      </c>
      <c r="L29" s="68"/>
      <c r="M29" s="68"/>
      <c r="N29" s="68"/>
      <c r="O29" s="68"/>
      <c r="P29" s="109"/>
      <c r="Q29" s="122">
        <f t="shared" si="1"/>
        <v>1400</v>
      </c>
      <c r="R29" s="68"/>
      <c r="S29" s="68"/>
      <c r="T29" s="68"/>
      <c r="U29" s="68"/>
      <c r="V29" s="68"/>
      <c r="W29" s="68"/>
      <c r="X29" s="68"/>
      <c r="Y29" s="60"/>
      <c r="Z29" s="60"/>
      <c r="AA29" s="64"/>
      <c r="AB29" s="64">
        <v>0</v>
      </c>
      <c r="AC29" s="122">
        <f t="shared" si="2"/>
        <v>1400</v>
      </c>
      <c r="AD29" s="60">
        <f t="shared" ref="AD29" si="13">IF(Q29&gt;2250,Q29*0.1,0)</f>
        <v>0</v>
      </c>
      <c r="AE29" s="122">
        <f t="shared" ref="AE29" si="14">+AC29-AD29</f>
        <v>1400</v>
      </c>
      <c r="AF29" s="60">
        <f t="shared" si="8"/>
        <v>140</v>
      </c>
      <c r="AG29" s="60">
        <v>10.23</v>
      </c>
      <c r="AH29" s="60">
        <f t="shared" ref="AH29" si="15">+V29</f>
        <v>0</v>
      </c>
      <c r="AI29" s="122">
        <f t="shared" si="5"/>
        <v>1550.23</v>
      </c>
      <c r="AJ29" s="145"/>
      <c r="AK29" s="145"/>
      <c r="AL29" s="123">
        <f t="shared" si="6"/>
        <v>-1400</v>
      </c>
      <c r="AM29" s="64">
        <v>2919685839</v>
      </c>
      <c r="AN29" s="69"/>
    </row>
    <row r="30" spans="1:40" s="29" customFormat="1">
      <c r="A30" s="64" t="s">
        <v>84</v>
      </c>
      <c r="B30" s="64" t="s">
        <v>274</v>
      </c>
      <c r="C30" s="64"/>
      <c r="D30" s="64" t="s">
        <v>114</v>
      </c>
      <c r="E30" s="64" t="s">
        <v>158</v>
      </c>
      <c r="F30" s="134">
        <v>41227</v>
      </c>
      <c r="G30" s="64"/>
      <c r="H30" s="64"/>
      <c r="I30" s="68">
        <v>608.16</v>
      </c>
      <c r="J30" s="150"/>
      <c r="K30" s="68">
        <v>608.16</v>
      </c>
      <c r="L30" s="68">
        <f>1367.388+2.599</f>
        <v>1369.9869999999999</v>
      </c>
      <c r="M30" s="68"/>
      <c r="N30" s="68"/>
      <c r="O30" s="68"/>
      <c r="P30" s="109"/>
      <c r="Q30" s="122">
        <f t="shared" si="1"/>
        <v>1978.1469999999999</v>
      </c>
      <c r="R30" s="68"/>
      <c r="S30" s="68"/>
      <c r="T30" s="68"/>
      <c r="U30" s="68">
        <v>500</v>
      </c>
      <c r="V30" s="68">
        <f>Q30*4.9%</f>
        <v>96.929203000000001</v>
      </c>
      <c r="W30" s="68">
        <f>Q30*1%</f>
        <v>19.781469999999999</v>
      </c>
      <c r="X30" s="68"/>
      <c r="Y30" s="60"/>
      <c r="Z30" s="60"/>
      <c r="AA30" s="64"/>
      <c r="AB30" s="64">
        <v>0</v>
      </c>
      <c r="AC30" s="122">
        <f t="shared" si="2"/>
        <v>1361.4363269999999</v>
      </c>
      <c r="AD30" s="60">
        <f t="shared" si="7"/>
        <v>0</v>
      </c>
      <c r="AE30" s="122">
        <f>+AC30-AD30</f>
        <v>1361.4363269999999</v>
      </c>
      <c r="AF30" s="60">
        <f t="shared" si="8"/>
        <v>197.81470000000002</v>
      </c>
      <c r="AG30" s="60">
        <v>10.23</v>
      </c>
      <c r="AH30" s="60">
        <f t="shared" si="4"/>
        <v>96.929203000000001</v>
      </c>
      <c r="AI30" s="122">
        <f t="shared" si="5"/>
        <v>2283.120903</v>
      </c>
      <c r="AJ30" s="145"/>
      <c r="AK30" s="145"/>
      <c r="AL30" s="123">
        <f t="shared" si="6"/>
        <v>-1361.4363269999999</v>
      </c>
      <c r="AM30" s="64"/>
      <c r="AN30" s="69"/>
    </row>
    <row r="31" spans="1:40" s="29" customFormat="1">
      <c r="A31" s="64"/>
      <c r="B31" s="64" t="s">
        <v>278</v>
      </c>
      <c r="C31" s="64"/>
      <c r="D31" s="64"/>
      <c r="E31" s="64" t="s">
        <v>69</v>
      </c>
      <c r="F31" s="134">
        <v>42507</v>
      </c>
      <c r="G31" s="64"/>
      <c r="H31" s="64"/>
      <c r="I31" s="68">
        <v>513.33000000000004</v>
      </c>
      <c r="J31" s="150">
        <v>653.33000000000004</v>
      </c>
      <c r="K31" s="68">
        <f>+I31+J31</f>
        <v>1166.6600000000001</v>
      </c>
      <c r="L31" s="68">
        <v>2106.44</v>
      </c>
      <c r="M31" s="68"/>
      <c r="N31" s="68"/>
      <c r="O31" s="68"/>
      <c r="P31" s="109"/>
      <c r="Q31" s="122">
        <f t="shared" si="1"/>
        <v>3273.1000000000004</v>
      </c>
      <c r="R31" s="68">
        <v>400</v>
      </c>
      <c r="S31" s="68"/>
      <c r="T31" s="68"/>
      <c r="U31" s="68"/>
      <c r="V31" s="68"/>
      <c r="W31" s="68"/>
      <c r="X31" s="68"/>
      <c r="Y31" s="60"/>
      <c r="Z31" s="60"/>
      <c r="AA31" s="64"/>
      <c r="AB31" s="64"/>
      <c r="AC31" s="122">
        <f t="shared" si="2"/>
        <v>2873.1000000000004</v>
      </c>
      <c r="AD31" s="60">
        <f t="shared" ref="AD31" si="16">IF(Q31&gt;2250,Q31*0.1,0)</f>
        <v>327.31000000000006</v>
      </c>
      <c r="AE31" s="122">
        <f>+AC31-AD31</f>
        <v>2545.7900000000004</v>
      </c>
      <c r="AF31" s="60">
        <f t="shared" si="8"/>
        <v>0</v>
      </c>
      <c r="AG31" s="60">
        <v>10.23</v>
      </c>
      <c r="AH31" s="60">
        <f t="shared" ref="AH31" si="17">+V31</f>
        <v>0</v>
      </c>
      <c r="AI31" s="122">
        <f t="shared" si="5"/>
        <v>3283.3300000000004</v>
      </c>
      <c r="AJ31" s="145"/>
      <c r="AK31" s="145"/>
      <c r="AL31" s="123">
        <f t="shared" si="6"/>
        <v>-2545.7900000000004</v>
      </c>
      <c r="AM31" s="129">
        <v>2791168061</v>
      </c>
      <c r="AN31" s="69"/>
    </row>
    <row r="32" spans="1:40" s="29" customFormat="1">
      <c r="A32" s="64" t="s">
        <v>84</v>
      </c>
      <c r="B32" s="64" t="s">
        <v>192</v>
      </c>
      <c r="C32" s="64"/>
      <c r="D32" s="64" t="s">
        <v>115</v>
      </c>
      <c r="E32" s="64" t="s">
        <v>158</v>
      </c>
      <c r="F32" s="134">
        <v>41227</v>
      </c>
      <c r="G32" s="64"/>
      <c r="H32" s="64"/>
      <c r="I32" s="68">
        <v>608.16</v>
      </c>
      <c r="J32" s="150"/>
      <c r="K32" s="68">
        <f>+I32+J32</f>
        <v>608.16</v>
      </c>
      <c r="L32" s="68">
        <f>3821.838+2.972</f>
        <v>3824.8100000000004</v>
      </c>
      <c r="M32" s="68"/>
      <c r="N32" s="68"/>
      <c r="O32" s="68"/>
      <c r="P32" s="109"/>
      <c r="Q32" s="122">
        <f t="shared" si="1"/>
        <v>4432.97</v>
      </c>
      <c r="R32" s="68"/>
      <c r="S32" s="68"/>
      <c r="T32" s="68"/>
      <c r="U32" s="68">
        <v>0</v>
      </c>
      <c r="V32" s="68">
        <f>Q32*4.9%</f>
        <v>217.21553000000003</v>
      </c>
      <c r="W32" s="68">
        <f>Q32*1%</f>
        <v>44.329700000000003</v>
      </c>
      <c r="X32" s="68">
        <v>300</v>
      </c>
      <c r="Y32" s="60"/>
      <c r="Z32" s="60"/>
      <c r="AA32" s="124"/>
      <c r="AB32" s="64">
        <v>0</v>
      </c>
      <c r="AC32" s="122">
        <f t="shared" si="2"/>
        <v>3871.4247700000001</v>
      </c>
      <c r="AD32" s="60">
        <f t="shared" si="7"/>
        <v>443.29700000000003</v>
      </c>
      <c r="AE32" s="122">
        <f t="shared" si="3"/>
        <v>3428.1277700000001</v>
      </c>
      <c r="AF32" s="60">
        <f t="shared" si="8"/>
        <v>0</v>
      </c>
      <c r="AG32" s="60">
        <v>10.23</v>
      </c>
      <c r="AH32" s="60">
        <f t="shared" si="4"/>
        <v>217.21553000000003</v>
      </c>
      <c r="AI32" s="122">
        <f t="shared" si="5"/>
        <v>4660.4155300000002</v>
      </c>
      <c r="AJ32" s="145"/>
      <c r="AK32" s="146"/>
      <c r="AL32" s="123">
        <f t="shared" si="6"/>
        <v>-3428.1277700000001</v>
      </c>
      <c r="AM32" s="64"/>
      <c r="AN32" s="69"/>
    </row>
    <row r="33" spans="1:40" s="29" customFormat="1">
      <c r="A33" s="64" t="s">
        <v>81</v>
      </c>
      <c r="B33" s="64" t="s">
        <v>299</v>
      </c>
      <c r="C33" s="64"/>
      <c r="D33" s="64"/>
      <c r="E33" s="64" t="s">
        <v>69</v>
      </c>
      <c r="F33" s="134">
        <v>42514</v>
      </c>
      <c r="G33" s="64"/>
      <c r="H33" s="64"/>
      <c r="I33" s="174">
        <f>+K33</f>
        <v>1332.86</v>
      </c>
      <c r="J33" s="150"/>
      <c r="K33" s="68">
        <v>1332.86</v>
      </c>
      <c r="L33" s="68">
        <v>802.11</v>
      </c>
      <c r="M33" s="68"/>
      <c r="N33" s="68"/>
      <c r="O33" s="68"/>
      <c r="P33" s="109"/>
      <c r="Q33" s="122">
        <f t="shared" si="1"/>
        <v>2134.9699999999998</v>
      </c>
      <c r="R33" s="68"/>
      <c r="S33" s="68"/>
      <c r="T33" s="68"/>
      <c r="U33" s="68">
        <v>0</v>
      </c>
      <c r="V33" s="68"/>
      <c r="W33" s="68"/>
      <c r="X33" s="68"/>
      <c r="Y33" s="60"/>
      <c r="Z33" s="60"/>
      <c r="AA33" s="64"/>
      <c r="AB33" s="64">
        <v>0</v>
      </c>
      <c r="AC33" s="122">
        <f t="shared" si="2"/>
        <v>2134.9699999999998</v>
      </c>
      <c r="AD33" s="60">
        <f t="shared" ref="AD33:AD44" si="18">IF(Q33&gt;2250,Q33*0.1,0)</f>
        <v>0</v>
      </c>
      <c r="AE33" s="122">
        <f t="shared" ref="AE33:AE44" si="19">+AC33-AD33</f>
        <v>2134.9699999999998</v>
      </c>
      <c r="AF33" s="60">
        <f t="shared" ref="AF33:AF44" si="20">IF(Q33&lt;2250,Q33*0.1,0)</f>
        <v>213.49699999999999</v>
      </c>
      <c r="AG33" s="60">
        <v>11.23</v>
      </c>
      <c r="AH33" s="60">
        <f t="shared" ref="AH33:AH44" si="21">+V33</f>
        <v>0</v>
      </c>
      <c r="AI33" s="122">
        <f t="shared" si="5"/>
        <v>2359.6969999999997</v>
      </c>
      <c r="AJ33" s="145"/>
      <c r="AK33" s="146"/>
      <c r="AL33" s="123"/>
      <c r="AM33" s="64">
        <v>2747910657</v>
      </c>
      <c r="AN33" s="69"/>
    </row>
    <row r="34" spans="1:40" s="29" customFormat="1">
      <c r="A34" s="64" t="s">
        <v>82</v>
      </c>
      <c r="B34" s="64" t="s">
        <v>243</v>
      </c>
      <c r="C34" s="64"/>
      <c r="D34" s="64"/>
      <c r="E34" s="64" t="s">
        <v>244</v>
      </c>
      <c r="F34" s="134">
        <v>42457</v>
      </c>
      <c r="G34" s="64"/>
      <c r="H34" s="64"/>
      <c r="I34" s="68">
        <v>513.33000000000004</v>
      </c>
      <c r="J34" s="150">
        <v>586.66999999999996</v>
      </c>
      <c r="K34" s="68">
        <f t="shared" si="0"/>
        <v>1100</v>
      </c>
      <c r="L34" s="68">
        <v>90</v>
      </c>
      <c r="M34" s="68"/>
      <c r="N34" s="68"/>
      <c r="O34" s="68"/>
      <c r="P34" s="109"/>
      <c r="Q34" s="122">
        <f t="shared" si="1"/>
        <v>1190</v>
      </c>
      <c r="R34" s="68"/>
      <c r="S34" s="68"/>
      <c r="T34" s="68"/>
      <c r="U34" s="68">
        <v>0</v>
      </c>
      <c r="V34" s="68"/>
      <c r="W34" s="68"/>
      <c r="X34" s="68"/>
      <c r="Y34" s="60"/>
      <c r="Z34" s="60"/>
      <c r="AA34" s="64"/>
      <c r="AB34" s="64">
        <v>0</v>
      </c>
      <c r="AC34" s="122">
        <f t="shared" si="2"/>
        <v>1190</v>
      </c>
      <c r="AD34" s="60">
        <f t="shared" si="18"/>
        <v>0</v>
      </c>
      <c r="AE34" s="122">
        <f t="shared" si="19"/>
        <v>1190</v>
      </c>
      <c r="AF34" s="60">
        <f t="shared" si="20"/>
        <v>119</v>
      </c>
      <c r="AG34" s="60">
        <v>12.23</v>
      </c>
      <c r="AH34" s="60">
        <f t="shared" si="21"/>
        <v>0</v>
      </c>
      <c r="AI34" s="122">
        <f t="shared" si="5"/>
        <v>1321.23</v>
      </c>
      <c r="AJ34" s="145"/>
      <c r="AK34" s="145"/>
      <c r="AL34" s="123">
        <f t="shared" si="6"/>
        <v>-1190</v>
      </c>
      <c r="AM34" s="64"/>
      <c r="AN34" s="69"/>
    </row>
    <row r="35" spans="1:40" s="29" customFormat="1">
      <c r="A35" s="64" t="s">
        <v>68</v>
      </c>
      <c r="B35" s="64" t="s">
        <v>268</v>
      </c>
      <c r="C35" s="64" t="s">
        <v>204</v>
      </c>
      <c r="D35" s="64"/>
      <c r="E35" s="64" t="s">
        <v>70</v>
      </c>
      <c r="F35" s="134">
        <v>42413</v>
      </c>
      <c r="G35" s="64"/>
      <c r="H35" s="64"/>
      <c r="I35" s="68">
        <v>513.33000000000004</v>
      </c>
      <c r="J35" s="150">
        <v>653.33000000000004</v>
      </c>
      <c r="K35" s="68">
        <f t="shared" si="0"/>
        <v>1166.6600000000001</v>
      </c>
      <c r="L35" s="68">
        <v>6213.52</v>
      </c>
      <c r="M35" s="68"/>
      <c r="N35" s="68"/>
      <c r="O35" s="68"/>
      <c r="P35" s="109"/>
      <c r="Q35" s="122">
        <f t="shared" si="1"/>
        <v>7380.18</v>
      </c>
      <c r="R35" s="68"/>
      <c r="S35" s="68"/>
      <c r="T35" s="68"/>
      <c r="U35" s="68">
        <v>0</v>
      </c>
      <c r="V35" s="68"/>
      <c r="W35" s="68"/>
      <c r="X35" s="68"/>
      <c r="Y35" s="60"/>
      <c r="Z35" s="60"/>
      <c r="AA35" s="64"/>
      <c r="AB35" s="64">
        <v>0</v>
      </c>
      <c r="AC35" s="122">
        <f t="shared" si="2"/>
        <v>7380.18</v>
      </c>
      <c r="AD35" s="60">
        <f t="shared" si="18"/>
        <v>738.01800000000003</v>
      </c>
      <c r="AE35" s="122">
        <f t="shared" si="19"/>
        <v>6642.1620000000003</v>
      </c>
      <c r="AF35" s="60">
        <f t="shared" si="20"/>
        <v>0</v>
      </c>
      <c r="AG35" s="60">
        <v>13.23</v>
      </c>
      <c r="AH35" s="60">
        <f t="shared" si="21"/>
        <v>0</v>
      </c>
      <c r="AI35" s="122">
        <f t="shared" si="5"/>
        <v>7393.41</v>
      </c>
      <c r="AJ35" s="145"/>
      <c r="AK35" s="146"/>
      <c r="AL35" s="123">
        <f t="shared" si="6"/>
        <v>-6642.1620000000003</v>
      </c>
      <c r="AM35" s="64"/>
      <c r="AN35" s="64"/>
    </row>
    <row r="36" spans="1:40" s="29" customFormat="1">
      <c r="A36" s="64"/>
      <c r="B36" s="64" t="s">
        <v>308</v>
      </c>
      <c r="C36" s="64"/>
      <c r="D36" s="64"/>
      <c r="E36" s="64" t="s">
        <v>70</v>
      </c>
      <c r="F36" s="134">
        <v>42532</v>
      </c>
      <c r="G36" s="64"/>
      <c r="H36" s="64"/>
      <c r="I36" s="68">
        <v>513.33000000000004</v>
      </c>
      <c r="J36" s="150">
        <v>653.33000000000004</v>
      </c>
      <c r="K36" s="68">
        <f t="shared" ref="K36" si="22">+I36+J36</f>
        <v>1166.6600000000001</v>
      </c>
      <c r="L36" s="68"/>
      <c r="M36" s="68"/>
      <c r="N36" s="68"/>
      <c r="O36" s="68"/>
      <c r="P36" s="109"/>
      <c r="Q36" s="122">
        <f t="shared" ref="Q36" si="23">SUM(K36:O36)-P36</f>
        <v>1166.6600000000001</v>
      </c>
      <c r="R36" s="68"/>
      <c r="S36" s="68"/>
      <c r="T36" s="68"/>
      <c r="U36" s="68">
        <v>0</v>
      </c>
      <c r="V36" s="68"/>
      <c r="W36" s="68"/>
      <c r="X36" s="68"/>
      <c r="Y36" s="60"/>
      <c r="Z36" s="60"/>
      <c r="AA36" s="64"/>
      <c r="AB36" s="64">
        <v>0</v>
      </c>
      <c r="AC36" s="122">
        <f t="shared" ref="AC36" si="24">+Q36-SUM(R36:AB36)</f>
        <v>1166.6600000000001</v>
      </c>
      <c r="AD36" s="60">
        <f t="shared" ref="AD36" si="25">IF(Q36&gt;2250,Q36*0.1,0)</f>
        <v>0</v>
      </c>
      <c r="AE36" s="122">
        <f t="shared" ref="AE36" si="26">+AC36-AD36</f>
        <v>1166.6600000000001</v>
      </c>
      <c r="AF36" s="60">
        <f t="shared" ref="AF36" si="27">IF(Q36&lt;2250,Q36*0.1,0)</f>
        <v>116.66600000000001</v>
      </c>
      <c r="AG36" s="60">
        <v>13.23</v>
      </c>
      <c r="AH36" s="60">
        <f t="shared" ref="AH36" si="28">+V36</f>
        <v>0</v>
      </c>
      <c r="AI36" s="122">
        <f t="shared" ref="AI36" si="29">+Q36+AF36+AG36+AH36</f>
        <v>1296.556</v>
      </c>
      <c r="AJ36" s="145"/>
      <c r="AK36" s="146"/>
      <c r="AL36" s="123">
        <f t="shared" ref="AL36" si="30">+AJ36+AK36-AE36</f>
        <v>-1166.6600000000001</v>
      </c>
      <c r="AM36" s="64"/>
      <c r="AN36" s="64" t="s">
        <v>309</v>
      </c>
    </row>
    <row r="37" spans="1:40" s="29" customFormat="1">
      <c r="A37" s="64" t="s">
        <v>68</v>
      </c>
      <c r="B37" s="64" t="s">
        <v>291</v>
      </c>
      <c r="C37" s="64"/>
      <c r="D37" s="64"/>
      <c r="E37" s="64" t="s">
        <v>70</v>
      </c>
      <c r="F37" s="134">
        <v>42520</v>
      </c>
      <c r="G37" s="64"/>
      <c r="H37" s="64"/>
      <c r="I37" s="68">
        <v>513.33000000000004</v>
      </c>
      <c r="J37" s="150">
        <v>653.33000000000004</v>
      </c>
      <c r="K37" s="68">
        <f>+I37</f>
        <v>513.33000000000004</v>
      </c>
      <c r="L37" s="68"/>
      <c r="M37" s="68"/>
      <c r="N37" s="68"/>
      <c r="O37" s="68"/>
      <c r="P37" s="109"/>
      <c r="Q37" s="122">
        <f t="shared" si="1"/>
        <v>513.33000000000004</v>
      </c>
      <c r="R37" s="68"/>
      <c r="S37" s="68"/>
      <c r="T37" s="68"/>
      <c r="U37" s="68">
        <v>0</v>
      </c>
      <c r="V37" s="68"/>
      <c r="W37" s="68"/>
      <c r="X37" s="68"/>
      <c r="Y37" s="60"/>
      <c r="Z37" s="60"/>
      <c r="AA37" s="64"/>
      <c r="AB37" s="64">
        <v>0</v>
      </c>
      <c r="AC37" s="122">
        <f t="shared" si="2"/>
        <v>513.33000000000004</v>
      </c>
      <c r="AD37" s="60">
        <f t="shared" si="18"/>
        <v>0</v>
      </c>
      <c r="AE37" s="122">
        <f t="shared" si="19"/>
        <v>513.33000000000004</v>
      </c>
      <c r="AF37" s="60">
        <f t="shared" si="20"/>
        <v>51.333000000000006</v>
      </c>
      <c r="AG37" s="60">
        <v>14.23</v>
      </c>
      <c r="AH37" s="60">
        <f t="shared" si="21"/>
        <v>0</v>
      </c>
      <c r="AI37" s="122">
        <f t="shared" si="5"/>
        <v>578.89300000000003</v>
      </c>
      <c r="AJ37" s="145"/>
      <c r="AK37" s="146"/>
      <c r="AL37" s="123"/>
      <c r="AM37" s="64">
        <v>1175437504</v>
      </c>
      <c r="AN37" s="69"/>
    </row>
    <row r="38" spans="1:40" s="29" customFormat="1">
      <c r="A38" s="64" t="s">
        <v>68</v>
      </c>
      <c r="B38" s="64" t="s">
        <v>265</v>
      </c>
      <c r="C38" s="64" t="s">
        <v>204</v>
      </c>
      <c r="D38" s="64" t="s">
        <v>130</v>
      </c>
      <c r="E38" s="64" t="s">
        <v>70</v>
      </c>
      <c r="F38" s="134">
        <v>41906</v>
      </c>
      <c r="G38" s="64"/>
      <c r="H38" s="64"/>
      <c r="I38" s="68">
        <v>513.33000000000004</v>
      </c>
      <c r="J38" s="150">
        <v>653.33000000000004</v>
      </c>
      <c r="K38" s="68">
        <f t="shared" si="0"/>
        <v>1166.6600000000001</v>
      </c>
      <c r="L38" s="68">
        <v>19196.599999999999</v>
      </c>
      <c r="M38" s="68"/>
      <c r="N38" s="68"/>
      <c r="O38" s="68"/>
      <c r="P38" s="109"/>
      <c r="Q38" s="122">
        <f t="shared" si="1"/>
        <v>20363.259999999998</v>
      </c>
      <c r="R38" s="68"/>
      <c r="S38" s="68"/>
      <c r="T38" s="68">
        <v>58.91</v>
      </c>
      <c r="U38" s="68">
        <v>0</v>
      </c>
      <c r="V38" s="68"/>
      <c r="W38" s="68"/>
      <c r="X38" s="68"/>
      <c r="Y38" s="60"/>
      <c r="Z38" s="60"/>
      <c r="AA38" s="64"/>
      <c r="AB38" s="64">
        <v>349.07</v>
      </c>
      <c r="AC38" s="122">
        <f t="shared" si="2"/>
        <v>19955.28</v>
      </c>
      <c r="AD38" s="60">
        <f t="shared" si="18"/>
        <v>2036.326</v>
      </c>
      <c r="AE38" s="122">
        <f t="shared" si="19"/>
        <v>17918.953999999998</v>
      </c>
      <c r="AF38" s="60">
        <f t="shared" si="20"/>
        <v>0</v>
      </c>
      <c r="AG38" s="60">
        <v>15.23</v>
      </c>
      <c r="AH38" s="60">
        <f t="shared" si="21"/>
        <v>0</v>
      </c>
      <c r="AI38" s="122">
        <f t="shared" si="5"/>
        <v>20378.489999999998</v>
      </c>
      <c r="AJ38" s="145"/>
      <c r="AK38" s="146"/>
      <c r="AL38" s="123">
        <f t="shared" si="6"/>
        <v>-17918.953999999998</v>
      </c>
      <c r="AM38" s="64"/>
      <c r="AN38" s="64"/>
    </row>
    <row r="39" spans="1:40" s="29" customFormat="1">
      <c r="A39" s="64"/>
      <c r="B39" s="64" t="s">
        <v>281</v>
      </c>
      <c r="C39" s="64"/>
      <c r="D39" s="64"/>
      <c r="E39" s="64" t="s">
        <v>150</v>
      </c>
      <c r="F39" s="134">
        <v>42506</v>
      </c>
      <c r="G39" s="64"/>
      <c r="H39" s="64"/>
      <c r="I39" s="68">
        <v>513.33000000000004</v>
      </c>
      <c r="J39" s="150">
        <v>486.67</v>
      </c>
      <c r="K39" s="68">
        <f t="shared" si="0"/>
        <v>1000</v>
      </c>
      <c r="L39" s="68">
        <v>700</v>
      </c>
      <c r="M39" s="68"/>
      <c r="N39" s="68"/>
      <c r="O39" s="68"/>
      <c r="P39" s="109"/>
      <c r="Q39" s="122">
        <f t="shared" si="1"/>
        <v>1700</v>
      </c>
      <c r="R39" s="68"/>
      <c r="S39" s="68"/>
      <c r="T39" s="68"/>
      <c r="U39" s="68"/>
      <c r="V39" s="68"/>
      <c r="W39" s="68"/>
      <c r="X39" s="68"/>
      <c r="Y39" s="60"/>
      <c r="Z39" s="60"/>
      <c r="AA39" s="64"/>
      <c r="AB39" s="64">
        <v>0</v>
      </c>
      <c r="AC39" s="122">
        <f t="shared" si="2"/>
        <v>1700</v>
      </c>
      <c r="AD39" s="60">
        <f t="shared" si="18"/>
        <v>0</v>
      </c>
      <c r="AE39" s="122">
        <f t="shared" si="19"/>
        <v>1700</v>
      </c>
      <c r="AF39" s="60">
        <f t="shared" si="20"/>
        <v>170</v>
      </c>
      <c r="AG39" s="60">
        <v>16.23</v>
      </c>
      <c r="AH39" s="60">
        <f t="shared" si="21"/>
        <v>0</v>
      </c>
      <c r="AI39" s="122">
        <f t="shared" si="5"/>
        <v>1886.23</v>
      </c>
      <c r="AJ39" s="145"/>
      <c r="AK39" s="178"/>
      <c r="AL39" s="123">
        <f t="shared" si="6"/>
        <v>-1700</v>
      </c>
      <c r="AM39" s="129">
        <v>1180560405</v>
      </c>
      <c r="AN39" s="69"/>
    </row>
    <row r="40" spans="1:40" s="29" customFormat="1">
      <c r="A40" s="64" t="s">
        <v>68</v>
      </c>
      <c r="B40" s="64" t="s">
        <v>282</v>
      </c>
      <c r="C40" s="64"/>
      <c r="D40" s="64"/>
      <c r="E40" s="64" t="s">
        <v>283</v>
      </c>
      <c r="F40" s="134">
        <v>42480</v>
      </c>
      <c r="G40" s="64"/>
      <c r="H40" s="64"/>
      <c r="I40" s="68">
        <v>513.33000000000004</v>
      </c>
      <c r="J40" s="150">
        <v>1470</v>
      </c>
      <c r="K40" s="68">
        <f t="shared" ref="K40:K77" si="31">+I40+J40</f>
        <v>1983.33</v>
      </c>
      <c r="L40" s="68"/>
      <c r="M40" s="68"/>
      <c r="N40" s="68"/>
      <c r="O40" s="68"/>
      <c r="P40" s="109"/>
      <c r="Q40" s="122">
        <f t="shared" si="1"/>
        <v>1983.33</v>
      </c>
      <c r="R40" s="68"/>
      <c r="S40" s="68"/>
      <c r="T40" s="68"/>
      <c r="U40" s="68"/>
      <c r="V40" s="68"/>
      <c r="W40" s="68"/>
      <c r="X40" s="68"/>
      <c r="Y40" s="60"/>
      <c r="Z40" s="60"/>
      <c r="AA40" s="64"/>
      <c r="AB40" s="64">
        <v>0</v>
      </c>
      <c r="AC40" s="122">
        <f t="shared" ref="AC40:AC71" si="32">+Q40-SUM(R40:AB40)</f>
        <v>1983.33</v>
      </c>
      <c r="AD40" s="60">
        <f t="shared" si="18"/>
        <v>0</v>
      </c>
      <c r="AE40" s="122">
        <f t="shared" si="19"/>
        <v>1983.33</v>
      </c>
      <c r="AF40" s="60">
        <f t="shared" si="20"/>
        <v>198.333</v>
      </c>
      <c r="AG40" s="60">
        <v>17.23</v>
      </c>
      <c r="AH40" s="60">
        <f t="shared" si="21"/>
        <v>0</v>
      </c>
      <c r="AI40" s="122">
        <f t="shared" ref="AI40:AI71" si="33">+Q40+AF40+AG40+AH40</f>
        <v>2198.893</v>
      </c>
      <c r="AJ40" s="177"/>
      <c r="AK40" s="178"/>
      <c r="AL40" s="123">
        <f t="shared" si="6"/>
        <v>-1983.33</v>
      </c>
      <c r="AM40" s="64">
        <v>1116618499</v>
      </c>
      <c r="AN40" s="69"/>
    </row>
    <row r="41" spans="1:40" s="29" customFormat="1">
      <c r="A41" s="64" t="s">
        <v>68</v>
      </c>
      <c r="B41" s="64" t="s">
        <v>205</v>
      </c>
      <c r="C41" s="64" t="s">
        <v>204</v>
      </c>
      <c r="D41" s="76"/>
      <c r="E41" s="64" t="s">
        <v>70</v>
      </c>
      <c r="F41" s="134">
        <v>42240</v>
      </c>
      <c r="G41" s="64"/>
      <c r="H41" s="64"/>
      <c r="I41" s="68"/>
      <c r="J41" s="150"/>
      <c r="K41" s="68">
        <f t="shared" si="0"/>
        <v>0</v>
      </c>
      <c r="L41" s="68"/>
      <c r="M41" s="68"/>
      <c r="N41" s="68"/>
      <c r="O41" s="68"/>
      <c r="P41" s="109"/>
      <c r="Q41" s="122">
        <f t="shared" si="1"/>
        <v>0</v>
      </c>
      <c r="R41" s="68"/>
      <c r="S41" s="68"/>
      <c r="T41" s="68"/>
      <c r="U41" s="68">
        <v>0</v>
      </c>
      <c r="V41" s="68"/>
      <c r="W41" s="68"/>
      <c r="X41" s="68"/>
      <c r="Y41" s="60"/>
      <c r="Z41" s="60"/>
      <c r="AA41" s="64"/>
      <c r="AB41" s="64">
        <v>0</v>
      </c>
      <c r="AC41" s="122">
        <f t="shared" si="32"/>
        <v>0</v>
      </c>
      <c r="AD41" s="60">
        <f t="shared" si="18"/>
        <v>0</v>
      </c>
      <c r="AE41" s="122">
        <f t="shared" si="19"/>
        <v>0</v>
      </c>
      <c r="AF41" s="60">
        <f t="shared" si="20"/>
        <v>0</v>
      </c>
      <c r="AG41" s="60">
        <v>18.23</v>
      </c>
      <c r="AH41" s="60">
        <f t="shared" si="21"/>
        <v>0</v>
      </c>
      <c r="AI41" s="122">
        <f t="shared" si="33"/>
        <v>18.23</v>
      </c>
      <c r="AJ41" s="147"/>
      <c r="AK41" s="147"/>
      <c r="AL41" s="123">
        <f t="shared" si="6"/>
        <v>0</v>
      </c>
      <c r="AM41" s="64"/>
      <c r="AN41" s="69"/>
    </row>
    <row r="42" spans="1:40" s="29" customFormat="1">
      <c r="A42" s="64" t="s">
        <v>82</v>
      </c>
      <c r="B42" s="64" t="s">
        <v>193</v>
      </c>
      <c r="C42" s="64"/>
      <c r="D42" s="64" t="s">
        <v>88</v>
      </c>
      <c r="E42" s="64" t="s">
        <v>143</v>
      </c>
      <c r="F42" s="134">
        <v>42319</v>
      </c>
      <c r="G42" s="64"/>
      <c r="H42" s="64"/>
      <c r="I42" s="68">
        <v>739.23</v>
      </c>
      <c r="J42" s="150"/>
      <c r="K42" s="68">
        <f t="shared" si="31"/>
        <v>739.23</v>
      </c>
      <c r="L42" s="68">
        <f>2104.494+7.428</f>
        <v>2111.922</v>
      </c>
      <c r="M42" s="68"/>
      <c r="N42" s="68"/>
      <c r="O42" s="68"/>
      <c r="P42" s="109"/>
      <c r="Q42" s="122">
        <f t="shared" si="1"/>
        <v>2851.152</v>
      </c>
      <c r="R42" s="68"/>
      <c r="S42" s="68">
        <v>105.6</v>
      </c>
      <c r="T42" s="68"/>
      <c r="U42" s="68">
        <v>0</v>
      </c>
      <c r="V42" s="68"/>
      <c r="W42" s="68"/>
      <c r="X42" s="68"/>
      <c r="Y42" s="60"/>
      <c r="Z42" s="60"/>
      <c r="AA42" s="64"/>
      <c r="AB42" s="64">
        <v>0</v>
      </c>
      <c r="AC42" s="122">
        <f t="shared" si="32"/>
        <v>2745.5520000000001</v>
      </c>
      <c r="AD42" s="60">
        <f t="shared" si="18"/>
        <v>285.11520000000002</v>
      </c>
      <c r="AE42" s="122">
        <f t="shared" si="19"/>
        <v>2460.4367999999999</v>
      </c>
      <c r="AF42" s="60">
        <f t="shared" si="20"/>
        <v>0</v>
      </c>
      <c r="AG42" s="60">
        <v>19.23</v>
      </c>
      <c r="AH42" s="60">
        <f t="shared" si="21"/>
        <v>0</v>
      </c>
      <c r="AI42" s="122">
        <f t="shared" si="33"/>
        <v>2870.3820000000001</v>
      </c>
      <c r="AJ42" s="145"/>
      <c r="AK42" s="146"/>
      <c r="AL42" s="123">
        <f t="shared" si="6"/>
        <v>-2460.4367999999999</v>
      </c>
      <c r="AM42" s="64"/>
      <c r="AN42" s="69"/>
    </row>
    <row r="43" spans="1:40" s="29" customFormat="1">
      <c r="A43" s="64" t="s">
        <v>68</v>
      </c>
      <c r="B43" s="64" t="s">
        <v>189</v>
      </c>
      <c r="C43" s="64" t="s">
        <v>206</v>
      </c>
      <c r="D43" s="64" t="s">
        <v>131</v>
      </c>
      <c r="E43" s="64" t="s">
        <v>70</v>
      </c>
      <c r="F43" s="134">
        <v>41463</v>
      </c>
      <c r="G43" s="64"/>
      <c r="H43" s="64"/>
      <c r="I43" s="68">
        <v>513.33000000000004</v>
      </c>
      <c r="J43" s="150">
        <v>653.33000000000004</v>
      </c>
      <c r="K43" s="68">
        <f t="shared" si="31"/>
        <v>1166.6600000000001</v>
      </c>
      <c r="L43" s="68">
        <v>9982.09</v>
      </c>
      <c r="M43" s="68"/>
      <c r="N43" s="68"/>
      <c r="O43" s="68"/>
      <c r="P43" s="109"/>
      <c r="Q43" s="122">
        <f t="shared" si="1"/>
        <v>11148.75</v>
      </c>
      <c r="R43" s="68"/>
      <c r="S43" s="68"/>
      <c r="T43" s="68">
        <v>58.91</v>
      </c>
      <c r="U43" s="68">
        <v>0</v>
      </c>
      <c r="V43" s="68"/>
      <c r="W43" s="68"/>
      <c r="X43" s="68"/>
      <c r="Y43" s="60"/>
      <c r="Z43" s="60"/>
      <c r="AA43" s="64"/>
      <c r="AB43" s="64">
        <v>0</v>
      </c>
      <c r="AC43" s="122">
        <f t="shared" si="32"/>
        <v>11089.84</v>
      </c>
      <c r="AD43" s="60">
        <f t="shared" si="18"/>
        <v>1114.875</v>
      </c>
      <c r="AE43" s="122">
        <f t="shared" si="19"/>
        <v>9974.9650000000001</v>
      </c>
      <c r="AF43" s="60">
        <f t="shared" si="20"/>
        <v>0</v>
      </c>
      <c r="AG43" s="60">
        <v>20.23</v>
      </c>
      <c r="AH43" s="60">
        <f t="shared" si="21"/>
        <v>0</v>
      </c>
      <c r="AI43" s="122">
        <f t="shared" si="33"/>
        <v>11168.98</v>
      </c>
      <c r="AJ43" s="145"/>
      <c r="AK43" s="146"/>
      <c r="AL43" s="123">
        <f t="shared" si="6"/>
        <v>-9974.9650000000001</v>
      </c>
      <c r="AM43" s="64"/>
      <c r="AN43" s="64"/>
    </row>
    <row r="44" spans="1:40" s="29" customFormat="1">
      <c r="A44" s="64" t="s">
        <v>66</v>
      </c>
      <c r="B44" s="64" t="s">
        <v>292</v>
      </c>
      <c r="C44" s="64"/>
      <c r="D44" s="64" t="s">
        <v>293</v>
      </c>
      <c r="E44" s="64" t="s">
        <v>294</v>
      </c>
      <c r="F44" s="148">
        <v>40618</v>
      </c>
      <c r="G44" s="64"/>
      <c r="H44" s="64"/>
      <c r="I44" s="68">
        <v>1750</v>
      </c>
      <c r="J44" s="150"/>
      <c r="K44" s="68">
        <f t="shared" si="31"/>
        <v>1750</v>
      </c>
      <c r="L44" s="68">
        <v>3369.59</v>
      </c>
      <c r="M44" s="68"/>
      <c r="N44" s="68"/>
      <c r="O44" s="68"/>
      <c r="P44" s="109"/>
      <c r="Q44" s="122">
        <f t="shared" si="1"/>
        <v>5119.59</v>
      </c>
      <c r="R44" s="68"/>
      <c r="S44" s="68"/>
      <c r="T44" s="68"/>
      <c r="U44" s="68">
        <v>0</v>
      </c>
      <c r="V44" s="68"/>
      <c r="W44" s="68"/>
      <c r="X44" s="68"/>
      <c r="Y44" s="60"/>
      <c r="Z44" s="60"/>
      <c r="AA44" s="64"/>
      <c r="AB44" s="64">
        <v>0</v>
      </c>
      <c r="AC44" s="122">
        <f t="shared" si="32"/>
        <v>5119.59</v>
      </c>
      <c r="AD44" s="60">
        <f t="shared" si="18"/>
        <v>511.95900000000006</v>
      </c>
      <c r="AE44" s="122">
        <f t="shared" si="19"/>
        <v>4607.6310000000003</v>
      </c>
      <c r="AF44" s="60">
        <f t="shared" si="20"/>
        <v>0</v>
      </c>
      <c r="AG44" s="60">
        <v>21.23</v>
      </c>
      <c r="AH44" s="60">
        <f t="shared" si="21"/>
        <v>0</v>
      </c>
      <c r="AI44" s="122">
        <f t="shared" si="33"/>
        <v>5140.82</v>
      </c>
      <c r="AJ44" s="145"/>
      <c r="AK44" s="146"/>
      <c r="AL44" s="123"/>
      <c r="AM44" s="64">
        <v>2659973974</v>
      </c>
      <c r="AN44" s="69"/>
    </row>
    <row r="45" spans="1:40" s="29" customFormat="1">
      <c r="A45" s="64" t="s">
        <v>68</v>
      </c>
      <c r="B45" s="64" t="s">
        <v>266</v>
      </c>
      <c r="C45" s="64" t="s">
        <v>209</v>
      </c>
      <c r="D45" s="64" t="s">
        <v>132</v>
      </c>
      <c r="E45" s="64" t="s">
        <v>70</v>
      </c>
      <c r="F45" s="134">
        <v>42296</v>
      </c>
      <c r="G45" s="64"/>
      <c r="H45" s="64"/>
      <c r="I45" s="68">
        <v>513.33000000000004</v>
      </c>
      <c r="J45" s="150">
        <v>653.33000000000004</v>
      </c>
      <c r="K45" s="68">
        <f t="shared" si="31"/>
        <v>1166.6600000000001</v>
      </c>
      <c r="L45" s="68">
        <v>7777.32</v>
      </c>
      <c r="M45" s="68"/>
      <c r="N45" s="68"/>
      <c r="O45" s="68"/>
      <c r="P45" s="109"/>
      <c r="Q45" s="122">
        <f t="shared" ref="Q45:Q77" si="34">SUM(K45:O45)-P45</f>
        <v>8943.98</v>
      </c>
      <c r="R45" s="68"/>
      <c r="S45" s="68"/>
      <c r="T45" s="68"/>
      <c r="U45" s="68">
        <v>0</v>
      </c>
      <c r="V45" s="68"/>
      <c r="W45" s="68"/>
      <c r="X45" s="68"/>
      <c r="Y45" s="60"/>
      <c r="Z45" s="60"/>
      <c r="AA45" s="64"/>
      <c r="AB45" s="64">
        <v>208.6</v>
      </c>
      <c r="AC45" s="122">
        <f t="shared" si="32"/>
        <v>8735.3799999999992</v>
      </c>
      <c r="AD45" s="60">
        <f t="shared" si="7"/>
        <v>894.39800000000002</v>
      </c>
      <c r="AE45" s="122">
        <f t="shared" ref="AE45:AE75" si="35">+AC45-AD45</f>
        <v>7840.9819999999991</v>
      </c>
      <c r="AF45" s="60">
        <f t="shared" si="8"/>
        <v>0</v>
      </c>
      <c r="AG45" s="60">
        <v>10.23</v>
      </c>
      <c r="AH45" s="60">
        <f t="shared" ref="AH45:AH75" si="36">+V45</f>
        <v>0</v>
      </c>
      <c r="AI45" s="122">
        <f t="shared" si="33"/>
        <v>8954.2099999999991</v>
      </c>
      <c r="AJ45" s="145"/>
      <c r="AK45" s="146"/>
      <c r="AL45" s="123">
        <f t="shared" si="6"/>
        <v>-7840.9819999999991</v>
      </c>
      <c r="AM45" s="64"/>
      <c r="AN45" s="64"/>
    </row>
    <row r="46" spans="1:40" s="29" customFormat="1">
      <c r="A46" s="64" t="s">
        <v>67</v>
      </c>
      <c r="B46" s="64" t="s">
        <v>77</v>
      </c>
      <c r="C46" s="64" t="s">
        <v>234</v>
      </c>
      <c r="D46" s="64" t="s">
        <v>107</v>
      </c>
      <c r="E46" s="64" t="s">
        <v>152</v>
      </c>
      <c r="F46" s="134">
        <v>42199</v>
      </c>
      <c r="G46" s="64"/>
      <c r="H46" s="64"/>
      <c r="I46" s="68">
        <v>513.33000000000004</v>
      </c>
      <c r="J46" s="150">
        <v>653.33000000000004</v>
      </c>
      <c r="K46" s="68">
        <f t="shared" si="31"/>
        <v>1166.6600000000001</v>
      </c>
      <c r="L46" s="68"/>
      <c r="M46" s="68"/>
      <c r="N46" s="68"/>
      <c r="O46" s="68"/>
      <c r="P46" s="109"/>
      <c r="Q46" s="122">
        <f t="shared" si="34"/>
        <v>1166.6600000000001</v>
      </c>
      <c r="R46" s="68"/>
      <c r="S46" s="68"/>
      <c r="T46" s="68">
        <v>58.91</v>
      </c>
      <c r="U46" s="68">
        <v>0</v>
      </c>
      <c r="V46" s="68"/>
      <c r="W46" s="68"/>
      <c r="X46" s="68"/>
      <c r="Y46" s="60"/>
      <c r="Z46" s="60"/>
      <c r="AA46" s="64"/>
      <c r="AB46" s="64">
        <v>0</v>
      </c>
      <c r="AC46" s="122">
        <f t="shared" si="32"/>
        <v>1107.75</v>
      </c>
      <c r="AD46" s="60">
        <f t="shared" si="7"/>
        <v>0</v>
      </c>
      <c r="AE46" s="122">
        <f t="shared" si="35"/>
        <v>1107.75</v>
      </c>
      <c r="AF46" s="60">
        <f t="shared" si="8"/>
        <v>116.66600000000001</v>
      </c>
      <c r="AG46" s="60">
        <v>10.23</v>
      </c>
      <c r="AH46" s="60">
        <f t="shared" si="36"/>
        <v>0</v>
      </c>
      <c r="AI46" s="122">
        <f t="shared" si="33"/>
        <v>1293.556</v>
      </c>
      <c r="AJ46" s="145"/>
      <c r="AK46" s="146"/>
      <c r="AL46" s="123">
        <f t="shared" si="6"/>
        <v>-1107.75</v>
      </c>
      <c r="AM46" s="64"/>
      <c r="AN46" s="64"/>
    </row>
    <row r="47" spans="1:40" s="29" customFormat="1">
      <c r="A47" s="64" t="s">
        <v>68</v>
      </c>
      <c r="B47" s="64" t="s">
        <v>210</v>
      </c>
      <c r="C47" s="64" t="s">
        <v>209</v>
      </c>
      <c r="D47" s="64" t="s">
        <v>133</v>
      </c>
      <c r="E47" s="64" t="s">
        <v>70</v>
      </c>
      <c r="F47" s="134">
        <v>42304</v>
      </c>
      <c r="G47" s="64"/>
      <c r="H47" s="64"/>
      <c r="I47" s="68">
        <v>513.33000000000004</v>
      </c>
      <c r="J47" s="150">
        <v>653.33000000000004</v>
      </c>
      <c r="K47" s="68">
        <f t="shared" si="31"/>
        <v>1166.6600000000001</v>
      </c>
      <c r="L47" s="68">
        <v>3122.44</v>
      </c>
      <c r="M47" s="68"/>
      <c r="N47" s="68"/>
      <c r="O47" s="68"/>
      <c r="P47" s="109"/>
      <c r="Q47" s="122">
        <f t="shared" si="34"/>
        <v>4289.1000000000004</v>
      </c>
      <c r="R47" s="68"/>
      <c r="S47" s="68"/>
      <c r="T47" s="68"/>
      <c r="U47" s="68">
        <v>0</v>
      </c>
      <c r="V47" s="68"/>
      <c r="W47" s="68"/>
      <c r="X47" s="68"/>
      <c r="Y47" s="60"/>
      <c r="Z47" s="60"/>
      <c r="AA47" s="64"/>
      <c r="AB47" s="64">
        <v>0</v>
      </c>
      <c r="AC47" s="122">
        <f t="shared" si="32"/>
        <v>4289.1000000000004</v>
      </c>
      <c r="AD47" s="60">
        <f t="shared" si="7"/>
        <v>428.91000000000008</v>
      </c>
      <c r="AE47" s="122">
        <f t="shared" si="35"/>
        <v>3860.1900000000005</v>
      </c>
      <c r="AF47" s="60">
        <f t="shared" si="8"/>
        <v>0</v>
      </c>
      <c r="AG47" s="60">
        <v>10.23</v>
      </c>
      <c r="AH47" s="60">
        <f t="shared" si="36"/>
        <v>0</v>
      </c>
      <c r="AI47" s="122">
        <f t="shared" si="33"/>
        <v>4299.33</v>
      </c>
      <c r="AJ47" s="123"/>
      <c r="AK47" s="123"/>
      <c r="AL47" s="123"/>
      <c r="AM47" s="64"/>
      <c r="AN47" s="64"/>
    </row>
    <row r="48" spans="1:40" s="29" customFormat="1">
      <c r="A48" s="64" t="s">
        <v>84</v>
      </c>
      <c r="B48" s="64" t="s">
        <v>303</v>
      </c>
      <c r="C48" s="64"/>
      <c r="D48" s="64"/>
      <c r="E48" s="64" t="s">
        <v>153</v>
      </c>
      <c r="F48" s="134">
        <v>42541</v>
      </c>
      <c r="G48" s="64"/>
      <c r="H48" s="64"/>
      <c r="I48" s="68">
        <v>556.78</v>
      </c>
      <c r="J48" s="150"/>
      <c r="K48" s="68">
        <f t="shared" ref="K48" si="37">+I48+J48</f>
        <v>556.78</v>
      </c>
      <c r="L48" s="68">
        <f>1075.515+3.736</f>
        <v>1079.2510000000002</v>
      </c>
      <c r="M48" s="68"/>
      <c r="N48" s="68"/>
      <c r="O48" s="68"/>
      <c r="P48" s="109"/>
      <c r="Q48" s="122">
        <f t="shared" ref="Q48" si="38">SUM(K48:O48)-P48</f>
        <v>1636.0310000000002</v>
      </c>
      <c r="R48" s="68"/>
      <c r="S48" s="68"/>
      <c r="T48" s="68"/>
      <c r="U48" s="68">
        <v>0</v>
      </c>
      <c r="V48" s="68">
        <f>Q48*4.9%</f>
        <v>80.165519000000018</v>
      </c>
      <c r="W48" s="68">
        <f>Q48*1%</f>
        <v>16.360310000000002</v>
      </c>
      <c r="X48" s="68"/>
      <c r="Y48" s="60"/>
      <c r="Z48" s="60"/>
      <c r="AA48" s="64"/>
      <c r="AB48" s="64">
        <v>0</v>
      </c>
      <c r="AC48" s="122">
        <f t="shared" si="32"/>
        <v>1539.5051710000002</v>
      </c>
      <c r="AD48" s="60">
        <f t="shared" ref="AD48" si="39">IF(Q48&gt;2250,Q48*0.1,0)</f>
        <v>0</v>
      </c>
      <c r="AE48" s="122">
        <f t="shared" ref="AE48" si="40">+AC48-AD48</f>
        <v>1539.5051710000002</v>
      </c>
      <c r="AF48" s="60">
        <f t="shared" ref="AF48" si="41">IF(Q48&lt;2250,Q48*0.1,0)</f>
        <v>163.60310000000004</v>
      </c>
      <c r="AG48" s="60">
        <v>10.23</v>
      </c>
      <c r="AH48" s="60">
        <f t="shared" ref="AH48" si="42">+V48</f>
        <v>80.165519000000018</v>
      </c>
      <c r="AI48" s="122">
        <f t="shared" si="33"/>
        <v>1890.0296190000004</v>
      </c>
      <c r="AJ48" s="126"/>
      <c r="AK48" s="126"/>
      <c r="AL48" s="126"/>
      <c r="AM48" s="64">
        <v>1169744878</v>
      </c>
      <c r="AN48" s="64"/>
    </row>
    <row r="49" spans="1:40" s="29" customFormat="1">
      <c r="A49" s="64" t="s">
        <v>68</v>
      </c>
      <c r="B49" s="64" t="s">
        <v>214</v>
      </c>
      <c r="C49" s="64"/>
      <c r="D49" s="64" t="s">
        <v>135</v>
      </c>
      <c r="E49" s="64" t="s">
        <v>70</v>
      </c>
      <c r="F49" s="134">
        <v>42164</v>
      </c>
      <c r="G49" s="64"/>
      <c r="H49" s="64"/>
      <c r="I49" s="68">
        <v>513.33000000000004</v>
      </c>
      <c r="J49" s="150">
        <v>653.33000000000004</v>
      </c>
      <c r="K49" s="68">
        <f t="shared" si="31"/>
        <v>1166.6600000000001</v>
      </c>
      <c r="L49" s="68">
        <v>16550.62</v>
      </c>
      <c r="M49" s="68"/>
      <c r="N49" s="68"/>
      <c r="O49" s="68"/>
      <c r="P49" s="109"/>
      <c r="Q49" s="122">
        <f t="shared" si="34"/>
        <v>17717.28</v>
      </c>
      <c r="R49" s="68"/>
      <c r="S49" s="68"/>
      <c r="T49" s="68"/>
      <c r="U49" s="68">
        <v>0</v>
      </c>
      <c r="V49" s="68"/>
      <c r="W49" s="68"/>
      <c r="X49" s="68"/>
      <c r="Y49" s="60"/>
      <c r="Z49" s="60"/>
      <c r="AA49" s="64"/>
      <c r="AB49" s="64">
        <v>0</v>
      </c>
      <c r="AC49" s="122">
        <f t="shared" si="32"/>
        <v>17717.28</v>
      </c>
      <c r="AD49" s="60">
        <f t="shared" si="7"/>
        <v>1771.7280000000001</v>
      </c>
      <c r="AE49" s="122">
        <f t="shared" si="35"/>
        <v>15945.552</v>
      </c>
      <c r="AF49" s="60">
        <f t="shared" si="8"/>
        <v>0</v>
      </c>
      <c r="AG49" s="60">
        <v>10.23</v>
      </c>
      <c r="AH49" s="60">
        <f t="shared" si="36"/>
        <v>0</v>
      </c>
      <c r="AI49" s="122">
        <f t="shared" si="33"/>
        <v>17727.509999999998</v>
      </c>
      <c r="AJ49" s="145"/>
      <c r="AK49" s="178"/>
      <c r="AL49" s="123">
        <f t="shared" si="6"/>
        <v>-15945.552</v>
      </c>
      <c r="AM49" s="64"/>
      <c r="AN49" s="64"/>
    </row>
    <row r="50" spans="1:40" s="29" customFormat="1">
      <c r="A50" s="64" t="s">
        <v>84</v>
      </c>
      <c r="B50" s="64" t="s">
        <v>165</v>
      </c>
      <c r="C50" s="64"/>
      <c r="D50" s="64" t="s">
        <v>116</v>
      </c>
      <c r="E50" s="64" t="s">
        <v>153</v>
      </c>
      <c r="F50" s="134">
        <v>41981</v>
      </c>
      <c r="G50" s="64"/>
      <c r="H50" s="64"/>
      <c r="I50" s="68">
        <v>556.78</v>
      </c>
      <c r="J50" s="150"/>
      <c r="K50" s="68">
        <f t="shared" si="31"/>
        <v>556.78</v>
      </c>
      <c r="L50" s="68">
        <v>108.392</v>
      </c>
      <c r="M50" s="68"/>
      <c r="N50" s="68"/>
      <c r="O50" s="68"/>
      <c r="P50" s="109"/>
      <c r="Q50" s="122">
        <f t="shared" si="34"/>
        <v>665.17200000000003</v>
      </c>
      <c r="R50" s="68"/>
      <c r="S50" s="68"/>
      <c r="T50" s="68"/>
      <c r="U50" s="68">
        <v>100</v>
      </c>
      <c r="V50" s="68">
        <f>Q50*4.9%</f>
        <v>32.593428000000003</v>
      </c>
      <c r="W50" s="68">
        <f>Q50*1%</f>
        <v>6.6517200000000001</v>
      </c>
      <c r="X50" s="68"/>
      <c r="Y50" s="60"/>
      <c r="Z50" s="60"/>
      <c r="AA50" s="64"/>
      <c r="AB50" s="64">
        <v>0</v>
      </c>
      <c r="AC50" s="122">
        <f t="shared" si="32"/>
        <v>525.92685200000005</v>
      </c>
      <c r="AD50" s="60">
        <f t="shared" si="7"/>
        <v>0</v>
      </c>
      <c r="AE50" s="122">
        <f t="shared" si="35"/>
        <v>525.92685200000005</v>
      </c>
      <c r="AF50" s="60">
        <f t="shared" si="8"/>
        <v>66.517200000000003</v>
      </c>
      <c r="AG50" s="60">
        <v>10.23</v>
      </c>
      <c r="AH50" s="60">
        <f t="shared" si="36"/>
        <v>32.593428000000003</v>
      </c>
      <c r="AI50" s="122">
        <f t="shared" si="33"/>
        <v>774.51262800000006</v>
      </c>
      <c r="AJ50" s="145"/>
      <c r="AK50" s="145"/>
      <c r="AL50" s="123">
        <f t="shared" si="6"/>
        <v>-525.92685200000005</v>
      </c>
      <c r="AM50" s="64"/>
      <c r="AN50" s="64"/>
    </row>
    <row r="51" spans="1:40" s="29" customFormat="1">
      <c r="A51" s="64" t="s">
        <v>84</v>
      </c>
      <c r="B51" s="64" t="s">
        <v>216</v>
      </c>
      <c r="C51" s="64"/>
      <c r="D51" s="64" t="s">
        <v>217</v>
      </c>
      <c r="E51" s="64" t="s">
        <v>158</v>
      </c>
      <c r="F51" s="132">
        <v>41284</v>
      </c>
      <c r="G51" s="64"/>
      <c r="H51" s="64"/>
      <c r="I51" s="68">
        <v>608.16</v>
      </c>
      <c r="J51" s="150"/>
      <c r="K51" s="68">
        <f t="shared" si="31"/>
        <v>608.16</v>
      </c>
      <c r="L51" s="68">
        <f>2543.59+2.599</f>
        <v>2546.1890000000003</v>
      </c>
      <c r="M51" s="68"/>
      <c r="N51" s="68"/>
      <c r="O51" s="68"/>
      <c r="P51" s="109"/>
      <c r="Q51" s="122">
        <f t="shared" si="34"/>
        <v>3154.3490000000002</v>
      </c>
      <c r="R51" s="68"/>
      <c r="S51" s="68"/>
      <c r="T51" s="68"/>
      <c r="U51" s="68">
        <v>0</v>
      </c>
      <c r="V51" s="68">
        <f>Q51*4.9%</f>
        <v>154.56310100000002</v>
      </c>
      <c r="W51" s="68">
        <f>Q51*1%</f>
        <v>31.543490000000002</v>
      </c>
      <c r="X51" s="68"/>
      <c r="Y51" s="60"/>
      <c r="Z51" s="60"/>
      <c r="AA51" s="64"/>
      <c r="AB51" s="64">
        <v>0</v>
      </c>
      <c r="AC51" s="122">
        <f t="shared" si="32"/>
        <v>2968.242409</v>
      </c>
      <c r="AD51" s="60">
        <f t="shared" si="7"/>
        <v>315.43490000000003</v>
      </c>
      <c r="AE51" s="122">
        <f t="shared" si="35"/>
        <v>2652.8075089999998</v>
      </c>
      <c r="AF51" s="60">
        <f t="shared" si="8"/>
        <v>0</v>
      </c>
      <c r="AG51" s="60">
        <v>10.23</v>
      </c>
      <c r="AH51" s="60">
        <f t="shared" si="36"/>
        <v>154.56310100000002</v>
      </c>
      <c r="AI51" s="122">
        <f t="shared" si="33"/>
        <v>3319.1421010000004</v>
      </c>
      <c r="AJ51" s="145"/>
      <c r="AK51" s="146"/>
      <c r="AL51" s="123">
        <f t="shared" si="6"/>
        <v>-2652.8075089999998</v>
      </c>
      <c r="AM51" s="64">
        <v>2948910731</v>
      </c>
      <c r="AN51" s="69"/>
    </row>
    <row r="52" spans="1:40" s="29" customFormat="1">
      <c r="A52" s="64" t="s">
        <v>84</v>
      </c>
      <c r="B52" s="64" t="s">
        <v>167</v>
      </c>
      <c r="C52" s="64"/>
      <c r="D52" s="64" t="s">
        <v>117</v>
      </c>
      <c r="E52" s="64" t="s">
        <v>155</v>
      </c>
      <c r="F52" s="132">
        <v>41227</v>
      </c>
      <c r="G52" s="64"/>
      <c r="H52" s="64"/>
      <c r="I52" s="68">
        <v>608.16</v>
      </c>
      <c r="J52" s="150"/>
      <c r="K52" s="68">
        <f t="shared" si="31"/>
        <v>608.16</v>
      </c>
      <c r="L52" s="68">
        <f>1306+2.972</f>
        <v>1308.972</v>
      </c>
      <c r="M52" s="68"/>
      <c r="N52" s="68"/>
      <c r="O52" s="68"/>
      <c r="P52" s="109"/>
      <c r="Q52" s="122">
        <f t="shared" si="34"/>
        <v>1917.1320000000001</v>
      </c>
      <c r="R52" s="68"/>
      <c r="S52" s="68"/>
      <c r="T52" s="68"/>
      <c r="U52" s="68"/>
      <c r="V52" s="68">
        <f>Q52*4.9%</f>
        <v>93.939468000000005</v>
      </c>
      <c r="W52" s="68">
        <f>Q52*1%</f>
        <v>19.171320000000001</v>
      </c>
      <c r="X52" s="68"/>
      <c r="Y52" s="60"/>
      <c r="Z52" s="60"/>
      <c r="AA52" s="64"/>
      <c r="AB52" s="64">
        <v>0</v>
      </c>
      <c r="AC52" s="122">
        <f t="shared" si="32"/>
        <v>1804.0212120000001</v>
      </c>
      <c r="AD52" s="60">
        <f t="shared" si="7"/>
        <v>0</v>
      </c>
      <c r="AE52" s="122">
        <f t="shared" si="35"/>
        <v>1804.0212120000001</v>
      </c>
      <c r="AF52" s="60">
        <f t="shared" si="8"/>
        <v>191.71320000000003</v>
      </c>
      <c r="AG52" s="60">
        <v>10.23</v>
      </c>
      <c r="AH52" s="60">
        <f t="shared" si="36"/>
        <v>93.939468000000005</v>
      </c>
      <c r="AI52" s="122">
        <f t="shared" si="33"/>
        <v>2213.0146680000003</v>
      </c>
      <c r="AJ52" s="145"/>
      <c r="AK52" s="145"/>
      <c r="AL52" s="123">
        <f t="shared" si="6"/>
        <v>-1804.0212120000001</v>
      </c>
      <c r="AM52" s="64"/>
      <c r="AN52" s="69"/>
    </row>
    <row r="53" spans="1:40" s="29" customFormat="1">
      <c r="A53" s="64" t="s">
        <v>82</v>
      </c>
      <c r="B53" s="64" t="s">
        <v>195</v>
      </c>
      <c r="C53" s="64"/>
      <c r="D53" s="64" t="s">
        <v>89</v>
      </c>
      <c r="E53" s="64" t="s">
        <v>144</v>
      </c>
      <c r="F53" s="132">
        <v>41493</v>
      </c>
      <c r="G53" s="64"/>
      <c r="H53" s="64"/>
      <c r="I53" s="68">
        <v>633.16</v>
      </c>
      <c r="J53" s="150"/>
      <c r="K53" s="68">
        <f t="shared" si="31"/>
        <v>633.16</v>
      </c>
      <c r="L53" s="68">
        <f>2938.742+13.099</f>
        <v>2951.8410000000003</v>
      </c>
      <c r="M53" s="68"/>
      <c r="N53" s="68"/>
      <c r="O53" s="68"/>
      <c r="P53" s="109"/>
      <c r="Q53" s="122">
        <f t="shared" si="34"/>
        <v>3585.0010000000002</v>
      </c>
      <c r="R53" s="68"/>
      <c r="S53" s="68"/>
      <c r="T53" s="68"/>
      <c r="U53" s="68">
        <v>0</v>
      </c>
      <c r="V53" s="68"/>
      <c r="W53" s="68"/>
      <c r="X53" s="68"/>
      <c r="Y53" s="60"/>
      <c r="Z53" s="60"/>
      <c r="AA53" s="64"/>
      <c r="AB53" s="64">
        <v>0</v>
      </c>
      <c r="AC53" s="122">
        <f t="shared" si="32"/>
        <v>3585.0010000000002</v>
      </c>
      <c r="AD53" s="60">
        <f t="shared" si="7"/>
        <v>358.50010000000003</v>
      </c>
      <c r="AE53" s="122">
        <f t="shared" si="35"/>
        <v>3226.5009</v>
      </c>
      <c r="AF53" s="60">
        <f t="shared" si="8"/>
        <v>0</v>
      </c>
      <c r="AG53" s="60">
        <v>10.23</v>
      </c>
      <c r="AH53" s="60">
        <f t="shared" si="36"/>
        <v>0</v>
      </c>
      <c r="AI53" s="122">
        <f t="shared" si="33"/>
        <v>3595.2310000000002</v>
      </c>
      <c r="AJ53" s="145"/>
      <c r="AK53" s="146"/>
      <c r="AL53" s="123">
        <f t="shared" si="6"/>
        <v>-3226.5009</v>
      </c>
      <c r="AM53" s="64"/>
      <c r="AN53" s="69"/>
    </row>
    <row r="54" spans="1:40" s="29" customFormat="1">
      <c r="A54" s="64" t="s">
        <v>83</v>
      </c>
      <c r="B54" s="64" t="s">
        <v>172</v>
      </c>
      <c r="C54" s="64"/>
      <c r="D54" s="64"/>
      <c r="E54" s="64" t="s">
        <v>151</v>
      </c>
      <c r="F54" s="134">
        <v>42413</v>
      </c>
      <c r="G54" s="64"/>
      <c r="H54" s="64"/>
      <c r="I54" s="68">
        <f>1237.24/15*7</f>
        <v>577.37866666666673</v>
      </c>
      <c r="J54" s="180">
        <v>1047.6199999999999</v>
      </c>
      <c r="K54" s="68">
        <f t="shared" si="31"/>
        <v>1624.9986666666666</v>
      </c>
      <c r="L54" s="68"/>
      <c r="M54" s="68"/>
      <c r="N54" s="68"/>
      <c r="O54" s="68"/>
      <c r="P54" s="109"/>
      <c r="Q54" s="122">
        <f t="shared" si="34"/>
        <v>1624.9986666666666</v>
      </c>
      <c r="R54" s="68"/>
      <c r="S54" s="68"/>
      <c r="T54" s="68"/>
      <c r="U54" s="68">
        <v>0</v>
      </c>
      <c r="V54" s="68"/>
      <c r="W54" s="68"/>
      <c r="X54" s="68"/>
      <c r="Y54" s="60"/>
      <c r="Z54" s="60"/>
      <c r="AA54" s="64"/>
      <c r="AB54" s="64">
        <v>0</v>
      </c>
      <c r="AC54" s="122">
        <f t="shared" si="32"/>
        <v>1624.9986666666666</v>
      </c>
      <c r="AD54" s="60">
        <f t="shared" si="7"/>
        <v>0</v>
      </c>
      <c r="AE54" s="122">
        <f t="shared" si="35"/>
        <v>1624.9986666666666</v>
      </c>
      <c r="AF54" s="60">
        <f t="shared" si="8"/>
        <v>162.49986666666666</v>
      </c>
      <c r="AG54" s="60">
        <v>10.23</v>
      </c>
      <c r="AH54" s="60">
        <f t="shared" si="36"/>
        <v>0</v>
      </c>
      <c r="AI54" s="122">
        <f t="shared" si="33"/>
        <v>1797.7285333333334</v>
      </c>
      <c r="AJ54" s="145"/>
      <c r="AK54" s="146"/>
      <c r="AL54" s="123">
        <f t="shared" si="6"/>
        <v>-1624.9986666666666</v>
      </c>
      <c r="AM54" s="64"/>
      <c r="AN54" s="69"/>
    </row>
    <row r="55" spans="1:40" s="29" customFormat="1">
      <c r="A55" s="64" t="s">
        <v>68</v>
      </c>
      <c r="B55" s="64" t="s">
        <v>262</v>
      </c>
      <c r="C55" s="64" t="s">
        <v>209</v>
      </c>
      <c r="D55" s="64" t="s">
        <v>134</v>
      </c>
      <c r="E55" s="64" t="s">
        <v>70</v>
      </c>
      <c r="F55" s="134">
        <v>41622</v>
      </c>
      <c r="G55" s="64"/>
      <c r="H55" s="64"/>
      <c r="I55" s="68">
        <v>513.33000000000004</v>
      </c>
      <c r="J55" s="150">
        <v>653.33000000000004</v>
      </c>
      <c r="K55" s="68">
        <f t="shared" si="31"/>
        <v>1166.6600000000001</v>
      </c>
      <c r="L55" s="68">
        <v>2410.64</v>
      </c>
      <c r="M55" s="68"/>
      <c r="N55" s="68"/>
      <c r="O55" s="68"/>
      <c r="P55" s="109"/>
      <c r="Q55" s="122">
        <f t="shared" si="34"/>
        <v>3577.3</v>
      </c>
      <c r="R55" s="68"/>
      <c r="S55" s="68"/>
      <c r="T55" s="68">
        <v>58.91</v>
      </c>
      <c r="U55" s="68">
        <v>0</v>
      </c>
      <c r="V55" s="68"/>
      <c r="W55" s="68"/>
      <c r="X55" s="68"/>
      <c r="Y55" s="60"/>
      <c r="Z55" s="60"/>
      <c r="AA55" s="64"/>
      <c r="AB55" s="64">
        <v>0</v>
      </c>
      <c r="AC55" s="122">
        <f t="shared" si="32"/>
        <v>3518.3900000000003</v>
      </c>
      <c r="AD55" s="60">
        <f t="shared" si="7"/>
        <v>357.73</v>
      </c>
      <c r="AE55" s="122">
        <f t="shared" si="35"/>
        <v>3160.6600000000003</v>
      </c>
      <c r="AF55" s="60">
        <f t="shared" si="8"/>
        <v>0</v>
      </c>
      <c r="AG55" s="60">
        <v>10.23</v>
      </c>
      <c r="AH55" s="60">
        <f t="shared" si="36"/>
        <v>0</v>
      </c>
      <c r="AI55" s="122">
        <f t="shared" si="33"/>
        <v>3587.53</v>
      </c>
      <c r="AJ55" s="145"/>
      <c r="AK55" s="145"/>
      <c r="AL55" s="123">
        <f t="shared" si="6"/>
        <v>-3160.6600000000003</v>
      </c>
      <c r="AM55" s="64"/>
      <c r="AN55" s="64"/>
    </row>
    <row r="56" spans="1:40" s="29" customFormat="1">
      <c r="A56" s="64" t="s">
        <v>68</v>
      </c>
      <c r="B56" s="64" t="s">
        <v>271</v>
      </c>
      <c r="C56" s="64" t="s">
        <v>206</v>
      </c>
      <c r="D56" s="64">
        <v>30</v>
      </c>
      <c r="E56" s="64" t="s">
        <v>70</v>
      </c>
      <c r="F56" s="134">
        <v>37834</v>
      </c>
      <c r="G56" s="64"/>
      <c r="H56" s="64"/>
      <c r="I56" s="68">
        <v>513.33000000000004</v>
      </c>
      <c r="J56" s="150">
        <v>653.33000000000004</v>
      </c>
      <c r="K56" s="68">
        <f t="shared" si="31"/>
        <v>1166.6600000000001</v>
      </c>
      <c r="L56" s="68">
        <v>21771.25</v>
      </c>
      <c r="M56" s="68"/>
      <c r="N56" s="68"/>
      <c r="O56" s="68"/>
      <c r="P56" s="109"/>
      <c r="Q56" s="122">
        <f t="shared" si="34"/>
        <v>22937.91</v>
      </c>
      <c r="R56" s="68"/>
      <c r="S56" s="68"/>
      <c r="T56" s="68"/>
      <c r="U56" s="68">
        <v>0</v>
      </c>
      <c r="V56" s="68"/>
      <c r="W56" s="68"/>
      <c r="X56" s="68"/>
      <c r="Y56" s="60"/>
      <c r="Z56" s="60"/>
      <c r="AA56" s="64"/>
      <c r="AB56" s="64">
        <v>0</v>
      </c>
      <c r="AC56" s="122">
        <f t="shared" si="32"/>
        <v>22937.91</v>
      </c>
      <c r="AD56" s="60">
        <f t="shared" si="7"/>
        <v>2293.7910000000002</v>
      </c>
      <c r="AE56" s="122">
        <f t="shared" si="35"/>
        <v>20644.118999999999</v>
      </c>
      <c r="AF56" s="60">
        <f t="shared" si="8"/>
        <v>0</v>
      </c>
      <c r="AG56" s="60">
        <v>10.23</v>
      </c>
      <c r="AH56" s="60">
        <f t="shared" si="36"/>
        <v>0</v>
      </c>
      <c r="AI56" s="122">
        <f t="shared" si="33"/>
        <v>22948.14</v>
      </c>
      <c r="AJ56" s="145"/>
      <c r="AK56" s="146"/>
      <c r="AL56" s="123">
        <f t="shared" si="6"/>
        <v>-20644.118999999999</v>
      </c>
      <c r="AM56" s="64"/>
      <c r="AN56" s="64"/>
    </row>
    <row r="57" spans="1:40" s="29" customFormat="1">
      <c r="A57" s="64" t="s">
        <v>68</v>
      </c>
      <c r="B57" s="64" t="s">
        <v>184</v>
      </c>
      <c r="C57" s="64" t="s">
        <v>204</v>
      </c>
      <c r="D57" s="64" t="s">
        <v>136</v>
      </c>
      <c r="E57" s="64" t="s">
        <v>70</v>
      </c>
      <c r="F57" s="134">
        <v>42394</v>
      </c>
      <c r="G57" s="64"/>
      <c r="H57" s="64"/>
      <c r="I57" s="68">
        <v>513.33000000000004</v>
      </c>
      <c r="J57" s="150">
        <v>653.33000000000004</v>
      </c>
      <c r="K57" s="68">
        <f t="shared" si="31"/>
        <v>1166.6600000000001</v>
      </c>
      <c r="L57" s="68">
        <v>6144.84</v>
      </c>
      <c r="M57" s="68"/>
      <c r="N57" s="68"/>
      <c r="O57" s="68"/>
      <c r="P57" s="109"/>
      <c r="Q57" s="122">
        <f t="shared" si="34"/>
        <v>7311.5</v>
      </c>
      <c r="R57" s="68"/>
      <c r="S57" s="68"/>
      <c r="T57" s="68"/>
      <c r="U57" s="68">
        <v>0</v>
      </c>
      <c r="V57" s="68"/>
      <c r="W57" s="68"/>
      <c r="X57" s="68"/>
      <c r="Y57" s="60"/>
      <c r="Z57" s="60"/>
      <c r="AA57" s="124"/>
      <c r="AB57" s="124">
        <v>875.69</v>
      </c>
      <c r="AC57" s="122">
        <f t="shared" si="32"/>
        <v>6435.8099999999995</v>
      </c>
      <c r="AD57" s="60">
        <f t="shared" si="7"/>
        <v>731.15000000000009</v>
      </c>
      <c r="AE57" s="122">
        <f t="shared" si="35"/>
        <v>5704.66</v>
      </c>
      <c r="AF57" s="60">
        <f t="shared" si="8"/>
        <v>0</v>
      </c>
      <c r="AG57" s="60">
        <v>10.23</v>
      </c>
      <c r="AH57" s="60">
        <f t="shared" si="36"/>
        <v>0</v>
      </c>
      <c r="AI57" s="122">
        <f t="shared" si="33"/>
        <v>7321.73</v>
      </c>
      <c r="AJ57" s="145"/>
      <c r="AK57" s="146"/>
      <c r="AL57" s="123">
        <f t="shared" si="6"/>
        <v>-5704.66</v>
      </c>
      <c r="AM57" s="64"/>
      <c r="AN57" s="64"/>
    </row>
    <row r="58" spans="1:40" s="29" customFormat="1">
      <c r="A58" s="64" t="s">
        <v>67</v>
      </c>
      <c r="B58" s="64" t="s">
        <v>190</v>
      </c>
      <c r="C58" s="64" t="s">
        <v>234</v>
      </c>
      <c r="D58" s="64" t="s">
        <v>108</v>
      </c>
      <c r="E58" s="64" t="s">
        <v>298</v>
      </c>
      <c r="F58" s="134">
        <v>42342</v>
      </c>
      <c r="G58" s="64"/>
      <c r="H58" s="64"/>
      <c r="I58" s="68">
        <v>513.33000000000004</v>
      </c>
      <c r="J58" s="150">
        <v>653.33000000000004</v>
      </c>
      <c r="K58" s="68">
        <f t="shared" si="31"/>
        <v>1166.6600000000001</v>
      </c>
      <c r="L58" s="68">
        <v>5000</v>
      </c>
      <c r="M58" s="68"/>
      <c r="N58" s="68"/>
      <c r="O58" s="68"/>
      <c r="P58" s="109"/>
      <c r="Q58" s="122">
        <f t="shared" si="34"/>
        <v>6166.66</v>
      </c>
      <c r="R58" s="68"/>
      <c r="S58" s="68"/>
      <c r="T58" s="68"/>
      <c r="U58" s="68">
        <v>0</v>
      </c>
      <c r="V58" s="68"/>
      <c r="W58" s="68"/>
      <c r="X58" s="68"/>
      <c r="Y58" s="60">
        <v>496.81</v>
      </c>
      <c r="Z58" s="60"/>
      <c r="AA58" s="64"/>
      <c r="AB58" s="64">
        <v>0</v>
      </c>
      <c r="AC58" s="122">
        <f t="shared" si="32"/>
        <v>5669.8499999999995</v>
      </c>
      <c r="AD58" s="60">
        <f t="shared" si="7"/>
        <v>616.66600000000005</v>
      </c>
      <c r="AE58" s="122">
        <f t="shared" si="35"/>
        <v>5053.1839999999993</v>
      </c>
      <c r="AF58" s="60">
        <f t="shared" si="8"/>
        <v>0</v>
      </c>
      <c r="AG58" s="60">
        <v>10.23</v>
      </c>
      <c r="AH58" s="60">
        <f t="shared" si="36"/>
        <v>0</v>
      </c>
      <c r="AI58" s="122">
        <f t="shared" si="33"/>
        <v>6176.8899999999994</v>
      </c>
      <c r="AJ58" s="145"/>
      <c r="AK58" s="145"/>
      <c r="AL58" s="123">
        <f t="shared" si="6"/>
        <v>-5053.1839999999993</v>
      </c>
      <c r="AM58" s="64"/>
      <c r="AN58" s="69"/>
    </row>
    <row r="59" spans="1:40" s="29" customFormat="1">
      <c r="A59" s="64" t="s">
        <v>84</v>
      </c>
      <c r="B59" s="64" t="s">
        <v>238</v>
      </c>
      <c r="C59" s="64"/>
      <c r="D59" s="64"/>
      <c r="E59" s="64" t="s">
        <v>153</v>
      </c>
      <c r="F59" s="134">
        <v>42444</v>
      </c>
      <c r="G59" s="64"/>
      <c r="H59" s="64"/>
      <c r="I59" s="68">
        <v>608.16</v>
      </c>
      <c r="J59" s="150"/>
      <c r="K59" s="68">
        <f t="shared" si="31"/>
        <v>608.16</v>
      </c>
      <c r="L59" s="68">
        <v>374.83800000000002</v>
      </c>
      <c r="M59" s="68"/>
      <c r="N59" s="68"/>
      <c r="O59" s="68"/>
      <c r="P59" s="109"/>
      <c r="Q59" s="122">
        <f t="shared" si="34"/>
        <v>982.99800000000005</v>
      </c>
      <c r="R59" s="68"/>
      <c r="S59" s="68"/>
      <c r="T59" s="68"/>
      <c r="U59" s="68"/>
      <c r="V59" s="68">
        <f>Q59*4.9%</f>
        <v>48.166902000000007</v>
      </c>
      <c r="W59" s="68">
        <f>Q59*1%</f>
        <v>9.8299800000000008</v>
      </c>
      <c r="X59" s="68"/>
      <c r="Y59" s="60"/>
      <c r="Z59" s="60"/>
      <c r="AA59" s="64"/>
      <c r="AB59" s="64">
        <v>0</v>
      </c>
      <c r="AC59" s="122">
        <f t="shared" si="32"/>
        <v>925.00111800000002</v>
      </c>
      <c r="AD59" s="60">
        <f t="shared" si="7"/>
        <v>0</v>
      </c>
      <c r="AE59" s="122">
        <f t="shared" si="35"/>
        <v>925.00111800000002</v>
      </c>
      <c r="AF59" s="60">
        <f t="shared" si="8"/>
        <v>98.299800000000005</v>
      </c>
      <c r="AG59" s="60">
        <v>10.23</v>
      </c>
      <c r="AH59" s="60">
        <f t="shared" si="36"/>
        <v>48.166902000000007</v>
      </c>
      <c r="AI59" s="122">
        <f t="shared" si="33"/>
        <v>1139.694702</v>
      </c>
      <c r="AJ59" s="145"/>
      <c r="AK59" s="145"/>
      <c r="AL59" s="123">
        <f t="shared" si="6"/>
        <v>-925.00111800000002</v>
      </c>
      <c r="AM59" s="86">
        <v>1159718206</v>
      </c>
      <c r="AN59" s="86"/>
    </row>
    <row r="60" spans="1:40" s="29" customFormat="1">
      <c r="A60" s="64" t="s">
        <v>84</v>
      </c>
      <c r="B60" s="64" t="s">
        <v>284</v>
      </c>
      <c r="C60" s="64"/>
      <c r="D60" s="64"/>
      <c r="E60" s="64" t="s">
        <v>221</v>
      </c>
      <c r="F60" s="134">
        <v>42494</v>
      </c>
      <c r="G60" s="64"/>
      <c r="H60" s="64"/>
      <c r="I60" s="174">
        <f>+K60</f>
        <v>942.85</v>
      </c>
      <c r="J60" s="150"/>
      <c r="K60" s="68">
        <v>942.85</v>
      </c>
      <c r="L60" s="68">
        <f>1155.576+5.571</f>
        <v>1161.1469999999999</v>
      </c>
      <c r="M60" s="68"/>
      <c r="N60" s="68"/>
      <c r="O60" s="68"/>
      <c r="P60" s="109"/>
      <c r="Q60" s="122">
        <f t="shared" si="34"/>
        <v>2103.9969999999998</v>
      </c>
      <c r="R60" s="68"/>
      <c r="S60" s="68">
        <v>134.69</v>
      </c>
      <c r="T60" s="68"/>
      <c r="U60" s="68"/>
      <c r="V60" s="68">
        <f>Q60*4.9%</f>
        <v>103.09585299999999</v>
      </c>
      <c r="W60" s="68">
        <f>Q60*1%</f>
        <v>21.03997</v>
      </c>
      <c r="X60" s="68"/>
      <c r="Y60" s="60"/>
      <c r="Z60" s="60"/>
      <c r="AA60" s="64"/>
      <c r="AB60" s="64">
        <v>0</v>
      </c>
      <c r="AC60" s="122">
        <f t="shared" si="32"/>
        <v>1845.1711769999999</v>
      </c>
      <c r="AD60" s="60">
        <f t="shared" ref="AD60" si="43">IF(Q60&gt;2250,Q60*0.1,0)</f>
        <v>0</v>
      </c>
      <c r="AE60" s="122">
        <f t="shared" ref="AE60" si="44">+AC60-AD60</f>
        <v>1845.1711769999999</v>
      </c>
      <c r="AF60" s="60">
        <f t="shared" si="8"/>
        <v>210.3997</v>
      </c>
      <c r="AG60" s="60">
        <v>10.23</v>
      </c>
      <c r="AH60" s="60">
        <f t="shared" ref="AH60" si="45">+V60</f>
        <v>103.09585299999999</v>
      </c>
      <c r="AI60" s="122">
        <f t="shared" si="33"/>
        <v>2427.7225529999996</v>
      </c>
      <c r="AJ60" s="145"/>
      <c r="AK60" s="146"/>
      <c r="AL60" s="123">
        <f t="shared" si="6"/>
        <v>-1845.1711769999999</v>
      </c>
      <c r="AM60" s="86">
        <v>2858432805</v>
      </c>
      <c r="AN60" s="69"/>
    </row>
    <row r="61" spans="1:40" s="29" customFormat="1">
      <c r="A61" s="64" t="s">
        <v>83</v>
      </c>
      <c r="B61" s="64" t="s">
        <v>232</v>
      </c>
      <c r="C61" s="64"/>
      <c r="D61" s="64" t="s">
        <v>233</v>
      </c>
      <c r="E61" s="64" t="s">
        <v>151</v>
      </c>
      <c r="F61" s="134">
        <v>40813</v>
      </c>
      <c r="G61" s="64"/>
      <c r="H61" s="64"/>
      <c r="I61" s="68">
        <f>1237.24/15*7</f>
        <v>577.37866666666673</v>
      </c>
      <c r="J61" s="63">
        <v>1047.6199999999999</v>
      </c>
      <c r="K61" s="68">
        <f t="shared" si="31"/>
        <v>1624.9986666666666</v>
      </c>
      <c r="L61" s="68"/>
      <c r="M61" s="68"/>
      <c r="N61" s="68"/>
      <c r="O61" s="68"/>
      <c r="P61" s="109"/>
      <c r="Q61" s="122">
        <f t="shared" si="34"/>
        <v>1624.9986666666666</v>
      </c>
      <c r="R61" s="68"/>
      <c r="S61" s="68"/>
      <c r="T61" s="68"/>
      <c r="U61" s="68"/>
      <c r="V61" s="68"/>
      <c r="W61" s="68"/>
      <c r="X61" s="68"/>
      <c r="Y61" s="60"/>
      <c r="Z61" s="60"/>
      <c r="AA61" s="64"/>
      <c r="AB61" s="64">
        <v>0</v>
      </c>
      <c r="AC61" s="122">
        <f t="shared" si="32"/>
        <v>1624.9986666666666</v>
      </c>
      <c r="AD61" s="60">
        <f t="shared" si="7"/>
        <v>0</v>
      </c>
      <c r="AE61" s="122">
        <f t="shared" si="35"/>
        <v>1624.9986666666666</v>
      </c>
      <c r="AF61" s="60">
        <f t="shared" si="8"/>
        <v>162.49986666666666</v>
      </c>
      <c r="AG61" s="60">
        <v>10.23</v>
      </c>
      <c r="AH61" s="60">
        <f t="shared" si="36"/>
        <v>0</v>
      </c>
      <c r="AI61" s="122">
        <f t="shared" si="33"/>
        <v>1797.7285333333334</v>
      </c>
      <c r="AJ61" s="145"/>
      <c r="AK61" s="146"/>
      <c r="AL61" s="123">
        <f t="shared" si="6"/>
        <v>-1624.9986666666666</v>
      </c>
      <c r="AM61" s="64"/>
      <c r="AN61" s="69"/>
    </row>
    <row r="62" spans="1:40" s="29" customFormat="1">
      <c r="A62" s="86" t="s">
        <v>68</v>
      </c>
      <c r="B62" s="64" t="s">
        <v>239</v>
      </c>
      <c r="C62" s="64" t="s">
        <v>234</v>
      </c>
      <c r="D62" s="86" t="s">
        <v>228</v>
      </c>
      <c r="E62" s="64" t="s">
        <v>150</v>
      </c>
      <c r="F62" s="134">
        <v>42282</v>
      </c>
      <c r="G62" s="64"/>
      <c r="H62" s="64"/>
      <c r="I62" s="68">
        <v>513.33000000000004</v>
      </c>
      <c r="J62" s="181">
        <v>986.67</v>
      </c>
      <c r="K62" s="68">
        <f t="shared" si="31"/>
        <v>1500</v>
      </c>
      <c r="L62" s="68">
        <v>486.67</v>
      </c>
      <c r="M62" s="68"/>
      <c r="N62" s="68"/>
      <c r="O62" s="68"/>
      <c r="P62" s="109"/>
      <c r="Q62" s="122">
        <f t="shared" si="34"/>
        <v>1986.67</v>
      </c>
      <c r="R62" s="68"/>
      <c r="S62" s="68"/>
      <c r="T62" s="68"/>
      <c r="U62" s="68"/>
      <c r="V62" s="68"/>
      <c r="W62" s="68"/>
      <c r="X62" s="68"/>
      <c r="Y62" s="60"/>
      <c r="Z62" s="60"/>
      <c r="AA62" s="64"/>
      <c r="AB62" s="64">
        <v>0</v>
      </c>
      <c r="AC62" s="122">
        <f t="shared" si="32"/>
        <v>1986.67</v>
      </c>
      <c r="AD62" s="60">
        <f t="shared" si="7"/>
        <v>0</v>
      </c>
      <c r="AE62" s="122">
        <f t="shared" si="35"/>
        <v>1986.67</v>
      </c>
      <c r="AF62" s="60">
        <f t="shared" si="8"/>
        <v>198.66700000000003</v>
      </c>
      <c r="AG62" s="60">
        <v>10.23</v>
      </c>
      <c r="AH62" s="60">
        <f t="shared" si="36"/>
        <v>0</v>
      </c>
      <c r="AI62" s="122">
        <f t="shared" si="33"/>
        <v>2195.567</v>
      </c>
      <c r="AJ62" s="145"/>
      <c r="AK62" s="146"/>
      <c r="AL62" s="123">
        <f t="shared" si="6"/>
        <v>-1986.67</v>
      </c>
      <c r="AM62" s="64"/>
      <c r="AN62" s="69"/>
    </row>
    <row r="63" spans="1:40" s="29" customFormat="1">
      <c r="A63" s="64" t="s">
        <v>68</v>
      </c>
      <c r="B63" s="64" t="s">
        <v>215</v>
      </c>
      <c r="C63" s="64" t="s">
        <v>206</v>
      </c>
      <c r="D63" s="64" t="s">
        <v>137</v>
      </c>
      <c r="E63" s="64" t="s">
        <v>70</v>
      </c>
      <c r="F63" s="134">
        <v>42310</v>
      </c>
      <c r="G63" s="64"/>
      <c r="H63" s="64"/>
      <c r="I63" s="68">
        <v>513.33000000000004</v>
      </c>
      <c r="J63" s="150">
        <v>653.33000000000004</v>
      </c>
      <c r="K63" s="68">
        <f t="shared" si="31"/>
        <v>1166.6600000000001</v>
      </c>
      <c r="L63" s="68"/>
      <c r="M63" s="68"/>
      <c r="N63" s="68"/>
      <c r="O63" s="68"/>
      <c r="P63" s="109"/>
      <c r="Q63" s="122">
        <f t="shared" si="34"/>
        <v>1166.6600000000001</v>
      </c>
      <c r="R63" s="68"/>
      <c r="S63" s="68"/>
      <c r="T63" s="68"/>
      <c r="U63" s="68">
        <v>0</v>
      </c>
      <c r="V63" s="68"/>
      <c r="W63" s="68"/>
      <c r="X63" s="68"/>
      <c r="Y63" s="60">
        <v>460.45</v>
      </c>
      <c r="Z63" s="60"/>
      <c r="AA63" s="64"/>
      <c r="AB63" s="64">
        <v>517.25</v>
      </c>
      <c r="AC63" s="122">
        <f t="shared" si="32"/>
        <v>188.96000000000004</v>
      </c>
      <c r="AD63" s="60">
        <f t="shared" si="7"/>
        <v>0</v>
      </c>
      <c r="AE63" s="122">
        <f t="shared" si="35"/>
        <v>188.96000000000004</v>
      </c>
      <c r="AF63" s="60">
        <f t="shared" si="8"/>
        <v>116.66600000000001</v>
      </c>
      <c r="AG63" s="60">
        <v>10.23</v>
      </c>
      <c r="AH63" s="60">
        <f t="shared" si="36"/>
        <v>0</v>
      </c>
      <c r="AI63" s="122">
        <f t="shared" si="33"/>
        <v>1293.556</v>
      </c>
      <c r="AJ63" s="145"/>
      <c r="AK63" s="146"/>
      <c r="AL63" s="123">
        <f t="shared" si="6"/>
        <v>-188.96000000000004</v>
      </c>
      <c r="AM63" s="64"/>
      <c r="AN63" s="64"/>
    </row>
    <row r="64" spans="1:40" s="29" customFormat="1">
      <c r="A64" s="64" t="s">
        <v>84</v>
      </c>
      <c r="B64" s="64" t="s">
        <v>200</v>
      </c>
      <c r="C64" s="64"/>
      <c r="D64" s="64" t="s">
        <v>118</v>
      </c>
      <c r="E64" s="64" t="s">
        <v>156</v>
      </c>
      <c r="F64" s="134">
        <v>42242</v>
      </c>
      <c r="G64" s="64"/>
      <c r="H64" s="64"/>
      <c r="I64" s="68">
        <v>1100</v>
      </c>
      <c r="J64" s="150"/>
      <c r="K64" s="68">
        <f t="shared" si="31"/>
        <v>1100</v>
      </c>
      <c r="L64" s="68">
        <v>114.408</v>
      </c>
      <c r="M64" s="68"/>
      <c r="N64" s="68"/>
      <c r="O64" s="68"/>
      <c r="P64" s="109"/>
      <c r="Q64" s="122">
        <f t="shared" si="34"/>
        <v>1214.4079999999999</v>
      </c>
      <c r="R64" s="68"/>
      <c r="S64" s="68"/>
      <c r="T64" s="68"/>
      <c r="U64" s="68">
        <f>+Q64*1%</f>
        <v>12.144079999999999</v>
      </c>
      <c r="V64" s="68">
        <f>Q64*4.9%</f>
        <v>59.505991999999999</v>
      </c>
      <c r="W64" s="68">
        <f>Q64*1%</f>
        <v>12.144079999999999</v>
      </c>
      <c r="X64" s="68"/>
      <c r="Y64" s="60"/>
      <c r="Z64" s="60"/>
      <c r="AA64" s="64"/>
      <c r="AB64" s="64">
        <v>0</v>
      </c>
      <c r="AC64" s="122">
        <f t="shared" si="32"/>
        <v>1130.613848</v>
      </c>
      <c r="AD64" s="60">
        <f t="shared" si="7"/>
        <v>0</v>
      </c>
      <c r="AE64" s="122">
        <f t="shared" si="35"/>
        <v>1130.613848</v>
      </c>
      <c r="AF64" s="60">
        <f t="shared" si="8"/>
        <v>121.4408</v>
      </c>
      <c r="AG64" s="60">
        <v>10.23</v>
      </c>
      <c r="AH64" s="60">
        <f t="shared" si="36"/>
        <v>59.505991999999999</v>
      </c>
      <c r="AI64" s="122">
        <f t="shared" si="33"/>
        <v>1405.5847920000001</v>
      </c>
      <c r="AJ64" s="145"/>
      <c r="AK64" s="145"/>
      <c r="AL64" s="123">
        <f t="shared" si="6"/>
        <v>-1130.613848</v>
      </c>
      <c r="AM64" s="64"/>
      <c r="AN64" s="64"/>
    </row>
    <row r="65" spans="1:40" s="29" customFormat="1">
      <c r="A65" s="64" t="s">
        <v>82</v>
      </c>
      <c r="B65" s="64" t="s">
        <v>258</v>
      </c>
      <c r="C65" s="64"/>
      <c r="D65" s="64" t="s">
        <v>90</v>
      </c>
      <c r="E65" s="64" t="s">
        <v>144</v>
      </c>
      <c r="F65" s="134">
        <v>42170</v>
      </c>
      <c r="G65" s="64"/>
      <c r="H65" s="64"/>
      <c r="I65" s="174">
        <f>+K65</f>
        <v>633.62</v>
      </c>
      <c r="J65" s="150"/>
      <c r="K65" s="68">
        <v>633.62</v>
      </c>
      <c r="L65" s="68">
        <f>1265.728+3.714</f>
        <v>1269.442</v>
      </c>
      <c r="M65" s="68"/>
      <c r="N65" s="68"/>
      <c r="O65" s="68"/>
      <c r="P65" s="109"/>
      <c r="Q65" s="122">
        <f t="shared" si="34"/>
        <v>1903.0619999999999</v>
      </c>
      <c r="R65" s="68"/>
      <c r="S65" s="68"/>
      <c r="T65" s="68"/>
      <c r="U65" s="68">
        <v>0</v>
      </c>
      <c r="V65" s="68"/>
      <c r="W65" s="68"/>
      <c r="X65" s="68"/>
      <c r="Y65" s="60"/>
      <c r="Z65" s="60"/>
      <c r="AA65" s="64"/>
      <c r="AB65" s="64">
        <v>0</v>
      </c>
      <c r="AC65" s="122">
        <f t="shared" si="32"/>
        <v>1903.0619999999999</v>
      </c>
      <c r="AD65" s="60">
        <f t="shared" si="7"/>
        <v>0</v>
      </c>
      <c r="AE65" s="122">
        <f t="shared" si="35"/>
        <v>1903.0619999999999</v>
      </c>
      <c r="AF65" s="60">
        <f t="shared" si="8"/>
        <v>190.30619999999999</v>
      </c>
      <c r="AG65" s="60">
        <v>10.23</v>
      </c>
      <c r="AH65" s="60">
        <f t="shared" si="36"/>
        <v>0</v>
      </c>
      <c r="AI65" s="122">
        <f t="shared" si="33"/>
        <v>2103.5981999999999</v>
      </c>
      <c r="AJ65" s="145"/>
      <c r="AK65" s="146"/>
      <c r="AL65" s="123">
        <f t="shared" si="6"/>
        <v>-1903.0619999999999</v>
      </c>
      <c r="AM65" s="64"/>
      <c r="AN65" s="69"/>
    </row>
    <row r="66" spans="1:40" s="29" customFormat="1">
      <c r="A66" s="64" t="s">
        <v>84</v>
      </c>
      <c r="B66" s="64" t="s">
        <v>177</v>
      </c>
      <c r="C66" s="64"/>
      <c r="D66" s="64" t="s">
        <v>119</v>
      </c>
      <c r="E66" s="64" t="s">
        <v>157</v>
      </c>
      <c r="F66" s="134">
        <v>36868</v>
      </c>
      <c r="G66" s="64"/>
      <c r="H66" s="64"/>
      <c r="I66" s="68">
        <v>623.36</v>
      </c>
      <c r="J66" s="150"/>
      <c r="K66" s="68">
        <f t="shared" si="31"/>
        <v>623.36</v>
      </c>
      <c r="L66" s="68">
        <f>2448.146+3.714</f>
        <v>2451.86</v>
      </c>
      <c r="M66" s="68"/>
      <c r="N66" s="68"/>
      <c r="O66" s="68"/>
      <c r="P66" s="109"/>
      <c r="Q66" s="122">
        <f t="shared" si="34"/>
        <v>3075.2200000000003</v>
      </c>
      <c r="R66" s="68"/>
      <c r="S66" s="68"/>
      <c r="T66" s="68"/>
      <c r="U66" s="68"/>
      <c r="V66" s="68">
        <f>Q66*4.9%</f>
        <v>150.68578000000002</v>
      </c>
      <c r="W66" s="68">
        <f>Q66*1%</f>
        <v>30.752200000000002</v>
      </c>
      <c r="X66" s="68"/>
      <c r="Y66" s="60"/>
      <c r="Z66" s="60"/>
      <c r="AA66" s="64"/>
      <c r="AB66" s="64">
        <v>0</v>
      </c>
      <c r="AC66" s="122">
        <f t="shared" si="32"/>
        <v>2893.7820200000001</v>
      </c>
      <c r="AD66" s="60">
        <f t="shared" si="7"/>
        <v>307.52200000000005</v>
      </c>
      <c r="AE66" s="122">
        <f t="shared" si="35"/>
        <v>2586.2600200000002</v>
      </c>
      <c r="AF66" s="60">
        <f t="shared" si="8"/>
        <v>0</v>
      </c>
      <c r="AG66" s="60">
        <v>10.23</v>
      </c>
      <c r="AH66" s="60">
        <f t="shared" si="36"/>
        <v>150.68578000000002</v>
      </c>
      <c r="AI66" s="122">
        <f t="shared" si="33"/>
        <v>3236.1357800000005</v>
      </c>
      <c r="AJ66" s="145"/>
      <c r="AK66" s="145"/>
      <c r="AL66" s="123">
        <f t="shared" si="6"/>
        <v>-2586.2600200000002</v>
      </c>
      <c r="AM66" s="64"/>
      <c r="AN66" s="64"/>
    </row>
    <row r="67" spans="1:40" s="29" customFormat="1">
      <c r="A67" s="64" t="s">
        <v>84</v>
      </c>
      <c r="B67" s="64" t="s">
        <v>171</v>
      </c>
      <c r="C67" s="64"/>
      <c r="D67" s="64" t="s">
        <v>120</v>
      </c>
      <c r="E67" s="64" t="s">
        <v>221</v>
      </c>
      <c r="F67" s="134">
        <v>41949</v>
      </c>
      <c r="G67" s="64"/>
      <c r="H67" s="64"/>
      <c r="I67" s="68">
        <v>511.28</v>
      </c>
      <c r="J67" s="150"/>
      <c r="K67" s="68">
        <f t="shared" si="31"/>
        <v>511.28</v>
      </c>
      <c r="L67" s="68">
        <f>3364.2+7.428</f>
        <v>3371.6279999999997</v>
      </c>
      <c r="M67" s="68"/>
      <c r="N67" s="68"/>
      <c r="O67" s="68"/>
      <c r="P67" s="109"/>
      <c r="Q67" s="122">
        <f t="shared" si="34"/>
        <v>3882.9079999999994</v>
      </c>
      <c r="R67" s="68"/>
      <c r="S67" s="68"/>
      <c r="T67" s="68"/>
      <c r="U67" s="68">
        <v>100</v>
      </c>
      <c r="V67" s="68">
        <f>Q67*4.9%</f>
        <v>190.26249199999998</v>
      </c>
      <c r="W67" s="68">
        <f>Q67*1%</f>
        <v>38.829079999999998</v>
      </c>
      <c r="X67" s="68"/>
      <c r="Y67" s="60"/>
      <c r="Z67" s="60"/>
      <c r="AA67" s="64"/>
      <c r="AB67" s="64">
        <v>0</v>
      </c>
      <c r="AC67" s="122">
        <f t="shared" si="32"/>
        <v>3553.8164279999996</v>
      </c>
      <c r="AD67" s="60">
        <f t="shared" si="7"/>
        <v>388.29079999999999</v>
      </c>
      <c r="AE67" s="122">
        <f t="shared" si="35"/>
        <v>3165.5256279999994</v>
      </c>
      <c r="AF67" s="60">
        <f t="shared" si="8"/>
        <v>0</v>
      </c>
      <c r="AG67" s="60">
        <v>10.23</v>
      </c>
      <c r="AH67" s="60">
        <f t="shared" si="36"/>
        <v>190.26249199999998</v>
      </c>
      <c r="AI67" s="122">
        <f t="shared" si="33"/>
        <v>4083.4004919999993</v>
      </c>
      <c r="AJ67" s="145"/>
      <c r="AK67" s="146"/>
      <c r="AL67" s="123">
        <f t="shared" si="6"/>
        <v>-3165.5256279999994</v>
      </c>
      <c r="AM67" s="64"/>
      <c r="AN67" s="64"/>
    </row>
    <row r="68" spans="1:40" s="29" customFormat="1">
      <c r="A68" s="64" t="s">
        <v>82</v>
      </c>
      <c r="B68" s="64" t="s">
        <v>273</v>
      </c>
      <c r="C68" s="64"/>
      <c r="D68" s="64"/>
      <c r="E68" s="64" t="s">
        <v>221</v>
      </c>
      <c r="F68" s="134">
        <v>42493</v>
      </c>
      <c r="G68" s="64"/>
      <c r="H68" s="64"/>
      <c r="I68" s="68">
        <v>739.23</v>
      </c>
      <c r="J68" s="150"/>
      <c r="K68" s="68">
        <f t="shared" si="31"/>
        <v>739.23</v>
      </c>
      <c r="L68" s="68">
        <f>1030.086+2.972</f>
        <v>1033.058</v>
      </c>
      <c r="M68" s="68"/>
      <c r="N68" s="68"/>
      <c r="O68" s="68"/>
      <c r="P68" s="109"/>
      <c r="Q68" s="122">
        <f t="shared" si="34"/>
        <v>1772.288</v>
      </c>
      <c r="R68" s="68"/>
      <c r="S68" s="68"/>
      <c r="T68" s="68"/>
      <c r="U68" s="68"/>
      <c r="V68" s="68"/>
      <c r="W68" s="68"/>
      <c r="X68" s="68"/>
      <c r="Y68" s="60"/>
      <c r="Z68" s="60"/>
      <c r="AA68" s="64"/>
      <c r="AB68" s="64">
        <v>0</v>
      </c>
      <c r="AC68" s="122">
        <f t="shared" si="32"/>
        <v>1772.288</v>
      </c>
      <c r="AD68" s="60">
        <f t="shared" ref="AD68" si="46">IF(Q68&gt;2250,Q68*0.1,0)</f>
        <v>0</v>
      </c>
      <c r="AE68" s="122">
        <f t="shared" ref="AE68" si="47">+AC68-AD68</f>
        <v>1772.288</v>
      </c>
      <c r="AF68" s="60">
        <f t="shared" si="8"/>
        <v>177.22880000000001</v>
      </c>
      <c r="AG68" s="60">
        <v>10.23</v>
      </c>
      <c r="AH68" s="60">
        <f t="shared" ref="AH68" si="48">+V68</f>
        <v>0</v>
      </c>
      <c r="AI68" s="122">
        <f t="shared" si="33"/>
        <v>1959.7468000000001</v>
      </c>
      <c r="AJ68" s="145"/>
      <c r="AK68" s="145"/>
      <c r="AL68" s="123">
        <f t="shared" si="6"/>
        <v>-1772.288</v>
      </c>
      <c r="AM68" s="64">
        <v>2999103732</v>
      </c>
      <c r="AN68" s="69"/>
    </row>
    <row r="69" spans="1:40" s="29" customFormat="1">
      <c r="A69" s="64" t="s">
        <v>68</v>
      </c>
      <c r="B69" s="64" t="s">
        <v>226</v>
      </c>
      <c r="C69" s="64" t="s">
        <v>209</v>
      </c>
      <c r="D69" s="64" t="s">
        <v>138</v>
      </c>
      <c r="E69" s="64" t="s">
        <v>70</v>
      </c>
      <c r="F69" s="134">
        <v>42251</v>
      </c>
      <c r="G69" s="64"/>
      <c r="H69" s="64"/>
      <c r="I69" s="68">
        <v>513.33000000000004</v>
      </c>
      <c r="J69" s="150">
        <v>653.33000000000004</v>
      </c>
      <c r="K69" s="68">
        <f t="shared" si="31"/>
        <v>1166.6600000000001</v>
      </c>
      <c r="L69" s="68">
        <v>2485.73</v>
      </c>
      <c r="M69" s="68"/>
      <c r="N69" s="68"/>
      <c r="O69" s="68"/>
      <c r="P69" s="109"/>
      <c r="Q69" s="122">
        <f>SUM(K69:O69)-P69</f>
        <v>3652.3900000000003</v>
      </c>
      <c r="R69" s="68"/>
      <c r="S69" s="68"/>
      <c r="T69" s="68"/>
      <c r="U69" s="68">
        <v>0</v>
      </c>
      <c r="V69" s="68"/>
      <c r="W69" s="68"/>
      <c r="X69" s="68"/>
      <c r="Y69" s="60"/>
      <c r="Z69" s="60"/>
      <c r="AA69" s="64"/>
      <c r="AB69" s="64">
        <v>0</v>
      </c>
      <c r="AC69" s="122">
        <f t="shared" si="32"/>
        <v>3652.3900000000003</v>
      </c>
      <c r="AD69" s="60">
        <f>IF(Q69&gt;2250,Q69*0.1,0)</f>
        <v>365.23900000000003</v>
      </c>
      <c r="AE69" s="122">
        <f t="shared" si="35"/>
        <v>3287.1510000000003</v>
      </c>
      <c r="AF69" s="60">
        <f t="shared" si="8"/>
        <v>0</v>
      </c>
      <c r="AG69" s="60">
        <v>10.23</v>
      </c>
      <c r="AH69" s="60">
        <f t="shared" si="36"/>
        <v>0</v>
      </c>
      <c r="AI69" s="122">
        <f t="shared" si="33"/>
        <v>3662.6200000000003</v>
      </c>
      <c r="AJ69" s="145"/>
      <c r="AK69" s="146"/>
      <c r="AL69" s="123">
        <f t="shared" si="6"/>
        <v>-3287.1510000000003</v>
      </c>
      <c r="AM69" s="64"/>
      <c r="AN69" s="64"/>
    </row>
    <row r="70" spans="1:40" s="29" customFormat="1">
      <c r="A70" s="64"/>
      <c r="B70" s="64" t="s">
        <v>280</v>
      </c>
      <c r="C70" s="64"/>
      <c r="D70" s="64"/>
      <c r="E70" s="64" t="s">
        <v>69</v>
      </c>
      <c r="F70" s="134">
        <v>42506</v>
      </c>
      <c r="G70" s="64"/>
      <c r="H70" s="64"/>
      <c r="I70" s="68">
        <v>1166.6600000000001</v>
      </c>
      <c r="J70" s="150"/>
      <c r="K70" s="68">
        <f t="shared" si="31"/>
        <v>1166.6600000000001</v>
      </c>
      <c r="L70" s="68"/>
      <c r="M70" s="68"/>
      <c r="N70" s="68"/>
      <c r="O70" s="68"/>
      <c r="P70" s="109"/>
      <c r="Q70" s="122">
        <f>SUM(K70:O70)-P70</f>
        <v>1166.6600000000001</v>
      </c>
      <c r="R70" s="68"/>
      <c r="S70" s="68"/>
      <c r="T70" s="68"/>
      <c r="U70" s="68">
        <v>0</v>
      </c>
      <c r="V70" s="68"/>
      <c r="W70" s="68"/>
      <c r="X70" s="68"/>
      <c r="Y70" s="60"/>
      <c r="Z70" s="60"/>
      <c r="AA70" s="64"/>
      <c r="AB70" s="64">
        <v>0</v>
      </c>
      <c r="AC70" s="122">
        <f t="shared" si="32"/>
        <v>1166.6600000000001</v>
      </c>
      <c r="AD70" s="60">
        <f>IF(Q70&gt;2250,Q70*0.1,0)</f>
        <v>0</v>
      </c>
      <c r="AE70" s="122">
        <f t="shared" ref="AE70" si="49">+AC70-AD70</f>
        <v>1166.6600000000001</v>
      </c>
      <c r="AF70" s="60">
        <f t="shared" si="8"/>
        <v>116.66600000000001</v>
      </c>
      <c r="AG70" s="60">
        <v>10.23</v>
      </c>
      <c r="AH70" s="60">
        <f t="shared" ref="AH70" si="50">+V70</f>
        <v>0</v>
      </c>
      <c r="AI70" s="122">
        <f t="shared" si="33"/>
        <v>1293.556</v>
      </c>
      <c r="AJ70" s="145"/>
      <c r="AK70" s="145"/>
      <c r="AL70" s="123">
        <f t="shared" si="6"/>
        <v>-1166.6600000000001</v>
      </c>
      <c r="AM70" s="129">
        <v>2928860106</v>
      </c>
      <c r="AN70" s="69"/>
    </row>
    <row r="71" spans="1:40" s="29" customFormat="1">
      <c r="A71" s="64" t="s">
        <v>82</v>
      </c>
      <c r="B71" s="64" t="s">
        <v>74</v>
      </c>
      <c r="C71" s="64"/>
      <c r="D71" s="64" t="s">
        <v>91</v>
      </c>
      <c r="E71" s="64" t="s">
        <v>145</v>
      </c>
      <c r="F71" s="134">
        <v>42129</v>
      </c>
      <c r="G71" s="64"/>
      <c r="H71" s="64"/>
      <c r="I71" s="68">
        <v>739.23</v>
      </c>
      <c r="J71" s="150"/>
      <c r="K71" s="68">
        <f t="shared" si="31"/>
        <v>739.23</v>
      </c>
      <c r="L71" s="68">
        <f>3830.58+13.099</f>
        <v>3843.6790000000001</v>
      </c>
      <c r="M71" s="68"/>
      <c r="N71" s="74"/>
      <c r="O71" s="68"/>
      <c r="P71" s="109"/>
      <c r="Q71" s="122">
        <f t="shared" si="34"/>
        <v>4582.9089999999997</v>
      </c>
      <c r="R71" s="68"/>
      <c r="S71" s="68"/>
      <c r="T71" s="68"/>
      <c r="U71" s="68">
        <v>0</v>
      </c>
      <c r="V71" s="68"/>
      <c r="W71" s="68"/>
      <c r="X71" s="68"/>
      <c r="Y71" s="60"/>
      <c r="Z71" s="60"/>
      <c r="AA71" s="64"/>
      <c r="AB71" s="64">
        <v>0</v>
      </c>
      <c r="AC71" s="122">
        <f t="shared" si="32"/>
        <v>4582.9089999999997</v>
      </c>
      <c r="AD71" s="60">
        <f t="shared" si="7"/>
        <v>458.29089999999997</v>
      </c>
      <c r="AE71" s="122">
        <f t="shared" si="35"/>
        <v>4124.6180999999997</v>
      </c>
      <c r="AF71" s="60">
        <f t="shared" si="8"/>
        <v>0</v>
      </c>
      <c r="AG71" s="60">
        <v>10.23</v>
      </c>
      <c r="AH71" s="60">
        <f t="shared" si="36"/>
        <v>0</v>
      </c>
      <c r="AI71" s="122">
        <f t="shared" si="33"/>
        <v>4593.1389999999992</v>
      </c>
      <c r="AJ71" s="145"/>
      <c r="AK71" s="146"/>
      <c r="AL71" s="123">
        <f t="shared" si="6"/>
        <v>-4124.6180999999997</v>
      </c>
      <c r="AM71" s="64"/>
      <c r="AN71" s="69"/>
    </row>
    <row r="72" spans="1:40" s="29" customFormat="1">
      <c r="A72" s="64" t="s">
        <v>81</v>
      </c>
      <c r="B72" s="64" t="s">
        <v>250</v>
      </c>
      <c r="C72" s="64"/>
      <c r="D72" s="64"/>
      <c r="E72" s="64" t="s">
        <v>69</v>
      </c>
      <c r="F72" s="134">
        <v>42472</v>
      </c>
      <c r="G72" s="64"/>
      <c r="H72" s="64"/>
      <c r="I72" s="68">
        <v>1166.26</v>
      </c>
      <c r="J72" s="150"/>
      <c r="K72" s="68">
        <f t="shared" si="31"/>
        <v>1166.26</v>
      </c>
      <c r="L72" s="68">
        <v>908.08</v>
      </c>
      <c r="M72" s="68"/>
      <c r="N72" s="74"/>
      <c r="O72" s="68"/>
      <c r="P72" s="109"/>
      <c r="Q72" s="122">
        <f t="shared" si="34"/>
        <v>2074.34</v>
      </c>
      <c r="R72" s="68">
        <v>250</v>
      </c>
      <c r="S72" s="68"/>
      <c r="T72" s="68"/>
      <c r="U72" s="68"/>
      <c r="V72" s="68"/>
      <c r="W72" s="68"/>
      <c r="X72" s="68"/>
      <c r="Y72" s="60"/>
      <c r="Z72" s="60"/>
      <c r="AA72" s="64"/>
      <c r="AB72" s="64">
        <v>0</v>
      </c>
      <c r="AC72" s="122">
        <f t="shared" ref="AC72:AC101" si="51">+Q72-SUM(R72:AB72)</f>
        <v>1824.3400000000001</v>
      </c>
      <c r="AD72" s="60">
        <f t="shared" ref="AD72" si="52">IF(Q72&gt;2250,Q72*0.1,0)</f>
        <v>0</v>
      </c>
      <c r="AE72" s="122">
        <f t="shared" ref="AE72" si="53">+AC72-AD72</f>
        <v>1824.3400000000001</v>
      </c>
      <c r="AF72" s="60">
        <f t="shared" ref="AF72:AF101" si="54">IF(Q72&lt;2250,Q72*0.1,0)</f>
        <v>207.43400000000003</v>
      </c>
      <c r="AG72" s="60">
        <v>10.23</v>
      </c>
      <c r="AH72" s="60">
        <f t="shared" ref="AH72" si="55">+V72</f>
        <v>0</v>
      </c>
      <c r="AI72" s="122">
        <f t="shared" ref="AI72:AI102" si="56">+Q72+AF72+AG72+AH72</f>
        <v>2292.0040000000004</v>
      </c>
      <c r="AJ72" s="145"/>
      <c r="AK72" s="146"/>
      <c r="AL72" s="123">
        <f t="shared" si="6"/>
        <v>-1824.3400000000001</v>
      </c>
      <c r="AM72" s="64">
        <v>1123036669</v>
      </c>
      <c r="AN72" s="69"/>
    </row>
    <row r="73" spans="1:40" s="29" customFormat="1">
      <c r="A73" s="64" t="s">
        <v>82</v>
      </c>
      <c r="B73" s="64" t="s">
        <v>194</v>
      </c>
      <c r="C73" s="64"/>
      <c r="D73" s="64" t="s">
        <v>92</v>
      </c>
      <c r="E73" s="64" t="s">
        <v>144</v>
      </c>
      <c r="F73" s="134">
        <v>42377</v>
      </c>
      <c r="G73" s="64"/>
      <c r="H73" s="64"/>
      <c r="I73" s="68">
        <v>739.23</v>
      </c>
      <c r="J73" s="150"/>
      <c r="K73" s="68">
        <f t="shared" si="31"/>
        <v>739.23</v>
      </c>
      <c r="L73" s="68">
        <f>1822.308+13.099</f>
        <v>1835.4069999999999</v>
      </c>
      <c r="M73" s="68"/>
      <c r="N73" s="68"/>
      <c r="O73" s="68"/>
      <c r="P73" s="109"/>
      <c r="Q73" s="122">
        <f t="shared" si="34"/>
        <v>2574.6369999999997</v>
      </c>
      <c r="R73" s="68"/>
      <c r="S73" s="68"/>
      <c r="T73" s="68"/>
      <c r="U73" s="68">
        <v>0</v>
      </c>
      <c r="V73" s="68"/>
      <c r="W73" s="68"/>
      <c r="X73" s="68"/>
      <c r="Y73" s="60"/>
      <c r="Z73" s="60"/>
      <c r="AA73" s="64"/>
      <c r="AB73" s="64">
        <v>0</v>
      </c>
      <c r="AC73" s="122">
        <f t="shared" si="51"/>
        <v>2574.6369999999997</v>
      </c>
      <c r="AD73" s="60">
        <f t="shared" si="7"/>
        <v>257.46369999999996</v>
      </c>
      <c r="AE73" s="122">
        <f t="shared" si="35"/>
        <v>2317.1732999999999</v>
      </c>
      <c r="AF73" s="60">
        <f t="shared" si="54"/>
        <v>0</v>
      </c>
      <c r="AG73" s="60">
        <v>10.23</v>
      </c>
      <c r="AH73" s="60">
        <f t="shared" si="36"/>
        <v>0</v>
      </c>
      <c r="AI73" s="122">
        <f t="shared" si="56"/>
        <v>2584.8669999999997</v>
      </c>
      <c r="AJ73" s="145"/>
      <c r="AK73" s="146"/>
      <c r="AL73" s="123">
        <f t="shared" si="6"/>
        <v>-2317.1732999999999</v>
      </c>
      <c r="AM73" s="64"/>
      <c r="AN73" s="69"/>
    </row>
    <row r="74" spans="1:40" s="29" customFormat="1">
      <c r="A74" s="64" t="s">
        <v>82</v>
      </c>
      <c r="B74" s="64" t="s">
        <v>223</v>
      </c>
      <c r="C74" s="64"/>
      <c r="D74" s="64"/>
      <c r="E74" s="64" t="s">
        <v>144</v>
      </c>
      <c r="F74" s="134">
        <v>42422</v>
      </c>
      <c r="G74" s="64"/>
      <c r="H74" s="64"/>
      <c r="I74" s="68">
        <v>739.23</v>
      </c>
      <c r="J74" s="150"/>
      <c r="K74" s="68">
        <f t="shared" si="31"/>
        <v>739.23</v>
      </c>
      <c r="L74" s="68">
        <f>3919.633+13.099</f>
        <v>3932.732</v>
      </c>
      <c r="M74" s="68"/>
      <c r="N74" s="68"/>
      <c r="O74" s="68"/>
      <c r="P74" s="109"/>
      <c r="Q74" s="122">
        <f t="shared" si="34"/>
        <v>4671.9619999999995</v>
      </c>
      <c r="R74" s="68"/>
      <c r="S74" s="68"/>
      <c r="T74" s="68"/>
      <c r="U74" s="68">
        <v>0</v>
      </c>
      <c r="V74" s="68"/>
      <c r="W74" s="68"/>
      <c r="X74" s="68"/>
      <c r="Y74" s="60"/>
      <c r="Z74" s="60"/>
      <c r="AA74" s="64"/>
      <c r="AB74" s="64">
        <v>0</v>
      </c>
      <c r="AC74" s="122">
        <f t="shared" si="51"/>
        <v>4671.9619999999995</v>
      </c>
      <c r="AD74" s="60">
        <f t="shared" si="7"/>
        <v>467.19619999999998</v>
      </c>
      <c r="AE74" s="122">
        <f t="shared" si="35"/>
        <v>4204.7657999999992</v>
      </c>
      <c r="AF74" s="60">
        <f t="shared" si="54"/>
        <v>0</v>
      </c>
      <c r="AG74" s="60">
        <v>10.23</v>
      </c>
      <c r="AH74" s="60">
        <f t="shared" si="36"/>
        <v>0</v>
      </c>
      <c r="AI74" s="122">
        <f t="shared" si="56"/>
        <v>4682.1919999999991</v>
      </c>
      <c r="AJ74" s="145"/>
      <c r="AK74" s="146"/>
      <c r="AL74" s="123">
        <f t="shared" si="6"/>
        <v>-4204.7657999999992</v>
      </c>
      <c r="AM74" s="64"/>
      <c r="AN74" s="69"/>
    </row>
    <row r="75" spans="1:40" s="29" customFormat="1">
      <c r="A75" s="64" t="s">
        <v>84</v>
      </c>
      <c r="B75" s="64" t="s">
        <v>261</v>
      </c>
      <c r="C75" s="64"/>
      <c r="D75" s="64" t="s">
        <v>121</v>
      </c>
      <c r="E75" s="64" t="s">
        <v>158</v>
      </c>
      <c r="F75" s="134">
        <v>41227</v>
      </c>
      <c r="G75" s="64"/>
      <c r="H75" s="64"/>
      <c r="I75" s="174">
        <f>+K75</f>
        <v>534.29999999999995</v>
      </c>
      <c r="J75" s="150"/>
      <c r="K75" s="68">
        <v>534.29999999999995</v>
      </c>
      <c r="L75" s="68">
        <f>4657.339+5.571</f>
        <v>4662.91</v>
      </c>
      <c r="M75" s="68"/>
      <c r="N75" s="68"/>
      <c r="O75" s="68"/>
      <c r="P75" s="109"/>
      <c r="Q75" s="122">
        <f t="shared" si="34"/>
        <v>5197.21</v>
      </c>
      <c r="R75" s="68"/>
      <c r="S75" s="68"/>
      <c r="T75" s="68"/>
      <c r="U75" s="68">
        <v>200</v>
      </c>
      <c r="V75" s="68">
        <f>Q75*4.9%</f>
        <v>254.66329000000002</v>
      </c>
      <c r="W75" s="68">
        <f>Q75*1%</f>
        <v>51.972100000000005</v>
      </c>
      <c r="X75" s="68">
        <v>321.74</v>
      </c>
      <c r="Y75" s="60"/>
      <c r="Z75" s="60"/>
      <c r="AA75" s="64"/>
      <c r="AB75" s="64">
        <v>0</v>
      </c>
      <c r="AC75" s="122">
        <f t="shared" si="51"/>
        <v>4368.8346099999999</v>
      </c>
      <c r="AD75" s="60">
        <f t="shared" si="7"/>
        <v>519.721</v>
      </c>
      <c r="AE75" s="122">
        <f t="shared" si="35"/>
        <v>3849.1136099999999</v>
      </c>
      <c r="AF75" s="60">
        <f t="shared" si="54"/>
        <v>0</v>
      </c>
      <c r="AG75" s="60">
        <v>10.23</v>
      </c>
      <c r="AH75" s="60">
        <f t="shared" si="36"/>
        <v>254.66329000000002</v>
      </c>
      <c r="AI75" s="122">
        <f t="shared" si="56"/>
        <v>5462.10329</v>
      </c>
      <c r="AJ75" s="145"/>
      <c r="AK75" s="145"/>
      <c r="AL75" s="123">
        <f t="shared" ref="AL75:AL102" si="57">+AJ75+AK75-AE75</f>
        <v>-3849.1136099999999</v>
      </c>
      <c r="AM75" s="64"/>
      <c r="AN75" s="69"/>
    </row>
    <row r="76" spans="1:40" s="29" customFormat="1">
      <c r="A76" s="64" t="s">
        <v>68</v>
      </c>
      <c r="B76" s="64" t="s">
        <v>301</v>
      </c>
      <c r="C76" s="64"/>
      <c r="D76" s="64"/>
      <c r="E76" s="64" t="s">
        <v>70</v>
      </c>
      <c r="F76" s="134">
        <v>42522</v>
      </c>
      <c r="G76" s="64"/>
      <c r="H76" s="64"/>
      <c r="I76" s="182">
        <v>513.33000000000004</v>
      </c>
      <c r="J76" s="150"/>
      <c r="K76" s="68">
        <v>534.29999999999995</v>
      </c>
      <c r="L76" s="68"/>
      <c r="M76" s="68"/>
      <c r="N76" s="68"/>
      <c r="O76" s="68"/>
      <c r="P76" s="109"/>
      <c r="Q76" s="122">
        <f t="shared" si="34"/>
        <v>534.29999999999995</v>
      </c>
      <c r="R76" s="68"/>
      <c r="S76" s="68"/>
      <c r="T76" s="68"/>
      <c r="U76" s="68"/>
      <c r="V76" s="68"/>
      <c r="W76" s="68"/>
      <c r="X76" s="68"/>
      <c r="Y76" s="60"/>
      <c r="Z76" s="60"/>
      <c r="AA76" s="64"/>
      <c r="AB76" s="64">
        <v>0</v>
      </c>
      <c r="AC76" s="122">
        <f t="shared" si="51"/>
        <v>534.29999999999995</v>
      </c>
      <c r="AD76" s="60">
        <f t="shared" ref="AD76" si="58">IF(Q76&gt;2250,Q76*0.1,0)</f>
        <v>0</v>
      </c>
      <c r="AE76" s="122">
        <f t="shared" ref="AE76" si="59">+AC76-AD76</f>
        <v>534.29999999999995</v>
      </c>
      <c r="AF76" s="60">
        <f t="shared" ref="AF76" si="60">IF(Q76&lt;2250,Q76*0.1,0)</f>
        <v>53.43</v>
      </c>
      <c r="AG76" s="60">
        <v>10.23</v>
      </c>
      <c r="AH76" s="60">
        <f t="shared" ref="AH76" si="61">+V76</f>
        <v>0</v>
      </c>
      <c r="AI76" s="122">
        <f t="shared" si="56"/>
        <v>597.95999999999992</v>
      </c>
      <c r="AJ76" s="145"/>
      <c r="AK76" s="145"/>
      <c r="AL76" s="123"/>
      <c r="AM76" s="64">
        <v>2952708604</v>
      </c>
      <c r="AN76" s="69"/>
    </row>
    <row r="77" spans="1:40" s="29" customFormat="1">
      <c r="A77" s="64" t="s">
        <v>68</v>
      </c>
      <c r="B77" s="64" t="s">
        <v>185</v>
      </c>
      <c r="C77" s="64" t="s">
        <v>206</v>
      </c>
      <c r="D77" s="76" t="s">
        <v>186</v>
      </c>
      <c r="E77" s="64" t="s">
        <v>70</v>
      </c>
      <c r="F77" s="134">
        <v>42396</v>
      </c>
      <c r="G77" s="64"/>
      <c r="H77" s="64"/>
      <c r="I77" s="68">
        <v>513.33000000000004</v>
      </c>
      <c r="J77" s="150">
        <v>653.33000000000004</v>
      </c>
      <c r="K77" s="68">
        <f t="shared" si="31"/>
        <v>1166.6600000000001</v>
      </c>
      <c r="L77" s="68">
        <v>1480.66</v>
      </c>
      <c r="M77" s="68"/>
      <c r="N77" s="68"/>
      <c r="O77" s="68"/>
      <c r="P77" s="109"/>
      <c r="Q77" s="122">
        <f t="shared" si="34"/>
        <v>2647.32</v>
      </c>
      <c r="R77" s="68"/>
      <c r="S77" s="68"/>
      <c r="T77" s="68"/>
      <c r="U77" s="68"/>
      <c r="V77" s="68"/>
      <c r="W77" s="68"/>
      <c r="X77" s="68"/>
      <c r="Y77" s="60">
        <v>966.45</v>
      </c>
      <c r="Z77" s="60"/>
      <c r="AA77" s="64"/>
      <c r="AB77" s="64">
        <v>291.5</v>
      </c>
      <c r="AC77" s="122">
        <f t="shared" si="51"/>
        <v>1389.3700000000001</v>
      </c>
      <c r="AD77" s="60">
        <f t="shared" ref="AD77" si="62">IF(Q77&gt;2250,Q77*0.1,0)</f>
        <v>264.73200000000003</v>
      </c>
      <c r="AE77" s="122">
        <f t="shared" ref="AE77" si="63">+AC77-AD77</f>
        <v>1124.6380000000001</v>
      </c>
      <c r="AF77" s="60">
        <f t="shared" si="54"/>
        <v>0</v>
      </c>
      <c r="AG77" s="60">
        <v>10.23</v>
      </c>
      <c r="AH77" s="60">
        <f t="shared" ref="AH77" si="64">+V77</f>
        <v>0</v>
      </c>
      <c r="AI77" s="122">
        <f t="shared" si="56"/>
        <v>2657.55</v>
      </c>
      <c r="AJ77" s="145"/>
      <c r="AK77" s="145"/>
      <c r="AL77" s="123">
        <f t="shared" si="57"/>
        <v>-1124.6380000000001</v>
      </c>
      <c r="AM77" s="64"/>
      <c r="AN77" s="69"/>
    </row>
    <row r="78" spans="1:40" s="29" customFormat="1">
      <c r="A78" s="64" t="s">
        <v>84</v>
      </c>
      <c r="B78" s="64" t="s">
        <v>168</v>
      </c>
      <c r="C78" s="64"/>
      <c r="D78" s="64" t="s">
        <v>123</v>
      </c>
      <c r="E78" s="64" t="s">
        <v>153</v>
      </c>
      <c r="F78" s="134">
        <v>41732</v>
      </c>
      <c r="G78" s="64"/>
      <c r="H78" s="64"/>
      <c r="I78" s="68">
        <v>556.78</v>
      </c>
      <c r="J78" s="150"/>
      <c r="K78" s="68">
        <f t="shared" ref="K78:K101" si="65">+I78+J78</f>
        <v>556.78</v>
      </c>
      <c r="L78" s="68">
        <v>281.67700000000002</v>
      </c>
      <c r="M78" s="68"/>
      <c r="N78" s="68"/>
      <c r="O78" s="68"/>
      <c r="P78" s="109"/>
      <c r="Q78" s="122">
        <f t="shared" ref="Q78:Q102" si="66">SUM(K78:O78)-P78</f>
        <v>838.45699999999999</v>
      </c>
      <c r="R78" s="68"/>
      <c r="S78" s="68"/>
      <c r="T78" s="68"/>
      <c r="U78" s="68">
        <v>0</v>
      </c>
      <c r="V78" s="68">
        <f>Q78*4.9%</f>
        <v>41.084392999999999</v>
      </c>
      <c r="W78" s="68">
        <f>Q78*1%</f>
        <v>8.3845700000000001</v>
      </c>
      <c r="X78" s="68"/>
      <c r="Y78" s="60"/>
      <c r="Z78" s="60"/>
      <c r="AA78" s="64"/>
      <c r="AB78" s="64">
        <v>0</v>
      </c>
      <c r="AC78" s="122">
        <f t="shared" si="51"/>
        <v>788.98803699999996</v>
      </c>
      <c r="AD78" s="60">
        <f t="shared" ref="AD78:AD102" si="67">IF(Q78&gt;2250,Q78*0.1,0)</f>
        <v>0</v>
      </c>
      <c r="AE78" s="122">
        <f t="shared" ref="AE78:AE101" si="68">+AC78-AD78</f>
        <v>788.98803699999996</v>
      </c>
      <c r="AF78" s="60">
        <f t="shared" si="54"/>
        <v>83.845700000000008</v>
      </c>
      <c r="AG78" s="60">
        <v>10.23</v>
      </c>
      <c r="AH78" s="60">
        <f t="shared" ref="AH78:AH102" si="69">+V78</f>
        <v>41.084392999999999</v>
      </c>
      <c r="AI78" s="122">
        <f t="shared" si="56"/>
        <v>973.61709299999995</v>
      </c>
      <c r="AJ78" s="145"/>
      <c r="AK78" s="145"/>
      <c r="AL78" s="123">
        <f t="shared" si="57"/>
        <v>-788.98803699999996</v>
      </c>
      <c r="AM78" s="64"/>
      <c r="AN78" s="64"/>
    </row>
    <row r="79" spans="1:40" s="29" customFormat="1">
      <c r="A79" s="64" t="s">
        <v>81</v>
      </c>
      <c r="B79" s="64" t="s">
        <v>201</v>
      </c>
      <c r="C79" s="64"/>
      <c r="D79" s="64" t="s">
        <v>102</v>
      </c>
      <c r="E79" s="64" t="s">
        <v>151</v>
      </c>
      <c r="F79" s="134">
        <v>42321</v>
      </c>
      <c r="G79" s="64"/>
      <c r="H79" s="64"/>
      <c r="I79" s="68">
        <v>577.38</v>
      </c>
      <c r="J79" s="150">
        <v>1047.6199999999999</v>
      </c>
      <c r="K79" s="68">
        <f t="shared" si="65"/>
        <v>1625</v>
      </c>
      <c r="L79" s="68"/>
      <c r="M79" s="68"/>
      <c r="N79" s="68"/>
      <c r="O79" s="68"/>
      <c r="P79" s="109"/>
      <c r="Q79" s="122">
        <f t="shared" si="66"/>
        <v>1625</v>
      </c>
      <c r="R79" s="68"/>
      <c r="S79" s="68"/>
      <c r="T79" s="68"/>
      <c r="U79" s="68">
        <v>0</v>
      </c>
      <c r="V79" s="68"/>
      <c r="W79" s="68"/>
      <c r="X79" s="68"/>
      <c r="Y79" s="60"/>
      <c r="Z79" s="60"/>
      <c r="AA79" s="64"/>
      <c r="AB79" s="64">
        <v>0</v>
      </c>
      <c r="AC79" s="122">
        <f t="shared" si="51"/>
        <v>1625</v>
      </c>
      <c r="AD79" s="60">
        <f t="shared" ref="AD79" si="70">IF(Q79&gt;2250,Q79*0.1,0)</f>
        <v>0</v>
      </c>
      <c r="AE79" s="122">
        <f t="shared" ref="AE79" si="71">+AC79-AD79</f>
        <v>1625</v>
      </c>
      <c r="AF79" s="60">
        <f t="shared" si="54"/>
        <v>162.5</v>
      </c>
      <c r="AG79" s="60">
        <v>10.23</v>
      </c>
      <c r="AH79" s="60">
        <f t="shared" ref="AH79" si="72">+V79</f>
        <v>0</v>
      </c>
      <c r="AI79" s="122">
        <f t="shared" si="56"/>
        <v>1797.73</v>
      </c>
      <c r="AJ79" s="145"/>
      <c r="AK79" s="146"/>
      <c r="AL79" s="123">
        <f t="shared" si="57"/>
        <v>-1625</v>
      </c>
      <c r="AM79" s="64"/>
      <c r="AN79" s="69" t="s">
        <v>307</v>
      </c>
    </row>
    <row r="80" spans="1:40" s="29" customFormat="1">
      <c r="A80" s="184" t="s">
        <v>82</v>
      </c>
      <c r="B80" s="184" t="s">
        <v>256</v>
      </c>
      <c r="C80" s="184"/>
      <c r="D80" s="184"/>
      <c r="E80" s="184" t="s">
        <v>144</v>
      </c>
      <c r="F80" s="193">
        <v>42416</v>
      </c>
      <c r="G80" s="184"/>
      <c r="H80" s="184"/>
      <c r="I80" s="194">
        <f>+K80</f>
        <v>633.62</v>
      </c>
      <c r="J80" s="186"/>
      <c r="K80" s="185">
        <v>633.62</v>
      </c>
      <c r="L80" s="185"/>
      <c r="M80" s="185"/>
      <c r="N80" s="185"/>
      <c r="O80" s="185"/>
      <c r="P80" s="185"/>
      <c r="Q80" s="187">
        <f t="shared" si="66"/>
        <v>633.62</v>
      </c>
      <c r="R80" s="185"/>
      <c r="S80" s="185"/>
      <c r="T80" s="185"/>
      <c r="U80" s="185">
        <v>0</v>
      </c>
      <c r="V80" s="185"/>
      <c r="W80" s="185"/>
      <c r="X80" s="185"/>
      <c r="Y80" s="188"/>
      <c r="Z80" s="188"/>
      <c r="AA80" s="184"/>
      <c r="AB80" s="184">
        <v>0</v>
      </c>
      <c r="AC80" s="187">
        <f t="shared" si="51"/>
        <v>633.62</v>
      </c>
      <c r="AD80" s="188">
        <f t="shared" si="67"/>
        <v>0</v>
      </c>
      <c r="AE80" s="187">
        <f t="shared" si="68"/>
        <v>633.62</v>
      </c>
      <c r="AF80" s="188">
        <f t="shared" si="54"/>
        <v>63.362000000000002</v>
      </c>
      <c r="AG80" s="188">
        <v>10.23</v>
      </c>
      <c r="AH80" s="188">
        <f t="shared" si="69"/>
        <v>0</v>
      </c>
      <c r="AI80" s="187">
        <f t="shared" si="56"/>
        <v>707.21199999999999</v>
      </c>
      <c r="AJ80" s="189"/>
      <c r="AK80" s="190"/>
      <c r="AL80" s="191">
        <f t="shared" si="57"/>
        <v>-633.62</v>
      </c>
      <c r="AM80" s="184"/>
      <c r="AN80" s="192"/>
    </row>
    <row r="81" spans="1:40" s="29" customFormat="1">
      <c r="A81" s="64" t="s">
        <v>84</v>
      </c>
      <c r="B81" s="64" t="s">
        <v>183</v>
      </c>
      <c r="C81" s="64"/>
      <c r="D81" s="64" t="s">
        <v>122</v>
      </c>
      <c r="E81" s="64" t="s">
        <v>159</v>
      </c>
      <c r="F81" s="134">
        <v>42228</v>
      </c>
      <c r="G81" s="64"/>
      <c r="H81" s="64"/>
      <c r="I81" s="68">
        <v>513.33000000000004</v>
      </c>
      <c r="J81" s="150">
        <v>986.67</v>
      </c>
      <c r="K81" s="68">
        <f t="shared" si="65"/>
        <v>1500</v>
      </c>
      <c r="L81" s="68">
        <f>1441.8+7.428</f>
        <v>1449.2280000000001</v>
      </c>
      <c r="M81" s="68"/>
      <c r="N81" s="68"/>
      <c r="O81" s="68"/>
      <c r="P81" s="109"/>
      <c r="Q81" s="122">
        <f t="shared" si="66"/>
        <v>2949.2280000000001</v>
      </c>
      <c r="R81" s="68"/>
      <c r="S81" s="68"/>
      <c r="T81" s="68"/>
      <c r="U81" s="68">
        <v>0</v>
      </c>
      <c r="V81" s="68">
        <f>Q81*4.9%</f>
        <v>144.51217200000002</v>
      </c>
      <c r="W81" s="68">
        <f>Q81*1%</f>
        <v>29.492280000000001</v>
      </c>
      <c r="X81" s="68"/>
      <c r="Y81" s="60"/>
      <c r="Z81" s="60"/>
      <c r="AA81" s="64"/>
      <c r="AB81" s="64">
        <v>845</v>
      </c>
      <c r="AC81" s="122">
        <f t="shared" si="51"/>
        <v>1930.2235479999999</v>
      </c>
      <c r="AD81" s="60">
        <f t="shared" si="67"/>
        <v>294.9228</v>
      </c>
      <c r="AE81" s="122">
        <f t="shared" si="68"/>
        <v>1635.3007479999999</v>
      </c>
      <c r="AF81" s="60">
        <f t="shared" si="54"/>
        <v>0</v>
      </c>
      <c r="AG81" s="60">
        <v>10.23</v>
      </c>
      <c r="AH81" s="60">
        <f t="shared" si="69"/>
        <v>144.51217200000002</v>
      </c>
      <c r="AI81" s="122">
        <f t="shared" si="56"/>
        <v>3103.9701720000003</v>
      </c>
      <c r="AJ81" s="145"/>
      <c r="AK81" s="145"/>
      <c r="AL81" s="123">
        <f t="shared" si="57"/>
        <v>-1635.3007479999999</v>
      </c>
      <c r="AM81" s="64"/>
      <c r="AN81" s="64"/>
    </row>
    <row r="82" spans="1:40" s="29" customFormat="1">
      <c r="A82" s="64" t="s">
        <v>81</v>
      </c>
      <c r="B82" s="64" t="s">
        <v>197</v>
      </c>
      <c r="C82" s="64"/>
      <c r="D82" s="64" t="s">
        <v>86</v>
      </c>
      <c r="E82" s="64" t="s">
        <v>69</v>
      </c>
      <c r="F82" s="134">
        <v>42065</v>
      </c>
      <c r="G82" s="64"/>
      <c r="H82" s="64"/>
      <c r="I82" s="68">
        <v>1166.26</v>
      </c>
      <c r="J82" s="150"/>
      <c r="K82" s="68">
        <f t="shared" si="65"/>
        <v>1166.26</v>
      </c>
      <c r="L82" s="68">
        <v>3496.5</v>
      </c>
      <c r="M82" s="68"/>
      <c r="N82" s="68"/>
      <c r="O82" s="68"/>
      <c r="P82" s="109"/>
      <c r="Q82" s="122">
        <f t="shared" si="66"/>
        <v>4662.76</v>
      </c>
      <c r="R82" s="68"/>
      <c r="S82" s="68"/>
      <c r="T82" s="68"/>
      <c r="U82" s="68">
        <v>0</v>
      </c>
      <c r="V82" s="68"/>
      <c r="W82" s="68"/>
      <c r="X82" s="68"/>
      <c r="Y82" s="60"/>
      <c r="Z82" s="60"/>
      <c r="AA82" s="64"/>
      <c r="AB82" s="64">
        <v>0</v>
      </c>
      <c r="AC82" s="122">
        <f t="shared" si="51"/>
        <v>4662.76</v>
      </c>
      <c r="AD82" s="60">
        <f t="shared" si="67"/>
        <v>466.27600000000007</v>
      </c>
      <c r="AE82" s="122">
        <f t="shared" si="68"/>
        <v>4196.4840000000004</v>
      </c>
      <c r="AF82" s="60">
        <f t="shared" si="54"/>
        <v>0</v>
      </c>
      <c r="AG82" s="60">
        <v>10.23</v>
      </c>
      <c r="AH82" s="60">
        <f t="shared" si="69"/>
        <v>0</v>
      </c>
      <c r="AI82" s="122">
        <f t="shared" si="56"/>
        <v>4672.99</v>
      </c>
      <c r="AJ82" s="145"/>
      <c r="AK82" s="146"/>
      <c r="AL82" s="123">
        <f t="shared" si="57"/>
        <v>-4196.4840000000004</v>
      </c>
      <c r="AM82" s="64"/>
      <c r="AN82" s="64"/>
    </row>
    <row r="83" spans="1:40" s="29" customFormat="1">
      <c r="A83" s="64" t="s">
        <v>83</v>
      </c>
      <c r="B83" s="64" t="s">
        <v>253</v>
      </c>
      <c r="C83" s="64" t="s">
        <v>259</v>
      </c>
      <c r="D83" s="64" t="s">
        <v>103</v>
      </c>
      <c r="E83" s="64" t="s">
        <v>149</v>
      </c>
      <c r="F83" s="134">
        <v>42392</v>
      </c>
      <c r="G83" s="64"/>
      <c r="H83" s="64"/>
      <c r="I83" s="68">
        <v>1100</v>
      </c>
      <c r="J83" s="150"/>
      <c r="K83" s="68">
        <f t="shared" si="65"/>
        <v>1100</v>
      </c>
      <c r="L83" s="68"/>
      <c r="M83" s="68"/>
      <c r="N83" s="68"/>
      <c r="O83" s="68"/>
      <c r="P83" s="109"/>
      <c r="Q83" s="122">
        <f t="shared" si="66"/>
        <v>1100</v>
      </c>
      <c r="R83" s="68"/>
      <c r="S83" s="68"/>
      <c r="T83" s="68"/>
      <c r="U83" s="68">
        <v>0</v>
      </c>
      <c r="V83" s="68"/>
      <c r="W83" s="68"/>
      <c r="X83" s="68"/>
      <c r="Y83" s="60"/>
      <c r="Z83" s="60"/>
      <c r="AA83" s="64"/>
      <c r="AB83" s="64">
        <v>0</v>
      </c>
      <c r="AC83" s="122">
        <f t="shared" si="51"/>
        <v>1100</v>
      </c>
      <c r="AD83" s="60">
        <f t="shared" si="67"/>
        <v>0</v>
      </c>
      <c r="AE83" s="122">
        <f t="shared" si="68"/>
        <v>1100</v>
      </c>
      <c r="AF83" s="60">
        <f t="shared" si="54"/>
        <v>110</v>
      </c>
      <c r="AG83" s="60">
        <v>10.23</v>
      </c>
      <c r="AH83" s="60">
        <f t="shared" si="69"/>
        <v>0</v>
      </c>
      <c r="AI83" s="122">
        <f t="shared" si="56"/>
        <v>1220.23</v>
      </c>
      <c r="AJ83" s="145"/>
      <c r="AK83" s="145"/>
      <c r="AL83" s="123">
        <f t="shared" si="57"/>
        <v>-1100</v>
      </c>
      <c r="AM83" s="64"/>
      <c r="AN83" s="69"/>
    </row>
    <row r="84" spans="1:40" s="29" customFormat="1">
      <c r="A84" s="64" t="s">
        <v>68</v>
      </c>
      <c r="B84" s="64" t="s">
        <v>79</v>
      </c>
      <c r="C84" s="64" t="s">
        <v>204</v>
      </c>
      <c r="D84" s="64" t="s">
        <v>139</v>
      </c>
      <c r="E84" s="64" t="s">
        <v>70</v>
      </c>
      <c r="F84" s="134">
        <v>41218</v>
      </c>
      <c r="G84" s="64"/>
      <c r="H84" s="64"/>
      <c r="I84" s="68">
        <v>513.33000000000004</v>
      </c>
      <c r="J84" s="150">
        <v>653.33000000000004</v>
      </c>
      <c r="K84" s="68">
        <f t="shared" si="65"/>
        <v>1166.6600000000001</v>
      </c>
      <c r="L84" s="68">
        <v>3263.4</v>
      </c>
      <c r="M84" s="68"/>
      <c r="N84" s="68"/>
      <c r="O84" s="68"/>
      <c r="P84" s="109"/>
      <c r="Q84" s="122">
        <f t="shared" si="66"/>
        <v>4430.0600000000004</v>
      </c>
      <c r="R84" s="68"/>
      <c r="S84" s="68"/>
      <c r="T84" s="68">
        <v>58.91</v>
      </c>
      <c r="U84" s="68">
        <v>0</v>
      </c>
      <c r="V84" s="68"/>
      <c r="W84" s="68"/>
      <c r="X84" s="68"/>
      <c r="Y84" s="60"/>
      <c r="Z84" s="60"/>
      <c r="AA84" s="64"/>
      <c r="AB84" s="64">
        <v>0</v>
      </c>
      <c r="AC84" s="122">
        <f t="shared" si="51"/>
        <v>4371.1500000000005</v>
      </c>
      <c r="AD84" s="60">
        <f t="shared" si="67"/>
        <v>443.00600000000009</v>
      </c>
      <c r="AE84" s="122">
        <f t="shared" si="68"/>
        <v>3928.1440000000002</v>
      </c>
      <c r="AF84" s="60">
        <f t="shared" si="54"/>
        <v>0</v>
      </c>
      <c r="AG84" s="60">
        <v>10.23</v>
      </c>
      <c r="AH84" s="60">
        <f t="shared" si="69"/>
        <v>0</v>
      </c>
      <c r="AI84" s="122">
        <f t="shared" si="56"/>
        <v>4440.29</v>
      </c>
      <c r="AJ84" s="145"/>
      <c r="AK84" s="146"/>
      <c r="AL84" s="123">
        <f t="shared" si="57"/>
        <v>-3928.1440000000002</v>
      </c>
      <c r="AM84" s="64"/>
      <c r="AN84" s="64"/>
    </row>
    <row r="85" spans="1:40" s="29" customFormat="1">
      <c r="A85" s="64" t="s">
        <v>84</v>
      </c>
      <c r="B85" s="64" t="s">
        <v>263</v>
      </c>
      <c r="C85" s="64"/>
      <c r="D85" s="64" t="s">
        <v>124</v>
      </c>
      <c r="E85" s="64" t="s">
        <v>160</v>
      </c>
      <c r="F85" s="134">
        <v>41703</v>
      </c>
      <c r="G85" s="64"/>
      <c r="H85" s="64"/>
      <c r="I85" s="68">
        <v>556.78</v>
      </c>
      <c r="J85" s="150"/>
      <c r="K85" s="68">
        <f t="shared" si="65"/>
        <v>556.78</v>
      </c>
      <c r="L85" s="68">
        <v>993.13800000000003</v>
      </c>
      <c r="M85" s="68"/>
      <c r="N85" s="68"/>
      <c r="O85" s="68"/>
      <c r="P85" s="109"/>
      <c r="Q85" s="122">
        <f t="shared" si="66"/>
        <v>1549.9180000000001</v>
      </c>
      <c r="R85" s="68"/>
      <c r="S85" s="68"/>
      <c r="T85" s="68"/>
      <c r="U85" s="68">
        <v>0</v>
      </c>
      <c r="V85" s="68">
        <f>Q85*4.9%</f>
        <v>75.945982000000015</v>
      </c>
      <c r="W85" s="68">
        <f>Q85*1%</f>
        <v>15.499180000000001</v>
      </c>
      <c r="X85" s="68"/>
      <c r="Y85" s="60"/>
      <c r="Z85" s="60"/>
      <c r="AA85" s="64"/>
      <c r="AB85" s="64">
        <v>0</v>
      </c>
      <c r="AC85" s="122">
        <f t="shared" si="51"/>
        <v>1458.4728380000001</v>
      </c>
      <c r="AD85" s="60">
        <f t="shared" si="67"/>
        <v>0</v>
      </c>
      <c r="AE85" s="122">
        <f t="shared" si="68"/>
        <v>1458.4728380000001</v>
      </c>
      <c r="AF85" s="60">
        <f t="shared" si="54"/>
        <v>154.99180000000001</v>
      </c>
      <c r="AG85" s="60">
        <v>10.23</v>
      </c>
      <c r="AH85" s="60">
        <f t="shared" si="69"/>
        <v>75.945982000000015</v>
      </c>
      <c r="AI85" s="122">
        <f t="shared" si="56"/>
        <v>1791.0857820000001</v>
      </c>
      <c r="AJ85" s="145"/>
      <c r="AK85" s="145"/>
      <c r="AL85" s="123">
        <f t="shared" si="57"/>
        <v>-1458.4728380000001</v>
      </c>
      <c r="AM85" s="64"/>
      <c r="AN85" s="64"/>
    </row>
    <row r="86" spans="1:40" s="29" customFormat="1">
      <c r="A86" s="64" t="s">
        <v>84</v>
      </c>
      <c r="B86" s="64" t="s">
        <v>166</v>
      </c>
      <c r="C86" s="64"/>
      <c r="D86" s="64" t="s">
        <v>125</v>
      </c>
      <c r="E86" s="64" t="s">
        <v>158</v>
      </c>
      <c r="F86" s="134">
        <v>41291</v>
      </c>
      <c r="G86" s="64"/>
      <c r="H86" s="64"/>
      <c r="I86" s="68">
        <v>623.36</v>
      </c>
      <c r="J86" s="150"/>
      <c r="K86" s="68">
        <f t="shared" si="65"/>
        <v>623.36</v>
      </c>
      <c r="L86" s="68">
        <f>1614.133+5.571</f>
        <v>1619.704</v>
      </c>
      <c r="M86" s="68"/>
      <c r="N86" s="68"/>
      <c r="O86" s="68"/>
      <c r="P86" s="109"/>
      <c r="Q86" s="122">
        <f t="shared" si="66"/>
        <v>2243.0639999999999</v>
      </c>
      <c r="R86" s="68"/>
      <c r="S86" s="68"/>
      <c r="T86" s="68"/>
      <c r="U86" s="68">
        <v>200</v>
      </c>
      <c r="V86" s="68">
        <f>Q86*4.9%</f>
        <v>109.91013599999999</v>
      </c>
      <c r="W86" s="68">
        <f>Q86*1%</f>
        <v>22.43064</v>
      </c>
      <c r="X86" s="68">
        <v>257.64</v>
      </c>
      <c r="Y86" s="60"/>
      <c r="Z86" s="60"/>
      <c r="AA86" s="64">
        <v>201.24</v>
      </c>
      <c r="AB86" s="64">
        <v>0</v>
      </c>
      <c r="AC86" s="122">
        <f t="shared" si="51"/>
        <v>1451.843224</v>
      </c>
      <c r="AD86" s="60">
        <f t="shared" si="67"/>
        <v>0</v>
      </c>
      <c r="AE86" s="122">
        <f t="shared" si="68"/>
        <v>1451.843224</v>
      </c>
      <c r="AF86" s="60">
        <f t="shared" si="54"/>
        <v>224.3064</v>
      </c>
      <c r="AG86" s="60">
        <v>10.23</v>
      </c>
      <c r="AH86" s="60">
        <f t="shared" si="69"/>
        <v>109.91013599999999</v>
      </c>
      <c r="AI86" s="122">
        <f t="shared" si="56"/>
        <v>2587.5105359999998</v>
      </c>
      <c r="AJ86" s="145"/>
      <c r="AK86" s="145"/>
      <c r="AL86" s="123">
        <f t="shared" si="57"/>
        <v>-1451.843224</v>
      </c>
      <c r="AM86" s="64"/>
      <c r="AN86" s="69"/>
    </row>
    <row r="87" spans="1:40" s="29" customFormat="1">
      <c r="A87" s="64" t="s">
        <v>68</v>
      </c>
      <c r="B87" s="64" t="s">
        <v>289</v>
      </c>
      <c r="C87" s="64"/>
      <c r="D87" s="64"/>
      <c r="E87" s="64" t="s">
        <v>70</v>
      </c>
      <c r="F87" s="134">
        <v>42520</v>
      </c>
      <c r="G87" s="64"/>
      <c r="H87" s="64"/>
      <c r="I87" s="174">
        <v>513.33000000000004</v>
      </c>
      <c r="J87" s="150"/>
      <c r="K87" s="68">
        <v>513.33000000000004</v>
      </c>
      <c r="L87" s="68">
        <v>753.3</v>
      </c>
      <c r="M87" s="68"/>
      <c r="N87" s="68"/>
      <c r="O87" s="68"/>
      <c r="P87" s="109"/>
      <c r="Q87" s="122">
        <f t="shared" si="66"/>
        <v>1266.6300000000001</v>
      </c>
      <c r="R87" s="68"/>
      <c r="S87" s="68"/>
      <c r="T87" s="68"/>
      <c r="U87" s="68"/>
      <c r="V87" s="68"/>
      <c r="W87" s="68"/>
      <c r="X87" s="68"/>
      <c r="Y87" s="60"/>
      <c r="Z87" s="60"/>
      <c r="AA87" s="64"/>
      <c r="AB87" s="64">
        <v>0</v>
      </c>
      <c r="AC87" s="122">
        <f t="shared" si="51"/>
        <v>1266.6300000000001</v>
      </c>
      <c r="AD87" s="60">
        <f t="shared" ref="AD87" si="73">IF(Q87&gt;2250,Q87*0.1,0)</f>
        <v>0</v>
      </c>
      <c r="AE87" s="122">
        <f t="shared" ref="AE87" si="74">+AC87-AD87</f>
        <v>1266.6300000000001</v>
      </c>
      <c r="AF87" s="60">
        <f t="shared" ref="AF87" si="75">IF(Q87&lt;2250,Q87*0.1,0)</f>
        <v>126.66300000000001</v>
      </c>
      <c r="AG87" s="60">
        <v>11.23</v>
      </c>
      <c r="AH87" s="60">
        <f t="shared" ref="AH87" si="76">+V87</f>
        <v>0</v>
      </c>
      <c r="AI87" s="122">
        <f t="shared" si="56"/>
        <v>1404.5230000000001</v>
      </c>
      <c r="AJ87" s="145"/>
      <c r="AK87" s="145"/>
      <c r="AL87" s="123"/>
      <c r="AM87" s="64">
        <v>189347992</v>
      </c>
      <c r="AN87" s="69"/>
    </row>
    <row r="88" spans="1:40" s="29" customFormat="1">
      <c r="A88" s="64" t="s">
        <v>82</v>
      </c>
      <c r="B88" s="64" t="s">
        <v>180</v>
      </c>
      <c r="C88" s="64"/>
      <c r="D88" s="64" t="s">
        <v>94</v>
      </c>
      <c r="E88" s="64" t="s">
        <v>146</v>
      </c>
      <c r="F88" s="134">
        <v>41666</v>
      </c>
      <c r="G88" s="64"/>
      <c r="H88" s="64"/>
      <c r="I88" s="68">
        <v>739.23</v>
      </c>
      <c r="J88" s="150"/>
      <c r="K88" s="68">
        <f t="shared" si="65"/>
        <v>739.23</v>
      </c>
      <c r="L88" s="68">
        <f>1742.442+7.428</f>
        <v>1749.8700000000001</v>
      </c>
      <c r="M88" s="68"/>
      <c r="N88" s="68"/>
      <c r="O88" s="68"/>
      <c r="P88" s="109"/>
      <c r="Q88" s="122">
        <f t="shared" si="66"/>
        <v>2489.1000000000004</v>
      </c>
      <c r="R88" s="68"/>
      <c r="S88" s="68"/>
      <c r="T88" s="68"/>
      <c r="U88" s="68">
        <v>150</v>
      </c>
      <c r="V88" s="68"/>
      <c r="W88" s="68"/>
      <c r="X88" s="68"/>
      <c r="Y88" s="60"/>
      <c r="Z88" s="60"/>
      <c r="AA88" s="64"/>
      <c r="AB88" s="64">
        <v>0</v>
      </c>
      <c r="AC88" s="122">
        <f t="shared" si="51"/>
        <v>2339.1000000000004</v>
      </c>
      <c r="AD88" s="60">
        <f t="shared" si="67"/>
        <v>248.91000000000005</v>
      </c>
      <c r="AE88" s="122">
        <f t="shared" si="68"/>
        <v>2090.1900000000005</v>
      </c>
      <c r="AF88" s="60">
        <f t="shared" si="54"/>
        <v>0</v>
      </c>
      <c r="AG88" s="60">
        <v>10.23</v>
      </c>
      <c r="AH88" s="60">
        <f t="shared" si="69"/>
        <v>0</v>
      </c>
      <c r="AI88" s="122">
        <f t="shared" si="56"/>
        <v>2499.3300000000004</v>
      </c>
      <c r="AJ88" s="145"/>
      <c r="AK88" s="146"/>
      <c r="AL88" s="123">
        <f t="shared" si="57"/>
        <v>-2090.1900000000005</v>
      </c>
      <c r="AM88" s="64"/>
      <c r="AN88" s="64"/>
    </row>
    <row r="89" spans="1:40" s="29" customFormat="1">
      <c r="A89" s="64" t="s">
        <v>84</v>
      </c>
      <c r="B89" s="64" t="s">
        <v>275</v>
      </c>
      <c r="C89" s="64"/>
      <c r="D89" s="64"/>
      <c r="E89" s="64" t="s">
        <v>153</v>
      </c>
      <c r="F89" s="134">
        <v>42493</v>
      </c>
      <c r="G89" s="64"/>
      <c r="H89" s="64"/>
      <c r="I89" s="68">
        <v>511.28</v>
      </c>
      <c r="J89" s="150"/>
      <c r="K89" s="68">
        <f t="shared" si="65"/>
        <v>511.28</v>
      </c>
      <c r="L89" s="68">
        <v>382.13099999999997</v>
      </c>
      <c r="M89" s="68"/>
      <c r="N89" s="68"/>
      <c r="O89" s="68"/>
      <c r="P89" s="109"/>
      <c r="Q89" s="122">
        <f t="shared" si="66"/>
        <v>893.41099999999994</v>
      </c>
      <c r="R89" s="68"/>
      <c r="S89" s="68"/>
      <c r="T89" s="68"/>
      <c r="U89" s="68"/>
      <c r="V89" s="68">
        <f>Q89*4.9%</f>
        <v>43.777138999999998</v>
      </c>
      <c r="W89" s="68">
        <f>Q89*1%</f>
        <v>8.9341100000000004</v>
      </c>
      <c r="X89" s="68"/>
      <c r="Y89" s="60"/>
      <c r="Z89" s="60"/>
      <c r="AA89" s="64"/>
      <c r="AB89" s="64">
        <v>0</v>
      </c>
      <c r="AC89" s="122">
        <f t="shared" si="51"/>
        <v>840.69975099999999</v>
      </c>
      <c r="AD89" s="60">
        <f t="shared" ref="AD89" si="77">IF(Q89&gt;2250,Q89*0.1,0)</f>
        <v>0</v>
      </c>
      <c r="AE89" s="122">
        <f t="shared" ref="AE89" si="78">+AC89-AD89</f>
        <v>840.69975099999999</v>
      </c>
      <c r="AF89" s="60">
        <f t="shared" si="54"/>
        <v>89.341099999999997</v>
      </c>
      <c r="AG89" s="60">
        <v>10.23</v>
      </c>
      <c r="AH89" s="60">
        <f t="shared" ref="AH89" si="79">+V89</f>
        <v>43.777138999999998</v>
      </c>
      <c r="AI89" s="122">
        <f t="shared" si="56"/>
        <v>1036.759239</v>
      </c>
      <c r="AJ89" s="145"/>
      <c r="AK89" s="145"/>
      <c r="AL89" s="123">
        <f t="shared" si="57"/>
        <v>-840.69975099999999</v>
      </c>
      <c r="AM89" s="64"/>
      <c r="AN89" s="69"/>
    </row>
    <row r="90" spans="1:40" s="29" customFormat="1">
      <c r="A90" s="64" t="s">
        <v>83</v>
      </c>
      <c r="B90" s="64" t="s">
        <v>236</v>
      </c>
      <c r="C90" s="64"/>
      <c r="D90" s="64" t="s">
        <v>104</v>
      </c>
      <c r="E90" s="64" t="s">
        <v>151</v>
      </c>
      <c r="F90" s="134">
        <v>42333</v>
      </c>
      <c r="G90" s="64"/>
      <c r="H90" s="64"/>
      <c r="I90" s="68">
        <v>577.38</v>
      </c>
      <c r="J90" s="150">
        <v>1047.6199999999999</v>
      </c>
      <c r="K90" s="68">
        <f t="shared" si="65"/>
        <v>1625</v>
      </c>
      <c r="L90" s="122"/>
      <c r="M90" s="68"/>
      <c r="N90" s="68"/>
      <c r="O90" s="68"/>
      <c r="P90" s="109"/>
      <c r="Q90" s="122">
        <f t="shared" si="66"/>
        <v>1625</v>
      </c>
      <c r="R90" s="68"/>
      <c r="S90" s="68"/>
      <c r="T90" s="68"/>
      <c r="U90" s="68">
        <v>0</v>
      </c>
      <c r="V90" s="68"/>
      <c r="W90" s="68"/>
      <c r="X90" s="68"/>
      <c r="Y90" s="60"/>
      <c r="Z90" s="60"/>
      <c r="AA90" s="64"/>
      <c r="AB90" s="64">
        <v>351.55</v>
      </c>
      <c r="AC90" s="122">
        <f t="shared" si="51"/>
        <v>1273.45</v>
      </c>
      <c r="AD90" s="60">
        <f t="shared" si="67"/>
        <v>0</v>
      </c>
      <c r="AE90" s="122">
        <f t="shared" si="68"/>
        <v>1273.45</v>
      </c>
      <c r="AF90" s="60">
        <f t="shared" si="54"/>
        <v>162.5</v>
      </c>
      <c r="AG90" s="60">
        <v>10.23</v>
      </c>
      <c r="AH90" s="60">
        <f t="shared" si="69"/>
        <v>0</v>
      </c>
      <c r="AI90" s="122">
        <f t="shared" si="56"/>
        <v>1797.73</v>
      </c>
      <c r="AJ90" s="145"/>
      <c r="AK90" s="146"/>
      <c r="AL90" s="123">
        <f t="shared" si="57"/>
        <v>-1273.45</v>
      </c>
      <c r="AM90" s="64"/>
      <c r="AN90" s="64"/>
    </row>
    <row r="91" spans="1:40" s="29" customFormat="1">
      <c r="A91" s="64" t="s">
        <v>68</v>
      </c>
      <c r="B91" s="64" t="s">
        <v>302</v>
      </c>
      <c r="C91" s="64"/>
      <c r="D91" s="64"/>
      <c r="E91" s="64" t="s">
        <v>70</v>
      </c>
      <c r="F91" s="134">
        <v>42459</v>
      </c>
      <c r="G91" s="64"/>
      <c r="H91" s="64"/>
      <c r="I91" s="68">
        <v>513.33000000000004</v>
      </c>
      <c r="J91" s="150">
        <v>653.33000000000004</v>
      </c>
      <c r="K91" s="68">
        <f t="shared" si="65"/>
        <v>1166.6600000000001</v>
      </c>
      <c r="L91" s="68">
        <v>8115.27</v>
      </c>
      <c r="M91" s="68"/>
      <c r="N91" s="68"/>
      <c r="O91" s="68"/>
      <c r="P91" s="109"/>
      <c r="Q91" s="122">
        <f t="shared" si="66"/>
        <v>9281.93</v>
      </c>
      <c r="R91" s="68"/>
      <c r="S91" s="68"/>
      <c r="T91" s="68"/>
      <c r="U91" s="68"/>
      <c r="V91" s="68"/>
      <c r="W91" s="68"/>
      <c r="X91" s="68"/>
      <c r="Y91" s="60"/>
      <c r="Z91" s="60"/>
      <c r="AA91" s="64"/>
      <c r="AB91" s="64"/>
      <c r="AC91" s="122">
        <f t="shared" si="51"/>
        <v>9281.93</v>
      </c>
      <c r="AD91" s="60">
        <f>IF(Q91&gt;2250,Q91*0.1,0)</f>
        <v>928.1930000000001</v>
      </c>
      <c r="AE91" s="122">
        <f>+AC91-AD91</f>
        <v>8353.737000000001</v>
      </c>
      <c r="AF91" s="60">
        <f t="shared" si="54"/>
        <v>0</v>
      </c>
      <c r="AG91" s="60">
        <v>10.23</v>
      </c>
      <c r="AH91" s="60">
        <f>+V91</f>
        <v>0</v>
      </c>
      <c r="AI91" s="122">
        <f t="shared" si="56"/>
        <v>9292.16</v>
      </c>
      <c r="AJ91" s="177"/>
      <c r="AK91" s="146"/>
      <c r="AL91" s="123">
        <f t="shared" si="57"/>
        <v>-8353.737000000001</v>
      </c>
      <c r="AM91" s="64"/>
      <c r="AN91" s="69"/>
    </row>
    <row r="92" spans="1:40" s="29" customFormat="1">
      <c r="A92" s="64" t="s">
        <v>82</v>
      </c>
      <c r="B92" s="64" t="s">
        <v>222</v>
      </c>
      <c r="C92" s="64"/>
      <c r="D92" s="64" t="s">
        <v>93</v>
      </c>
      <c r="E92" s="64" t="s">
        <v>144</v>
      </c>
      <c r="F92" s="134">
        <v>42346</v>
      </c>
      <c r="G92" s="64"/>
      <c r="H92" s="64"/>
      <c r="I92" s="174">
        <f>+K92</f>
        <v>633.62</v>
      </c>
      <c r="J92" s="150"/>
      <c r="K92" s="68">
        <v>633.62</v>
      </c>
      <c r="L92" s="68">
        <f>1056.252+2.972</f>
        <v>1059.2239999999999</v>
      </c>
      <c r="M92" s="68"/>
      <c r="N92" s="68"/>
      <c r="O92" s="68"/>
      <c r="P92" s="109"/>
      <c r="Q92" s="122">
        <f t="shared" si="66"/>
        <v>1692.8440000000001</v>
      </c>
      <c r="R92" s="68"/>
      <c r="S92" s="68">
        <v>90.51</v>
      </c>
      <c r="T92" s="68"/>
      <c r="U92" s="68">
        <v>0</v>
      </c>
      <c r="V92" s="68"/>
      <c r="W92" s="68"/>
      <c r="X92" s="68"/>
      <c r="Y92" s="60"/>
      <c r="Z92" s="60"/>
      <c r="AA92" s="64"/>
      <c r="AB92" s="64">
        <v>0</v>
      </c>
      <c r="AC92" s="122">
        <f t="shared" si="51"/>
        <v>1602.3340000000001</v>
      </c>
      <c r="AD92" s="60">
        <f t="shared" si="67"/>
        <v>0</v>
      </c>
      <c r="AE92" s="122">
        <f t="shared" si="68"/>
        <v>1602.3340000000001</v>
      </c>
      <c r="AF92" s="60">
        <f t="shared" si="54"/>
        <v>169.28440000000001</v>
      </c>
      <c r="AG92" s="60">
        <v>10.23</v>
      </c>
      <c r="AH92" s="60">
        <f t="shared" si="69"/>
        <v>0</v>
      </c>
      <c r="AI92" s="122">
        <f t="shared" si="56"/>
        <v>1872.3584000000001</v>
      </c>
      <c r="AJ92" s="145"/>
      <c r="AK92" s="146"/>
      <c r="AL92" s="123">
        <f t="shared" si="57"/>
        <v>-1602.3340000000001</v>
      </c>
      <c r="AM92" s="64"/>
      <c r="AN92" s="69"/>
    </row>
    <row r="93" spans="1:40" s="29" customFormat="1">
      <c r="A93" s="64" t="s">
        <v>82</v>
      </c>
      <c r="B93" s="64" t="s">
        <v>75</v>
      </c>
      <c r="C93" s="64"/>
      <c r="D93" s="64" t="s">
        <v>95</v>
      </c>
      <c r="E93" s="64" t="s">
        <v>147</v>
      </c>
      <c r="F93" s="134">
        <v>42100</v>
      </c>
      <c r="G93" s="64"/>
      <c r="H93" s="64"/>
      <c r="I93" s="174">
        <f>+K93</f>
        <v>633.62</v>
      </c>
      <c r="J93" s="150"/>
      <c r="K93" s="68">
        <v>633.62</v>
      </c>
      <c r="L93" s="68">
        <f>1852.429+13.099</f>
        <v>1865.528</v>
      </c>
      <c r="M93" s="68"/>
      <c r="N93" s="68"/>
      <c r="O93" s="68"/>
      <c r="P93" s="109"/>
      <c r="Q93" s="122">
        <f t="shared" si="66"/>
        <v>2499.1480000000001</v>
      </c>
      <c r="R93" s="68"/>
      <c r="S93" s="68"/>
      <c r="T93" s="68"/>
      <c r="U93" s="68">
        <v>0</v>
      </c>
      <c r="V93" s="68"/>
      <c r="W93" s="68"/>
      <c r="X93" s="68"/>
      <c r="Y93" s="60"/>
      <c r="Z93" s="60"/>
      <c r="AA93" s="64"/>
      <c r="AB93" s="64">
        <v>0</v>
      </c>
      <c r="AC93" s="122">
        <f t="shared" si="51"/>
        <v>2499.1480000000001</v>
      </c>
      <c r="AD93" s="60">
        <f t="shared" si="67"/>
        <v>249.91480000000001</v>
      </c>
      <c r="AE93" s="122">
        <f t="shared" si="68"/>
        <v>2249.2332000000001</v>
      </c>
      <c r="AF93" s="60">
        <f t="shared" si="54"/>
        <v>0</v>
      </c>
      <c r="AG93" s="60">
        <v>10.23</v>
      </c>
      <c r="AH93" s="60">
        <f t="shared" si="69"/>
        <v>0</v>
      </c>
      <c r="AI93" s="122">
        <f t="shared" si="56"/>
        <v>2509.3780000000002</v>
      </c>
      <c r="AJ93" s="145"/>
      <c r="AK93" s="146"/>
      <c r="AL93" s="123">
        <f t="shared" si="57"/>
        <v>-2249.2332000000001</v>
      </c>
      <c r="AM93" s="64"/>
      <c r="AN93" s="69"/>
    </row>
    <row r="94" spans="1:40" s="29" customFormat="1">
      <c r="A94" s="64" t="s">
        <v>81</v>
      </c>
      <c r="B94" s="64" t="s">
        <v>198</v>
      </c>
      <c r="C94" s="64"/>
      <c r="D94" s="76"/>
      <c r="E94" s="64" t="s">
        <v>199</v>
      </c>
      <c r="F94" s="134">
        <v>42328</v>
      </c>
      <c r="G94" s="64"/>
      <c r="H94" s="64"/>
      <c r="I94" s="174">
        <f>+K94</f>
        <v>999.65</v>
      </c>
      <c r="J94" s="150"/>
      <c r="K94" s="68">
        <v>999.65</v>
      </c>
      <c r="L94" s="68">
        <v>2140.9299999999998</v>
      </c>
      <c r="M94" s="68"/>
      <c r="N94" s="68"/>
      <c r="O94" s="68"/>
      <c r="P94" s="109"/>
      <c r="Q94" s="122">
        <f t="shared" si="66"/>
        <v>3140.58</v>
      </c>
      <c r="R94" s="68"/>
      <c r="S94" s="68"/>
      <c r="T94" s="68"/>
      <c r="U94" s="68"/>
      <c r="V94" s="68"/>
      <c r="W94" s="68"/>
      <c r="X94" s="68"/>
      <c r="Y94" s="60"/>
      <c r="Z94" s="60"/>
      <c r="AA94" s="64"/>
      <c r="AB94" s="64">
        <v>0</v>
      </c>
      <c r="AC94" s="122">
        <f t="shared" si="51"/>
        <v>3140.58</v>
      </c>
      <c r="AD94" s="60">
        <f t="shared" si="67"/>
        <v>314.05799999999999</v>
      </c>
      <c r="AE94" s="122">
        <f t="shared" si="68"/>
        <v>2826.5219999999999</v>
      </c>
      <c r="AF94" s="60">
        <f t="shared" si="54"/>
        <v>0</v>
      </c>
      <c r="AG94" s="60">
        <v>10.23</v>
      </c>
      <c r="AH94" s="60">
        <f t="shared" si="69"/>
        <v>0</v>
      </c>
      <c r="AI94" s="122">
        <f t="shared" si="56"/>
        <v>3150.81</v>
      </c>
      <c r="AJ94" s="145"/>
      <c r="AK94" s="146"/>
      <c r="AL94" s="123">
        <f t="shared" si="57"/>
        <v>-2826.5219999999999</v>
      </c>
      <c r="AM94" s="64"/>
      <c r="AN94" s="69"/>
    </row>
    <row r="95" spans="1:40" s="29" customFormat="1">
      <c r="A95" s="64" t="s">
        <v>68</v>
      </c>
      <c r="B95" s="64" t="s">
        <v>255</v>
      </c>
      <c r="C95" s="64" t="s">
        <v>206</v>
      </c>
      <c r="D95" s="64" t="s">
        <v>140</v>
      </c>
      <c r="E95" s="64" t="s">
        <v>70</v>
      </c>
      <c r="F95" s="134">
        <v>42327</v>
      </c>
      <c r="G95" s="64"/>
      <c r="H95" s="64"/>
      <c r="I95" s="68">
        <v>513.33000000000004</v>
      </c>
      <c r="J95" s="150">
        <v>653.33000000000004</v>
      </c>
      <c r="K95" s="68">
        <f t="shared" si="65"/>
        <v>1166.6600000000001</v>
      </c>
      <c r="L95" s="68"/>
      <c r="M95" s="68"/>
      <c r="N95" s="68"/>
      <c r="O95" s="68"/>
      <c r="P95" s="109"/>
      <c r="Q95" s="122">
        <f t="shared" si="66"/>
        <v>1166.6600000000001</v>
      </c>
      <c r="R95" s="68">
        <v>187.5</v>
      </c>
      <c r="S95" s="68"/>
      <c r="T95" s="68"/>
      <c r="U95" s="68">
        <v>0</v>
      </c>
      <c r="V95" s="68"/>
      <c r="W95" s="68"/>
      <c r="X95" s="68"/>
      <c r="Y95" s="60">
        <v>537.87</v>
      </c>
      <c r="Z95" s="60"/>
      <c r="AA95" s="64"/>
      <c r="AB95" s="183">
        <v>499.12</v>
      </c>
      <c r="AC95" s="122">
        <f t="shared" si="51"/>
        <v>-57.829999999999927</v>
      </c>
      <c r="AD95" s="60">
        <f t="shared" si="67"/>
        <v>0</v>
      </c>
      <c r="AE95" s="122">
        <f t="shared" si="68"/>
        <v>-57.829999999999927</v>
      </c>
      <c r="AF95" s="60">
        <f t="shared" si="54"/>
        <v>116.66600000000001</v>
      </c>
      <c r="AG95" s="60">
        <v>10.23</v>
      </c>
      <c r="AH95" s="60">
        <f t="shared" si="69"/>
        <v>0</v>
      </c>
      <c r="AI95" s="122">
        <f t="shared" si="56"/>
        <v>1293.556</v>
      </c>
      <c r="AJ95" s="145"/>
      <c r="AK95" s="146"/>
      <c r="AL95" s="123">
        <f t="shared" si="57"/>
        <v>57.829999999999927</v>
      </c>
      <c r="AM95" s="64"/>
      <c r="AN95" s="69"/>
    </row>
    <row r="96" spans="1:40" s="29" customFormat="1">
      <c r="A96" s="64"/>
      <c r="B96" s="64" t="s">
        <v>279</v>
      </c>
      <c r="C96" s="64" t="s">
        <v>204</v>
      </c>
      <c r="D96" s="64"/>
      <c r="E96" s="64" t="s">
        <v>70</v>
      </c>
      <c r="F96" s="134">
        <v>42506</v>
      </c>
      <c r="G96" s="64"/>
      <c r="H96" s="64"/>
      <c r="I96" s="68">
        <v>1166.6600000000001</v>
      </c>
      <c r="J96" s="150"/>
      <c r="K96" s="68">
        <f t="shared" si="65"/>
        <v>1166.6600000000001</v>
      </c>
      <c r="L96" s="68">
        <v>4585.09</v>
      </c>
      <c r="M96" s="68"/>
      <c r="N96" s="68"/>
      <c r="O96" s="68"/>
      <c r="P96" s="109"/>
      <c r="Q96" s="122">
        <f t="shared" si="66"/>
        <v>5751.75</v>
      </c>
      <c r="R96" s="68"/>
      <c r="S96" s="68"/>
      <c r="T96" s="68"/>
      <c r="U96" s="68"/>
      <c r="V96" s="68"/>
      <c r="W96" s="68"/>
      <c r="X96" s="68"/>
      <c r="Y96" s="60"/>
      <c r="Z96" s="60"/>
      <c r="AA96" s="64"/>
      <c r="AB96" s="183">
        <v>0</v>
      </c>
      <c r="AC96" s="122">
        <f t="shared" si="51"/>
        <v>5751.75</v>
      </c>
      <c r="AD96" s="60">
        <f t="shared" ref="AD96" si="80">IF(Q96&gt;2250,Q96*0.1,0)</f>
        <v>575.17500000000007</v>
      </c>
      <c r="AE96" s="122">
        <f t="shared" ref="AE96" si="81">+AC96-AD96</f>
        <v>5176.5749999999998</v>
      </c>
      <c r="AF96" s="60">
        <f t="shared" si="54"/>
        <v>0</v>
      </c>
      <c r="AG96" s="60">
        <v>10.23</v>
      </c>
      <c r="AH96" s="60">
        <f t="shared" ref="AH96" si="82">+V96</f>
        <v>0</v>
      </c>
      <c r="AI96" s="122">
        <f t="shared" si="56"/>
        <v>5761.98</v>
      </c>
      <c r="AJ96" s="177"/>
      <c r="AK96" s="177"/>
      <c r="AL96" s="123">
        <f t="shared" si="57"/>
        <v>-5176.5749999999998</v>
      </c>
      <c r="AM96" s="129">
        <v>1179675078</v>
      </c>
      <c r="AN96" s="69"/>
    </row>
    <row r="97" spans="1:194" s="29" customFormat="1">
      <c r="A97" s="64" t="s">
        <v>67</v>
      </c>
      <c r="B97" s="64" t="s">
        <v>224</v>
      </c>
      <c r="C97" s="64" t="s">
        <v>207</v>
      </c>
      <c r="D97" s="64" t="s">
        <v>109</v>
      </c>
      <c r="E97" s="64" t="s">
        <v>235</v>
      </c>
      <c r="F97" s="134">
        <v>42173</v>
      </c>
      <c r="G97" s="64"/>
      <c r="H97" s="64"/>
      <c r="I97" s="68">
        <v>1633.33</v>
      </c>
      <c r="J97" s="150">
        <v>1500</v>
      </c>
      <c r="K97" s="68">
        <f t="shared" si="65"/>
        <v>3133.33</v>
      </c>
      <c r="L97" s="68"/>
      <c r="M97" s="68"/>
      <c r="N97" s="68"/>
      <c r="O97" s="68"/>
      <c r="P97" s="109"/>
      <c r="Q97" s="122">
        <f t="shared" si="66"/>
        <v>3133.33</v>
      </c>
      <c r="R97" s="68"/>
      <c r="S97" s="68"/>
      <c r="T97" s="68">
        <v>58.91</v>
      </c>
      <c r="U97" s="68">
        <v>0</v>
      </c>
      <c r="V97" s="68"/>
      <c r="W97" s="68"/>
      <c r="X97" s="68"/>
      <c r="Y97" s="60"/>
      <c r="Z97" s="60"/>
      <c r="AA97" s="64"/>
      <c r="AB97" s="64">
        <v>0</v>
      </c>
      <c r="AC97" s="122">
        <f t="shared" si="51"/>
        <v>3074.42</v>
      </c>
      <c r="AD97" s="60">
        <f t="shared" si="67"/>
        <v>313.33300000000003</v>
      </c>
      <c r="AE97" s="122">
        <f t="shared" si="68"/>
        <v>2761.087</v>
      </c>
      <c r="AF97" s="60">
        <f t="shared" si="54"/>
        <v>0</v>
      </c>
      <c r="AG97" s="60">
        <v>10.23</v>
      </c>
      <c r="AH97" s="60">
        <f t="shared" si="69"/>
        <v>0</v>
      </c>
      <c r="AI97" s="122">
        <f t="shared" si="56"/>
        <v>3143.56</v>
      </c>
      <c r="AJ97" s="177"/>
      <c r="AK97" s="178"/>
      <c r="AL97" s="123">
        <f t="shared" si="57"/>
        <v>-2761.087</v>
      </c>
      <c r="AM97" s="64"/>
      <c r="AN97" s="64"/>
    </row>
    <row r="98" spans="1:194" s="29" customFormat="1">
      <c r="A98" s="64" t="s">
        <v>84</v>
      </c>
      <c r="B98" s="64" t="s">
        <v>260</v>
      </c>
      <c r="C98" s="64"/>
      <c r="D98" s="64" t="s">
        <v>126</v>
      </c>
      <c r="E98" s="64" t="s">
        <v>157</v>
      </c>
      <c r="F98" s="134">
        <v>41227</v>
      </c>
      <c r="G98" s="64"/>
      <c r="H98" s="64"/>
      <c r="I98" s="68">
        <v>623.36</v>
      </c>
      <c r="J98" s="150"/>
      <c r="K98" s="68">
        <f t="shared" si="65"/>
        <v>623.36</v>
      </c>
      <c r="L98" s="68">
        <f>2808.991+3.714</f>
        <v>2812.7049999999999</v>
      </c>
      <c r="M98" s="68"/>
      <c r="N98" s="68"/>
      <c r="O98" s="68"/>
      <c r="P98" s="109"/>
      <c r="Q98" s="122">
        <f t="shared" si="66"/>
        <v>3436.0650000000001</v>
      </c>
      <c r="R98" s="68"/>
      <c r="S98" s="68"/>
      <c r="T98" s="68"/>
      <c r="U98" s="68">
        <v>200</v>
      </c>
      <c r="V98" s="68">
        <f>Q98*4.9%</f>
        <v>168.36718500000001</v>
      </c>
      <c r="W98" s="68">
        <f>Q98*1%</f>
        <v>34.36065</v>
      </c>
      <c r="X98" s="68"/>
      <c r="Y98" s="60"/>
      <c r="Z98" s="60"/>
      <c r="AA98" s="64"/>
      <c r="AB98" s="64">
        <v>0</v>
      </c>
      <c r="AC98" s="122">
        <f t="shared" si="51"/>
        <v>3033.3371649999999</v>
      </c>
      <c r="AD98" s="60">
        <f t="shared" si="67"/>
        <v>343.60650000000004</v>
      </c>
      <c r="AE98" s="122">
        <f t="shared" si="68"/>
        <v>2689.730665</v>
      </c>
      <c r="AF98" s="60">
        <f t="shared" si="54"/>
        <v>0</v>
      </c>
      <c r="AG98" s="60">
        <v>10.23</v>
      </c>
      <c r="AH98" s="60">
        <f t="shared" si="69"/>
        <v>168.36718500000001</v>
      </c>
      <c r="AI98" s="122">
        <f t="shared" si="56"/>
        <v>3614.6621850000001</v>
      </c>
      <c r="AJ98" s="145"/>
      <c r="AK98" s="146"/>
      <c r="AL98" s="123">
        <f t="shared" si="57"/>
        <v>-2689.730665</v>
      </c>
      <c r="AM98" s="64"/>
      <c r="AN98" s="64"/>
    </row>
    <row r="99" spans="1:194" s="29" customFormat="1">
      <c r="A99" s="64" t="s">
        <v>68</v>
      </c>
      <c r="B99" s="64" t="s">
        <v>80</v>
      </c>
      <c r="C99" s="64" t="s">
        <v>209</v>
      </c>
      <c r="D99" s="64" t="s">
        <v>141</v>
      </c>
      <c r="E99" s="64" t="s">
        <v>70</v>
      </c>
      <c r="F99" s="134">
        <v>42333</v>
      </c>
      <c r="G99" s="64"/>
      <c r="H99" s="64"/>
      <c r="I99" s="68">
        <v>513.33000000000004</v>
      </c>
      <c r="J99" s="150">
        <v>653.33000000000004</v>
      </c>
      <c r="K99" s="68">
        <f t="shared" si="65"/>
        <v>1166.6600000000001</v>
      </c>
      <c r="L99" s="68">
        <v>12920.59</v>
      </c>
      <c r="M99" s="68"/>
      <c r="N99" s="68"/>
      <c r="O99" s="68"/>
      <c r="P99" s="109"/>
      <c r="Q99" s="122">
        <f t="shared" si="66"/>
        <v>14087.25</v>
      </c>
      <c r="R99" s="68">
        <v>250</v>
      </c>
      <c r="S99" s="68"/>
      <c r="T99" s="68"/>
      <c r="U99" s="68">
        <v>0</v>
      </c>
      <c r="V99" s="68"/>
      <c r="W99" s="68"/>
      <c r="X99" s="68"/>
      <c r="Y99" s="60"/>
      <c r="Z99" s="60"/>
      <c r="AA99" s="64"/>
      <c r="AB99" s="64">
        <v>0</v>
      </c>
      <c r="AC99" s="122">
        <f t="shared" si="51"/>
        <v>13837.25</v>
      </c>
      <c r="AD99" s="60">
        <f t="shared" si="67"/>
        <v>1408.7250000000001</v>
      </c>
      <c r="AE99" s="122">
        <f t="shared" si="68"/>
        <v>12428.525</v>
      </c>
      <c r="AF99" s="60">
        <f t="shared" si="54"/>
        <v>0</v>
      </c>
      <c r="AG99" s="60">
        <v>10.23</v>
      </c>
      <c r="AH99" s="60">
        <f t="shared" si="69"/>
        <v>0</v>
      </c>
      <c r="AI99" s="122">
        <f t="shared" si="56"/>
        <v>14097.48</v>
      </c>
      <c r="AJ99" s="145"/>
      <c r="AK99" s="178"/>
      <c r="AL99" s="123">
        <f t="shared" si="57"/>
        <v>-12428.525</v>
      </c>
      <c r="AM99" s="64"/>
      <c r="AN99" s="64"/>
    </row>
    <row r="100" spans="1:194" s="29" customFormat="1">
      <c r="A100" s="64" t="s">
        <v>81</v>
      </c>
      <c r="B100" s="64" t="s">
        <v>76</v>
      </c>
      <c r="C100" s="64"/>
      <c r="D100" s="64" t="s">
        <v>97</v>
      </c>
      <c r="E100" s="64" t="s">
        <v>149</v>
      </c>
      <c r="F100" s="134">
        <v>42361</v>
      </c>
      <c r="G100" s="64"/>
      <c r="H100" s="64"/>
      <c r="I100" s="68">
        <v>739.23</v>
      </c>
      <c r="J100" s="150"/>
      <c r="K100" s="68">
        <f t="shared" si="65"/>
        <v>739.23</v>
      </c>
      <c r="L100" s="68">
        <f>1092.03+5.571</f>
        <v>1097.6009999999999</v>
      </c>
      <c r="M100" s="68"/>
      <c r="N100" s="68"/>
      <c r="O100" s="68"/>
      <c r="P100" s="109"/>
      <c r="Q100" s="122">
        <f t="shared" si="66"/>
        <v>1836.8309999999999</v>
      </c>
      <c r="R100" s="68"/>
      <c r="S100" s="68"/>
      <c r="T100" s="68"/>
      <c r="U100" s="68">
        <v>0</v>
      </c>
      <c r="V100" s="68"/>
      <c r="W100" s="68"/>
      <c r="X100" s="68"/>
      <c r="Y100" s="60"/>
      <c r="Z100" s="60"/>
      <c r="AA100" s="64"/>
      <c r="AB100" s="64">
        <v>0</v>
      </c>
      <c r="AC100" s="122">
        <f t="shared" si="51"/>
        <v>1836.8309999999999</v>
      </c>
      <c r="AD100" s="60">
        <f t="shared" si="67"/>
        <v>0</v>
      </c>
      <c r="AE100" s="122">
        <f t="shared" si="68"/>
        <v>1836.8309999999999</v>
      </c>
      <c r="AF100" s="60">
        <f t="shared" si="54"/>
        <v>183.6831</v>
      </c>
      <c r="AG100" s="60">
        <v>10.23</v>
      </c>
      <c r="AH100" s="60">
        <f t="shared" si="69"/>
        <v>0</v>
      </c>
      <c r="AI100" s="122">
        <f t="shared" si="56"/>
        <v>2030.7440999999999</v>
      </c>
      <c r="AJ100" s="145"/>
      <c r="AK100" s="177"/>
      <c r="AL100" s="123">
        <f t="shared" si="57"/>
        <v>-1836.8309999999999</v>
      </c>
      <c r="AM100" s="64"/>
      <c r="AN100" s="64"/>
    </row>
    <row r="101" spans="1:194" s="29" customFormat="1">
      <c r="A101" s="64" t="s">
        <v>82</v>
      </c>
      <c r="B101" s="64" t="s">
        <v>179</v>
      </c>
      <c r="C101" s="64"/>
      <c r="D101" s="64" t="s">
        <v>96</v>
      </c>
      <c r="E101" s="64" t="s">
        <v>147</v>
      </c>
      <c r="F101" s="134">
        <v>41549</v>
      </c>
      <c r="G101" s="64"/>
      <c r="H101" s="64"/>
      <c r="I101" s="68">
        <v>739.23</v>
      </c>
      <c r="J101" s="150"/>
      <c r="K101" s="68">
        <f t="shared" si="65"/>
        <v>739.23</v>
      </c>
      <c r="L101" s="68">
        <f>2778.316+13.099</f>
        <v>2791.415</v>
      </c>
      <c r="M101" s="68"/>
      <c r="N101" s="68"/>
      <c r="O101" s="68"/>
      <c r="P101" s="109"/>
      <c r="Q101" s="122">
        <f t="shared" si="66"/>
        <v>3530.645</v>
      </c>
      <c r="R101" s="68"/>
      <c r="S101" s="68"/>
      <c r="T101" s="68"/>
      <c r="U101" s="68"/>
      <c r="V101" s="68"/>
      <c r="W101" s="68"/>
      <c r="X101" s="68"/>
      <c r="Y101" s="60"/>
      <c r="Z101" s="60"/>
      <c r="AA101" s="64"/>
      <c r="AB101" s="64">
        <v>0</v>
      </c>
      <c r="AC101" s="122">
        <f t="shared" si="51"/>
        <v>3530.645</v>
      </c>
      <c r="AD101" s="60">
        <f t="shared" si="67"/>
        <v>353.06450000000001</v>
      </c>
      <c r="AE101" s="122">
        <f t="shared" si="68"/>
        <v>3177.5805</v>
      </c>
      <c r="AF101" s="60">
        <f t="shared" si="54"/>
        <v>0</v>
      </c>
      <c r="AG101" s="60">
        <v>10.23</v>
      </c>
      <c r="AH101" s="60">
        <f t="shared" si="69"/>
        <v>0</v>
      </c>
      <c r="AI101" s="122">
        <f t="shared" si="56"/>
        <v>3540.875</v>
      </c>
      <c r="AJ101" s="145"/>
      <c r="AK101" s="146"/>
      <c r="AL101" s="123">
        <f t="shared" si="57"/>
        <v>-3177.5805</v>
      </c>
      <c r="AM101" s="64"/>
      <c r="AN101" s="64"/>
    </row>
    <row r="102" spans="1:194" s="29" customFormat="1">
      <c r="A102" s="69"/>
      <c r="B102" s="64"/>
      <c r="C102" s="64"/>
      <c r="D102" s="64"/>
      <c r="E102" s="64"/>
      <c r="F102" s="64"/>
      <c r="G102" s="64"/>
      <c r="H102" s="64"/>
      <c r="I102" s="68"/>
      <c r="J102" s="150"/>
      <c r="K102" s="68"/>
      <c r="L102" s="68"/>
      <c r="M102" s="68"/>
      <c r="N102" s="68"/>
      <c r="O102" s="68"/>
      <c r="P102" s="109"/>
      <c r="Q102" s="122">
        <f t="shared" si="66"/>
        <v>0</v>
      </c>
      <c r="R102" s="68"/>
      <c r="S102" s="68"/>
      <c r="T102" s="68"/>
      <c r="U102" s="68"/>
      <c r="V102" s="68"/>
      <c r="W102" s="68"/>
      <c r="X102" s="68"/>
      <c r="Y102" s="60"/>
      <c r="Z102" s="60"/>
      <c r="AA102" s="60"/>
      <c r="AB102" s="60"/>
      <c r="AC102" s="122"/>
      <c r="AD102" s="60">
        <f t="shared" si="67"/>
        <v>0</v>
      </c>
      <c r="AE102" s="122"/>
      <c r="AF102" s="60">
        <f t="shared" ref="AF102" si="83">IF(Q102&lt;3500,Q102*0.1,0)</f>
        <v>0</v>
      </c>
      <c r="AG102" s="60"/>
      <c r="AH102" s="60">
        <f t="shared" si="69"/>
        <v>0</v>
      </c>
      <c r="AI102" s="122">
        <f t="shared" si="56"/>
        <v>0</v>
      </c>
      <c r="AJ102" s="68"/>
      <c r="AK102" s="68"/>
      <c r="AL102" s="123">
        <f t="shared" si="57"/>
        <v>0</v>
      </c>
      <c r="AM102" s="64"/>
      <c r="AN102" s="64"/>
    </row>
    <row r="103" spans="1:194" s="29" customFormat="1">
      <c r="A103" s="46"/>
      <c r="B103" s="47"/>
      <c r="C103" s="47"/>
      <c r="D103" s="47"/>
      <c r="E103" s="47"/>
      <c r="F103" s="47"/>
      <c r="G103" s="47"/>
      <c r="H103" s="47"/>
      <c r="I103" s="48"/>
      <c r="J103" s="119"/>
      <c r="K103" s="48"/>
      <c r="L103" s="48"/>
      <c r="M103" s="48"/>
      <c r="N103" s="48"/>
      <c r="O103" s="48"/>
      <c r="P103" s="48"/>
      <c r="Q103" s="49"/>
      <c r="R103" s="48"/>
      <c r="S103" s="48"/>
      <c r="T103" s="48"/>
      <c r="U103" s="48"/>
      <c r="V103" s="48"/>
      <c r="W103" s="48"/>
      <c r="X103" s="48"/>
      <c r="Y103" s="78"/>
      <c r="Z103" s="78"/>
      <c r="AA103" s="78"/>
      <c r="AB103" s="78"/>
      <c r="AC103" s="49"/>
      <c r="AD103" s="78"/>
      <c r="AE103" s="49"/>
      <c r="AF103" s="78"/>
      <c r="AG103" s="78"/>
      <c r="AH103" s="78"/>
      <c r="AI103" s="49"/>
      <c r="AJ103" s="99"/>
      <c r="AK103" s="99"/>
      <c r="AL103" s="41"/>
    </row>
    <row r="104" spans="1:194">
      <c r="B104" s="79" t="s">
        <v>17</v>
      </c>
      <c r="C104" s="79"/>
      <c r="D104" s="79"/>
      <c r="E104" s="79"/>
      <c r="F104" s="79"/>
      <c r="G104" s="79"/>
      <c r="H104" s="79"/>
      <c r="I104" s="52"/>
      <c r="J104" s="120"/>
      <c r="K104" s="80">
        <f>SUM(K7:K103)</f>
        <v>96245.53733333337</v>
      </c>
      <c r="L104" s="80">
        <f>SUM(L7:L103)</f>
        <v>261387.19999999995</v>
      </c>
      <c r="M104" s="80"/>
      <c r="N104" s="80">
        <f>SUM(N7:N103)</f>
        <v>0</v>
      </c>
      <c r="O104" s="80">
        <f>SUM(O7:O103)</f>
        <v>0</v>
      </c>
      <c r="P104" s="80">
        <f>SUM(P7:P103)</f>
        <v>0</v>
      </c>
      <c r="Q104" s="80">
        <f>SUM(Q7:Q103)</f>
        <v>357632.73733333341</v>
      </c>
      <c r="R104" s="80">
        <f>SUM(R7:R103)</f>
        <v>1900</v>
      </c>
      <c r="S104" s="80"/>
      <c r="T104" s="80"/>
      <c r="U104" s="81">
        <f t="shared" ref="U104:AL104" si="84">SUM(U7:U103)</f>
        <v>3328.82008</v>
      </c>
      <c r="V104" s="81">
        <f t="shared" si="84"/>
        <v>2749.1580830000007</v>
      </c>
      <c r="W104" s="81">
        <f t="shared" si="84"/>
        <v>561.05266999999992</v>
      </c>
      <c r="X104" s="81">
        <f t="shared" si="84"/>
        <v>879.38</v>
      </c>
      <c r="Y104" s="80">
        <f t="shared" si="84"/>
        <v>2576.4</v>
      </c>
      <c r="Z104" s="80">
        <f t="shared" si="84"/>
        <v>335.5</v>
      </c>
      <c r="AA104" s="80">
        <f t="shared" si="84"/>
        <v>406.94</v>
      </c>
      <c r="AB104" s="80">
        <f t="shared" si="84"/>
        <v>5813.05</v>
      </c>
      <c r="AC104" s="80">
        <f t="shared" si="84"/>
        <v>337781.09650033328</v>
      </c>
      <c r="AD104" s="80">
        <f t="shared" si="84"/>
        <v>28558.034900000002</v>
      </c>
      <c r="AE104" s="80">
        <f t="shared" si="84"/>
        <v>309223.06160033337</v>
      </c>
      <c r="AF104" s="80">
        <f t="shared" si="84"/>
        <v>7205.2388333333356</v>
      </c>
      <c r="AG104" s="80">
        <f t="shared" si="84"/>
        <v>1041.850000000001</v>
      </c>
      <c r="AH104" s="80">
        <f t="shared" si="84"/>
        <v>2749.1580830000007</v>
      </c>
      <c r="AI104" s="80">
        <f t="shared" si="84"/>
        <v>368628.98424966668</v>
      </c>
      <c r="AJ104" s="100">
        <f t="shared" si="84"/>
        <v>0</v>
      </c>
      <c r="AK104" s="100">
        <f t="shared" si="84"/>
        <v>0</v>
      </c>
      <c r="AL104" s="82">
        <f t="shared" si="84"/>
        <v>-294766.50542933343</v>
      </c>
      <c r="AM104" s="50"/>
      <c r="AN104" s="50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29"/>
      <c r="FB104" s="29"/>
      <c r="FC104" s="29"/>
      <c r="FD104" s="29"/>
      <c r="FE104" s="29"/>
      <c r="FF104" s="29"/>
      <c r="FG104" s="29"/>
      <c r="FH104" s="29"/>
      <c r="FI104" s="29"/>
      <c r="FJ104" s="29"/>
      <c r="FK104" s="29"/>
      <c r="FL104" s="29"/>
      <c r="FM104" s="29"/>
      <c r="FN104" s="29"/>
      <c r="FO104" s="29"/>
      <c r="FP104" s="29"/>
      <c r="FQ104" s="29"/>
      <c r="FR104" s="29"/>
      <c r="FS104" s="29"/>
      <c r="FT104" s="29"/>
      <c r="FU104" s="29"/>
      <c r="FV104" s="29"/>
      <c r="FW104" s="29"/>
      <c r="FX104" s="29"/>
      <c r="FY104" s="29"/>
      <c r="FZ104" s="29"/>
      <c r="GA104" s="29"/>
      <c r="GB104" s="29"/>
      <c r="GC104" s="29"/>
      <c r="GD104" s="29"/>
      <c r="GE104" s="29"/>
      <c r="GF104" s="29"/>
      <c r="GG104" s="29"/>
      <c r="GH104" s="29"/>
      <c r="GI104" s="29"/>
      <c r="GJ104" s="29"/>
      <c r="GK104" s="29"/>
      <c r="GL104" s="29"/>
    </row>
    <row r="105" spans="1:194">
      <c r="AI105" s="24">
        <f>AI104*0.16</f>
        <v>58980.637479946672</v>
      </c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  <c r="EM105" s="29"/>
      <c r="EN105" s="29"/>
      <c r="EO105" s="29"/>
      <c r="EP105" s="29"/>
      <c r="EQ105" s="29"/>
      <c r="ER105" s="29"/>
      <c r="ES105" s="29"/>
      <c r="ET105" s="29"/>
      <c r="EU105" s="29"/>
      <c r="EV105" s="29"/>
      <c r="EW105" s="29"/>
      <c r="EX105" s="29"/>
      <c r="EY105" s="29"/>
      <c r="EZ105" s="29"/>
      <c r="FA105" s="29"/>
      <c r="FB105" s="29"/>
      <c r="FC105" s="29"/>
      <c r="FD105" s="29"/>
      <c r="FE105" s="29"/>
      <c r="FF105" s="29"/>
      <c r="FG105" s="29"/>
      <c r="FH105" s="29"/>
      <c r="FI105" s="29"/>
      <c r="FJ105" s="29"/>
      <c r="FK105" s="29"/>
      <c r="FL105" s="29"/>
      <c r="FM105" s="29"/>
      <c r="FN105" s="29"/>
      <c r="FO105" s="29"/>
      <c r="FP105" s="29"/>
      <c r="FQ105" s="29"/>
      <c r="FR105" s="29"/>
      <c r="FS105" s="29"/>
      <c r="FT105" s="29"/>
      <c r="FU105" s="29"/>
      <c r="FV105" s="29"/>
      <c r="FW105" s="29"/>
      <c r="FX105" s="29"/>
      <c r="FY105" s="29"/>
      <c r="FZ105" s="29"/>
      <c r="GA105" s="29"/>
      <c r="GB105" s="29"/>
      <c r="GC105" s="29"/>
      <c r="GD105" s="29"/>
      <c r="GE105" s="29"/>
      <c r="GF105" s="29"/>
      <c r="GG105" s="29"/>
      <c r="GH105" s="29"/>
      <c r="GI105" s="29"/>
      <c r="GJ105" s="29"/>
      <c r="GK105" s="29"/>
      <c r="GL105" s="29"/>
    </row>
    <row r="106" spans="1:194">
      <c r="A106" s="211" t="s">
        <v>229</v>
      </c>
      <c r="B106" s="211"/>
      <c r="C106" s="83"/>
      <c r="D106" s="50"/>
      <c r="E106" s="50"/>
      <c r="F106" s="50"/>
      <c r="G106" s="50"/>
      <c r="H106" s="50"/>
      <c r="I106" s="52"/>
      <c r="J106" s="118"/>
      <c r="K106" s="52"/>
      <c r="L106" s="52"/>
      <c r="M106" s="52"/>
      <c r="N106" s="52"/>
      <c r="O106" s="52"/>
      <c r="P106" s="52"/>
      <c r="Q106" s="80"/>
      <c r="R106" s="52"/>
      <c r="S106" s="52"/>
      <c r="T106" s="52"/>
      <c r="U106" s="68"/>
      <c r="V106" s="68"/>
      <c r="W106" s="68"/>
      <c r="X106" s="68"/>
      <c r="Y106" s="52"/>
      <c r="Z106" s="52"/>
      <c r="AA106" s="52"/>
      <c r="AB106" s="52"/>
      <c r="AC106" s="80"/>
      <c r="AD106" s="52"/>
      <c r="AE106" s="80"/>
      <c r="AF106" s="52"/>
      <c r="AG106" s="52"/>
      <c r="AH106" s="52"/>
      <c r="AI106" s="80">
        <f>+AI104+AI105</f>
        <v>427609.62172961334</v>
      </c>
      <c r="AJ106" s="100"/>
      <c r="AK106" s="100"/>
      <c r="AL106" s="82"/>
      <c r="AM106" s="50"/>
      <c r="AN106" s="50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9"/>
      <c r="GD106" s="29"/>
      <c r="GE106" s="29"/>
      <c r="GF106" s="29"/>
      <c r="GG106" s="29"/>
      <c r="GH106" s="29"/>
      <c r="GI106" s="29"/>
      <c r="GJ106" s="29"/>
      <c r="GK106" s="29"/>
      <c r="GL106" s="29"/>
    </row>
    <row r="107" spans="1:194" s="33" customFormat="1">
      <c r="A107" s="144" t="s">
        <v>84</v>
      </c>
      <c r="B107" s="144" t="s">
        <v>230</v>
      </c>
      <c r="C107" s="144"/>
      <c r="D107" s="144"/>
      <c r="E107" s="144" t="s">
        <v>300</v>
      </c>
      <c r="F107" s="171">
        <v>41142</v>
      </c>
      <c r="G107" s="144"/>
      <c r="H107" s="144"/>
      <c r="I107" s="95"/>
      <c r="J107" s="167"/>
      <c r="K107" s="95">
        <v>623.36</v>
      </c>
      <c r="L107" s="95">
        <f>1911.513+5.571</f>
        <v>1917.0839999999998</v>
      </c>
      <c r="M107" s="95"/>
      <c r="N107" s="95"/>
      <c r="O107" s="95"/>
      <c r="P107" s="95"/>
      <c r="Q107" s="168">
        <f>SUM(K107:P107)</f>
        <v>2540.444</v>
      </c>
      <c r="R107" s="95"/>
      <c r="S107" s="95"/>
      <c r="T107" s="95"/>
      <c r="U107" s="95"/>
      <c r="V107" s="95">
        <f>Q107*4.9%</f>
        <v>124.481756</v>
      </c>
      <c r="W107" s="95">
        <f>Q107*1%</f>
        <v>25.404440000000001</v>
      </c>
      <c r="X107" s="95"/>
      <c r="Y107" s="169"/>
      <c r="Z107" s="169"/>
      <c r="AA107" s="169"/>
      <c r="AB107" s="169"/>
      <c r="AC107" s="168">
        <f>+Q107-SUM(R107:AB107)</f>
        <v>2390.557804</v>
      </c>
      <c r="AD107" s="169">
        <f>+AC107*0.05</f>
        <v>119.5278902</v>
      </c>
      <c r="AE107" s="168">
        <f>+AC107-Y107-AB107</f>
        <v>2390.557804</v>
      </c>
      <c r="AF107" s="169">
        <f>IF(AC107&lt;3000,AC107*0.1,0)</f>
        <v>239.0557804</v>
      </c>
      <c r="AG107" s="169">
        <v>0</v>
      </c>
      <c r="AH107" s="169"/>
      <c r="AI107" s="168">
        <f>+AC107+AF107+AG107</f>
        <v>2629.6135844</v>
      </c>
      <c r="AJ107" s="172"/>
      <c r="AK107" s="172"/>
      <c r="AL107" s="173"/>
      <c r="AM107" s="144"/>
      <c r="AN107" s="170"/>
    </row>
    <row r="108" spans="1:194">
      <c r="A108" s="64" t="s">
        <v>84</v>
      </c>
      <c r="B108" s="51" t="s">
        <v>249</v>
      </c>
      <c r="C108" s="51"/>
      <c r="D108" s="51"/>
      <c r="E108" s="51" t="s">
        <v>294</v>
      </c>
      <c r="F108" s="136">
        <v>40824</v>
      </c>
      <c r="G108" s="51"/>
      <c r="H108" s="51"/>
      <c r="I108" s="53"/>
      <c r="J108" s="115"/>
      <c r="K108" s="68">
        <v>1166.6600000000001</v>
      </c>
      <c r="L108" s="68">
        <v>3369.59</v>
      </c>
      <c r="M108" s="53"/>
      <c r="N108" s="53"/>
      <c r="O108" s="53"/>
      <c r="P108" s="53"/>
      <c r="Q108" s="55">
        <f>SUM(K108:P108)</f>
        <v>4536.25</v>
      </c>
      <c r="R108" s="95"/>
      <c r="S108" s="95"/>
      <c r="T108" s="95"/>
      <c r="U108" s="95"/>
      <c r="V108" s="95"/>
      <c r="W108" s="95"/>
      <c r="X108" s="95"/>
      <c r="Y108" s="169"/>
      <c r="Z108" s="169"/>
      <c r="AA108" s="169"/>
      <c r="AB108" s="169"/>
      <c r="AC108" s="168">
        <f t="shared" ref="AC108:AC109" si="85">+Q108-SUM(R108:AB108)</f>
        <v>4536.25</v>
      </c>
      <c r="AD108" s="169">
        <f t="shared" ref="AD108:AD109" si="86">+AC108*0.05</f>
        <v>226.8125</v>
      </c>
      <c r="AE108" s="168">
        <f t="shared" ref="AE108:AE109" si="87">+AC108-Y108-AB108</f>
        <v>4536.25</v>
      </c>
      <c r="AF108" s="169">
        <f t="shared" ref="AF108:AF109" si="88">IF(AC108&lt;3000,AC108*0.1,0)</f>
        <v>0</v>
      </c>
      <c r="AG108" s="169"/>
      <c r="AH108" s="169"/>
      <c r="AI108" s="168">
        <f t="shared" ref="AI108:AI109" si="89">+AC108+AF108+AG108</f>
        <v>4536.25</v>
      </c>
      <c r="AJ108" s="101"/>
      <c r="AK108" s="101"/>
      <c r="AL108" s="85"/>
      <c r="AM108" s="50"/>
      <c r="AN108" s="141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29"/>
      <c r="FS108" s="29"/>
      <c r="FT108" s="29"/>
      <c r="FU108" s="29"/>
      <c r="FV108" s="29"/>
      <c r="FW108" s="29"/>
      <c r="FX108" s="29"/>
      <c r="FY108" s="29"/>
      <c r="FZ108" s="29"/>
      <c r="GA108" s="29"/>
      <c r="GB108" s="29"/>
      <c r="GC108" s="29"/>
      <c r="GD108" s="29"/>
      <c r="GE108" s="29"/>
      <c r="GF108" s="29"/>
      <c r="GG108" s="29"/>
      <c r="GH108" s="29"/>
      <c r="GI108" s="29"/>
      <c r="GJ108" s="29"/>
      <c r="GK108" s="29"/>
      <c r="GL108" s="29"/>
    </row>
    <row r="109" spans="1:194">
      <c r="A109" s="50" t="s">
        <v>68</v>
      </c>
      <c r="B109" s="50" t="s">
        <v>232</v>
      </c>
      <c r="C109" s="50"/>
      <c r="D109" s="50"/>
      <c r="E109" s="50" t="s">
        <v>151</v>
      </c>
      <c r="F109" s="50"/>
      <c r="G109" s="50"/>
      <c r="H109" s="50"/>
      <c r="I109" s="52"/>
      <c r="J109" s="118"/>
      <c r="K109" s="52">
        <v>1516.66</v>
      </c>
      <c r="L109" s="52"/>
      <c r="M109" s="52"/>
      <c r="N109" s="52"/>
      <c r="O109" s="52"/>
      <c r="P109" s="52"/>
      <c r="Q109" s="55">
        <f>SUM(K109:P109)</f>
        <v>1516.66</v>
      </c>
      <c r="R109" s="95"/>
      <c r="S109" s="95"/>
      <c r="T109" s="95"/>
      <c r="U109" s="95"/>
      <c r="V109" s="95"/>
      <c r="W109" s="95"/>
      <c r="X109" s="95"/>
      <c r="Y109" s="169"/>
      <c r="Z109" s="169"/>
      <c r="AA109" s="169"/>
      <c r="AB109" s="169"/>
      <c r="AC109" s="168">
        <f t="shared" si="85"/>
        <v>1516.66</v>
      </c>
      <c r="AD109" s="169">
        <f t="shared" si="86"/>
        <v>75.833000000000013</v>
      </c>
      <c r="AE109" s="168">
        <f t="shared" si="87"/>
        <v>1516.66</v>
      </c>
      <c r="AF109" s="169">
        <f t="shared" si="88"/>
        <v>151.66600000000003</v>
      </c>
      <c r="AG109" s="169"/>
      <c r="AH109" s="169"/>
      <c r="AI109" s="168">
        <f t="shared" si="89"/>
        <v>1668.326</v>
      </c>
      <c r="AJ109" s="100"/>
      <c r="AK109" s="100"/>
      <c r="AL109" s="82"/>
      <c r="AM109" s="50"/>
      <c r="AN109" s="50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  <c r="FD109" s="29"/>
      <c r="FE109" s="29"/>
      <c r="FF109" s="29"/>
      <c r="FG109" s="29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29"/>
      <c r="FS109" s="29"/>
      <c r="FT109" s="29"/>
      <c r="FU109" s="29"/>
      <c r="FV109" s="29"/>
      <c r="FW109" s="29"/>
      <c r="FX109" s="29"/>
      <c r="FY109" s="29"/>
      <c r="FZ109" s="29"/>
      <c r="GA109" s="29"/>
      <c r="GB109" s="29"/>
      <c r="GC109" s="29"/>
      <c r="GD109" s="29"/>
      <c r="GE109" s="29"/>
      <c r="GF109" s="29"/>
      <c r="GG109" s="29"/>
      <c r="GH109" s="29"/>
      <c r="GI109" s="29"/>
      <c r="GJ109" s="29"/>
      <c r="GK109" s="29"/>
      <c r="GL109" s="29"/>
    </row>
    <row r="110" spans="1:194">
      <c r="B110" s="32"/>
      <c r="C110" s="32"/>
      <c r="D110" s="32"/>
      <c r="AI110" s="24">
        <f>+AI109*0.16</f>
        <v>266.93216000000001</v>
      </c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  <c r="EM110" s="29"/>
      <c r="EN110" s="29"/>
      <c r="EO110" s="29"/>
      <c r="EP110" s="29"/>
      <c r="EQ110" s="29"/>
      <c r="ER110" s="29"/>
      <c r="ES110" s="29"/>
      <c r="ET110" s="29"/>
      <c r="EU110" s="29"/>
      <c r="EV110" s="29"/>
      <c r="EW110" s="29"/>
      <c r="EX110" s="29"/>
      <c r="EY110" s="29"/>
      <c r="EZ110" s="29"/>
      <c r="FA110" s="29"/>
      <c r="FB110" s="29"/>
      <c r="FC110" s="29"/>
      <c r="FD110" s="29"/>
      <c r="FE110" s="29"/>
      <c r="FF110" s="29"/>
      <c r="FG110" s="29"/>
      <c r="FH110" s="29"/>
      <c r="FI110" s="29"/>
      <c r="FJ110" s="29"/>
      <c r="FK110" s="29"/>
      <c r="FL110" s="29"/>
      <c r="FM110" s="29"/>
      <c r="FN110" s="29"/>
      <c r="FO110" s="29"/>
      <c r="FP110" s="29"/>
      <c r="FQ110" s="29"/>
      <c r="FR110" s="29"/>
      <c r="FS110" s="29"/>
      <c r="FT110" s="29"/>
      <c r="FU110" s="29"/>
      <c r="FV110" s="29"/>
      <c r="FW110" s="29"/>
      <c r="FX110" s="29"/>
      <c r="FY110" s="29"/>
      <c r="FZ110" s="29"/>
      <c r="GA110" s="29"/>
      <c r="GB110" s="29"/>
      <c r="GC110" s="29"/>
      <c r="GD110" s="29"/>
      <c r="GE110" s="29"/>
      <c r="GF110" s="29"/>
      <c r="GG110" s="29"/>
      <c r="GH110" s="29"/>
      <c r="GI110" s="29"/>
      <c r="GJ110" s="29"/>
      <c r="GK110" s="29"/>
      <c r="GL110" s="29"/>
    </row>
    <row r="111" spans="1:194">
      <c r="A111" s="196" t="s">
        <v>248</v>
      </c>
      <c r="B111" s="196"/>
      <c r="C111" s="32"/>
      <c r="D111" s="32"/>
      <c r="AI111" s="24">
        <f>+AI109+AI110</f>
        <v>1935.2581600000001</v>
      </c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  <c r="EM111" s="29"/>
      <c r="EN111" s="29"/>
      <c r="EO111" s="29"/>
      <c r="EP111" s="29"/>
      <c r="EQ111" s="29"/>
      <c r="ER111" s="29"/>
      <c r="ES111" s="29"/>
      <c r="ET111" s="29"/>
      <c r="EU111" s="29"/>
      <c r="EV111" s="29"/>
      <c r="EW111" s="29"/>
      <c r="EX111" s="29"/>
      <c r="EY111" s="29"/>
      <c r="EZ111" s="29"/>
      <c r="FA111" s="29"/>
      <c r="FB111" s="29"/>
      <c r="FC111" s="29"/>
      <c r="FD111" s="29"/>
      <c r="FE111" s="29"/>
      <c r="FF111" s="29"/>
      <c r="FG111" s="29"/>
      <c r="FH111" s="29"/>
      <c r="FI111" s="29"/>
      <c r="FJ111" s="29"/>
      <c r="FK111" s="29"/>
      <c r="FL111" s="29"/>
      <c r="FM111" s="29"/>
      <c r="FN111" s="29"/>
      <c r="FO111" s="29"/>
      <c r="FP111" s="29"/>
      <c r="FQ111" s="29"/>
      <c r="FR111" s="29"/>
      <c r="FS111" s="29"/>
      <c r="FT111" s="29"/>
      <c r="FU111" s="29"/>
      <c r="FV111" s="29"/>
      <c r="FW111" s="29"/>
      <c r="FX111" s="29"/>
      <c r="FY111" s="29"/>
      <c r="FZ111" s="29"/>
      <c r="GA111" s="29"/>
      <c r="GB111" s="29"/>
      <c r="GC111" s="29"/>
      <c r="GD111" s="29"/>
      <c r="GE111" s="29"/>
      <c r="GF111" s="29"/>
      <c r="GG111" s="29"/>
      <c r="GH111" s="29"/>
      <c r="GI111" s="29"/>
      <c r="GJ111" s="29"/>
      <c r="GK111" s="29"/>
      <c r="GL111" s="29"/>
    </row>
    <row r="112" spans="1:194" s="29" customFormat="1">
      <c r="A112" s="64" t="s">
        <v>68</v>
      </c>
      <c r="B112" s="64" t="s">
        <v>205</v>
      </c>
      <c r="C112" s="64" t="s">
        <v>204</v>
      </c>
      <c r="D112" s="76"/>
      <c r="E112" s="64" t="s">
        <v>70</v>
      </c>
      <c r="F112" s="67">
        <v>42240</v>
      </c>
      <c r="G112" s="64"/>
      <c r="H112" s="64"/>
      <c r="I112" s="68"/>
      <c r="J112" s="116"/>
      <c r="K112" s="68">
        <f t="shared" ref="K112" si="90">+I112+J112</f>
        <v>0</v>
      </c>
      <c r="L112" s="68">
        <v>0</v>
      </c>
      <c r="M112" s="68"/>
      <c r="N112" s="68"/>
      <c r="O112" s="68"/>
      <c r="P112" s="109"/>
      <c r="Q112" s="122">
        <f t="shared" ref="Q112" si="91">SUM(K112:O112)-P112</f>
        <v>0</v>
      </c>
      <c r="R112" s="68"/>
      <c r="S112" s="68"/>
      <c r="T112" s="68">
        <v>58.91</v>
      </c>
      <c r="U112" s="68"/>
      <c r="V112" s="68"/>
      <c r="W112" s="68"/>
      <c r="X112" s="68"/>
      <c r="Y112" s="60"/>
      <c r="Z112" s="60"/>
      <c r="AA112" s="64"/>
      <c r="AB112" s="64">
        <v>0</v>
      </c>
      <c r="AC112" s="122">
        <f>+Q112-SUM(R112:AB112)</f>
        <v>-58.91</v>
      </c>
      <c r="AD112" s="60">
        <f t="shared" ref="AD112" si="92">IF(Q112&gt;2250,Q112*0.1,0)</f>
        <v>0</v>
      </c>
      <c r="AE112" s="122">
        <f>+AC112-AD112</f>
        <v>-58.91</v>
      </c>
      <c r="AF112" s="60">
        <f>IF(Q112&lt;3500,Q112*0.1,0)</f>
        <v>0</v>
      </c>
      <c r="AG112" s="60">
        <v>10.23</v>
      </c>
      <c r="AH112" s="60">
        <f t="shared" ref="AH112" si="93">+V112</f>
        <v>0</v>
      </c>
      <c r="AI112" s="122">
        <f>+Q112+AF112+AG112+AH112</f>
        <v>10.23</v>
      </c>
      <c r="AJ112" s="102"/>
      <c r="AK112" s="105"/>
      <c r="AL112" s="63">
        <f t="shared" ref="AL112" si="94">+AJ112+AK112-AE112</f>
        <v>58.91</v>
      </c>
      <c r="AM112" s="64"/>
      <c r="AN112" s="108" t="s">
        <v>247</v>
      </c>
    </row>
    <row r="113" spans="1:194"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29"/>
      <c r="FI113" s="29"/>
      <c r="FJ113" s="29"/>
      <c r="FK113" s="29"/>
      <c r="FL113" s="29"/>
      <c r="FM113" s="29"/>
      <c r="FN113" s="29"/>
      <c r="FO113" s="29"/>
      <c r="FP113" s="29"/>
      <c r="FQ113" s="29"/>
      <c r="FR113" s="29"/>
      <c r="FS113" s="29"/>
      <c r="FT113" s="29"/>
      <c r="FU113" s="29"/>
      <c r="FV113" s="29"/>
      <c r="FW113" s="29"/>
      <c r="FX113" s="29"/>
      <c r="FY113" s="29"/>
      <c r="FZ113" s="29"/>
      <c r="GA113" s="29"/>
      <c r="GB113" s="29"/>
      <c r="GC113" s="29"/>
      <c r="GD113" s="29"/>
      <c r="GE113" s="29"/>
      <c r="GF113" s="29"/>
      <c r="GG113" s="29"/>
      <c r="GH113" s="29"/>
      <c r="GI113" s="29"/>
      <c r="GJ113" s="29"/>
      <c r="GK113" s="29"/>
      <c r="GL113" s="29"/>
    </row>
    <row r="114" spans="1:194"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  <c r="EM114" s="29"/>
      <c r="EN114" s="29"/>
      <c r="EO114" s="29"/>
      <c r="EP114" s="29"/>
      <c r="EQ114" s="29"/>
      <c r="ER114" s="29"/>
      <c r="ES114" s="29"/>
      <c r="ET114" s="29"/>
      <c r="EU114" s="29"/>
      <c r="EV114" s="29"/>
      <c r="EW114" s="29"/>
      <c r="EX114" s="29"/>
      <c r="EY114" s="29"/>
      <c r="EZ114" s="29"/>
      <c r="FA114" s="29"/>
      <c r="FB114" s="29"/>
      <c r="FC114" s="29"/>
      <c r="FD114" s="29"/>
      <c r="FE114" s="29"/>
      <c r="FF114" s="29"/>
      <c r="FG114" s="29"/>
      <c r="FH114" s="29"/>
      <c r="FI114" s="29"/>
      <c r="FJ114" s="29"/>
      <c r="FK114" s="29"/>
      <c r="FL114" s="29"/>
      <c r="FM114" s="29"/>
      <c r="FN114" s="29"/>
      <c r="FO114" s="29"/>
      <c r="FP114" s="29"/>
      <c r="FQ114" s="29"/>
      <c r="FR114" s="29"/>
      <c r="FS114" s="29"/>
      <c r="FT114" s="29"/>
      <c r="FU114" s="29"/>
      <c r="FV114" s="29"/>
      <c r="FW114" s="29"/>
      <c r="FX114" s="29"/>
      <c r="FY114" s="29"/>
      <c r="FZ114" s="29"/>
      <c r="GA114" s="29"/>
      <c r="GB114" s="29"/>
      <c r="GC114" s="29"/>
      <c r="GD114" s="29"/>
      <c r="GE114" s="29"/>
      <c r="GF114" s="29"/>
      <c r="GG114" s="29"/>
      <c r="GH114" s="29"/>
      <c r="GI114" s="29"/>
      <c r="GJ114" s="29"/>
      <c r="GK114" s="29"/>
      <c r="GL114" s="29"/>
    </row>
    <row r="115" spans="1:194"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29"/>
      <c r="ES115" s="29"/>
      <c r="ET115" s="29"/>
      <c r="EU115" s="29"/>
      <c r="EV115" s="29"/>
      <c r="EW115" s="29"/>
      <c r="EX115" s="29"/>
      <c r="EY115" s="29"/>
      <c r="EZ115" s="29"/>
      <c r="FA115" s="29"/>
      <c r="FB115" s="29"/>
      <c r="FC115" s="29"/>
      <c r="FD115" s="29"/>
      <c r="FE115" s="29"/>
      <c r="FF115" s="29"/>
      <c r="FG115" s="29"/>
      <c r="FH115" s="29"/>
      <c r="FI115" s="29"/>
      <c r="FJ115" s="29"/>
      <c r="FK115" s="29"/>
      <c r="FL115" s="29"/>
      <c r="FM115" s="29"/>
      <c r="FN115" s="29"/>
      <c r="FO115" s="29"/>
      <c r="FP115" s="29"/>
      <c r="FQ115" s="29"/>
      <c r="FR115" s="29"/>
      <c r="FS115" s="29"/>
      <c r="FT115" s="29"/>
      <c r="FU115" s="29"/>
      <c r="FV115" s="29"/>
      <c r="FW115" s="29"/>
      <c r="FX115" s="29"/>
      <c r="FY115" s="29"/>
      <c r="FZ115" s="29"/>
      <c r="GA115" s="29"/>
      <c r="GB115" s="29"/>
      <c r="GC115" s="29"/>
      <c r="GD115" s="29"/>
      <c r="GE115" s="29"/>
      <c r="GF115" s="29"/>
      <c r="GG115" s="29"/>
      <c r="GH115" s="29"/>
      <c r="GI115" s="29"/>
      <c r="GJ115" s="29"/>
      <c r="GK115" s="29"/>
      <c r="GL115" s="29"/>
    </row>
    <row r="116" spans="1:194"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29"/>
      <c r="GB116" s="29"/>
      <c r="GC116" s="29"/>
      <c r="GD116" s="29"/>
      <c r="GE116" s="29"/>
      <c r="GF116" s="29"/>
      <c r="GG116" s="29"/>
      <c r="GH116" s="29"/>
      <c r="GI116" s="29"/>
      <c r="GJ116" s="29"/>
      <c r="GK116" s="29"/>
      <c r="GL116" s="29"/>
    </row>
    <row r="117" spans="1:194"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  <c r="FD117" s="29"/>
      <c r="FE117" s="29"/>
      <c r="FF117" s="29"/>
      <c r="FG117" s="29"/>
      <c r="FH117" s="29"/>
      <c r="FI117" s="29"/>
      <c r="FJ117" s="29"/>
      <c r="FK117" s="29"/>
      <c r="FL117" s="29"/>
      <c r="FM117" s="29"/>
      <c r="FN117" s="29"/>
      <c r="FO117" s="29"/>
      <c r="FP117" s="29"/>
      <c r="FQ117" s="29"/>
      <c r="FR117" s="29"/>
      <c r="FS117" s="29"/>
      <c r="FT117" s="29"/>
      <c r="FU117" s="29"/>
      <c r="FV117" s="29"/>
      <c r="FW117" s="29"/>
      <c r="FX117" s="29"/>
      <c r="FY117" s="29"/>
      <c r="FZ117" s="29"/>
      <c r="GA117" s="29"/>
      <c r="GB117" s="29"/>
      <c r="GC117" s="29"/>
      <c r="GD117" s="29"/>
      <c r="GE117" s="29"/>
      <c r="GF117" s="29"/>
      <c r="GG117" s="29"/>
      <c r="GH117" s="29"/>
      <c r="GI117" s="29"/>
      <c r="GJ117" s="29"/>
      <c r="GK117" s="29"/>
      <c r="GL117" s="29"/>
    </row>
    <row r="118" spans="1:194"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29"/>
      <c r="GD118" s="29"/>
      <c r="GE118" s="29"/>
      <c r="GF118" s="29"/>
      <c r="GG118" s="29"/>
      <c r="GH118" s="29"/>
      <c r="GI118" s="29"/>
      <c r="GJ118" s="29"/>
      <c r="GK118" s="29"/>
      <c r="GL118" s="29"/>
    </row>
    <row r="119" spans="1:194">
      <c r="A119" s="31" t="s">
        <v>54</v>
      </c>
      <c r="B119" s="23"/>
      <c r="C119" s="23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29"/>
      <c r="GD119" s="29"/>
      <c r="GE119" s="29"/>
      <c r="GF119" s="29"/>
      <c r="GG119" s="29"/>
      <c r="GH119" s="29"/>
      <c r="GI119" s="29"/>
      <c r="GJ119" s="29"/>
      <c r="GK119" s="29"/>
      <c r="GL119" s="29"/>
    </row>
    <row r="120" spans="1:194">
      <c r="A120" s="31" t="s">
        <v>55</v>
      </c>
      <c r="B120" s="23"/>
      <c r="C120" s="23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29"/>
      <c r="ES120" s="29"/>
      <c r="ET120" s="29"/>
      <c r="EU120" s="29"/>
      <c r="EV120" s="29"/>
      <c r="EW120" s="29"/>
      <c r="EX120" s="29"/>
      <c r="EY120" s="29"/>
      <c r="EZ120" s="29"/>
      <c r="FA120" s="29"/>
      <c r="FB120" s="29"/>
      <c r="FC120" s="29"/>
      <c r="FD120" s="29"/>
      <c r="FE120" s="29"/>
      <c r="FF120" s="29"/>
      <c r="FG120" s="29"/>
      <c r="FH120" s="29"/>
      <c r="FI120" s="29"/>
      <c r="FJ120" s="29"/>
      <c r="FK120" s="29"/>
      <c r="FL120" s="29"/>
      <c r="FM120" s="29"/>
      <c r="FN120" s="29"/>
      <c r="FO120" s="29"/>
      <c r="FP120" s="29"/>
      <c r="FQ120" s="29"/>
      <c r="FR120" s="29"/>
      <c r="FS120" s="29"/>
      <c r="FT120" s="29"/>
      <c r="FU120" s="29"/>
      <c r="FV120" s="29"/>
      <c r="FW120" s="29"/>
      <c r="FX120" s="29"/>
      <c r="FY120" s="29"/>
      <c r="FZ120" s="29"/>
      <c r="GA120" s="29"/>
      <c r="GB120" s="29"/>
      <c r="GC120" s="29"/>
      <c r="GD120" s="29"/>
      <c r="GE120" s="29"/>
      <c r="GF120" s="29"/>
      <c r="GG120" s="29"/>
      <c r="GH120" s="29"/>
      <c r="GI120" s="29"/>
      <c r="GJ120" s="29"/>
      <c r="GK120" s="29"/>
      <c r="GL120" s="29"/>
    </row>
    <row r="121" spans="1:194">
      <c r="A121" s="31" t="s">
        <v>56</v>
      </c>
      <c r="B121" s="23"/>
      <c r="C121" s="23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  <c r="EM121" s="29"/>
      <c r="EN121" s="29"/>
      <c r="EO121" s="29"/>
      <c r="EP121" s="29"/>
      <c r="EQ121" s="29"/>
      <c r="ER121" s="29"/>
      <c r="ES121" s="29"/>
      <c r="ET121" s="29"/>
      <c r="EU121" s="29"/>
      <c r="EV121" s="29"/>
      <c r="EW121" s="29"/>
      <c r="EX121" s="29"/>
      <c r="EY121" s="29"/>
      <c r="EZ121" s="29"/>
      <c r="FA121" s="29"/>
      <c r="FB121" s="29"/>
      <c r="FC121" s="29"/>
      <c r="FD121" s="29"/>
      <c r="FE121" s="29"/>
      <c r="FF121" s="29"/>
      <c r="FG121" s="29"/>
      <c r="FH121" s="29"/>
      <c r="FI121" s="29"/>
      <c r="FJ121" s="29"/>
      <c r="FK121" s="29"/>
      <c r="FL121" s="29"/>
      <c r="FM121" s="29"/>
      <c r="FN121" s="29"/>
      <c r="FO121" s="29"/>
      <c r="FP121" s="29"/>
      <c r="FQ121" s="29"/>
      <c r="FR121" s="29"/>
      <c r="FS121" s="29"/>
      <c r="FT121" s="29"/>
      <c r="FU121" s="29"/>
      <c r="FV121" s="29"/>
      <c r="FW121" s="29"/>
      <c r="FX121" s="29"/>
      <c r="FY121" s="29"/>
      <c r="FZ121" s="29"/>
      <c r="GA121" s="29"/>
      <c r="GB121" s="29"/>
      <c r="GC121" s="29"/>
      <c r="GD121" s="29"/>
      <c r="GE121" s="29"/>
      <c r="GF121" s="29"/>
      <c r="GG121" s="29"/>
      <c r="GH121" s="29"/>
      <c r="GI121" s="29"/>
      <c r="GJ121" s="29"/>
      <c r="GK121" s="29"/>
      <c r="GL121" s="29"/>
    </row>
    <row r="122" spans="1:194">
      <c r="A122" s="31" t="s">
        <v>57</v>
      </c>
      <c r="B122" s="23"/>
      <c r="C122" s="23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  <c r="EM122" s="29"/>
      <c r="EN122" s="29"/>
      <c r="EO122" s="29"/>
      <c r="EP122" s="29"/>
      <c r="EQ122" s="29"/>
      <c r="ER122" s="29"/>
      <c r="ES122" s="29"/>
      <c r="ET122" s="29"/>
      <c r="EU122" s="29"/>
      <c r="EV122" s="29"/>
      <c r="EW122" s="29"/>
      <c r="EX122" s="29"/>
      <c r="EY122" s="29"/>
      <c r="EZ122" s="29"/>
      <c r="FA122" s="29"/>
      <c r="FB122" s="29"/>
      <c r="FC122" s="29"/>
      <c r="FD122" s="29"/>
      <c r="FE122" s="29"/>
      <c r="FF122" s="29"/>
      <c r="FG122" s="29"/>
      <c r="FH122" s="29"/>
      <c r="FI122" s="29"/>
      <c r="FJ122" s="29"/>
      <c r="FK122" s="29"/>
      <c r="FL122" s="29"/>
      <c r="FM122" s="29"/>
      <c r="FN122" s="29"/>
      <c r="FO122" s="29"/>
      <c r="FP122" s="29"/>
      <c r="FQ122" s="29"/>
      <c r="FR122" s="29"/>
      <c r="FS122" s="29"/>
      <c r="FT122" s="29"/>
      <c r="FU122" s="29"/>
      <c r="FV122" s="29"/>
      <c r="FW122" s="29"/>
      <c r="FX122" s="29"/>
      <c r="FY122" s="29"/>
      <c r="FZ122" s="29"/>
      <c r="GA122" s="29"/>
      <c r="GB122" s="29"/>
      <c r="GC122" s="29"/>
      <c r="GD122" s="29"/>
      <c r="GE122" s="29"/>
      <c r="GF122" s="29"/>
      <c r="GG122" s="29"/>
      <c r="GH122" s="29"/>
      <c r="GI122" s="29"/>
      <c r="GJ122" s="29"/>
      <c r="GK122" s="29"/>
      <c r="GL122" s="29"/>
    </row>
    <row r="123" spans="1:194">
      <c r="A123" s="31" t="s">
        <v>58</v>
      </c>
      <c r="B123" s="23"/>
      <c r="C123" s="23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29"/>
      <c r="EZ123" s="29"/>
      <c r="FA123" s="29"/>
      <c r="FB123" s="29"/>
      <c r="FC123" s="29"/>
      <c r="FD123" s="29"/>
      <c r="FE123" s="29"/>
      <c r="FF123" s="29"/>
      <c r="FG123" s="29"/>
      <c r="FH123" s="29"/>
      <c r="FI123" s="29"/>
      <c r="FJ123" s="29"/>
      <c r="FK123" s="29"/>
      <c r="FL123" s="29"/>
      <c r="FM123" s="29"/>
      <c r="FN123" s="29"/>
      <c r="FO123" s="29"/>
      <c r="FP123" s="29"/>
      <c r="FQ123" s="29"/>
      <c r="FR123" s="29"/>
      <c r="FS123" s="29"/>
      <c r="FT123" s="29"/>
      <c r="FU123" s="29"/>
      <c r="FV123" s="29"/>
      <c r="FW123" s="29"/>
      <c r="FX123" s="29"/>
      <c r="FY123" s="29"/>
      <c r="FZ123" s="29"/>
      <c r="GA123" s="29"/>
      <c r="GB123" s="29"/>
      <c r="GC123" s="29"/>
      <c r="GD123" s="29"/>
      <c r="GE123" s="29"/>
      <c r="GF123" s="29"/>
      <c r="GG123" s="29"/>
      <c r="GH123" s="29"/>
      <c r="GI123" s="29"/>
      <c r="GJ123" s="29"/>
      <c r="GK123" s="29"/>
      <c r="GL123" s="29"/>
    </row>
    <row r="124" spans="1:194">
      <c r="A124" s="31" t="s">
        <v>59</v>
      </c>
      <c r="B124" s="23"/>
      <c r="C124" s="23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29"/>
      <c r="GJ124" s="29"/>
      <c r="GK124" s="29"/>
      <c r="GL124" s="29"/>
    </row>
    <row r="125" spans="1:194"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29"/>
      <c r="ES125" s="29"/>
      <c r="ET125" s="29"/>
      <c r="EU125" s="29"/>
      <c r="EV125" s="29"/>
      <c r="EW125" s="29"/>
      <c r="EX125" s="29"/>
      <c r="EY125" s="29"/>
      <c r="EZ125" s="29"/>
      <c r="FA125" s="29"/>
      <c r="FB125" s="29"/>
      <c r="FC125" s="29"/>
      <c r="FD125" s="29"/>
      <c r="FE125" s="29"/>
      <c r="FF125" s="29"/>
      <c r="FG125" s="29"/>
      <c r="FH125" s="29"/>
      <c r="FI125" s="29"/>
      <c r="FJ125" s="29"/>
      <c r="FK125" s="29"/>
      <c r="FL125" s="29"/>
      <c r="FM125" s="29"/>
      <c r="FN125" s="29"/>
      <c r="FO125" s="29"/>
      <c r="FP125" s="29"/>
      <c r="FQ125" s="29"/>
      <c r="FR125" s="29"/>
      <c r="FS125" s="29"/>
      <c r="FT125" s="29"/>
      <c r="FU125" s="29"/>
      <c r="FV125" s="29"/>
      <c r="FW125" s="29"/>
      <c r="FX125" s="29"/>
      <c r="FY125" s="29"/>
      <c r="FZ125" s="29"/>
      <c r="GA125" s="29"/>
      <c r="GB125" s="29"/>
      <c r="GC125" s="29"/>
      <c r="GD125" s="29"/>
      <c r="GE125" s="29"/>
      <c r="GF125" s="29"/>
      <c r="GG125" s="29"/>
      <c r="GH125" s="29"/>
      <c r="GI125" s="29"/>
      <c r="GJ125" s="29"/>
      <c r="GK125" s="29"/>
      <c r="GL125" s="29"/>
    </row>
    <row r="126" spans="1:194"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  <c r="ET126" s="29"/>
      <c r="EU126" s="29"/>
      <c r="EV126" s="29"/>
      <c r="EW126" s="29"/>
      <c r="EX126" s="29"/>
      <c r="EY126" s="29"/>
      <c r="EZ126" s="29"/>
      <c r="FA126" s="29"/>
      <c r="FB126" s="29"/>
      <c r="FC126" s="29"/>
      <c r="FD126" s="29"/>
      <c r="FE126" s="29"/>
      <c r="FF126" s="29"/>
      <c r="FG126" s="29"/>
      <c r="FH126" s="29"/>
      <c r="FI126" s="29"/>
      <c r="FJ126" s="29"/>
      <c r="FK126" s="29"/>
      <c r="FL126" s="29"/>
      <c r="FM126" s="29"/>
      <c r="FN126" s="29"/>
      <c r="FO126" s="29"/>
      <c r="FP126" s="29"/>
      <c r="FQ126" s="29"/>
      <c r="FR126" s="29"/>
      <c r="FS126" s="29"/>
      <c r="FT126" s="29"/>
      <c r="FU126" s="29"/>
      <c r="FV126" s="29"/>
      <c r="FW126" s="29"/>
      <c r="FX126" s="29"/>
      <c r="FY126" s="29"/>
      <c r="FZ126" s="29"/>
      <c r="GA126" s="29"/>
      <c r="GB126" s="29"/>
      <c r="GC126" s="29"/>
      <c r="GD126" s="29"/>
      <c r="GE126" s="29"/>
      <c r="GF126" s="29"/>
      <c r="GG126" s="29"/>
      <c r="GH126" s="29"/>
      <c r="GI126" s="29"/>
      <c r="GJ126" s="29"/>
      <c r="GK126" s="29"/>
      <c r="GL126" s="29"/>
    </row>
    <row r="128" spans="1:194">
      <c r="B128" s="27"/>
      <c r="C128" s="36"/>
    </row>
    <row r="129" spans="2:3">
      <c r="B129" s="27"/>
      <c r="C129" s="36"/>
    </row>
    <row r="130" spans="2:3">
      <c r="B130" s="27"/>
      <c r="C130" s="36"/>
    </row>
  </sheetData>
  <sheetProtection selectLockedCells="1" selectUnlockedCells="1"/>
  <autoFilter ref="A5:AN102">
    <filterColumn colId="35" showButton="0"/>
    <sortState ref="A8:AN94">
      <sortCondition ref="B5:B94"/>
    </sortState>
  </autoFilter>
  <mergeCells count="37"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Y5:Y6"/>
    <mergeCell ref="Z5:Z6"/>
    <mergeCell ref="AA5:AA6"/>
    <mergeCell ref="N5:N6"/>
    <mergeCell ref="O5:O6"/>
    <mergeCell ref="P5:P6"/>
    <mergeCell ref="Q5:Q6"/>
    <mergeCell ref="R5:R6"/>
    <mergeCell ref="U5:U6"/>
    <mergeCell ref="A111:B111"/>
    <mergeCell ref="AN5:AN6"/>
    <mergeCell ref="A106:B106"/>
    <mergeCell ref="AI5:AI6"/>
    <mergeCell ref="AJ5:AK5"/>
    <mergeCell ref="AL5:AL6"/>
    <mergeCell ref="AM5:AM6"/>
    <mergeCell ref="AB5:AB6"/>
    <mergeCell ref="AC5:AC6"/>
    <mergeCell ref="AD5:AD6"/>
    <mergeCell ref="AE5:AE6"/>
    <mergeCell ref="AF5:AF6"/>
    <mergeCell ref="AG5:AG6"/>
    <mergeCell ref="V5:V6"/>
    <mergeCell ref="W5:W6"/>
    <mergeCell ref="X5:X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43</v>
      </c>
    </row>
    <row r="7" spans="1:3">
      <c r="B7" t="s">
        <v>42</v>
      </c>
      <c r="C7" t="s">
        <v>41</v>
      </c>
    </row>
    <row r="8" spans="1:3">
      <c r="A8" t="s">
        <v>39</v>
      </c>
      <c r="B8" s="4">
        <v>14667.23</v>
      </c>
      <c r="C8" s="4">
        <f>+B8/24</f>
        <v>611.13458333333335</v>
      </c>
    </row>
    <row r="9" spans="1:3">
      <c r="A9" t="s">
        <v>40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A46" sqref="A46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44</v>
      </c>
      <c r="B3" s="3"/>
    </row>
    <row r="5" spans="1:7">
      <c r="C5" s="4">
        <v>73.400000000000006</v>
      </c>
      <c r="D5" s="11" t="s">
        <v>50</v>
      </c>
    </row>
    <row r="6" spans="1:7" ht="15">
      <c r="A6" s="5" t="s">
        <v>5</v>
      </c>
      <c r="B6" s="5" t="s">
        <v>47</v>
      </c>
      <c r="C6" s="6" t="s">
        <v>45</v>
      </c>
      <c r="G6" s="4">
        <v>316.81</v>
      </c>
    </row>
    <row r="7" spans="1:7" ht="15">
      <c r="A7" s="5" t="s">
        <v>10</v>
      </c>
      <c r="B7" s="5" t="s">
        <v>49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48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49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49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49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48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48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49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49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49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49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49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51</v>
      </c>
    </row>
    <row r="19" spans="1:7" ht="15">
      <c r="A19" s="5" t="s">
        <v>8</v>
      </c>
      <c r="B19" s="5" t="s">
        <v>49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46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48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49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49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49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49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49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L1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3" sqref="C23"/>
    </sheetView>
  </sheetViews>
  <sheetFormatPr baseColWidth="10" defaultColWidth="11.5703125" defaultRowHeight="15"/>
  <cols>
    <col min="1" max="1" width="28.7109375" style="31" customWidth="1"/>
    <col min="2" max="2" width="39.140625" style="31" customWidth="1"/>
    <col min="3" max="3" width="8.140625" style="31" bestFit="1" customWidth="1"/>
    <col min="4" max="4" width="8.85546875" style="31" customWidth="1"/>
    <col min="5" max="5" width="31.5703125" style="31" customWidth="1"/>
    <col min="6" max="6" width="20.140625" style="31" bestFit="1" customWidth="1"/>
    <col min="7" max="7" width="13" style="31" bestFit="1" customWidth="1"/>
    <col min="8" max="8" width="11.7109375" style="31" customWidth="1"/>
    <col min="9" max="9" width="17.140625" style="23" customWidth="1"/>
    <col min="10" max="10" width="11.7109375" style="3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4" hidden="1" customWidth="1"/>
    <col min="36" max="37" width="11.5703125" style="4" hidden="1" customWidth="1"/>
    <col min="38" max="38" width="13.85546875" style="31" hidden="1" customWidth="1"/>
    <col min="39" max="39" width="13.85546875" style="31" customWidth="1"/>
    <col min="40" max="40" width="38.28515625" style="31" bestFit="1" customWidth="1"/>
    <col min="41" max="54" width="11.5703125" style="29"/>
    <col min="55" max="16384" width="11.5703125" style="31"/>
  </cols>
  <sheetData>
    <row r="1" spans="1:194" s="17" customFormat="1">
      <c r="A1" s="12" t="s">
        <v>22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40"/>
      <c r="AJ1" s="40"/>
      <c r="AK1" s="40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194" s="17" customFormat="1">
      <c r="A2" s="18" t="s">
        <v>73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40"/>
      <c r="AJ2" s="40"/>
      <c r="AK2" s="40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194" s="17" customFormat="1">
      <c r="A3" s="20" t="s">
        <v>241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40"/>
      <c r="AJ3" s="40"/>
      <c r="AK3" s="40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194" s="22" customFormat="1">
      <c r="A4" s="22" t="s">
        <v>240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4"/>
      <c r="AJ4" s="4"/>
      <c r="AK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194" s="22" customFormat="1" ht="28.5" customHeight="1">
      <c r="A5" s="209" t="s">
        <v>36</v>
      </c>
      <c r="B5" s="213" t="s">
        <v>37</v>
      </c>
      <c r="C5" s="209"/>
      <c r="D5" s="213" t="s">
        <v>38</v>
      </c>
      <c r="E5" s="213" t="s">
        <v>0</v>
      </c>
      <c r="F5" s="209" t="s">
        <v>203</v>
      </c>
      <c r="G5" s="197" t="s">
        <v>64</v>
      </c>
      <c r="H5" s="197" t="s">
        <v>62</v>
      </c>
      <c r="I5" s="205" t="s">
        <v>63</v>
      </c>
      <c r="J5" s="207" t="s">
        <v>65</v>
      </c>
      <c r="K5" s="197" t="s">
        <v>31</v>
      </c>
      <c r="L5" s="207" t="s">
        <v>72</v>
      </c>
      <c r="M5" s="93"/>
      <c r="N5" s="197" t="s">
        <v>32</v>
      </c>
      <c r="O5" s="197" t="s">
        <v>33</v>
      </c>
      <c r="P5" s="197" t="s">
        <v>60</v>
      </c>
      <c r="Q5" s="197" t="s">
        <v>34</v>
      </c>
      <c r="R5" s="197" t="s">
        <v>35</v>
      </c>
      <c r="S5" s="92"/>
      <c r="T5" s="203" t="s">
        <v>161</v>
      </c>
      <c r="U5" s="203" t="s">
        <v>182</v>
      </c>
      <c r="V5" s="203" t="s">
        <v>181</v>
      </c>
      <c r="W5" s="203" t="s">
        <v>162</v>
      </c>
      <c r="X5" s="197" t="s">
        <v>28</v>
      </c>
      <c r="Y5" s="197" t="s">
        <v>53</v>
      </c>
      <c r="Z5" s="197" t="s">
        <v>52</v>
      </c>
      <c r="AA5" s="197" t="s">
        <v>30</v>
      </c>
      <c r="AB5" s="197" t="s">
        <v>61</v>
      </c>
      <c r="AC5" s="197" t="s">
        <v>25</v>
      </c>
      <c r="AD5" s="197" t="s">
        <v>29</v>
      </c>
      <c r="AE5" s="197" t="s">
        <v>24</v>
      </c>
      <c r="AF5" s="197" t="s">
        <v>26</v>
      </c>
      <c r="AG5" s="91"/>
      <c r="AH5" s="197" t="s">
        <v>27</v>
      </c>
      <c r="AI5" s="215" t="s">
        <v>163</v>
      </c>
      <c r="AJ5" s="216"/>
      <c r="AK5" s="201" t="s">
        <v>164</v>
      </c>
      <c r="AL5" s="202" t="s">
        <v>211</v>
      </c>
      <c r="AM5" s="89"/>
      <c r="AN5" s="202" t="s">
        <v>212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194" s="35" customFormat="1" ht="39" customHeight="1">
      <c r="A6" s="210"/>
      <c r="B6" s="214"/>
      <c r="C6" s="210"/>
      <c r="D6" s="214"/>
      <c r="E6" s="214"/>
      <c r="F6" s="210"/>
      <c r="G6" s="198"/>
      <c r="H6" s="198"/>
      <c r="I6" s="206"/>
      <c r="J6" s="208"/>
      <c r="K6" s="198"/>
      <c r="L6" s="208"/>
      <c r="M6" s="94" t="s">
        <v>227</v>
      </c>
      <c r="N6" s="198"/>
      <c r="O6" s="198"/>
      <c r="P6" s="198"/>
      <c r="Q6" s="198"/>
      <c r="R6" s="198"/>
      <c r="S6" s="44" t="s">
        <v>225</v>
      </c>
      <c r="T6" s="204"/>
      <c r="U6" s="204"/>
      <c r="V6" s="204"/>
      <c r="W6" s="204"/>
      <c r="X6" s="198"/>
      <c r="Y6" s="198"/>
      <c r="Z6" s="198"/>
      <c r="AA6" s="198"/>
      <c r="AB6" s="198"/>
      <c r="AC6" s="198"/>
      <c r="AD6" s="198"/>
      <c r="AE6" s="198"/>
      <c r="AF6" s="198"/>
      <c r="AG6" s="92"/>
      <c r="AH6" s="198"/>
      <c r="AI6" s="45" t="s">
        <v>63</v>
      </c>
      <c r="AJ6" s="45" t="s">
        <v>65</v>
      </c>
      <c r="AK6" s="201"/>
      <c r="AL6" s="202"/>
      <c r="AM6" s="89" t="s">
        <v>242</v>
      </c>
      <c r="AN6" s="202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</row>
    <row r="7" spans="1:194">
      <c r="AH7" s="24" t="e">
        <f>#REF!*0.16</f>
        <v>#REF!</v>
      </c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</row>
    <row r="8" spans="1:194">
      <c r="A8" s="211" t="s">
        <v>229</v>
      </c>
      <c r="B8" s="211"/>
      <c r="C8" s="90"/>
      <c r="D8" s="50"/>
      <c r="E8" s="50"/>
      <c r="F8" s="50"/>
      <c r="G8" s="50"/>
      <c r="H8" s="50"/>
      <c r="I8" s="52"/>
      <c r="J8" s="50"/>
      <c r="K8" s="52"/>
      <c r="L8" s="52"/>
      <c r="M8" s="52"/>
      <c r="N8" s="52"/>
      <c r="O8" s="52"/>
      <c r="P8" s="52"/>
      <c r="Q8" s="80"/>
      <c r="R8" s="52"/>
      <c r="S8" s="52"/>
      <c r="T8" s="68"/>
      <c r="U8" s="68"/>
      <c r="V8" s="68"/>
      <c r="W8" s="68"/>
      <c r="X8" s="52"/>
      <c r="Y8" s="52"/>
      <c r="Z8" s="52"/>
      <c r="AA8" s="52"/>
      <c r="AB8" s="80"/>
      <c r="AC8" s="52"/>
      <c r="AD8" s="80"/>
      <c r="AE8" s="52"/>
      <c r="AF8" s="52"/>
      <c r="AG8" s="52"/>
      <c r="AH8" s="80" t="e">
        <f>+#REF!+AH7</f>
        <v>#REF!</v>
      </c>
      <c r="AI8" s="82"/>
      <c r="AJ8" s="82"/>
      <c r="AK8" s="82"/>
      <c r="AL8" s="50"/>
      <c r="AM8" s="50"/>
      <c r="AN8" s="50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</row>
    <row r="9" spans="1:194" hidden="1">
      <c r="A9" s="69"/>
      <c r="B9" s="50" t="s">
        <v>230</v>
      </c>
      <c r="C9" s="50"/>
      <c r="D9" s="51"/>
      <c r="E9" s="50"/>
      <c r="F9" s="50"/>
      <c r="G9" s="50"/>
      <c r="H9" s="50"/>
      <c r="I9" s="52"/>
      <c r="J9" s="50"/>
      <c r="K9" s="52"/>
      <c r="L9" s="95">
        <v>533.29999999999995</v>
      </c>
      <c r="M9" s="52"/>
      <c r="N9" s="52"/>
      <c r="O9" s="52"/>
      <c r="P9" s="52"/>
      <c r="Q9" s="55">
        <f>SUM(K9:P9)</f>
        <v>533.29999999999995</v>
      </c>
      <c r="R9" s="56"/>
      <c r="S9" s="56"/>
      <c r="T9" s="68"/>
      <c r="U9" s="66">
        <f>Q9*4.9%</f>
        <v>26.131699999999999</v>
      </c>
      <c r="V9" s="66">
        <f>Q9*1%</f>
        <v>5.3329999999999993</v>
      </c>
      <c r="W9" s="68"/>
      <c r="X9" s="84"/>
      <c r="Y9" s="84"/>
      <c r="Z9" s="84"/>
      <c r="AA9" s="84"/>
      <c r="AB9" s="55">
        <f>+Q9-R9</f>
        <v>533.29999999999995</v>
      </c>
      <c r="AC9" s="60">
        <f>+AB9*0.05</f>
        <v>26.664999999999999</v>
      </c>
      <c r="AD9" s="55">
        <f>+AB9-X9-AA9</f>
        <v>533.29999999999995</v>
      </c>
      <c r="AE9" s="61">
        <f>IF(AB9&lt;3000,AB9*0.1,0)</f>
        <v>53.33</v>
      </c>
      <c r="AF9" s="60">
        <v>0</v>
      </c>
      <c r="AG9" s="60"/>
      <c r="AH9" s="55">
        <f>+AB9+AE9+AF9</f>
        <v>586.63</v>
      </c>
      <c r="AI9" s="85"/>
      <c r="AJ9" s="85"/>
      <c r="AK9" s="85"/>
      <c r="AL9" s="50"/>
      <c r="AM9" s="50"/>
      <c r="AN9" s="50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</row>
    <row r="10" spans="1:194">
      <c r="AH10" s="24">
        <f>SUM(AH9:AH9)</f>
        <v>586.63</v>
      </c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</row>
    <row r="11" spans="1:194">
      <c r="B11" s="32"/>
      <c r="C11" s="32"/>
      <c r="D11" s="32"/>
      <c r="AH11" s="24">
        <f>+AH10*0.16</f>
        <v>93.860799999999998</v>
      </c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</row>
    <row r="12" spans="1:194">
      <c r="B12" s="32"/>
      <c r="C12" s="32"/>
      <c r="D12" s="32"/>
      <c r="AH12" s="24">
        <f>+AH10+AH11</f>
        <v>680.49080000000004</v>
      </c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</row>
    <row r="13" spans="1:194">
      <c r="B13" s="32"/>
      <c r="C13" s="32"/>
      <c r="D13" s="32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</row>
    <row r="14" spans="1:194">
      <c r="B14" s="32"/>
      <c r="C14" s="32"/>
      <c r="D14" s="32"/>
      <c r="AH14" s="24" t="e">
        <f>+AH8+AH12</f>
        <v>#REF!</v>
      </c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</row>
    <row r="15" spans="1:194"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</row>
    <row r="16" spans="1:194"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</row>
    <row r="17" spans="55:194"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</row>
    <row r="18" spans="55:194"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</row>
    <row r="19" spans="55:194"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</row>
  </sheetData>
  <sheetProtection selectLockedCells="1" selectUnlockedCells="1"/>
  <autoFilter ref="A5:AN6">
    <filterColumn colId="34" showButton="0"/>
    <sortState ref="A8:AN94">
      <sortCondition ref="B5:B94"/>
    </sortState>
  </autoFilter>
  <mergeCells count="36">
    <mergeCell ref="L5:L6"/>
    <mergeCell ref="A5:A6"/>
    <mergeCell ref="B5:B6"/>
    <mergeCell ref="C5:C6"/>
    <mergeCell ref="D5:D6"/>
    <mergeCell ref="E5:E6"/>
    <mergeCell ref="F5:F6"/>
    <mergeCell ref="AE5:AE6"/>
    <mergeCell ref="AF5:AF6"/>
    <mergeCell ref="U5:U6"/>
    <mergeCell ref="V5:V6"/>
    <mergeCell ref="W5:W6"/>
    <mergeCell ref="X5:X6"/>
    <mergeCell ref="Y5:Y6"/>
    <mergeCell ref="Z5:Z6"/>
    <mergeCell ref="A8:B8"/>
    <mergeCell ref="AA5:AA6"/>
    <mergeCell ref="AB5:AB6"/>
    <mergeCell ref="AC5:AC6"/>
    <mergeCell ref="AD5:AD6"/>
    <mergeCell ref="N5:N6"/>
    <mergeCell ref="O5:O6"/>
    <mergeCell ref="P5:P6"/>
    <mergeCell ref="Q5:Q6"/>
    <mergeCell ref="R5:R6"/>
    <mergeCell ref="T5:T6"/>
    <mergeCell ref="G5:G6"/>
    <mergeCell ref="H5:H6"/>
    <mergeCell ref="I5:I6"/>
    <mergeCell ref="J5:J6"/>
    <mergeCell ref="K5:K6"/>
    <mergeCell ref="AH5:AH6"/>
    <mergeCell ref="AI5:AJ5"/>
    <mergeCell ref="AK5:AK6"/>
    <mergeCell ref="AL5:AL6"/>
    <mergeCell ref="AN5:AN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FORMATO NOMINA COM</vt:lpstr>
      <vt:lpstr>FORMATO NOMINA</vt:lpstr>
      <vt:lpstr>descuentos</vt:lpstr>
      <vt:lpstr>INFONAVIT</vt:lpstr>
      <vt:lpstr>COMPLEMENTO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2016-06-30T21:33:18Z</dcterms:modified>
</cp:coreProperties>
</file>