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$\Grupo LMJS\QUERETARO MOTORS\NOMINA\NOMINA 2016\SEMANAL\"/>
    </mc:Choice>
  </mc:AlternateContent>
  <bookViews>
    <workbookView xWindow="0" yWindow="0" windowWidth="28800" windowHeight="12045" tabRatio="704"/>
  </bookViews>
  <sheets>
    <sheet name="FORMATO NOMINA COM" sheetId="6" r:id="rId1"/>
    <sheet name="FORMATO NOMINA" sheetId="4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NOMINA'!$A$5:$AM$104</definedName>
    <definedName name="_xlnm._FilterDatabase" localSheetId="0" hidden="1">'FORMATO NOMINA COM'!$A$5:$AM$104</definedName>
  </definedNames>
  <calcPr calcId="152511"/>
</workbook>
</file>

<file path=xl/calcChain.xml><?xml version="1.0" encoding="utf-8"?>
<calcChain xmlns="http://schemas.openxmlformats.org/spreadsheetml/2006/main">
  <c r="AC43" i="6" l="1"/>
  <c r="AC24" i="6"/>
  <c r="Q59" i="6"/>
  <c r="Q78" i="6"/>
  <c r="Q97" i="6"/>
  <c r="Q77" i="6"/>
  <c r="AE77" i="6" s="1"/>
  <c r="Q70" i="6"/>
  <c r="Q63" i="6"/>
  <c r="Q58" i="6"/>
  <c r="Q45" i="6"/>
  <c r="Q43" i="6"/>
  <c r="Q24" i="6"/>
  <c r="Q23" i="6"/>
  <c r="AG114" i="6"/>
  <c r="K114" i="6"/>
  <c r="Q114" i="6" s="1"/>
  <c r="Q110" i="6"/>
  <c r="AB110" i="6" s="1"/>
  <c r="Q109" i="6"/>
  <c r="AJ106" i="6"/>
  <c r="AI106" i="6"/>
  <c r="AF106" i="6"/>
  <c r="AA106" i="6"/>
  <c r="Z106" i="6"/>
  <c r="Y106" i="6"/>
  <c r="X106" i="6"/>
  <c r="W106" i="6"/>
  <c r="R106" i="6"/>
  <c r="P106" i="6"/>
  <c r="O106" i="6"/>
  <c r="N106" i="6"/>
  <c r="AK104" i="6"/>
  <c r="AG104" i="6"/>
  <c r="Q104" i="6"/>
  <c r="AG103" i="6"/>
  <c r="K103" i="6"/>
  <c r="AG102" i="6"/>
  <c r="K102" i="6"/>
  <c r="Q102" i="6" s="1"/>
  <c r="AG101" i="6"/>
  <c r="K101" i="6"/>
  <c r="Q101" i="6" s="1"/>
  <c r="K100" i="6"/>
  <c r="AG99" i="6"/>
  <c r="K99" i="6"/>
  <c r="Q99" i="6" s="1"/>
  <c r="AG98" i="6"/>
  <c r="K98" i="6"/>
  <c r="Q98" i="6" s="1"/>
  <c r="AE98" i="6" s="1"/>
  <c r="AG97" i="6"/>
  <c r="K97" i="6"/>
  <c r="AE97" i="6" s="1"/>
  <c r="AG96" i="6"/>
  <c r="Q96" i="6"/>
  <c r="I96" i="6"/>
  <c r="AG95" i="6"/>
  <c r="Q95" i="6"/>
  <c r="I95" i="6"/>
  <c r="AG94" i="6"/>
  <c r="Q94" i="6"/>
  <c r="I94" i="6"/>
  <c r="AG93" i="6"/>
  <c r="K93" i="6"/>
  <c r="Q93" i="6" s="1"/>
  <c r="AG92" i="6"/>
  <c r="K92" i="6"/>
  <c r="Q92" i="6" s="1"/>
  <c r="AG91" i="6"/>
  <c r="K91" i="6"/>
  <c r="Q91" i="6" s="1"/>
  <c r="AC91" i="6" s="1"/>
  <c r="AG90" i="6"/>
  <c r="K90" i="6"/>
  <c r="AG89" i="6"/>
  <c r="Q89" i="6"/>
  <c r="AB89" i="6" s="1"/>
  <c r="K88" i="6"/>
  <c r="Q88" i="6" s="1"/>
  <c r="K87" i="6"/>
  <c r="Q87" i="6" s="1"/>
  <c r="V87" i="6" s="1"/>
  <c r="AG86" i="6"/>
  <c r="K86" i="6"/>
  <c r="Q86" i="6" s="1"/>
  <c r="AG85" i="6"/>
  <c r="K85" i="6"/>
  <c r="Q85" i="6" s="1"/>
  <c r="AC85" i="6" s="1"/>
  <c r="AG84" i="6"/>
  <c r="K84" i="6"/>
  <c r="Q84" i="6" s="1"/>
  <c r="AG83" i="6"/>
  <c r="K83" i="6"/>
  <c r="Q83" i="6" s="1"/>
  <c r="AE83" i="6" s="1"/>
  <c r="AG82" i="6"/>
  <c r="Q82" i="6"/>
  <c r="I82" i="6"/>
  <c r="AG81" i="6"/>
  <c r="K81" i="6"/>
  <c r="Q81" i="6" s="1"/>
  <c r="AE81" i="6" s="1"/>
  <c r="AG80" i="6"/>
  <c r="K80" i="6"/>
  <c r="Q80" i="6" s="1"/>
  <c r="K79" i="6"/>
  <c r="Q79" i="6" s="1"/>
  <c r="AG78" i="6"/>
  <c r="K78" i="6"/>
  <c r="AG77" i="6"/>
  <c r="Q76" i="6"/>
  <c r="I76" i="6"/>
  <c r="AG75" i="6"/>
  <c r="K75" i="6"/>
  <c r="Q75" i="6" s="1"/>
  <c r="AG74" i="6"/>
  <c r="K74" i="6"/>
  <c r="Q74" i="6" s="1"/>
  <c r="AB74" i="6" s="1"/>
  <c r="AG73" i="6"/>
  <c r="K73" i="6"/>
  <c r="Q73" i="6" s="1"/>
  <c r="AC73" i="6" s="1"/>
  <c r="AG72" i="6"/>
  <c r="K72" i="6"/>
  <c r="Q72" i="6" s="1"/>
  <c r="AB72" i="6" s="1"/>
  <c r="AG71" i="6"/>
  <c r="K71" i="6"/>
  <c r="Q71" i="6" s="1"/>
  <c r="AG70" i="6"/>
  <c r="K70" i="6"/>
  <c r="AG69" i="6"/>
  <c r="K69" i="6"/>
  <c r="Q69" i="6" s="1"/>
  <c r="AE69" i="6" s="1"/>
  <c r="K68" i="6"/>
  <c r="K67" i="6"/>
  <c r="Q67" i="6" s="1"/>
  <c r="AG66" i="6"/>
  <c r="Q66" i="6"/>
  <c r="I66" i="6"/>
  <c r="K65" i="6"/>
  <c r="Q65" i="6" s="1"/>
  <c r="AG64" i="6"/>
  <c r="K64" i="6"/>
  <c r="Q64" i="6" s="1"/>
  <c r="AG63" i="6"/>
  <c r="K63" i="6"/>
  <c r="AG62" i="6"/>
  <c r="I62" i="6"/>
  <c r="K62" i="6" s="1"/>
  <c r="Q62" i="6" s="1"/>
  <c r="AG61" i="6"/>
  <c r="Q61" i="6"/>
  <c r="I61" i="6"/>
  <c r="AG60" i="6"/>
  <c r="K60" i="6"/>
  <c r="Q60" i="6" s="1"/>
  <c r="AG59" i="6"/>
  <c r="K59" i="6"/>
  <c r="AE59" i="6" s="1"/>
  <c r="AG58" i="6"/>
  <c r="K58" i="6"/>
  <c r="AG57" i="6"/>
  <c r="K57" i="6"/>
  <c r="Q57" i="6" s="1"/>
  <c r="AG56" i="6"/>
  <c r="K56" i="6"/>
  <c r="Q56" i="6" s="1"/>
  <c r="AG55" i="6"/>
  <c r="I55" i="6"/>
  <c r="K55" i="6" s="1"/>
  <c r="Q55" i="6" s="1"/>
  <c r="AG54" i="6"/>
  <c r="K54" i="6"/>
  <c r="Q54" i="6" s="1"/>
  <c r="AG53" i="6"/>
  <c r="K53" i="6"/>
  <c r="Q53" i="6" s="1"/>
  <c r="AG52" i="6"/>
  <c r="K52" i="6"/>
  <c r="Q52" i="6" s="1"/>
  <c r="K51" i="6"/>
  <c r="Q51" i="6" s="1"/>
  <c r="K50" i="6"/>
  <c r="Q50" i="6" s="1"/>
  <c r="K49" i="6"/>
  <c r="Q49" i="6" s="1"/>
  <c r="AG48" i="6"/>
  <c r="K48" i="6"/>
  <c r="Q48" i="6" s="1"/>
  <c r="AC48" i="6" s="1"/>
  <c r="AG47" i="6"/>
  <c r="K47" i="6"/>
  <c r="Q47" i="6" s="1"/>
  <c r="AG46" i="6"/>
  <c r="K46" i="6"/>
  <c r="Q46" i="6" s="1"/>
  <c r="AE46" i="6" s="1"/>
  <c r="AG45" i="6"/>
  <c r="K45" i="6"/>
  <c r="AG44" i="6"/>
  <c r="K44" i="6"/>
  <c r="Q44" i="6" s="1"/>
  <c r="AG43" i="6"/>
  <c r="K43" i="6"/>
  <c r="AG42" i="6"/>
  <c r="K42" i="6"/>
  <c r="Q42" i="6" s="1"/>
  <c r="AC42" i="6" s="1"/>
  <c r="AG41" i="6"/>
  <c r="K41" i="6"/>
  <c r="Q41" i="6" s="1"/>
  <c r="AG40" i="6"/>
  <c r="K40" i="6"/>
  <c r="Q40" i="6" s="1"/>
  <c r="AG39" i="6"/>
  <c r="K39" i="6"/>
  <c r="Q39" i="6" s="1"/>
  <c r="AG38" i="6"/>
  <c r="K38" i="6"/>
  <c r="Q38" i="6" s="1"/>
  <c r="AE38" i="6" s="1"/>
  <c r="AG37" i="6"/>
  <c r="K37" i="6"/>
  <c r="Q37" i="6" s="1"/>
  <c r="AE37" i="6" s="1"/>
  <c r="AG36" i="6"/>
  <c r="K36" i="6"/>
  <c r="Q36" i="6" s="1"/>
  <c r="AG35" i="6"/>
  <c r="Q35" i="6"/>
  <c r="AE35" i="6" s="1"/>
  <c r="I35" i="6"/>
  <c r="AG34" i="6"/>
  <c r="Q34" i="6"/>
  <c r="AE34" i="6" s="1"/>
  <c r="I34" i="6"/>
  <c r="K33" i="6"/>
  <c r="Q33" i="6" s="1"/>
  <c r="AG32" i="6"/>
  <c r="K32" i="6"/>
  <c r="Q32" i="6" s="1"/>
  <c r="Q31" i="6"/>
  <c r="AG30" i="6"/>
  <c r="K30" i="6"/>
  <c r="Q30" i="6" s="1"/>
  <c r="AC30" i="6" s="1"/>
  <c r="AG29" i="6"/>
  <c r="Q29" i="6"/>
  <c r="AE29" i="6" s="1"/>
  <c r="AG28" i="6"/>
  <c r="K28" i="6"/>
  <c r="Q28" i="6" s="1"/>
  <c r="AE28" i="6" s="1"/>
  <c r="AG27" i="6"/>
  <c r="K27" i="6"/>
  <c r="Q27" i="6" s="1"/>
  <c r="AG26" i="6"/>
  <c r="K26" i="6"/>
  <c r="Q26" i="6" s="1"/>
  <c r="AG25" i="6"/>
  <c r="Q25" i="6"/>
  <c r="AE25" i="6" s="1"/>
  <c r="I25" i="6"/>
  <c r="AG24" i="6"/>
  <c r="K24" i="6"/>
  <c r="AG23" i="6"/>
  <c r="K23" i="6"/>
  <c r="K22" i="6"/>
  <c r="Q22" i="6" s="1"/>
  <c r="AG21" i="6"/>
  <c r="K21" i="6"/>
  <c r="Q21" i="6" s="1"/>
  <c r="AC21" i="6" s="1"/>
  <c r="K20" i="6"/>
  <c r="Q20" i="6" s="1"/>
  <c r="AG19" i="6"/>
  <c r="K19" i="6"/>
  <c r="Q19" i="6" s="1"/>
  <c r="AE19" i="6" s="1"/>
  <c r="AG18" i="6"/>
  <c r="K18" i="6"/>
  <c r="Q18" i="6" s="1"/>
  <c r="AG17" i="6"/>
  <c r="K17" i="6"/>
  <c r="Q17" i="6" s="1"/>
  <c r="AC17" i="6" s="1"/>
  <c r="AG16" i="6"/>
  <c r="K16" i="6"/>
  <c r="Q16" i="6" s="1"/>
  <c r="AE16" i="6" s="1"/>
  <c r="K15" i="6"/>
  <c r="Q15" i="6" s="1"/>
  <c r="AC15" i="6" s="1"/>
  <c r="AG14" i="6"/>
  <c r="K14" i="6"/>
  <c r="Q14" i="6" s="1"/>
  <c r="AG13" i="6"/>
  <c r="K13" i="6"/>
  <c r="Q13" i="6" s="1"/>
  <c r="AG12" i="6"/>
  <c r="K12" i="6"/>
  <c r="Q12" i="6" s="1"/>
  <c r="AC12" i="6" s="1"/>
  <c r="AG11" i="6"/>
  <c r="K11" i="6"/>
  <c r="Q11" i="6" s="1"/>
  <c r="AE11" i="6" s="1"/>
  <c r="AG10" i="6"/>
  <c r="Q10" i="6"/>
  <c r="I10" i="6"/>
  <c r="L106" i="6"/>
  <c r="K9" i="6"/>
  <c r="Q9" i="6" s="1"/>
  <c r="AG8" i="6"/>
  <c r="K8" i="6"/>
  <c r="Q8" i="6" s="1"/>
  <c r="AE8" i="6" s="1"/>
  <c r="AG7" i="6"/>
  <c r="K7" i="6"/>
  <c r="Q7" i="6" s="1"/>
  <c r="Q106" i="6" l="1"/>
  <c r="AE63" i="6"/>
  <c r="AH43" i="6"/>
  <c r="AC23" i="6"/>
  <c r="AH77" i="6"/>
  <c r="AH83" i="6"/>
  <c r="AC25" i="6"/>
  <c r="AH29" i="6"/>
  <c r="AE110" i="6"/>
  <c r="AH110" i="6" s="1"/>
  <c r="AC110" i="6"/>
  <c r="AC32" i="6"/>
  <c r="AE32" i="6"/>
  <c r="AH32" i="6" s="1"/>
  <c r="V51" i="6"/>
  <c r="AC51" i="6"/>
  <c r="AE39" i="6"/>
  <c r="AH39" i="6" s="1"/>
  <c r="AC39" i="6"/>
  <c r="AB39" i="6"/>
  <c r="AC52" i="6"/>
  <c r="AE52" i="6"/>
  <c r="AH52" i="6" s="1"/>
  <c r="AC56" i="6"/>
  <c r="AE56" i="6"/>
  <c r="AH56" i="6" s="1"/>
  <c r="AE60" i="6"/>
  <c r="AH60" i="6" s="1"/>
  <c r="AC60" i="6"/>
  <c r="AC26" i="6"/>
  <c r="AE26" i="6"/>
  <c r="AC79" i="6"/>
  <c r="V79" i="6"/>
  <c r="AC19" i="6"/>
  <c r="AB25" i="6"/>
  <c r="AC59" i="6"/>
  <c r="AC70" i="6"/>
  <c r="AE70" i="6"/>
  <c r="AH70" i="6" s="1"/>
  <c r="AC97" i="6"/>
  <c r="AH8" i="6"/>
  <c r="AH69" i="6"/>
  <c r="AB8" i="6"/>
  <c r="AE17" i="6"/>
  <c r="AH17" i="6" s="1"/>
  <c r="AE23" i="6"/>
  <c r="AH23" i="6" s="1"/>
  <c r="AB29" i="6"/>
  <c r="AH38" i="6"/>
  <c r="AC46" i="6"/>
  <c r="AC47" i="6"/>
  <c r="AE51" i="6"/>
  <c r="AB69" i="6"/>
  <c r="AB77" i="6"/>
  <c r="AB83" i="6"/>
  <c r="U87" i="6"/>
  <c r="AG87" i="6" s="1"/>
  <c r="AB98" i="6"/>
  <c r="AH98" i="6"/>
  <c r="AC8" i="6"/>
  <c r="AH19" i="6"/>
  <c r="AB26" i="6"/>
  <c r="AD26" i="6" s="1"/>
  <c r="AK26" i="6" s="1"/>
  <c r="AH26" i="6"/>
  <c r="AC28" i="6"/>
  <c r="AC29" i="6"/>
  <c r="AB35" i="6"/>
  <c r="AB38" i="6"/>
  <c r="AE47" i="6"/>
  <c r="AH47" i="6" s="1"/>
  <c r="AE48" i="6"/>
  <c r="AH48" i="6" s="1"/>
  <c r="U51" i="6"/>
  <c r="AG51" i="6" s="1"/>
  <c r="AC69" i="6"/>
  <c r="AC77" i="6"/>
  <c r="AC81" i="6"/>
  <c r="AC83" i="6"/>
  <c r="AH97" i="6"/>
  <c r="AC98" i="6"/>
  <c r="AB19" i="6"/>
  <c r="AE21" i="6"/>
  <c r="AH21" i="6" s="1"/>
  <c r="AH25" i="6"/>
  <c r="AE30" i="6"/>
  <c r="AH30" i="6" s="1"/>
  <c r="AC38" i="6"/>
  <c r="AB70" i="6"/>
  <c r="AB97" i="6"/>
  <c r="AB7" i="6"/>
  <c r="AE7" i="6"/>
  <c r="AH7" i="6" s="1"/>
  <c r="AC7" i="6"/>
  <c r="AC10" i="6"/>
  <c r="AB10" i="6"/>
  <c r="AE10" i="6"/>
  <c r="AH10" i="6" s="1"/>
  <c r="AB27" i="6"/>
  <c r="AE27" i="6"/>
  <c r="AH27" i="6" s="1"/>
  <c r="AB41" i="6"/>
  <c r="AC41" i="6"/>
  <c r="AE55" i="6"/>
  <c r="AH55" i="6" s="1"/>
  <c r="AC55" i="6"/>
  <c r="AB55" i="6"/>
  <c r="AC57" i="6"/>
  <c r="AE57" i="6"/>
  <c r="AH57" i="6" s="1"/>
  <c r="AB57" i="6"/>
  <c r="AB61" i="6"/>
  <c r="AC61" i="6"/>
  <c r="AE61" i="6"/>
  <c r="AH61" i="6" s="1"/>
  <c r="AB62" i="6"/>
  <c r="AE62" i="6"/>
  <c r="AH62" i="6" s="1"/>
  <c r="AE75" i="6"/>
  <c r="AH75" i="6" s="1"/>
  <c r="AC75" i="6"/>
  <c r="AB75" i="6"/>
  <c r="AB82" i="6"/>
  <c r="AC82" i="6"/>
  <c r="AE82" i="6"/>
  <c r="AH82" i="6" s="1"/>
  <c r="AC84" i="6"/>
  <c r="AB84" i="6"/>
  <c r="AC93" i="6"/>
  <c r="AB93" i="6"/>
  <c r="AE94" i="6"/>
  <c r="AH94" i="6" s="1"/>
  <c r="AC94" i="6"/>
  <c r="AB94" i="6"/>
  <c r="AC99" i="6"/>
  <c r="AB99" i="6"/>
  <c r="AE99" i="6"/>
  <c r="AH99" i="6" s="1"/>
  <c r="AE9" i="6"/>
  <c r="V9" i="6"/>
  <c r="AC9" i="6"/>
  <c r="U9" i="6"/>
  <c r="AC18" i="6"/>
  <c r="AE18" i="6"/>
  <c r="AH18" i="6" s="1"/>
  <c r="AB18" i="6"/>
  <c r="AH24" i="6"/>
  <c r="AB24" i="6"/>
  <c r="AC40" i="6"/>
  <c r="AB40" i="6"/>
  <c r="AE40" i="6"/>
  <c r="AH40" i="6" s="1"/>
  <c r="AE41" i="6"/>
  <c r="AH41" i="6" s="1"/>
  <c r="AB45" i="6"/>
  <c r="AE45" i="6"/>
  <c r="AH45" i="6" s="1"/>
  <c r="AE53" i="6"/>
  <c r="AH53" i="6" s="1"/>
  <c r="V53" i="6"/>
  <c r="AB53" i="6" s="1"/>
  <c r="AC53" i="6"/>
  <c r="AC54" i="6"/>
  <c r="AB54" i="6"/>
  <c r="AE54" i="6"/>
  <c r="AH54" i="6" s="1"/>
  <c r="AC62" i="6"/>
  <c r="T65" i="6"/>
  <c r="AC65" i="6"/>
  <c r="U65" i="6"/>
  <c r="AG65" i="6" s="1"/>
  <c r="AB66" i="6"/>
  <c r="AC66" i="6"/>
  <c r="AE66" i="6"/>
  <c r="AH66" i="6" s="1"/>
  <c r="AE84" i="6"/>
  <c r="AH84" i="6" s="1"/>
  <c r="AE93" i="6"/>
  <c r="AH93" i="6" s="1"/>
  <c r="AC95" i="6"/>
  <c r="AE95" i="6"/>
  <c r="AH95" i="6" s="1"/>
  <c r="AB95" i="6"/>
  <c r="AC102" i="6"/>
  <c r="AB102" i="6"/>
  <c r="AB12" i="6"/>
  <c r="AD12" i="6" s="1"/>
  <c r="AK12" i="6" s="1"/>
  <c r="AE12" i="6"/>
  <c r="AH12" i="6" s="1"/>
  <c r="AC13" i="6"/>
  <c r="AB13" i="6"/>
  <c r="AB14" i="6"/>
  <c r="AE14" i="6"/>
  <c r="AH14" i="6" s="1"/>
  <c r="AC14" i="6"/>
  <c r="AE22" i="6"/>
  <c r="U22" i="6"/>
  <c r="AG22" i="6" s="1"/>
  <c r="AC22" i="6"/>
  <c r="T22" i="6"/>
  <c r="AC27" i="6"/>
  <c r="U33" i="6"/>
  <c r="AG33" i="6" s="1"/>
  <c r="V33" i="6"/>
  <c r="AE33" i="6"/>
  <c r="AB36" i="6"/>
  <c r="AC36" i="6"/>
  <c r="AE36" i="6"/>
  <c r="AH36" i="6" s="1"/>
  <c r="AC45" i="6"/>
  <c r="AE50" i="6"/>
  <c r="V50" i="6"/>
  <c r="U50" i="6"/>
  <c r="AG50" i="6" s="1"/>
  <c r="AC50" i="6"/>
  <c r="AB58" i="6"/>
  <c r="AE58" i="6"/>
  <c r="AH58" i="6" s="1"/>
  <c r="AE65" i="6"/>
  <c r="AH65" i="6" s="1"/>
  <c r="AC71" i="6"/>
  <c r="AB71" i="6"/>
  <c r="AE86" i="6"/>
  <c r="AH86" i="6" s="1"/>
  <c r="AC86" i="6"/>
  <c r="AB86" i="6"/>
  <c r="AB101" i="6"/>
  <c r="AC101" i="6"/>
  <c r="AE101" i="6"/>
  <c r="AH101" i="6" s="1"/>
  <c r="AB11" i="6"/>
  <c r="AH11" i="6"/>
  <c r="AC11" i="6"/>
  <c r="AE13" i="6"/>
  <c r="AH13" i="6" s="1"/>
  <c r="AE20" i="6"/>
  <c r="V20" i="6"/>
  <c r="AC20" i="6"/>
  <c r="U20" i="6"/>
  <c r="AG20" i="6" s="1"/>
  <c r="AE31" i="6"/>
  <c r="V31" i="6"/>
  <c r="AC31" i="6"/>
  <c r="U31" i="6"/>
  <c r="AG31" i="6" s="1"/>
  <c r="AC33" i="6"/>
  <c r="AB42" i="6"/>
  <c r="AD42" i="6" s="1"/>
  <c r="AK42" i="6" s="1"/>
  <c r="AE42" i="6"/>
  <c r="AH42" i="6" s="1"/>
  <c r="AB43" i="6"/>
  <c r="AB44" i="6"/>
  <c r="AE44" i="6"/>
  <c r="AH44" i="6" s="1"/>
  <c r="AC44" i="6"/>
  <c r="AE49" i="6"/>
  <c r="V49" i="6"/>
  <c r="AC49" i="6"/>
  <c r="U49" i="6"/>
  <c r="AG49" i="6" s="1"/>
  <c r="AC58" i="6"/>
  <c r="AH63" i="6"/>
  <c r="AC63" i="6"/>
  <c r="AB63" i="6"/>
  <c r="AC64" i="6"/>
  <c r="AB64" i="6"/>
  <c r="AE64" i="6"/>
  <c r="AH64" i="6" s="1"/>
  <c r="AE71" i="6"/>
  <c r="AH71" i="6" s="1"/>
  <c r="AB85" i="6"/>
  <c r="AD85" i="6" s="1"/>
  <c r="AK85" i="6" s="1"/>
  <c r="AE85" i="6"/>
  <c r="AH85" i="6" s="1"/>
  <c r="AE102" i="6"/>
  <c r="AH102" i="6" s="1"/>
  <c r="AB114" i="6"/>
  <c r="AD114" i="6" s="1"/>
  <c r="AK114" i="6" s="1"/>
  <c r="AE114" i="6"/>
  <c r="AH114" i="6" s="1"/>
  <c r="AC114" i="6"/>
  <c r="AH34" i="6"/>
  <c r="AC34" i="6"/>
  <c r="AC67" i="6"/>
  <c r="V67" i="6"/>
  <c r="AE67" i="6"/>
  <c r="AE78" i="6"/>
  <c r="AH78" i="6" s="1"/>
  <c r="AB78" i="6"/>
  <c r="AE80" i="6"/>
  <c r="AH80" i="6" s="1"/>
  <c r="AB80" i="6"/>
  <c r="AC88" i="6"/>
  <c r="AE88" i="6"/>
  <c r="AB92" i="6"/>
  <c r="V109" i="6"/>
  <c r="U15" i="6"/>
  <c r="AG15" i="6" s="1"/>
  <c r="AE15" i="6"/>
  <c r="AB16" i="6"/>
  <c r="AH16" i="6"/>
  <c r="AB17" i="6"/>
  <c r="AD17" i="6" s="1"/>
  <c r="AK17" i="6" s="1"/>
  <c r="AB21" i="6"/>
  <c r="AD21" i="6" s="1"/>
  <c r="AK21" i="6" s="1"/>
  <c r="AB23" i="6"/>
  <c r="AB30" i="6"/>
  <c r="AD30" i="6" s="1"/>
  <c r="AK30" i="6" s="1"/>
  <c r="AB32" i="6"/>
  <c r="AD32" i="6" s="1"/>
  <c r="AK32" i="6" s="1"/>
  <c r="AB34" i="6"/>
  <c r="AB37" i="6"/>
  <c r="AH37" i="6"/>
  <c r="AB48" i="6"/>
  <c r="AD48" i="6" s="1"/>
  <c r="AK48" i="6" s="1"/>
  <c r="AB52" i="6"/>
  <c r="AB56" i="6"/>
  <c r="U67" i="6"/>
  <c r="AG67" i="6" s="1"/>
  <c r="AE72" i="6"/>
  <c r="AH72" i="6" s="1"/>
  <c r="AC72" i="6"/>
  <c r="AD72" i="6" s="1"/>
  <c r="AK72" i="6" s="1"/>
  <c r="AB73" i="6"/>
  <c r="AD73" i="6" s="1"/>
  <c r="AK73" i="6" s="1"/>
  <c r="AE76" i="6"/>
  <c r="V76" i="6"/>
  <c r="AC76" i="6"/>
  <c r="AC78" i="6"/>
  <c r="AC80" i="6"/>
  <c r="U88" i="6"/>
  <c r="AG88" i="6" s="1"/>
  <c r="AC92" i="6"/>
  <c r="AB96" i="6"/>
  <c r="AE96" i="6"/>
  <c r="AH96" i="6" s="1"/>
  <c r="U109" i="6"/>
  <c r="K106" i="6"/>
  <c r="V15" i="6"/>
  <c r="AC16" i="6"/>
  <c r="AB28" i="6"/>
  <c r="AH28" i="6"/>
  <c r="AH35" i="6"/>
  <c r="AC35" i="6"/>
  <c r="AC37" i="6"/>
  <c r="AB46" i="6"/>
  <c r="AH46" i="6"/>
  <c r="AB47" i="6"/>
  <c r="AB59" i="6"/>
  <c r="AH59" i="6"/>
  <c r="AB60" i="6"/>
  <c r="Q68" i="6"/>
  <c r="AE73" i="6"/>
  <c r="AH73" i="6" s="1"/>
  <c r="AC74" i="6"/>
  <c r="AD74" i="6" s="1"/>
  <c r="AK74" i="6" s="1"/>
  <c r="AE74" i="6"/>
  <c r="AH74" i="6" s="1"/>
  <c r="U76" i="6"/>
  <c r="AE79" i="6"/>
  <c r="U79" i="6"/>
  <c r="AG79" i="6" s="1"/>
  <c r="AH81" i="6"/>
  <c r="AB81" i="6"/>
  <c r="AC87" i="6"/>
  <c r="AE87" i="6"/>
  <c r="V88" i="6"/>
  <c r="AC89" i="6"/>
  <c r="AD89" i="6" s="1"/>
  <c r="AE89" i="6"/>
  <c r="AH89" i="6" s="1"/>
  <c r="Q90" i="6"/>
  <c r="AE91" i="6"/>
  <c r="AH91" i="6" s="1"/>
  <c r="AB91" i="6"/>
  <c r="AD91" i="6" s="1"/>
  <c r="AK91" i="6" s="1"/>
  <c r="AE92" i="6"/>
  <c r="AH92" i="6" s="1"/>
  <c r="AC96" i="6"/>
  <c r="Q100" i="6"/>
  <c r="Q103" i="6"/>
  <c r="AC104" i="6"/>
  <c r="AE104" i="6"/>
  <c r="AH104" i="6" s="1"/>
  <c r="AD110" i="6"/>
  <c r="L15" i="4"/>
  <c r="L69" i="4"/>
  <c r="L66" i="4"/>
  <c r="L72" i="4"/>
  <c r="L61" i="4"/>
  <c r="L54" i="4"/>
  <c r="L75" i="4"/>
  <c r="L27" i="4"/>
  <c r="L52" i="4"/>
  <c r="L103" i="4"/>
  <c r="L25" i="4"/>
  <c r="L94" i="4"/>
  <c r="L90" i="4"/>
  <c r="L95" i="4"/>
  <c r="L31" i="4"/>
  <c r="L10" i="4"/>
  <c r="L42" i="4"/>
  <c r="L12" i="4"/>
  <c r="L76" i="4"/>
  <c r="L82" i="4"/>
  <c r="L53" i="4"/>
  <c r="L33" i="4"/>
  <c r="L19" i="4"/>
  <c r="L102" i="4"/>
  <c r="L68" i="4"/>
  <c r="L83" i="4"/>
  <c r="L20" i="4"/>
  <c r="L100" i="4"/>
  <c r="L9" i="4"/>
  <c r="L50" i="4"/>
  <c r="L109" i="4"/>
  <c r="AD25" i="6" l="1"/>
  <c r="AK25" i="6" s="1"/>
  <c r="AH33" i="6"/>
  <c r="AD23" i="6"/>
  <c r="AK23" i="6" s="1"/>
  <c r="AD16" i="6"/>
  <c r="AK16" i="6" s="1"/>
  <c r="AD28" i="6"/>
  <c r="AK28" i="6" s="1"/>
  <c r="AD52" i="6"/>
  <c r="AK52" i="6" s="1"/>
  <c r="AD36" i="6"/>
  <c r="AK36" i="6" s="1"/>
  <c r="AD102" i="6"/>
  <c r="AK102" i="6" s="1"/>
  <c r="AB65" i="6"/>
  <c r="AD65" i="6" s="1"/>
  <c r="AK65" i="6" s="1"/>
  <c r="AD41" i="6"/>
  <c r="AK41" i="6" s="1"/>
  <c r="AB51" i="6"/>
  <c r="AD51" i="6" s="1"/>
  <c r="AK51" i="6" s="1"/>
  <c r="AD35" i="6"/>
  <c r="AK35" i="6" s="1"/>
  <c r="AH49" i="6"/>
  <c r="AD44" i="6"/>
  <c r="AD59" i="6"/>
  <c r="AK59" i="6" s="1"/>
  <c r="AD56" i="6"/>
  <c r="AK56" i="6" s="1"/>
  <c r="AD99" i="6"/>
  <c r="AK99" i="6" s="1"/>
  <c r="AD19" i="6"/>
  <c r="AK19" i="6" s="1"/>
  <c r="AB109" i="6"/>
  <c r="AD109" i="6" s="1"/>
  <c r="AD81" i="6"/>
  <c r="AK81" i="6" s="1"/>
  <c r="AH67" i="6"/>
  <c r="AD18" i="6"/>
  <c r="AK18" i="6" s="1"/>
  <c r="AD70" i="6"/>
  <c r="AK70" i="6" s="1"/>
  <c r="AD38" i="6"/>
  <c r="AK38" i="6" s="1"/>
  <c r="AD39" i="6"/>
  <c r="AK39" i="6" s="1"/>
  <c r="AH87" i="6"/>
  <c r="AD60" i="6"/>
  <c r="AK60" i="6" s="1"/>
  <c r="AH15" i="6"/>
  <c r="AD64" i="6"/>
  <c r="AK64" i="6" s="1"/>
  <c r="AH31" i="6"/>
  <c r="AH20" i="6"/>
  <c r="AD24" i="6"/>
  <c r="AK24" i="6" s="1"/>
  <c r="AD10" i="6"/>
  <c r="AK10" i="6" s="1"/>
  <c r="AB87" i="6"/>
  <c r="AD87" i="6" s="1"/>
  <c r="AK87" i="6" s="1"/>
  <c r="AD96" i="6"/>
  <c r="AK96" i="6" s="1"/>
  <c r="AD63" i="6"/>
  <c r="AK63" i="6" s="1"/>
  <c r="AD14" i="6"/>
  <c r="AK14" i="6" s="1"/>
  <c r="AD40" i="6"/>
  <c r="AK40" i="6" s="1"/>
  <c r="AD84" i="6"/>
  <c r="AK84" i="6" s="1"/>
  <c r="AD83" i="6"/>
  <c r="AK83" i="6" s="1"/>
  <c r="AD97" i="6"/>
  <c r="AK97" i="6" s="1"/>
  <c r="AH79" i="6"/>
  <c r="AD47" i="6"/>
  <c r="AD77" i="6"/>
  <c r="AB79" i="6"/>
  <c r="AD79" i="6" s="1"/>
  <c r="AK79" i="6" s="1"/>
  <c r="AH88" i="6"/>
  <c r="AD78" i="6"/>
  <c r="AK78" i="6" s="1"/>
  <c r="AB50" i="6"/>
  <c r="AD50" i="6" s="1"/>
  <c r="AK50" i="6" s="1"/>
  <c r="AD11" i="6"/>
  <c r="AK11" i="6" s="1"/>
  <c r="AD101" i="6"/>
  <c r="AK101" i="6" s="1"/>
  <c r="AH22" i="6"/>
  <c r="AD75" i="6"/>
  <c r="AK75" i="6" s="1"/>
  <c r="AD98" i="6"/>
  <c r="AK98" i="6" s="1"/>
  <c r="AD69" i="6"/>
  <c r="AK69" i="6" s="1"/>
  <c r="AD8" i="6"/>
  <c r="AK8" i="6" s="1"/>
  <c r="AD46" i="6"/>
  <c r="AK46" i="6" s="1"/>
  <c r="AD37" i="6"/>
  <c r="AD58" i="6"/>
  <c r="AK58" i="6" s="1"/>
  <c r="AH50" i="6"/>
  <c r="AB33" i="6"/>
  <c r="AD33" i="6" s="1"/>
  <c r="AK33" i="6" s="1"/>
  <c r="T106" i="6"/>
  <c r="AD95" i="6"/>
  <c r="AK95" i="6" s="1"/>
  <c r="AD54" i="6"/>
  <c r="AK54" i="6" s="1"/>
  <c r="AD53" i="6"/>
  <c r="AK53" i="6" s="1"/>
  <c r="AD93" i="6"/>
  <c r="AK93" i="6" s="1"/>
  <c r="AH51" i="6"/>
  <c r="AD29" i="6"/>
  <c r="AK29" i="6" s="1"/>
  <c r="AC109" i="6"/>
  <c r="AE109" i="6"/>
  <c r="AH109" i="6" s="1"/>
  <c r="AH111" i="6" s="1"/>
  <c r="AB90" i="6"/>
  <c r="AE90" i="6"/>
  <c r="AC90" i="6"/>
  <c r="AD27" i="6"/>
  <c r="AK27" i="6" s="1"/>
  <c r="AB103" i="6"/>
  <c r="AE103" i="6"/>
  <c r="AH103" i="6" s="1"/>
  <c r="AC103" i="6"/>
  <c r="AC68" i="6"/>
  <c r="AE68" i="6"/>
  <c r="U68" i="6"/>
  <c r="AG68" i="6" s="1"/>
  <c r="V68" i="6"/>
  <c r="AD80" i="6"/>
  <c r="AK80" i="6" s="1"/>
  <c r="AB20" i="6"/>
  <c r="AD20" i="6" s="1"/>
  <c r="AK20" i="6" s="1"/>
  <c r="AG9" i="6"/>
  <c r="AH9" i="6" s="1"/>
  <c r="AD62" i="6"/>
  <c r="AK62" i="6" s="1"/>
  <c r="AD7" i="6"/>
  <c r="AC100" i="6"/>
  <c r="V100" i="6"/>
  <c r="U100" i="6"/>
  <c r="AG100" i="6" s="1"/>
  <c r="AE100" i="6"/>
  <c r="AB67" i="6"/>
  <c r="AD67" i="6" s="1"/>
  <c r="AK67" i="6" s="1"/>
  <c r="AD34" i="6"/>
  <c r="AB88" i="6"/>
  <c r="AD88" i="6" s="1"/>
  <c r="AK88" i="6" s="1"/>
  <c r="AB15" i="6"/>
  <c r="AD15" i="6" s="1"/>
  <c r="AK15" i="6" s="1"/>
  <c r="AB49" i="6"/>
  <c r="AD49" i="6" s="1"/>
  <c r="AK49" i="6" s="1"/>
  <c r="AB22" i="6"/>
  <c r="AD22" i="6" s="1"/>
  <c r="AK22" i="6" s="1"/>
  <c r="AD66" i="6"/>
  <c r="AK66" i="6" s="1"/>
  <c r="AB9" i="6"/>
  <c r="AD9" i="6" s="1"/>
  <c r="AK9" i="6" s="1"/>
  <c r="AD61" i="6"/>
  <c r="AK61" i="6" s="1"/>
  <c r="AG76" i="6"/>
  <c r="AH76" i="6" s="1"/>
  <c r="AB76" i="6"/>
  <c r="AD76" i="6" s="1"/>
  <c r="AK76" i="6" s="1"/>
  <c r="AD92" i="6"/>
  <c r="AK92" i="6" s="1"/>
  <c r="AD43" i="6"/>
  <c r="AK43" i="6" s="1"/>
  <c r="AB31" i="6"/>
  <c r="AD31" i="6" s="1"/>
  <c r="AK31" i="6" s="1"/>
  <c r="AD86" i="6"/>
  <c r="AK86" i="6" s="1"/>
  <c r="AD71" i="6"/>
  <c r="AK71" i="6" s="1"/>
  <c r="AD13" i="6"/>
  <c r="AK13" i="6" s="1"/>
  <c r="AD45" i="6"/>
  <c r="AK45" i="6" s="1"/>
  <c r="AD94" i="6"/>
  <c r="AK94" i="6" s="1"/>
  <c r="AD82" i="6"/>
  <c r="AK82" i="6" s="1"/>
  <c r="AD57" i="6"/>
  <c r="AK57" i="6" s="1"/>
  <c r="AD55" i="6"/>
  <c r="AK55" i="6" s="1"/>
  <c r="K28" i="4"/>
  <c r="AH68" i="6" l="1"/>
  <c r="AB68" i="6"/>
  <c r="AD68" i="6" s="1"/>
  <c r="AK68" i="6" s="1"/>
  <c r="U106" i="6"/>
  <c r="AE106" i="6"/>
  <c r="AH100" i="6"/>
  <c r="AD103" i="6"/>
  <c r="AK103" i="6" s="1"/>
  <c r="AH90" i="6"/>
  <c r="AC106" i="6"/>
  <c r="AH112" i="6"/>
  <c r="AH113" i="6" s="1"/>
  <c r="AB100" i="6"/>
  <c r="AD100" i="6" s="1"/>
  <c r="AK100" i="6" s="1"/>
  <c r="AK7" i="6"/>
  <c r="V106" i="6"/>
  <c r="AG106" i="6"/>
  <c r="AD90" i="6"/>
  <c r="AK90" i="6" s="1"/>
  <c r="AG89" i="4"/>
  <c r="Q89" i="4"/>
  <c r="AB89" i="4" s="1"/>
  <c r="AG77" i="4"/>
  <c r="Q77" i="4"/>
  <c r="AB77" i="4" s="1"/>
  <c r="K37" i="4"/>
  <c r="AH106" i="6" l="1"/>
  <c r="AB106" i="6"/>
  <c r="AD106" i="6"/>
  <c r="AK106" i="6"/>
  <c r="AH107" i="6"/>
  <c r="AH108" i="6" s="1"/>
  <c r="AE77" i="4"/>
  <c r="AE89" i="4"/>
  <c r="AH89" i="4" s="1"/>
  <c r="AC89" i="4"/>
  <c r="AD89" i="4" s="1"/>
  <c r="AC77" i="4"/>
  <c r="AD77" i="4" s="1"/>
  <c r="AH77" i="4"/>
  <c r="I96" i="4"/>
  <c r="I95" i="4"/>
  <c r="I94" i="4"/>
  <c r="I82" i="4"/>
  <c r="I76" i="4"/>
  <c r="I66" i="4"/>
  <c r="I61" i="4"/>
  <c r="I35" i="4"/>
  <c r="I34" i="4"/>
  <c r="I25" i="4"/>
  <c r="I10" i="4"/>
  <c r="K52" i="4" l="1"/>
  <c r="AG34" i="4"/>
  <c r="AG35" i="4"/>
  <c r="AG36" i="4"/>
  <c r="AG37" i="4"/>
  <c r="AG38" i="4"/>
  <c r="AG39" i="4"/>
  <c r="AG40" i="4"/>
  <c r="AG41" i="4"/>
  <c r="AG42" i="4"/>
  <c r="AG43" i="4"/>
  <c r="AG44" i="4"/>
  <c r="Q34" i="4"/>
  <c r="AB34" i="4" s="1"/>
  <c r="Q35" i="4"/>
  <c r="AE35" i="4" s="1"/>
  <c r="Q37" i="4"/>
  <c r="AC37" i="4" s="1"/>
  <c r="AH35" i="4" l="1"/>
  <c r="AB37" i="4"/>
  <c r="AD37" i="4" s="1"/>
  <c r="AC35" i="4"/>
  <c r="AB35" i="4"/>
  <c r="AE34" i="4"/>
  <c r="AH34" i="4" s="1"/>
  <c r="AE37" i="4"/>
  <c r="AH37" i="4" s="1"/>
  <c r="AC34" i="4"/>
  <c r="AD34" i="4" s="1"/>
  <c r="K63" i="4"/>
  <c r="K64" i="4"/>
  <c r="AD35" i="4" l="1"/>
  <c r="K44" i="4"/>
  <c r="Q44" i="4" s="1"/>
  <c r="K98" i="4"/>
  <c r="K97" i="4"/>
  <c r="K78" i="4"/>
  <c r="K74" i="4"/>
  <c r="K71" i="4"/>
  <c r="AE44" i="4" l="1"/>
  <c r="AH44" i="4" s="1"/>
  <c r="AB44" i="4"/>
  <c r="AC44" i="4"/>
  <c r="K68" i="4"/>
  <c r="AD44" i="4" l="1"/>
  <c r="K51" i="4"/>
  <c r="K50" i="4"/>
  <c r="K42" i="4"/>
  <c r="Q42" i="4" s="1"/>
  <c r="K39" i="4"/>
  <c r="Q39" i="4" s="1"/>
  <c r="AB42" i="4" l="1"/>
  <c r="AC42" i="4"/>
  <c r="AE42" i="4"/>
  <c r="AH42" i="4" s="1"/>
  <c r="AB39" i="4"/>
  <c r="AC39" i="4"/>
  <c r="AE39" i="4"/>
  <c r="AH39" i="4" s="1"/>
  <c r="K33" i="4"/>
  <c r="AD42" i="4" l="1"/>
  <c r="AD39" i="4"/>
  <c r="K81" i="4"/>
  <c r="AG98" i="4" l="1"/>
  <c r="Q98" i="4"/>
  <c r="K40" i="4"/>
  <c r="Q40" i="4" s="1"/>
  <c r="AG32" i="4"/>
  <c r="K32" i="4"/>
  <c r="Q32" i="4" s="1"/>
  <c r="AE32" i="4" s="1"/>
  <c r="AG71" i="4"/>
  <c r="Q71" i="4"/>
  <c r="K27" i="4"/>
  <c r="K19" i="4"/>
  <c r="Q19" i="4" s="1"/>
  <c r="AE40" i="4" l="1"/>
  <c r="AH40" i="4" s="1"/>
  <c r="AB40" i="4"/>
  <c r="AC40" i="4"/>
  <c r="AB19" i="4"/>
  <c r="AE19" i="4"/>
  <c r="AB98" i="4"/>
  <c r="AE98" i="4"/>
  <c r="AH98" i="4" s="1"/>
  <c r="AC71" i="4"/>
  <c r="AE71" i="4"/>
  <c r="AH71" i="4" s="1"/>
  <c r="AC98" i="4"/>
  <c r="AC32" i="4"/>
  <c r="AB32" i="4"/>
  <c r="AH32" i="4"/>
  <c r="AB71" i="4"/>
  <c r="AG81" i="4"/>
  <c r="Q81" i="4"/>
  <c r="AE81" i="4" s="1"/>
  <c r="AD40" i="4" l="1"/>
  <c r="AK40" i="4" s="1"/>
  <c r="AD98" i="4"/>
  <c r="AD71" i="4"/>
  <c r="AD32" i="4"/>
  <c r="AH81" i="4"/>
  <c r="AB81" i="4"/>
  <c r="AC81" i="4"/>
  <c r="AD81" i="4" l="1"/>
  <c r="AG19" i="4"/>
  <c r="AH19" i="4" s="1"/>
  <c r="AK39" i="4" l="1"/>
  <c r="AC19" i="4"/>
  <c r="AD19" i="4" s="1"/>
  <c r="AK19" i="4" s="1"/>
  <c r="AK98" i="4"/>
  <c r="AK32" i="4" l="1"/>
  <c r="AK71" i="4"/>
  <c r="AG91" i="4"/>
  <c r="AG92" i="4"/>
  <c r="K91" i="4"/>
  <c r="Q91" i="4" s="1"/>
  <c r="AE91" i="4" s="1"/>
  <c r="AG61" i="4"/>
  <c r="K88" i="4"/>
  <c r="K72" i="4"/>
  <c r="K67" i="4"/>
  <c r="I55" i="4"/>
  <c r="K55" i="4" s="1"/>
  <c r="AG69" i="4"/>
  <c r="K69" i="4"/>
  <c r="Q69" i="4" s="1"/>
  <c r="AE69" i="4" s="1"/>
  <c r="K15" i="4"/>
  <c r="AB91" i="4" l="1"/>
  <c r="AC91" i="4"/>
  <c r="AH91" i="4"/>
  <c r="Q61" i="4"/>
  <c r="AC69" i="4"/>
  <c r="AB69" i="4"/>
  <c r="AH69" i="4"/>
  <c r="AE61" i="4" l="1"/>
  <c r="AH61" i="4" s="1"/>
  <c r="AB61" i="4"/>
  <c r="AC61" i="4"/>
  <c r="AD91" i="4"/>
  <c r="AK91" i="4" s="1"/>
  <c r="AD69" i="4"/>
  <c r="AK69" i="4" s="1"/>
  <c r="AD61" i="4" l="1"/>
  <c r="AK61" i="4" s="1"/>
  <c r="K53" i="4"/>
  <c r="K12" i="4"/>
  <c r="AG30" i="4" l="1"/>
  <c r="K30" i="4"/>
  <c r="Q30" i="4" s="1"/>
  <c r="AB30" i="4" l="1"/>
  <c r="AE30" i="4"/>
  <c r="AH30" i="4" s="1"/>
  <c r="AC30" i="4"/>
  <c r="K85" i="4"/>
  <c r="AD30" i="4" l="1"/>
  <c r="I62" i="4"/>
  <c r="K62" i="4" s="1"/>
  <c r="AK30" i="4" l="1"/>
  <c r="AG16" i="4" l="1"/>
  <c r="AG78" i="4"/>
  <c r="K16" i="4" l="1"/>
  <c r="Q16" i="4" s="1"/>
  <c r="AE16" i="4" s="1"/>
  <c r="AG54" i="4"/>
  <c r="K54" i="4"/>
  <c r="Q54" i="4" s="1"/>
  <c r="AE54" i="4" s="1"/>
  <c r="AG73" i="4"/>
  <c r="K73" i="4"/>
  <c r="Q73" i="4" s="1"/>
  <c r="AE73" i="4" s="1"/>
  <c r="AB73" i="4" l="1"/>
  <c r="AH73" i="4"/>
  <c r="AH16" i="4"/>
  <c r="AB16" i="4"/>
  <c r="AC16" i="4"/>
  <c r="AH54" i="4"/>
  <c r="AB54" i="4"/>
  <c r="AC73" i="4"/>
  <c r="AC54" i="4"/>
  <c r="AG114" i="4"/>
  <c r="K114" i="4"/>
  <c r="Q114" i="4" s="1"/>
  <c r="AD54" i="4" l="1"/>
  <c r="AK54" i="4" s="1"/>
  <c r="AD16" i="4"/>
  <c r="AK16" i="4" s="1"/>
  <c r="AD73" i="4"/>
  <c r="AK73" i="4" s="1"/>
  <c r="AE114" i="4"/>
  <c r="AH114" i="4" s="1"/>
  <c r="AB114" i="4"/>
  <c r="AC114" i="4"/>
  <c r="AD114" i="4" l="1"/>
  <c r="AK114" i="4" s="1"/>
  <c r="K41" i="4"/>
  <c r="Q41" i="4" s="1"/>
  <c r="AC41" i="4" l="1"/>
  <c r="AE41" i="4"/>
  <c r="AH41" i="4" s="1"/>
  <c r="AB41" i="4"/>
  <c r="AG93" i="4"/>
  <c r="K93" i="4"/>
  <c r="Q93" i="4" s="1"/>
  <c r="AE93" i="4" s="1"/>
  <c r="AD41" i="4" l="1"/>
  <c r="AB93" i="4"/>
  <c r="AH93" i="4"/>
  <c r="AC93" i="4"/>
  <c r="AD93" i="4" l="1"/>
  <c r="AK93" i="4" s="1"/>
  <c r="AK104" i="4" l="1"/>
  <c r="Q9" i="5" l="1"/>
  <c r="V9" i="5" s="1"/>
  <c r="U9" i="5" l="1"/>
  <c r="AB9" i="5"/>
  <c r="AK35" i="4" l="1"/>
  <c r="AE9" i="5"/>
  <c r="AH9" i="5" s="1"/>
  <c r="AH10" i="5" s="1"/>
  <c r="AC9" i="5"/>
  <c r="AD9" i="5"/>
  <c r="AH11" i="5" l="1"/>
  <c r="AH12" i="5" s="1"/>
  <c r="AH7" i="5" l="1"/>
  <c r="AH8" i="5" s="1"/>
  <c r="AH14" i="5" s="1"/>
  <c r="Q104" i="4" l="1"/>
  <c r="AC104" i="4" s="1"/>
  <c r="K60" i="4"/>
  <c r="Q60" i="4" s="1"/>
  <c r="AE60" i="4" s="1"/>
  <c r="K80" i="4"/>
  <c r="Q80" i="4" s="1"/>
  <c r="AG80" i="4"/>
  <c r="AG60" i="4"/>
  <c r="AC80" i="4" l="1"/>
  <c r="AE80" i="4"/>
  <c r="AH80" i="4" s="1"/>
  <c r="AB60" i="4"/>
  <c r="AC60" i="4"/>
  <c r="AH60" i="4"/>
  <c r="AB80" i="4"/>
  <c r="AD60" i="4" l="1"/>
  <c r="AK60" i="4" s="1"/>
  <c r="AD80" i="4"/>
  <c r="AK80" i="4" s="1"/>
  <c r="AG24" i="4"/>
  <c r="AG62" i="4" l="1"/>
  <c r="Q62" i="4"/>
  <c r="AC62" i="4" l="1"/>
  <c r="AE62" i="4"/>
  <c r="AH62" i="4" s="1"/>
  <c r="AB62" i="4"/>
  <c r="Q76" i="4"/>
  <c r="AC76" i="4" l="1"/>
  <c r="AE76" i="4"/>
  <c r="AD62" i="4"/>
  <c r="AK62" i="4" s="1"/>
  <c r="K24" i="4"/>
  <c r="Q24" i="4" s="1"/>
  <c r="AG104" i="4"/>
  <c r="AG63" i="4"/>
  <c r="AG96" i="4"/>
  <c r="AG103" i="4"/>
  <c r="AG101" i="4"/>
  <c r="AG102" i="4"/>
  <c r="AG99" i="4"/>
  <c r="AG97" i="4"/>
  <c r="AG95" i="4"/>
  <c r="AG94" i="4"/>
  <c r="AG90" i="4"/>
  <c r="AG86" i="4"/>
  <c r="AG85" i="4"/>
  <c r="AG84" i="4"/>
  <c r="AG83" i="4"/>
  <c r="AG82" i="4"/>
  <c r="AG75" i="4"/>
  <c r="AG74" i="4"/>
  <c r="AG72" i="4"/>
  <c r="AG70" i="4"/>
  <c r="AG66" i="4"/>
  <c r="AG64" i="4"/>
  <c r="AG59" i="4"/>
  <c r="AG58" i="4"/>
  <c r="AG57" i="4"/>
  <c r="AG56" i="4"/>
  <c r="AG53" i="4"/>
  <c r="AG52" i="4"/>
  <c r="AG55" i="4"/>
  <c r="AG48" i="4"/>
  <c r="AG47" i="4"/>
  <c r="AG46" i="4"/>
  <c r="AG45" i="4"/>
  <c r="AG29" i="4"/>
  <c r="AG28" i="4"/>
  <c r="AG27" i="4"/>
  <c r="AG26" i="4"/>
  <c r="AG25" i="4"/>
  <c r="AG23" i="4"/>
  <c r="AG21" i="4"/>
  <c r="AG18" i="4"/>
  <c r="AG17" i="4"/>
  <c r="AG13" i="4"/>
  <c r="AG14" i="4"/>
  <c r="AG12" i="4"/>
  <c r="AG11" i="4"/>
  <c r="AG10" i="4"/>
  <c r="AG8" i="4"/>
  <c r="AG7" i="4"/>
  <c r="AC24" i="4" l="1"/>
  <c r="AE24" i="4"/>
  <c r="AH24" i="4" s="1"/>
  <c r="AB24" i="4"/>
  <c r="U76" i="4"/>
  <c r="AG76" i="4" s="1"/>
  <c r="V76" i="4"/>
  <c r="Q63" i="4"/>
  <c r="AC63" i="4" l="1"/>
  <c r="AE63" i="4"/>
  <c r="AH63" i="4" s="1"/>
  <c r="AD24" i="4"/>
  <c r="AK24" i="4" s="1"/>
  <c r="AH76" i="4"/>
  <c r="AB76" i="4"/>
  <c r="AD76" i="4" s="1"/>
  <c r="AK76" i="4" s="1"/>
  <c r="AB63" i="4"/>
  <c r="AE104" i="4"/>
  <c r="AH104" i="4" s="1"/>
  <c r="K75" i="4"/>
  <c r="Q75" i="4" s="1"/>
  <c r="AC75" i="4" l="1"/>
  <c r="AE75" i="4"/>
  <c r="AH75" i="4" s="1"/>
  <c r="AD63" i="4"/>
  <c r="AK63" i="4" s="1"/>
  <c r="AF106" i="4"/>
  <c r="AB75" i="4"/>
  <c r="Q110" i="4"/>
  <c r="Q109" i="4"/>
  <c r="AJ106" i="4"/>
  <c r="AI106" i="4"/>
  <c r="X106" i="4"/>
  <c r="W106" i="4"/>
  <c r="R106" i="4"/>
  <c r="P106" i="4"/>
  <c r="O106" i="4"/>
  <c r="N106" i="4"/>
  <c r="Q96" i="4"/>
  <c r="Q78" i="4"/>
  <c r="K103" i="4"/>
  <c r="Q103" i="4" s="1"/>
  <c r="K101" i="4"/>
  <c r="K102" i="4"/>
  <c r="Q102" i="4" s="1"/>
  <c r="K100" i="4"/>
  <c r="Q100" i="4" s="1"/>
  <c r="K99" i="4"/>
  <c r="Q99" i="4" s="1"/>
  <c r="Q95" i="4"/>
  <c r="Q94" i="4"/>
  <c r="K92" i="4"/>
  <c r="Q92" i="4" s="1"/>
  <c r="AE92" i="4" s="1"/>
  <c r="K90" i="4"/>
  <c r="Q90" i="4" s="1"/>
  <c r="Q88" i="4"/>
  <c r="K87" i="4"/>
  <c r="Q87" i="4" s="1"/>
  <c r="K86" i="4"/>
  <c r="Q86" i="4" s="1"/>
  <c r="Q85" i="4"/>
  <c r="K84" i="4"/>
  <c r="Q84" i="4" s="1"/>
  <c r="K83" i="4"/>
  <c r="Q83" i="4" s="1"/>
  <c r="Q82" i="4"/>
  <c r="K79" i="4"/>
  <c r="Q79" i="4" s="1"/>
  <c r="Q74" i="4"/>
  <c r="Q72" i="4"/>
  <c r="K70" i="4"/>
  <c r="Q70" i="4" s="1"/>
  <c r="Q68" i="4"/>
  <c r="Q67" i="4"/>
  <c r="Q66" i="4"/>
  <c r="K65" i="4"/>
  <c r="Q65" i="4" s="1"/>
  <c r="Q64" i="4"/>
  <c r="K59" i="4"/>
  <c r="Q59" i="4" s="1"/>
  <c r="K58" i="4"/>
  <c r="Q58" i="4" s="1"/>
  <c r="K57" i="4"/>
  <c r="Q57" i="4" s="1"/>
  <c r="K56" i="4"/>
  <c r="Q56" i="4" s="1"/>
  <c r="Q53" i="4"/>
  <c r="AE53" i="4" s="1"/>
  <c r="Q52" i="4"/>
  <c r="Q51" i="4"/>
  <c r="Q50" i="4"/>
  <c r="K49" i="4"/>
  <c r="Q49" i="4" s="1"/>
  <c r="Q55" i="4"/>
  <c r="K48" i="4"/>
  <c r="Q48" i="4" s="1"/>
  <c r="K47" i="4"/>
  <c r="Q47" i="4" s="1"/>
  <c r="K46" i="4"/>
  <c r="Q46" i="4" s="1"/>
  <c r="K45" i="4"/>
  <c r="Q45" i="4" s="1"/>
  <c r="K43" i="4"/>
  <c r="Q43" i="4" s="1"/>
  <c r="K38" i="4"/>
  <c r="Q38" i="4" s="1"/>
  <c r="K36" i="4"/>
  <c r="Q33" i="4"/>
  <c r="Q31" i="4"/>
  <c r="Q28" i="4"/>
  <c r="Q27" i="4"/>
  <c r="K26" i="4"/>
  <c r="Q26" i="4" s="1"/>
  <c r="Q25" i="4"/>
  <c r="K23" i="4"/>
  <c r="Q23" i="4" s="1"/>
  <c r="K22" i="4"/>
  <c r="Q22" i="4" s="1"/>
  <c r="K21" i="4"/>
  <c r="Q21" i="4" s="1"/>
  <c r="K20" i="4"/>
  <c r="Q20" i="4" s="1"/>
  <c r="K18" i="4"/>
  <c r="K17" i="4"/>
  <c r="Q17" i="4" s="1"/>
  <c r="Q15" i="4"/>
  <c r="K13" i="4"/>
  <c r="K14" i="4"/>
  <c r="Q14" i="4" s="1"/>
  <c r="Q12" i="4"/>
  <c r="K11" i="4"/>
  <c r="Q11" i="4" s="1"/>
  <c r="Q10" i="4"/>
  <c r="K9" i="4"/>
  <c r="Q9" i="4" s="1"/>
  <c r="K8" i="4"/>
  <c r="Q8" i="4" s="1"/>
  <c r="K7" i="4"/>
  <c r="Q36" i="4" l="1"/>
  <c r="AB38" i="4"/>
  <c r="AC38" i="4"/>
  <c r="AE38" i="4"/>
  <c r="AH38" i="4" s="1"/>
  <c r="AB43" i="4"/>
  <c r="AC43" i="4"/>
  <c r="AE43" i="4"/>
  <c r="AH43" i="4" s="1"/>
  <c r="AC70" i="4"/>
  <c r="AE70" i="4"/>
  <c r="AH70" i="4" s="1"/>
  <c r="AC55" i="4"/>
  <c r="AE55" i="4"/>
  <c r="AH55" i="4" s="1"/>
  <c r="AC46" i="4"/>
  <c r="AE46" i="4"/>
  <c r="AH46" i="4" s="1"/>
  <c r="AC47" i="4"/>
  <c r="AE47" i="4"/>
  <c r="AC58" i="4"/>
  <c r="AE58" i="4"/>
  <c r="AH58" i="4" s="1"/>
  <c r="AC64" i="4"/>
  <c r="AE64" i="4"/>
  <c r="AH64" i="4" s="1"/>
  <c r="AC23" i="4"/>
  <c r="AE23" i="4"/>
  <c r="AC59" i="4"/>
  <c r="AE59" i="4"/>
  <c r="AH59" i="4" s="1"/>
  <c r="AC45" i="4"/>
  <c r="AE45" i="4"/>
  <c r="AC48" i="4"/>
  <c r="AE48" i="4"/>
  <c r="AC56" i="4"/>
  <c r="AE56" i="4"/>
  <c r="AH56" i="4" s="1"/>
  <c r="AC57" i="4"/>
  <c r="AE57" i="4"/>
  <c r="AC26" i="4"/>
  <c r="AE26" i="4"/>
  <c r="AH26" i="4" s="1"/>
  <c r="AC14" i="4"/>
  <c r="AE14" i="4"/>
  <c r="AH14" i="4" s="1"/>
  <c r="AC8" i="4"/>
  <c r="AE8" i="4"/>
  <c r="AH8" i="4" s="1"/>
  <c r="AC11" i="4"/>
  <c r="AE11" i="4"/>
  <c r="AH11" i="4" s="1"/>
  <c r="AC21" i="4"/>
  <c r="AE21" i="4"/>
  <c r="AH21" i="4" s="1"/>
  <c r="AC15" i="4"/>
  <c r="AE15" i="4"/>
  <c r="AC72" i="4"/>
  <c r="AE72" i="4"/>
  <c r="AH72" i="4" s="1"/>
  <c r="AC27" i="4"/>
  <c r="AE27" i="4"/>
  <c r="AH27" i="4" s="1"/>
  <c r="AC12" i="4"/>
  <c r="AE12" i="4"/>
  <c r="AH12" i="4" s="1"/>
  <c r="AC20" i="4"/>
  <c r="AE20" i="4"/>
  <c r="AC67" i="4"/>
  <c r="AE67" i="4"/>
  <c r="AC65" i="4"/>
  <c r="AE65" i="4"/>
  <c r="AC22" i="4"/>
  <c r="AE22" i="4"/>
  <c r="AC9" i="4"/>
  <c r="AE9" i="4"/>
  <c r="AC49" i="4"/>
  <c r="AE49" i="4"/>
  <c r="AC31" i="4"/>
  <c r="AE31" i="4"/>
  <c r="AC66" i="4"/>
  <c r="AE66" i="4"/>
  <c r="AH66" i="4" s="1"/>
  <c r="AC25" i="4"/>
  <c r="AE25" i="4"/>
  <c r="AH25" i="4" s="1"/>
  <c r="AC52" i="4"/>
  <c r="AE52" i="4"/>
  <c r="AH52" i="4" s="1"/>
  <c r="AC17" i="4"/>
  <c r="AE17" i="4"/>
  <c r="AH17" i="4" s="1"/>
  <c r="AC28" i="4"/>
  <c r="AE28" i="4"/>
  <c r="AH28" i="4" s="1"/>
  <c r="AC79" i="4"/>
  <c r="AE79" i="4"/>
  <c r="AC82" i="4"/>
  <c r="AE82" i="4"/>
  <c r="AH82" i="4" s="1"/>
  <c r="AC86" i="4"/>
  <c r="AE86" i="4"/>
  <c r="AC100" i="4"/>
  <c r="AE100" i="4"/>
  <c r="AC90" i="4"/>
  <c r="AE90" i="4"/>
  <c r="AH90" i="4" s="1"/>
  <c r="AC99" i="4"/>
  <c r="AE99" i="4"/>
  <c r="AH99" i="4" s="1"/>
  <c r="AC103" i="4"/>
  <c r="AE103" i="4"/>
  <c r="AH103" i="4" s="1"/>
  <c r="AC84" i="4"/>
  <c r="AE84" i="4"/>
  <c r="AH84" i="4" s="1"/>
  <c r="AC88" i="4"/>
  <c r="AE88" i="4"/>
  <c r="AC95" i="4"/>
  <c r="AE95" i="4"/>
  <c r="AH95" i="4" s="1"/>
  <c r="AC85" i="4"/>
  <c r="AE85" i="4"/>
  <c r="AH85" i="4" s="1"/>
  <c r="AC83" i="4"/>
  <c r="AE83" i="4"/>
  <c r="AC87" i="4"/>
  <c r="AE87" i="4"/>
  <c r="AC94" i="4"/>
  <c r="AE94" i="4"/>
  <c r="AH94" i="4" s="1"/>
  <c r="AC96" i="4"/>
  <c r="AE96" i="4"/>
  <c r="AH96" i="4" s="1"/>
  <c r="AC102" i="4"/>
  <c r="AE102" i="4"/>
  <c r="AH102" i="4" s="1"/>
  <c r="AB78" i="4"/>
  <c r="AE78" i="4"/>
  <c r="AH78" i="4" s="1"/>
  <c r="AC74" i="4"/>
  <c r="AE74" i="4"/>
  <c r="AH74" i="4" s="1"/>
  <c r="AC68" i="4"/>
  <c r="AE68" i="4"/>
  <c r="AC51" i="4"/>
  <c r="AE51" i="4"/>
  <c r="AC50" i="4"/>
  <c r="AE50" i="4"/>
  <c r="AC33" i="4"/>
  <c r="AE33" i="4"/>
  <c r="AC10" i="4"/>
  <c r="AE10" i="4"/>
  <c r="AH10" i="4" s="1"/>
  <c r="AC92" i="4"/>
  <c r="AB110" i="4"/>
  <c r="AE110" i="4" s="1"/>
  <c r="AC78" i="4"/>
  <c r="Q18" i="4"/>
  <c r="AE18" i="4" s="1"/>
  <c r="Q97" i="4"/>
  <c r="Q101" i="4"/>
  <c r="Q13" i="4"/>
  <c r="AC53" i="4"/>
  <c r="V109" i="4"/>
  <c r="U109" i="4"/>
  <c r="Y106" i="4"/>
  <c r="Q29" i="4"/>
  <c r="AD75" i="4"/>
  <c r="AK75" i="4" s="1"/>
  <c r="V50" i="4"/>
  <c r="U50" i="4"/>
  <c r="AG50" i="4" s="1"/>
  <c r="AH92" i="4"/>
  <c r="AH53" i="4"/>
  <c r="AB72" i="4"/>
  <c r="U31" i="4"/>
  <c r="AG31" i="4" s="1"/>
  <c r="V88" i="4"/>
  <c r="V51" i="4"/>
  <c r="Z106" i="4"/>
  <c r="AB12" i="4"/>
  <c r="AB55" i="4"/>
  <c r="AB82" i="4"/>
  <c r="U20" i="4"/>
  <c r="AG20" i="4" s="1"/>
  <c r="AB58" i="4"/>
  <c r="V20" i="4"/>
  <c r="AB66" i="4"/>
  <c r="AK41" i="4"/>
  <c r="AB11" i="4"/>
  <c r="V49" i="4"/>
  <c r="AB59" i="4"/>
  <c r="AB90" i="4"/>
  <c r="AB99" i="4"/>
  <c r="AB21" i="4"/>
  <c r="U51" i="4"/>
  <c r="AG51" i="4" s="1"/>
  <c r="AB102" i="4"/>
  <c r="L106" i="4"/>
  <c r="U49" i="4"/>
  <c r="AG49" i="4" s="1"/>
  <c r="AB10" i="4"/>
  <c r="AB8" i="4"/>
  <c r="AB17" i="4"/>
  <c r="AB52" i="4"/>
  <c r="K106" i="4"/>
  <c r="Q7" i="4"/>
  <c r="V9" i="4"/>
  <c r="V15" i="4"/>
  <c r="U15" i="4"/>
  <c r="AG15" i="4" s="1"/>
  <c r="AB26" i="4"/>
  <c r="U33" i="4"/>
  <c r="AG33" i="4" s="1"/>
  <c r="V33" i="4"/>
  <c r="T65" i="4"/>
  <c r="U65" i="4"/>
  <c r="AG65" i="4" s="1"/>
  <c r="U79" i="4"/>
  <c r="AG79" i="4" s="1"/>
  <c r="V79" i="4"/>
  <c r="AB94" i="4"/>
  <c r="AB96" i="4"/>
  <c r="U9" i="4"/>
  <c r="AG9" i="4" s="1"/>
  <c r="AB14" i="4"/>
  <c r="AB25" i="4"/>
  <c r="AB95" i="4"/>
  <c r="U22" i="4"/>
  <c r="AG22" i="4" s="1"/>
  <c r="T22" i="4"/>
  <c r="AB64" i="4"/>
  <c r="AK81" i="4"/>
  <c r="V67" i="4"/>
  <c r="AB27" i="4"/>
  <c r="AB56" i="4"/>
  <c r="U67" i="4"/>
  <c r="AG67" i="4" s="1"/>
  <c r="V68" i="4"/>
  <c r="U68" i="4"/>
  <c r="AG68" i="4" s="1"/>
  <c r="AB85" i="4"/>
  <c r="U100" i="4"/>
  <c r="AG100" i="4" s="1"/>
  <c r="AB28" i="4"/>
  <c r="V31" i="4"/>
  <c r="AB46" i="4"/>
  <c r="V53" i="4"/>
  <c r="AB53" i="4" s="1"/>
  <c r="AB74" i="4"/>
  <c r="AB84" i="4"/>
  <c r="U87" i="4"/>
  <c r="AG87" i="4" s="1"/>
  <c r="V87" i="4"/>
  <c r="U88" i="4"/>
  <c r="AG88" i="4" s="1"/>
  <c r="V100" i="4"/>
  <c r="AB70" i="4"/>
  <c r="AB92" i="4"/>
  <c r="AB103" i="4"/>
  <c r="AB36" i="4" l="1"/>
  <c r="AE36" i="4"/>
  <c r="AH36" i="4" s="1"/>
  <c r="AC36" i="4"/>
  <c r="AD43" i="4"/>
  <c r="AD38" i="4"/>
  <c r="AD25" i="4"/>
  <c r="AK25" i="4" s="1"/>
  <c r="AD14" i="4"/>
  <c r="AK14" i="4" s="1"/>
  <c r="AD99" i="4"/>
  <c r="AK99" i="4" s="1"/>
  <c r="AD103" i="4"/>
  <c r="AK103" i="4" s="1"/>
  <c r="AD17" i="4"/>
  <c r="AK17" i="4" s="1"/>
  <c r="AD70" i="4"/>
  <c r="AK70" i="4" s="1"/>
  <c r="AD46" i="4"/>
  <c r="AK46" i="4" s="1"/>
  <c r="AD52" i="4"/>
  <c r="AK52" i="4" s="1"/>
  <c r="AD10" i="4"/>
  <c r="AK10" i="4" s="1"/>
  <c r="AD64" i="4"/>
  <c r="AK64" i="4" s="1"/>
  <c r="AD55" i="4"/>
  <c r="AK55" i="4" s="1"/>
  <c r="AC29" i="4"/>
  <c r="AE29" i="4"/>
  <c r="AH29" i="4" s="1"/>
  <c r="AE13" i="4"/>
  <c r="AH13" i="4" s="1"/>
  <c r="AC7" i="4"/>
  <c r="AE7" i="4"/>
  <c r="AH7" i="4" s="1"/>
  <c r="AD28" i="4"/>
  <c r="AK28" i="4" s="1"/>
  <c r="AC101" i="4"/>
  <c r="AE101" i="4"/>
  <c r="AH101" i="4" s="1"/>
  <c r="AD102" i="4"/>
  <c r="AK102" i="4" s="1"/>
  <c r="AC97" i="4"/>
  <c r="AE97" i="4"/>
  <c r="AH97" i="4" s="1"/>
  <c r="AC18" i="4"/>
  <c r="AB18" i="4"/>
  <c r="AB109" i="4"/>
  <c r="AC109" i="4" s="1"/>
  <c r="AC110" i="4"/>
  <c r="AD110" i="4"/>
  <c r="AD78" i="4"/>
  <c r="AK78" i="4" s="1"/>
  <c r="AB13" i="4"/>
  <c r="AC13" i="4"/>
  <c r="AB97" i="4"/>
  <c r="AH18" i="4"/>
  <c r="AB101" i="4"/>
  <c r="AB29" i="4"/>
  <c r="AD96" i="4"/>
  <c r="AK96" i="4" s="1"/>
  <c r="AD53" i="4"/>
  <c r="AK53" i="4" s="1"/>
  <c r="AK42" i="4"/>
  <c r="AD66" i="4"/>
  <c r="AK66" i="4" s="1"/>
  <c r="AD85" i="4"/>
  <c r="AK85" i="4" s="1"/>
  <c r="AD56" i="4"/>
  <c r="AK56" i="4" s="1"/>
  <c r="AD59" i="4"/>
  <c r="AK59" i="4" s="1"/>
  <c r="AD74" i="4"/>
  <c r="AK74" i="4" s="1"/>
  <c r="AD21" i="4"/>
  <c r="AK21" i="4" s="1"/>
  <c r="AD8" i="4"/>
  <c r="AK8" i="4" s="1"/>
  <c r="AD72" i="4"/>
  <c r="AK72" i="4" s="1"/>
  <c r="AD26" i="4"/>
  <c r="AK26" i="4" s="1"/>
  <c r="AD94" i="4"/>
  <c r="AK94" i="4" s="1"/>
  <c r="AD58" i="4"/>
  <c r="AK58" i="4" s="1"/>
  <c r="AD27" i="4"/>
  <c r="AK27" i="4" s="1"/>
  <c r="AD90" i="4"/>
  <c r="AK90" i="4" s="1"/>
  <c r="AD95" i="4"/>
  <c r="AK95" i="4" s="1"/>
  <c r="AD82" i="4"/>
  <c r="AK82" i="4" s="1"/>
  <c r="AD84" i="4"/>
  <c r="AK84" i="4" s="1"/>
  <c r="AD11" i="4"/>
  <c r="AK11" i="4" s="1"/>
  <c r="AD12" i="4"/>
  <c r="AK12" i="4" s="1"/>
  <c r="AD92" i="4"/>
  <c r="AK92" i="4" s="1"/>
  <c r="AH33" i="4"/>
  <c r="AH100" i="4"/>
  <c r="AH88" i="4"/>
  <c r="AH50" i="4"/>
  <c r="AH49" i="4"/>
  <c r="AH65" i="4"/>
  <c r="AH51" i="4"/>
  <c r="AH79" i="4"/>
  <c r="AH20" i="4"/>
  <c r="AH9" i="4"/>
  <c r="AH67" i="4"/>
  <c r="AH22" i="4"/>
  <c r="AH31" i="4"/>
  <c r="AH15" i="4"/>
  <c r="AH68" i="4"/>
  <c r="AH87" i="4"/>
  <c r="AG106" i="4"/>
  <c r="AB50" i="4"/>
  <c r="AD50" i="4" s="1"/>
  <c r="AK50" i="4" s="1"/>
  <c r="AB51" i="4"/>
  <c r="AD51" i="4" s="1"/>
  <c r="AK51" i="4" s="1"/>
  <c r="AB88" i="4"/>
  <c r="AD88" i="4" s="1"/>
  <c r="AK88" i="4" s="1"/>
  <c r="AB31" i="4"/>
  <c r="AD31" i="4" s="1"/>
  <c r="AK31" i="4" s="1"/>
  <c r="AB45" i="4"/>
  <c r="AH45" i="4"/>
  <c r="AH23" i="4"/>
  <c r="AH86" i="4"/>
  <c r="AB48" i="4"/>
  <c r="AH48" i="4"/>
  <c r="AB47" i="4"/>
  <c r="AH47" i="4"/>
  <c r="AB57" i="4"/>
  <c r="AH57" i="4"/>
  <c r="AB83" i="4"/>
  <c r="AH83" i="4"/>
  <c r="AB20" i="4"/>
  <c r="AD20" i="4" s="1"/>
  <c r="AK20" i="4" s="1"/>
  <c r="AB23" i="4"/>
  <c r="AB67" i="4"/>
  <c r="AD67" i="4" s="1"/>
  <c r="AK67" i="4" s="1"/>
  <c r="AB68" i="4"/>
  <c r="AD68" i="4" s="1"/>
  <c r="AK68" i="4" s="1"/>
  <c r="AB49" i="4"/>
  <c r="AD49" i="4" s="1"/>
  <c r="AK49" i="4" s="1"/>
  <c r="AB33" i="4"/>
  <c r="AD33" i="4" s="1"/>
  <c r="AK33" i="4" s="1"/>
  <c r="AB15" i="4"/>
  <c r="AD15" i="4" s="1"/>
  <c r="AK15" i="4" s="1"/>
  <c r="T106" i="4"/>
  <c r="AB65" i="4"/>
  <c r="AD65" i="4" s="1"/>
  <c r="AK65" i="4" s="1"/>
  <c r="AB79" i="4"/>
  <c r="AD79" i="4" s="1"/>
  <c r="AK79" i="4" s="1"/>
  <c r="AB100" i="4"/>
  <c r="AD100" i="4" s="1"/>
  <c r="AK100" i="4" s="1"/>
  <c r="U106" i="4"/>
  <c r="V106" i="4"/>
  <c r="AB7" i="4"/>
  <c r="Q106" i="4"/>
  <c r="AB86" i="4"/>
  <c r="AB22" i="4"/>
  <c r="AD22" i="4" s="1"/>
  <c r="AK22" i="4" s="1"/>
  <c r="AB9" i="4"/>
  <c r="AD9" i="4" s="1"/>
  <c r="AK9" i="4" s="1"/>
  <c r="AH110" i="4"/>
  <c r="AB87" i="4"/>
  <c r="AD87" i="4" s="1"/>
  <c r="AK87" i="4" s="1"/>
  <c r="AD36" i="4" l="1"/>
  <c r="AK36" i="4" s="1"/>
  <c r="AD101" i="4"/>
  <c r="AK101" i="4" s="1"/>
  <c r="AD29" i="4"/>
  <c r="AK29" i="4" s="1"/>
  <c r="AK38" i="4"/>
  <c r="AD18" i="4"/>
  <c r="AK18" i="4" s="1"/>
  <c r="AD97" i="4"/>
  <c r="AK97" i="4" s="1"/>
  <c r="AD109" i="4"/>
  <c r="AE109" i="4"/>
  <c r="AH109" i="4" s="1"/>
  <c r="AH111" i="4" s="1"/>
  <c r="AH112" i="4" s="1"/>
  <c r="AH113" i="4" s="1"/>
  <c r="AD13" i="4"/>
  <c r="AK13" i="4" s="1"/>
  <c r="AK43" i="4"/>
  <c r="AD23" i="4"/>
  <c r="AK23" i="4" s="1"/>
  <c r="AD47" i="4"/>
  <c r="AD45" i="4"/>
  <c r="AK45" i="4" s="1"/>
  <c r="AD86" i="4"/>
  <c r="AK86" i="4" s="1"/>
  <c r="AD48" i="4"/>
  <c r="AK48" i="4" s="1"/>
  <c r="AD57" i="4"/>
  <c r="AK57" i="4" s="1"/>
  <c r="AD83" i="4"/>
  <c r="AK83" i="4" s="1"/>
  <c r="AA106" i="4"/>
  <c r="AB106" i="4"/>
  <c r="AD7" i="4"/>
  <c r="AK7" i="4" s="1"/>
  <c r="AC106" i="4"/>
  <c r="AH106" i="4"/>
  <c r="AE106" i="4"/>
  <c r="AK106" i="4" l="1"/>
  <c r="AH107" i="4"/>
  <c r="AH108" i="4" s="1"/>
  <c r="AD106" i="4"/>
  <c r="D21" i="3" l="1"/>
  <c r="E21" i="3" s="1"/>
  <c r="G21" i="3" s="1"/>
  <c r="D20" i="3"/>
  <c r="E20" i="3" s="1"/>
  <c r="G20" i="3" s="1"/>
  <c r="D13" i="3"/>
  <c r="E13" i="3" s="1"/>
  <c r="G13" i="3" s="1"/>
  <c r="D12" i="3"/>
  <c r="E12" i="3" s="1"/>
  <c r="G12" i="3" s="1"/>
  <c r="D8" i="3"/>
  <c r="E8" i="3" s="1"/>
  <c r="G8" i="3" s="1"/>
  <c r="D26" i="3"/>
  <c r="E26" i="3" s="1"/>
  <c r="G26" i="3" s="1"/>
  <c r="D25" i="3"/>
  <c r="E25" i="3" s="1"/>
  <c r="G25" i="3" s="1"/>
  <c r="D24" i="3"/>
  <c r="E24" i="3" s="1"/>
  <c r="G24" i="3" s="1"/>
  <c r="D23" i="3"/>
  <c r="E23" i="3" s="1"/>
  <c r="G23" i="3" s="1"/>
  <c r="D22" i="3"/>
  <c r="E22" i="3" s="1"/>
  <c r="G22" i="3" s="1"/>
  <c r="D19" i="3"/>
  <c r="E19" i="3" s="1"/>
  <c r="G19" i="3" s="1"/>
  <c r="D18" i="3"/>
  <c r="E18" i="3" s="1"/>
  <c r="D17" i="3"/>
  <c r="E17" i="3" s="1"/>
  <c r="G17" i="3" s="1"/>
  <c r="D16" i="3"/>
  <c r="E16" i="3" s="1"/>
  <c r="G16" i="3" s="1"/>
  <c r="D15" i="3"/>
  <c r="E15" i="3" s="1"/>
  <c r="G15" i="3" s="1"/>
  <c r="D14" i="3"/>
  <c r="E14" i="3" s="1"/>
  <c r="G14" i="3" s="1"/>
  <c r="D11" i="3"/>
  <c r="E11" i="3" s="1"/>
  <c r="G11" i="3" s="1"/>
  <c r="D10" i="3"/>
  <c r="E10" i="3" s="1"/>
  <c r="G10" i="3" s="1"/>
  <c r="D9" i="3"/>
  <c r="E9" i="3" s="1"/>
  <c r="G9" i="3" s="1"/>
  <c r="D7" i="3"/>
  <c r="E7" i="3" s="1"/>
  <c r="G7" i="3" s="1"/>
  <c r="C9" i="2"/>
  <c r="C8" i="2"/>
  <c r="D28" i="3" l="1"/>
  <c r="G28" i="3"/>
</calcChain>
</file>

<file path=xl/sharedStrings.xml><?xml version="1.0" encoding="utf-8"?>
<sst xmlns="http://schemas.openxmlformats.org/spreadsheetml/2006/main" count="1023" uniqueCount="302">
  <si>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</si>
  <si>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</si>
  <si>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</si>
  <si>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</si>
  <si>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</si>
  <si>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</si>
  <si>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</si>
  <si>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</si>
  <si>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</si>
  <si>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</si>
  <si>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</si>
  <si>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</si>
  <si>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</si>
  <si>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</si>
  <si>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</si>
  <si>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</si>
  <si>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</si>
  <si>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</si>
  <si>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</si>
  <si>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</si>
  <si>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</si>
  <si>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</si>
  <si>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</si>
  <si>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</si>
  <si>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</si>
  <si>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</si>
  <si>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</si>
  <si>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</si>
  <si>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</si>
  <si>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</si>
  <si>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</si>
  <si>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</si>
  <si>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</si>
  <si>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</si>
  <si>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</si>
  <si>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</si>
  <si>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</si>
  <si>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</si>
  <si>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</si>
  <si>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</si>
  <si>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</si>
  <si>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</si>
  <si>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</si>
  <si>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</si>
  <si>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</si>
  <si>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</si>
  <si>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</si>
  <si>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</si>
  <si>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</si>
  <si>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</si>
  <si>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</si>
  <si>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</si>
  <si>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</si>
  <si>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</si>
  <si>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</si>
  <si>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</si>
  <si>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</si>
  <si>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</si>
  <si>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</si>
  <si>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</si>
  <si>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</si>
  <si>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</si>
  <si>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</si>
  <si>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</si>
  <si>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</si>
  <si>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</si>
  <si>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</si>
  <si>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</si>
  <si>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</si>
  <si>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</si>
  <si>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</si>
  <si>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</si>
  <si>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</si>
  <si>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</si>
  <si>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</si>
  <si>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</si>
  <si>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</si>
  <si>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</si>
  <si>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</si>
  <si>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</si>
  <si>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</si>
  <si>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</si>
  <si>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</si>
  <si>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</si>
  <si>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</si>
  <si>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</si>
  <si>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</si>
  <si>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</si>
  <si>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</si>
  <si>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</si>
  <si>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</si>
  <si>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</si>
  <si>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</si>
  <si>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</si>
  <si>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</si>
  <si>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</si>
  <si>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</si>
  <si>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</si>
  <si>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</si>
  <si>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</si>
  <si>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CO02</t>
  </si>
  <si>
    <t>DC20</t>
  </si>
  <si>
    <t>RA13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</si>
  <si>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</si>
  <si>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</si>
  <si>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</si>
  <si>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</si>
  <si>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</si>
  <si>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</si>
  <si>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</si>
  <si>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</si>
  <si>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</si>
  <si>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</si>
  <si>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</si>
  <si>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</si>
  <si>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</si>
  <si>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</si>
  <si>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</si>
  <si>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</si>
  <si>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</si>
  <si>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</si>
  <si>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</si>
  <si>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</si>
  <si>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</si>
  <si>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</si>
  <si>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</si>
  <si>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</si>
  <si>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</si>
  <si>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</si>
  <si>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</si>
  <si>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GO01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</si>
  <si>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</si>
  <si>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</si>
  <si>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</si>
  <si>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</si>
  <si>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</si>
  <si>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</si>
  <si>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</si>
  <si>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</si>
  <si>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</si>
  <si>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</si>
  <si>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</si>
  <si>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</si>
  <si>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</si>
  <si>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</si>
  <si>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</si>
  <si>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</si>
  <si>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</si>
  <si>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</si>
  <si>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</si>
  <si>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</si>
  <si>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VIGILANTE</t>
  </si>
  <si>
    <t>ASESOR DE VENTAS SEM</t>
  </si>
  <si>
    <t>AYUDANTE DE MECANICO</t>
  </si>
  <si>
    <t>AYUDANTE DE GENERAL</t>
  </si>
  <si>
    <t>OPERARIO B</t>
  </si>
  <si>
    <t>AYUDANTE GENERAL DE</t>
  </si>
  <si>
    <t>OPERARIO A</t>
  </si>
  <si>
    <t>TECNICO C</t>
  </si>
  <si>
    <t>ESTETICAS</t>
  </si>
  <si>
    <t>OPERARIO</t>
  </si>
  <si>
    <t>AHORRO CTM</t>
  </si>
  <si>
    <t>PRESTAMO CTM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</si>
  <si>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</si>
  <si>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</si>
  <si>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</si>
  <si>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</si>
  <si>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</si>
  <si>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</si>
  <si>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</si>
  <si>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</si>
  <si>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</si>
  <si>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</si>
  <si>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</si>
  <si>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</si>
  <si>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</si>
  <si>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</si>
  <si>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</si>
  <si>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</si>
  <si>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</si>
  <si>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</si>
  <si>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</si>
  <si>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</si>
  <si>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</si>
  <si>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</si>
  <si>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</si>
  <si>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</si>
  <si>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</si>
  <si>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</si>
  <si>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</si>
  <si>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MIRANDA PEON JULIO CESAR</t>
  </si>
  <si>
    <t>CRUZ ORTIZ JUAN ANTONIO</t>
  </si>
  <si>
    <t>FONSECA GUILLEN JOSE FELIPE</t>
  </si>
  <si>
    <t>HERNANDEZ SILVA EDGAR SAMUEL</t>
  </si>
  <si>
    <t>RAMIREZ BAUTISTA MARCOS SAMUEL</t>
  </si>
  <si>
    <t>MARTINEZ LORENZO LUIS ALEJANDRO</t>
  </si>
  <si>
    <t>AGUILAR BRAVO CRISTIAN SAUL</t>
  </si>
  <si>
    <t>RODRIGUEZ RODRIGUEZ ANUAR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</si>
  <si>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</si>
  <si>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</si>
  <si>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</si>
  <si>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</si>
  <si>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</si>
  <si>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</si>
  <si>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</si>
  <si>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</si>
  <si>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</si>
  <si>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</si>
  <si>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</si>
  <si>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</si>
  <si>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</si>
  <si>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</si>
  <si>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</si>
  <si>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</si>
  <si>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</si>
  <si>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NORIA BADILLO JUAN JOSE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</si>
  <si>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</si>
  <si>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</si>
  <si>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</si>
  <si>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</si>
  <si>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</si>
  <si>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</si>
  <si>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</si>
  <si>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</si>
  <si>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</si>
  <si>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</si>
  <si>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</si>
  <si>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</si>
  <si>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NM01</t>
  </si>
  <si>
    <t>ESPECIALES</t>
  </si>
  <si>
    <t xml:space="preserve">AGUILAR PEREZ MARCOS ARTEMIO </t>
  </si>
  <si>
    <t>CORONEL DE LEON JONATHAN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</si>
  <si>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</si>
  <si>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</si>
  <si>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</si>
  <si>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</si>
  <si>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</si>
  <si>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</si>
  <si>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</si>
  <si>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</si>
  <si>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</si>
  <si>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</si>
  <si>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</si>
  <si>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</si>
  <si>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</si>
  <si>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</si>
  <si>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</si>
  <si>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Incapacidad</t>
  </si>
  <si>
    <t>INCAPACIDADES</t>
  </si>
  <si>
    <t>HUGO RANGEL ZUÑIGA</t>
  </si>
  <si>
    <t>QUILLO ARRIAGA OSIEL JONATHAN</t>
  </si>
  <si>
    <t>MARTINEZ OLVERA ISMAEL</t>
  </si>
  <si>
    <t>BARRAGAN SERRANO HECTOR TONATIUH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</si>
  <si>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</si>
  <si>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</si>
  <si>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</si>
  <si>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</si>
  <si>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</si>
  <si>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</si>
  <si>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</si>
  <si>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</si>
  <si>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</si>
  <si>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</si>
  <si>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</si>
  <si>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</si>
  <si>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</si>
  <si>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</si>
  <si>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</si>
  <si>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</si>
  <si>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</si>
  <si>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MARTINEZ MONTOYA EFRAIN ESAUL</t>
  </si>
  <si>
    <t>MELENDEZ PADILLA CLAUDIA CRISTINA</t>
  </si>
  <si>
    <t>Sueldo Semanal</t>
  </si>
  <si>
    <t>OLVERA TAPIA SERGIO ANIRAK</t>
  </si>
  <si>
    <t>ENRIQUEZ RUBIO FERNANDO</t>
  </si>
  <si>
    <t>SANTIAGO MATILDE URIEL</t>
  </si>
  <si>
    <t>BLANCO SALOMON RACIEL</t>
  </si>
  <si>
    <t>AYUDANTE DE HyP</t>
  </si>
  <si>
    <t>FEREGRINO RAMIREZ JUAN MANUEL</t>
  </si>
  <si>
    <t>TRONCOSO PEÑA GERARDO</t>
  </si>
  <si>
    <t>PATIÑO NAVARRO OSCAR MARTIN</t>
  </si>
  <si>
    <t>HEREDIA HERNANDEZ ANDREA</t>
  </si>
  <si>
    <t>HERNANDEZ ARREOLA RODOLFO MAYOLO</t>
  </si>
  <si>
    <t>ENCARGADO DE MTTO.</t>
  </si>
  <si>
    <t>MORALES ROSAS ISRAEL</t>
  </si>
  <si>
    <t>Periodo Semana 22</t>
  </si>
  <si>
    <t>25/05/2016 AL 31/05/2016</t>
  </si>
  <si>
    <t>Se le descuenta un dìa de Falta, ya aplicado.</t>
  </si>
  <si>
    <t>Se le paga su semana completa, màs un dìa de la anterior, ya aplicado.</t>
  </si>
  <si>
    <t>SANCHEZ LOPEZ GABRIEL</t>
  </si>
  <si>
    <t>Nuevo Ingreso, se le pagan 2 dìas laborados, ya aplicado.</t>
  </si>
  <si>
    <t>GUTIERREZ OLVERA ARMANDO</t>
  </si>
  <si>
    <t>HURTADO PAJARO JOSE</t>
  </si>
  <si>
    <t>HP16</t>
  </si>
  <si>
    <t>JEFE DE TALLER</t>
  </si>
  <si>
    <t>Se cambia de nòmina quincenal a semanal</t>
  </si>
  <si>
    <t>Se le descuenta $200 requerido por Dolores</t>
  </si>
  <si>
    <t>Se modifica salario y puesto, ya aplicado</t>
  </si>
  <si>
    <t>VALUADOR</t>
  </si>
  <si>
    <t>GALLEGOS RAMIREZ JOSE</t>
  </si>
  <si>
    <t>TECNICO</t>
  </si>
  <si>
    <t>REYES ARMADILLO JORGE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</si>
</sst>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dd/mm/yy"/>
  </numFmts>
  <fonts count="22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190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43" fontId="11" fillId="0" borderId="1" xfId="2" applyFont="1" applyBorder="1"/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0" fontId="14" fillId="0" borderId="0" xfId="0" applyFont="1"/>
    <xf numFmtId="0" fontId="11" fillId="11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/>
    <xf numFmtId="0" fontId="11" fillId="15" borderId="0" xfId="0" applyFont="1" applyFill="1"/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6" xfId="0" applyFont="1" applyFill="1" applyBorder="1"/>
    <xf numFmtId="0" fontId="11" fillId="0" borderId="8" xfId="0" applyFont="1" applyFill="1" applyBorder="1"/>
    <xf numFmtId="43" fontId="11" fillId="0" borderId="8" xfId="2" applyFont="1" applyFill="1" applyBorder="1"/>
    <xf numFmtId="43" fontId="12" fillId="0" borderId="8" xfId="2" applyFont="1" applyFill="1" applyBorder="1"/>
    <xf numFmtId="0" fontId="11" fillId="0" borderId="7" xfId="0" applyFont="1" applyBorder="1"/>
    <xf numFmtId="0" fontId="11" fillId="2" borderId="7" xfId="0" applyFont="1" applyFill="1" applyBorder="1"/>
    <xf numFmtId="43" fontId="11" fillId="0" borderId="7" xfId="2" applyFont="1" applyBorder="1"/>
    <xf numFmtId="43" fontId="11" fillId="2" borderId="7" xfId="2" applyFont="1" applyFill="1" applyBorder="1"/>
    <xf numFmtId="43" fontId="9" fillId="2" borderId="7" xfId="2" applyFont="1" applyFill="1" applyBorder="1"/>
    <xf numFmtId="43" fontId="12" fillId="3" borderId="7" xfId="2" applyFont="1" applyFill="1" applyBorder="1"/>
    <xf numFmtId="43" fontId="11" fillId="4" borderId="7" xfId="2" applyFont="1" applyFill="1" applyBorder="1"/>
    <xf numFmtId="43" fontId="11" fillId="10" borderId="7" xfId="2" applyFont="1" applyFill="1" applyBorder="1"/>
    <xf numFmtId="43" fontId="11" fillId="10" borderId="7" xfId="2" applyFont="1" applyFill="1" applyBorder="1" applyAlignment="1">
      <alignment horizontal="center"/>
    </xf>
    <xf numFmtId="0" fontId="11" fillId="10" borderId="7" xfId="0" applyFont="1" applyFill="1" applyBorder="1"/>
    <xf numFmtId="43" fontId="11" fillId="0" borderId="7" xfId="2" applyFont="1" applyFill="1" applyBorder="1" applyAlignment="1">
      <alignment horizontal="center"/>
    </xf>
    <xf numFmtId="43" fontId="11" fillId="6" borderId="7" xfId="2" applyFont="1" applyFill="1" applyBorder="1" applyAlignment="1">
      <alignment horizontal="center"/>
    </xf>
    <xf numFmtId="43" fontId="12" fillId="14" borderId="7" xfId="2" applyFont="1" applyFill="1" applyBorder="1"/>
    <xf numFmtId="43" fontId="1" fillId="0" borderId="7" xfId="2" applyFill="1" applyBorder="1"/>
    <xf numFmtId="0" fontId="11" fillId="0" borderId="7" xfId="0" applyFont="1" applyFill="1" applyBorder="1"/>
    <xf numFmtId="0" fontId="11" fillId="12" borderId="7" xfId="0" applyFont="1" applyFill="1" applyBorder="1"/>
    <xf numFmtId="43" fontId="11" fillId="12" borderId="7" xfId="2" applyFont="1" applyFill="1" applyBorder="1"/>
    <xf numFmtId="14" fontId="11" fillId="0" borderId="7" xfId="0" applyNumberFormat="1" applyFont="1" applyFill="1" applyBorder="1"/>
    <xf numFmtId="43" fontId="11" fillId="0" borderId="7" xfId="2" applyFont="1" applyFill="1" applyBorder="1"/>
    <xf numFmtId="0" fontId="12" fillId="0" borderId="7" xfId="0" applyFont="1" applyFill="1" applyBorder="1"/>
    <xf numFmtId="2" fontId="11" fillId="10" borderId="7" xfId="0" applyNumberFormat="1" applyFont="1" applyFill="1" applyBorder="1"/>
    <xf numFmtId="43" fontId="11" fillId="12" borderId="7" xfId="2" applyFont="1" applyFill="1" applyBorder="1" applyAlignment="1">
      <alignment horizontal="center"/>
    </xf>
    <xf numFmtId="2" fontId="11" fillId="0" borderId="7" xfId="0" applyNumberFormat="1" applyFont="1" applyBorder="1"/>
    <xf numFmtId="12" fontId="11" fillId="2" borderId="7" xfId="2" applyNumberFormat="1" applyFont="1" applyFill="1" applyBorder="1"/>
    <xf numFmtId="12" fontId="11" fillId="0" borderId="7" xfId="2" applyNumberFormat="1" applyFont="1" applyFill="1" applyBorder="1"/>
    <xf numFmtId="0" fontId="11" fillId="0" borderId="7" xfId="0" applyFont="1" applyBorder="1" applyAlignment="1">
      <alignment horizontal="right"/>
    </xf>
    <xf numFmtId="0" fontId="11" fillId="0" borderId="7" xfId="0" applyFont="1" applyFill="1" applyBorder="1" applyAlignment="1">
      <alignment horizontal="right"/>
    </xf>
    <xf numFmtId="0" fontId="0" fillId="0" borderId="7" xfId="0" applyBorder="1"/>
    <xf numFmtId="43" fontId="11" fillId="0" borderId="8" xfId="2" applyFont="1" applyFill="1" applyBorder="1" applyAlignment="1">
      <alignment horizontal="center"/>
    </xf>
    <xf numFmtId="0" fontId="12" fillId="0" borderId="7" xfId="0" applyFont="1" applyBorder="1"/>
    <xf numFmtId="43" fontId="12" fillId="0" borderId="7" xfId="2" applyFont="1" applyBorder="1"/>
    <xf numFmtId="43" fontId="12" fillId="13" borderId="7" xfId="2" applyFont="1" applyFill="1" applyBorder="1"/>
    <xf numFmtId="43" fontId="1" fillId="0" borderId="7" xfId="2" applyBorder="1"/>
    <xf numFmtId="0" fontId="12" fillId="7" borderId="7" xfId="0" applyFont="1" applyFill="1" applyBorder="1" applyAlignment="1">
      <alignment horizontal="center"/>
    </xf>
    <xf numFmtId="43" fontId="11" fillId="5" borderId="7" xfId="2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2" fontId="11" fillId="12" borderId="7" xfId="0" applyNumberFormat="1" applyFont="1" applyFill="1" applyBorder="1"/>
    <xf numFmtId="0" fontId="11" fillId="16" borderId="7" xfId="0" applyFont="1" applyFill="1" applyBorder="1"/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1" fillId="11" borderId="7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7" xfId="2" applyFont="1" applyBorder="1"/>
    <xf numFmtId="43" fontId="16" fillId="3" borderId="7" xfId="2" applyFont="1" applyFill="1" applyBorder="1"/>
    <xf numFmtId="0" fontId="17" fillId="0" borderId="7" xfId="0" applyFont="1" applyFill="1" applyBorder="1"/>
    <xf numFmtId="43" fontId="11" fillId="16" borderId="7" xfId="2" applyFont="1" applyFill="1" applyBorder="1"/>
    <xf numFmtId="43" fontId="11" fillId="16" borderId="7" xfId="2" applyFont="1" applyFill="1" applyBorder="1" applyAlignment="1">
      <alignment horizontal="center"/>
    </xf>
    <xf numFmtId="4" fontId="17" fillId="0" borderId="7" xfId="0" applyNumberFormat="1" applyFont="1" applyFill="1" applyBorder="1"/>
    <xf numFmtId="4" fontId="11" fillId="12" borderId="7" xfId="0" applyNumberFormat="1" applyFont="1" applyFill="1" applyBorder="1"/>
    <xf numFmtId="43" fontId="11" fillId="12" borderId="7" xfId="0" applyNumberFormat="1" applyFont="1" applyFill="1" applyBorder="1"/>
    <xf numFmtId="0" fontId="12" fillId="14" borderId="7" xfId="0" applyFont="1" applyFill="1" applyBorder="1"/>
    <xf numFmtId="43" fontId="9" fillId="0" borderId="7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7" xfId="2" applyFont="1" applyFill="1" applyBorder="1"/>
    <xf numFmtId="43" fontId="18" fillId="0" borderId="7" xfId="2" applyFont="1" applyFill="1" applyBorder="1"/>
    <xf numFmtId="2" fontId="11" fillId="0" borderId="7" xfId="0" applyNumberFormat="1" applyFont="1" applyFill="1" applyBorder="1"/>
    <xf numFmtId="0" fontId="18" fillId="16" borderId="0" xfId="0" applyFont="1" applyFill="1"/>
    <xf numFmtId="43" fontId="18" fillId="12" borderId="7" xfId="2" applyFont="1" applyFill="1" applyBorder="1"/>
    <xf numFmtId="43" fontId="18" fillId="11" borderId="7" xfId="2" applyFont="1" applyFill="1" applyBorder="1"/>
    <xf numFmtId="0" fontId="19" fillId="0" borderId="7" xfId="0" applyFont="1" applyBorder="1"/>
    <xf numFmtId="0" fontId="0" fillId="0" borderId="0" xfId="0" applyFill="1"/>
    <xf numFmtId="4" fontId="11" fillId="16" borderId="7" xfId="0" applyNumberFormat="1" applyFont="1" applyFill="1" applyBorder="1"/>
    <xf numFmtId="43" fontId="11" fillId="16" borderId="7" xfId="0" applyNumberFormat="1" applyFont="1" applyFill="1" applyBorder="1"/>
    <xf numFmtId="14" fontId="18" fillId="0" borderId="7" xfId="0" applyNumberFormat="1" applyFont="1" applyFill="1" applyBorder="1"/>
    <xf numFmtId="165" fontId="18" fillId="0" borderId="7" xfId="0" applyNumberFormat="1" applyFont="1" applyBorder="1"/>
    <xf numFmtId="165" fontId="18" fillId="0" borderId="7" xfId="0" applyNumberFormat="1" applyFont="1" applyFill="1" applyBorder="1"/>
    <xf numFmtId="14" fontId="11" fillId="0" borderId="7" xfId="4" applyNumberFormat="1" applyFont="1" applyFill="1" applyBorder="1" applyAlignment="1"/>
    <xf numFmtId="14" fontId="11" fillId="0" borderId="7" xfId="0" applyNumberFormat="1" applyFont="1" applyFill="1" applyBorder="1" applyAlignment="1"/>
    <xf numFmtId="0" fontId="18" fillId="0" borderId="7" xfId="0" applyFont="1" applyBorder="1" applyAlignment="1">
      <alignment wrapText="1"/>
    </xf>
    <xf numFmtId="4" fontId="18" fillId="0" borderId="7" xfId="0" applyNumberFormat="1" applyFont="1" applyBorder="1" applyAlignment="1">
      <alignment wrapText="1"/>
    </xf>
    <xf numFmtId="0" fontId="18" fillId="0" borderId="7" xfId="0" applyFont="1" applyBorder="1"/>
    <xf numFmtId="4" fontId="18" fillId="0" borderId="7" xfId="0" applyNumberFormat="1" applyFont="1" applyBorder="1"/>
    <xf numFmtId="0" fontId="12" fillId="15" borderId="7" xfId="0" applyFont="1" applyFill="1" applyBorder="1"/>
    <xf numFmtId="0" fontId="18" fillId="12" borderId="7" xfId="0" applyFont="1" applyFill="1" applyBorder="1" applyAlignment="1">
      <alignment wrapText="1"/>
    </xf>
    <xf numFmtId="0" fontId="12" fillId="12" borderId="7" xfId="0" applyFont="1" applyFill="1" applyBorder="1"/>
    <xf numFmtId="0" fontId="11" fillId="11" borderId="7" xfId="0" applyFont="1" applyFill="1" applyBorder="1"/>
    <xf numFmtId="0" fontId="18" fillId="0" borderId="7" xfId="0" applyFont="1" applyFill="1" applyBorder="1" applyAlignment="1">
      <alignment wrapText="1"/>
    </xf>
    <xf numFmtId="4" fontId="18" fillId="0" borderId="7" xfId="0" applyNumberFormat="1" applyFont="1" applyFill="1" applyBorder="1" applyAlignment="1">
      <alignment wrapText="1"/>
    </xf>
    <xf numFmtId="0" fontId="19" fillId="0" borderId="7" xfId="0" applyFont="1" applyFill="1" applyBorder="1"/>
    <xf numFmtId="165" fontId="18" fillId="0" borderId="7" xfId="0" applyNumberFormat="1" applyFont="1" applyFill="1" applyBorder="1" applyAlignment="1">
      <alignment horizontal="right" vertical="center"/>
    </xf>
    <xf numFmtId="43" fontId="11" fillId="0" borderId="0" xfId="2" applyFont="1" applyBorder="1"/>
    <xf numFmtId="43" fontId="1" fillId="0" borderId="7" xfId="2" applyBorder="1" applyAlignment="1">
      <alignment horizontal="center" vertical="center"/>
    </xf>
    <xf numFmtId="43" fontId="1" fillId="0" borderId="7" xfId="2" applyFill="1" applyBorder="1" applyAlignment="1">
      <alignment horizontal="center" vertical="center"/>
    </xf>
    <xf numFmtId="43" fontId="1" fillId="2" borderId="7" xfId="2" applyFill="1" applyBorder="1" applyAlignment="1">
      <alignment horizontal="center" vertical="center"/>
    </xf>
    <xf numFmtId="43" fontId="1" fillId="0" borderId="4" xfId="2" applyBorder="1"/>
    <xf numFmtId="43" fontId="1" fillId="2" borderId="9" xfId="2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5" fillId="8" borderId="3" xfId="2" applyFont="1" applyFill="1" applyBorder="1" applyAlignment="1">
      <alignment horizontal="center" wrapText="1"/>
    </xf>
    <xf numFmtId="43" fontId="15" fillId="8" borderId="4" xfId="2" applyFont="1" applyFill="1" applyBorder="1" applyAlignment="1">
      <alignment horizontal="center" wrapText="1"/>
    </xf>
    <xf numFmtId="43" fontId="1" fillId="7" borderId="5" xfId="2" applyFill="1" applyBorder="1" applyAlignment="1">
      <alignment horizontal="center"/>
    </xf>
    <xf numFmtId="43" fontId="1" fillId="8" borderId="3" xfId="2" applyFill="1" applyBorder="1" applyAlignment="1">
      <alignment horizontal="center" wrapText="1"/>
    </xf>
    <xf numFmtId="43" fontId="1" fillId="8" borderId="4" xfId="2" applyFill="1" applyBorder="1" applyAlignment="1">
      <alignment horizontal="center" wrapText="1"/>
    </xf>
    <xf numFmtId="43" fontId="21" fillId="0" borderId="7" xfId="2" applyFont="1" applyBorder="1"/>
    <xf numFmtId="43" fontId="21" fillId="0" borderId="7" xfId="2" applyFont="1" applyFill="1" applyBorder="1" applyAlignment="1">
      <alignment horizontal="center" vertical="center"/>
    </xf>
    <xf numFmtId="43" fontId="20" fillId="0" borderId="7" xfId="2" applyFont="1" applyFill="1" applyBorder="1"/>
    <xf numFmtId="43" fontId="21" fillId="2" borderId="7" xfId="2" applyFont="1" applyFill="1" applyBorder="1" applyAlignment="1">
      <alignment horizontal="center" vertical="center"/>
    </xf>
    <xf numFmtId="43" fontId="21" fillId="0" borderId="7" xfId="2" applyFont="1" applyFill="1" applyBorder="1"/>
    <xf numFmtId="43" fontId="21" fillId="2" borderId="9" xfId="2" applyFont="1" applyFill="1" applyBorder="1" applyAlignment="1">
      <alignment horizontal="center" vertical="center"/>
    </xf>
    <xf numFmtId="43" fontId="21" fillId="0" borderId="0" xfId="2" applyFont="1" applyBorder="1"/>
    <xf numFmtId="43" fontId="11" fillId="3" borderId="7" xfId="2" applyFont="1" applyFill="1" applyBorder="1"/>
    <xf numFmtId="43" fontId="20" fillId="0" borderId="7" xfId="2" applyFont="1" applyBorder="1"/>
    <xf numFmtId="43" fontId="12" fillId="12" borderId="1" xfId="2" applyFont="1" applyFill="1" applyBorder="1" applyAlignment="1">
      <alignment horizont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BCD6EE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K132"/>
  <sheetViews>
    <sheetView tabSelected="1" workbookViewId="0">
      <pane xSplit="2" ySplit="6" topLeftCell="V7" activePane="bottomRight" state="frozen"/>
      <selection pane="topRight" activeCell="C1" sqref="C1"/>
      <selection pane="bottomLeft" activeCell="A7" sqref="A7"/>
      <selection pane="bottomRight" activeCell="Z139" sqref="Z139"/>
    </sheetView>
  </sheetViews>
  <sheetFormatPr baseColWidth="10" defaultColWidth="11.5703125" defaultRowHeight="15"/>
  <cols>
    <col min="1" max="1" width="28.7109375" style="31" customWidth="1"/>
    <col min="2" max="2" width="39.140625" style="31" customWidth="1"/>
    <col min="3" max="3" width="8.140625" style="31" customWidth="1"/>
    <col min="4" max="4" width="8.85546875" style="31" customWidth="1"/>
    <col min="5" max="5" width="31.5703125" style="31" customWidth="1"/>
    <col min="6" max="6" width="20.140625" style="31" customWidth="1"/>
    <col min="7" max="7" width="13" style="31" customWidth="1"/>
    <col min="8" max="8" width="11.7109375" style="31" customWidth="1"/>
    <col min="9" max="9" width="17.140625" style="23" customWidth="1"/>
    <col min="10" max="10" width="11.7109375" style="12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98" hidden="1" customWidth="1"/>
    <col min="36" max="36" width="12.7109375" style="98" hidden="1" customWidth="1"/>
    <col min="37" max="37" width="11.5703125" style="4" hidden="1" customWidth="1"/>
    <col min="38" max="38" width="58.7109375" style="31" bestFit="1" customWidth="1"/>
    <col min="39" max="39" width="101.7109375" style="31" bestFit="1" customWidth="1"/>
    <col min="40" max="53" width="11.5703125" style="29"/>
    <col min="54" max="16384" width="11.5703125" style="31"/>
  </cols>
  <sheetData>
    <row r="1" spans="1:193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10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97"/>
      <c r="AJ1" s="97"/>
      <c r="AK1" s="4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11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97"/>
      <c r="AJ2" s="97"/>
      <c r="AK2" s="4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285</v>
      </c>
      <c r="B3" s="20"/>
      <c r="C3" s="20"/>
      <c r="D3" s="20"/>
      <c r="E3" s="21"/>
      <c r="F3" s="21"/>
      <c r="G3" s="21"/>
      <c r="H3" s="21"/>
      <c r="I3" s="14"/>
      <c r="J3" s="112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97"/>
      <c r="AJ3" s="97"/>
      <c r="AK3" s="4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286</v>
      </c>
      <c r="I4" s="23"/>
      <c r="J4" s="11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98"/>
      <c r="AJ4" s="98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162" t="s">
        <v>36</v>
      </c>
      <c r="B5" s="164" t="s">
        <v>37</v>
      </c>
      <c r="C5" s="162" t="s">
        <v>207</v>
      </c>
      <c r="D5" s="164" t="s">
        <v>38</v>
      </c>
      <c r="E5" s="164" t="s">
        <v>0</v>
      </c>
      <c r="F5" s="162" t="s">
        <v>203</v>
      </c>
      <c r="G5" s="166" t="s">
        <v>64</v>
      </c>
      <c r="H5" s="166" t="s">
        <v>62</v>
      </c>
      <c r="I5" s="168" t="s">
        <v>63</v>
      </c>
      <c r="J5" s="160" t="s">
        <v>65</v>
      </c>
      <c r="K5" s="166" t="s">
        <v>272</v>
      </c>
      <c r="L5" s="160" t="s">
        <v>72</v>
      </c>
      <c r="M5" s="158"/>
      <c r="N5" s="166" t="s">
        <v>32</v>
      </c>
      <c r="O5" s="166" t="s">
        <v>33</v>
      </c>
      <c r="P5" s="166" t="s">
        <v>60</v>
      </c>
      <c r="Q5" s="166" t="s">
        <v>34</v>
      </c>
      <c r="R5" s="166" t="s">
        <v>35</v>
      </c>
      <c r="S5" s="157"/>
      <c r="T5" s="170" t="s">
        <v>161</v>
      </c>
      <c r="U5" s="170" t="s">
        <v>182</v>
      </c>
      <c r="V5" s="170" t="s">
        <v>181</v>
      </c>
      <c r="W5" s="170" t="s">
        <v>162</v>
      </c>
      <c r="X5" s="166" t="s">
        <v>28</v>
      </c>
      <c r="Y5" s="166" t="s">
        <v>53</v>
      </c>
      <c r="Z5" s="166" t="s">
        <v>52</v>
      </c>
      <c r="AA5" s="166" t="s">
        <v>30</v>
      </c>
      <c r="AB5" s="166" t="s">
        <v>61</v>
      </c>
      <c r="AC5" s="166" t="s">
        <v>25</v>
      </c>
      <c r="AD5" s="189" t="s">
        <v>29</v>
      </c>
      <c r="AE5" s="166" t="s">
        <v>24</v>
      </c>
      <c r="AF5" s="166" t="s">
        <v>26</v>
      </c>
      <c r="AG5" s="156"/>
      <c r="AH5" s="166" t="s">
        <v>27</v>
      </c>
      <c r="AI5" s="175" t="s">
        <v>245</v>
      </c>
      <c r="AJ5" s="176"/>
      <c r="AK5" s="177" t="s">
        <v>164</v>
      </c>
      <c r="AL5" s="173" t="s">
        <v>211</v>
      </c>
      <c r="AM5" s="173" t="s">
        <v>212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35" customFormat="1" ht="39" hidden="1" customHeight="1">
      <c r="A6" s="163"/>
      <c r="B6" s="165"/>
      <c r="C6" s="163"/>
      <c r="D6" s="165"/>
      <c r="E6" s="165"/>
      <c r="F6" s="163"/>
      <c r="G6" s="167"/>
      <c r="H6" s="167"/>
      <c r="I6" s="169"/>
      <c r="J6" s="161"/>
      <c r="K6" s="167"/>
      <c r="L6" s="161"/>
      <c r="M6" s="159" t="s">
        <v>227</v>
      </c>
      <c r="N6" s="167"/>
      <c r="O6" s="167"/>
      <c r="P6" s="167"/>
      <c r="Q6" s="167"/>
      <c r="R6" s="167"/>
      <c r="S6" s="44" t="s">
        <v>225</v>
      </c>
      <c r="T6" s="171"/>
      <c r="U6" s="171"/>
      <c r="V6" s="171"/>
      <c r="W6" s="171"/>
      <c r="X6" s="167"/>
      <c r="Y6" s="167"/>
      <c r="Z6" s="167"/>
      <c r="AA6" s="167"/>
      <c r="AB6" s="167"/>
      <c r="AC6" s="167"/>
      <c r="AD6" s="167"/>
      <c r="AE6" s="167"/>
      <c r="AF6" s="167"/>
      <c r="AG6" s="157"/>
      <c r="AH6" s="167"/>
      <c r="AI6" s="96" t="s">
        <v>63</v>
      </c>
      <c r="AJ6" s="96" t="s">
        <v>65</v>
      </c>
      <c r="AK6" s="177"/>
      <c r="AL6" s="173"/>
      <c r="AM6" s="173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193" s="30" customFormat="1" hidden="1">
      <c r="A7" s="64" t="s">
        <v>81</v>
      </c>
      <c r="B7" s="50" t="s">
        <v>196</v>
      </c>
      <c r="C7" s="50"/>
      <c r="D7" s="50" t="s">
        <v>85</v>
      </c>
      <c r="E7" s="50" t="s">
        <v>69</v>
      </c>
      <c r="F7" s="133">
        <v>42062</v>
      </c>
      <c r="G7" s="51"/>
      <c r="H7" s="51"/>
      <c r="I7" s="52">
        <v>1166.26</v>
      </c>
      <c r="J7" s="114"/>
      <c r="K7" s="52">
        <f t="shared" ref="K7:K70" si="0">+I7+J7</f>
        <v>1166.26</v>
      </c>
      <c r="L7" s="52"/>
      <c r="M7" s="52"/>
      <c r="N7" s="53"/>
      <c r="O7" s="53"/>
      <c r="P7" s="54"/>
      <c r="Q7" s="55">
        <f t="shared" ref="Q7:Q44" si="1">SUM(K7:O7)-P7</f>
        <v>1166.26</v>
      </c>
      <c r="R7" s="56"/>
      <c r="S7" s="103"/>
      <c r="T7" s="57">
        <v>0</v>
      </c>
      <c r="U7" s="57"/>
      <c r="V7" s="57"/>
      <c r="W7" s="57"/>
      <c r="X7" s="58"/>
      <c r="Y7" s="58"/>
      <c r="Z7" s="59"/>
      <c r="AA7" s="59">
        <v>0</v>
      </c>
      <c r="AB7" s="55">
        <f t="shared" ref="AB7:AB33" si="2">+Q7-SUM(R7:AA7)</f>
        <v>1166.26</v>
      </c>
      <c r="AC7" s="60">
        <f>IF(Q7&gt;2250,Q7*0.1,0)</f>
        <v>0</v>
      </c>
      <c r="AD7" s="55">
        <f t="shared" ref="AD7:AD70" si="3">+AB7-AC7</f>
        <v>1166.26</v>
      </c>
      <c r="AE7" s="61">
        <f>IF(Q7&lt;2250,Q7*0.1,0)</f>
        <v>116.626</v>
      </c>
      <c r="AF7" s="60">
        <v>10.23</v>
      </c>
      <c r="AG7" s="60">
        <f t="shared" ref="AG7:AG70" si="4">+U7</f>
        <v>0</v>
      </c>
      <c r="AH7" s="62">
        <f t="shared" ref="AH7:AH69" si="5">+Q7+AE7+AF7+AG7</f>
        <v>1293.116</v>
      </c>
      <c r="AI7" s="137"/>
      <c r="AJ7" s="138"/>
      <c r="AK7" s="123">
        <f t="shared" ref="AK7:AK75" si="6">+AI7+AJ7-AD7</f>
        <v>-1166.26</v>
      </c>
      <c r="AL7" s="64"/>
      <c r="AM7" s="64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spans="1:193" hidden="1">
      <c r="A8" s="64" t="s">
        <v>68</v>
      </c>
      <c r="B8" s="50" t="s">
        <v>187</v>
      </c>
      <c r="C8" s="50" t="s">
        <v>207</v>
      </c>
      <c r="D8" s="50" t="s">
        <v>127</v>
      </c>
      <c r="E8" s="50" t="s">
        <v>71</v>
      </c>
      <c r="F8" s="133">
        <v>41797</v>
      </c>
      <c r="G8" s="51"/>
      <c r="H8" s="51"/>
      <c r="I8" s="52">
        <v>1633.33</v>
      </c>
      <c r="J8" s="115"/>
      <c r="K8" s="52">
        <f t="shared" si="0"/>
        <v>1633.33</v>
      </c>
      <c r="L8" s="52"/>
      <c r="M8" s="52"/>
      <c r="N8" s="53"/>
      <c r="O8" s="53"/>
      <c r="P8" s="54"/>
      <c r="Q8" s="55">
        <f t="shared" si="1"/>
        <v>1633.33</v>
      </c>
      <c r="R8" s="56"/>
      <c r="S8" s="125">
        <v>334.75</v>
      </c>
      <c r="T8" s="57">
        <v>0</v>
      </c>
      <c r="U8" s="57"/>
      <c r="V8" s="57"/>
      <c r="W8" s="57"/>
      <c r="X8" s="58"/>
      <c r="Y8" s="58"/>
      <c r="Z8" s="59"/>
      <c r="AA8" s="59">
        <v>0</v>
      </c>
      <c r="AB8" s="55">
        <f t="shared" si="2"/>
        <v>1298.58</v>
      </c>
      <c r="AC8" s="60">
        <f t="shared" ref="AC8:AC76" si="7">IF(Q8&gt;2250,Q8*0.1,0)</f>
        <v>0</v>
      </c>
      <c r="AD8" s="55">
        <f t="shared" si="3"/>
        <v>1298.58</v>
      </c>
      <c r="AE8" s="61">
        <f t="shared" ref="AE8:AE72" si="8">IF(Q8&lt;2250,Q8*0.1,0)</f>
        <v>163.333</v>
      </c>
      <c r="AF8" s="60">
        <v>10.23</v>
      </c>
      <c r="AG8" s="60">
        <f t="shared" si="4"/>
        <v>0</v>
      </c>
      <c r="AH8" s="62">
        <f t="shared" si="5"/>
        <v>1806.893</v>
      </c>
      <c r="AI8" s="137"/>
      <c r="AJ8" s="138"/>
      <c r="AK8" s="123">
        <f t="shared" si="6"/>
        <v>-1298.58</v>
      </c>
      <c r="AL8" s="64"/>
      <c r="AM8" s="64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</row>
    <row r="9" spans="1:193" hidden="1">
      <c r="A9" s="64" t="s">
        <v>84</v>
      </c>
      <c r="B9" s="50" t="s">
        <v>169</v>
      </c>
      <c r="C9" s="50"/>
      <c r="D9" s="50" t="s">
        <v>110</v>
      </c>
      <c r="E9" s="50" t="s">
        <v>158</v>
      </c>
      <c r="F9" s="133">
        <v>41381</v>
      </c>
      <c r="G9" s="51"/>
      <c r="H9" s="51"/>
      <c r="I9" s="52">
        <v>623.36</v>
      </c>
      <c r="J9" s="115"/>
      <c r="K9" s="52">
        <f t="shared" si="0"/>
        <v>623.36</v>
      </c>
      <c r="L9" s="52"/>
      <c r="M9" s="52"/>
      <c r="N9" s="53"/>
      <c r="O9" s="53"/>
      <c r="P9" s="54"/>
      <c r="Q9" s="55">
        <f t="shared" si="1"/>
        <v>623.36</v>
      </c>
      <c r="R9" s="56"/>
      <c r="S9" s="57"/>
      <c r="T9" s="57"/>
      <c r="U9" s="66">
        <f>Q9*4.9%</f>
        <v>30.544640000000001</v>
      </c>
      <c r="V9" s="66">
        <f>Q9*1%</f>
        <v>6.2336</v>
      </c>
      <c r="W9" s="57"/>
      <c r="X9" s="58"/>
      <c r="Y9" s="58"/>
      <c r="Z9" s="59"/>
      <c r="AA9" s="59">
        <v>0</v>
      </c>
      <c r="AB9" s="55">
        <f t="shared" si="2"/>
        <v>586.58176000000003</v>
      </c>
      <c r="AC9" s="60">
        <f t="shared" si="7"/>
        <v>0</v>
      </c>
      <c r="AD9" s="55">
        <f t="shared" si="3"/>
        <v>586.58176000000003</v>
      </c>
      <c r="AE9" s="61">
        <f t="shared" si="8"/>
        <v>62.336000000000006</v>
      </c>
      <c r="AF9" s="60">
        <v>10.23</v>
      </c>
      <c r="AG9" s="60">
        <f t="shared" si="4"/>
        <v>30.544640000000001</v>
      </c>
      <c r="AH9" s="62">
        <f t="shared" si="5"/>
        <v>726.47064</v>
      </c>
      <c r="AI9" s="137"/>
      <c r="AJ9" s="138"/>
      <c r="AK9" s="123">
        <f t="shared" si="6"/>
        <v>-586.58176000000003</v>
      </c>
      <c r="AL9" s="64"/>
      <c r="AM9" s="64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</row>
    <row r="10" spans="1:193" hidden="1">
      <c r="A10" s="64" t="s">
        <v>82</v>
      </c>
      <c r="B10" s="50" t="s">
        <v>174</v>
      </c>
      <c r="C10" s="50"/>
      <c r="D10" s="50" t="s">
        <v>175</v>
      </c>
      <c r="E10" s="50" t="s">
        <v>148</v>
      </c>
      <c r="F10" s="133">
        <v>42395</v>
      </c>
      <c r="G10" s="51"/>
      <c r="H10" s="51"/>
      <c r="I10" s="28">
        <f>+K10</f>
        <v>633.62</v>
      </c>
      <c r="J10" s="115"/>
      <c r="K10" s="68">
        <v>633.62</v>
      </c>
      <c r="L10" s="52"/>
      <c r="M10" s="52"/>
      <c r="N10" s="53"/>
      <c r="O10" s="53"/>
      <c r="P10" s="54"/>
      <c r="Q10" s="55">
        <f t="shared" si="1"/>
        <v>633.62</v>
      </c>
      <c r="R10" s="56"/>
      <c r="S10" s="57"/>
      <c r="T10" s="57"/>
      <c r="U10" s="57"/>
      <c r="V10" s="57"/>
      <c r="W10" s="57"/>
      <c r="X10" s="58"/>
      <c r="Y10" s="58"/>
      <c r="Z10" s="59"/>
      <c r="AA10" s="59"/>
      <c r="AB10" s="55">
        <f t="shared" si="2"/>
        <v>633.62</v>
      </c>
      <c r="AC10" s="60">
        <f t="shared" si="7"/>
        <v>0</v>
      </c>
      <c r="AD10" s="55">
        <f t="shared" si="3"/>
        <v>633.62</v>
      </c>
      <c r="AE10" s="61">
        <f t="shared" si="8"/>
        <v>63.362000000000002</v>
      </c>
      <c r="AF10" s="60">
        <v>10.23</v>
      </c>
      <c r="AG10" s="60">
        <f t="shared" si="4"/>
        <v>0</v>
      </c>
      <c r="AH10" s="62">
        <f t="shared" si="5"/>
        <v>707.21199999999999</v>
      </c>
      <c r="AI10" s="137"/>
      <c r="AJ10" s="137"/>
      <c r="AK10" s="123">
        <f t="shared" si="6"/>
        <v>-633.62</v>
      </c>
      <c r="AL10" s="64"/>
      <c r="AM10" s="141" t="s">
        <v>287</v>
      </c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</row>
    <row r="11" spans="1:193" hidden="1">
      <c r="A11" s="64" t="s">
        <v>68</v>
      </c>
      <c r="B11" s="50" t="s">
        <v>78</v>
      </c>
      <c r="C11" s="50" t="s">
        <v>207</v>
      </c>
      <c r="D11" s="50">
        <v>16</v>
      </c>
      <c r="E11" s="50" t="s">
        <v>71</v>
      </c>
      <c r="F11" s="133">
        <v>39508</v>
      </c>
      <c r="G11" s="51"/>
      <c r="H11" s="51"/>
      <c r="I11" s="52">
        <v>1633.33</v>
      </c>
      <c r="J11" s="115"/>
      <c r="K11" s="68">
        <f t="shared" si="0"/>
        <v>1633.33</v>
      </c>
      <c r="L11" s="52"/>
      <c r="M11" s="52"/>
      <c r="N11" s="53"/>
      <c r="O11" s="53"/>
      <c r="P11" s="54"/>
      <c r="Q11" s="55">
        <f t="shared" si="1"/>
        <v>1633.33</v>
      </c>
      <c r="R11" s="56"/>
      <c r="S11" s="57"/>
      <c r="T11" s="57">
        <v>0</v>
      </c>
      <c r="U11" s="57"/>
      <c r="V11" s="57"/>
      <c r="W11" s="57"/>
      <c r="X11" s="58"/>
      <c r="Y11" s="58"/>
      <c r="Z11" s="59"/>
      <c r="AA11" s="59">
        <v>0</v>
      </c>
      <c r="AB11" s="55">
        <f t="shared" si="2"/>
        <v>1633.33</v>
      </c>
      <c r="AC11" s="60">
        <f t="shared" si="7"/>
        <v>0</v>
      </c>
      <c r="AD11" s="55">
        <f t="shared" si="3"/>
        <v>1633.33</v>
      </c>
      <c r="AE11" s="61">
        <f t="shared" si="8"/>
        <v>163.333</v>
      </c>
      <c r="AF11" s="60">
        <v>10.23</v>
      </c>
      <c r="AG11" s="60">
        <f t="shared" si="4"/>
        <v>0</v>
      </c>
      <c r="AH11" s="62">
        <f t="shared" si="5"/>
        <v>1806.893</v>
      </c>
      <c r="AI11" s="137"/>
      <c r="AJ11" s="138"/>
      <c r="AK11" s="123">
        <f t="shared" si="6"/>
        <v>-1633.33</v>
      </c>
      <c r="AL11" s="64"/>
      <c r="AM11" s="64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</row>
    <row r="12" spans="1:193" s="37" customFormat="1" hidden="1">
      <c r="A12" s="64" t="s">
        <v>81</v>
      </c>
      <c r="B12" s="64" t="s">
        <v>220</v>
      </c>
      <c r="C12" s="64"/>
      <c r="D12" s="64"/>
      <c r="E12" s="64" t="s">
        <v>221</v>
      </c>
      <c r="F12" s="134">
        <v>42422</v>
      </c>
      <c r="G12" s="64"/>
      <c r="H12" s="64"/>
      <c r="I12" s="68">
        <v>739.23</v>
      </c>
      <c r="J12" s="116"/>
      <c r="K12" s="68">
        <f t="shared" si="0"/>
        <v>739.23</v>
      </c>
      <c r="L12" s="68"/>
      <c r="M12" s="68"/>
      <c r="N12" s="68"/>
      <c r="O12" s="68"/>
      <c r="P12" s="54"/>
      <c r="Q12" s="55">
        <f t="shared" si="1"/>
        <v>739.23</v>
      </c>
      <c r="R12" s="56"/>
      <c r="S12" s="57"/>
      <c r="T12" s="57">
        <v>0</v>
      </c>
      <c r="U12" s="57"/>
      <c r="V12" s="57"/>
      <c r="W12" s="57"/>
      <c r="X12" s="58"/>
      <c r="Y12" s="58"/>
      <c r="Z12" s="59"/>
      <c r="AA12" s="59">
        <v>0</v>
      </c>
      <c r="AB12" s="55">
        <f t="shared" si="2"/>
        <v>739.23</v>
      </c>
      <c r="AC12" s="60">
        <f t="shared" si="7"/>
        <v>0</v>
      </c>
      <c r="AD12" s="55">
        <f t="shared" si="3"/>
        <v>739.23</v>
      </c>
      <c r="AE12" s="61">
        <f t="shared" si="8"/>
        <v>73.923000000000002</v>
      </c>
      <c r="AF12" s="60">
        <v>10.23</v>
      </c>
      <c r="AG12" s="60">
        <f t="shared" si="4"/>
        <v>0</v>
      </c>
      <c r="AH12" s="62">
        <f t="shared" si="5"/>
        <v>823.38300000000004</v>
      </c>
      <c r="AI12" s="137"/>
      <c r="AJ12" s="138"/>
      <c r="AK12" s="123">
        <f t="shared" si="6"/>
        <v>-739.23</v>
      </c>
      <c r="AL12" s="64">
        <v>1456104819</v>
      </c>
      <c r="AM12" s="6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</row>
    <row r="13" spans="1:193" s="29" customFormat="1" hidden="1">
      <c r="A13" s="64" t="s">
        <v>68</v>
      </c>
      <c r="B13" s="64" t="s">
        <v>188</v>
      </c>
      <c r="C13" s="64" t="s">
        <v>204</v>
      </c>
      <c r="D13" s="64" t="s">
        <v>128</v>
      </c>
      <c r="E13" s="64" t="s">
        <v>70</v>
      </c>
      <c r="F13" s="134">
        <v>42383</v>
      </c>
      <c r="G13" s="64"/>
      <c r="H13" s="64"/>
      <c r="I13" s="68">
        <v>513.33000000000004</v>
      </c>
      <c r="J13" s="116">
        <v>653.33000000000004</v>
      </c>
      <c r="K13" s="68">
        <f t="shared" si="0"/>
        <v>1166.6600000000001</v>
      </c>
      <c r="L13" s="68"/>
      <c r="M13" s="68"/>
      <c r="N13" s="68"/>
      <c r="O13" s="68"/>
      <c r="P13" s="54"/>
      <c r="Q13" s="55">
        <f t="shared" si="1"/>
        <v>1166.6600000000001</v>
      </c>
      <c r="R13" s="56">
        <v>187.5</v>
      </c>
      <c r="S13" s="57"/>
      <c r="T13" s="57">
        <v>0</v>
      </c>
      <c r="U13" s="57"/>
      <c r="V13" s="57"/>
      <c r="W13" s="57"/>
      <c r="X13" s="58"/>
      <c r="Y13" s="58"/>
      <c r="Z13" s="59"/>
      <c r="AA13" s="65">
        <v>368.35</v>
      </c>
      <c r="AB13" s="55">
        <f t="shared" si="2"/>
        <v>610.81000000000006</v>
      </c>
      <c r="AC13" s="60">
        <f t="shared" si="7"/>
        <v>0</v>
      </c>
      <c r="AD13" s="55">
        <f t="shared" si="3"/>
        <v>610.81000000000006</v>
      </c>
      <c r="AE13" s="61">
        <f t="shared" si="8"/>
        <v>116.66600000000001</v>
      </c>
      <c r="AF13" s="60">
        <v>10.23</v>
      </c>
      <c r="AG13" s="60">
        <f t="shared" si="4"/>
        <v>0</v>
      </c>
      <c r="AH13" s="62">
        <f t="shared" si="5"/>
        <v>1293.556</v>
      </c>
      <c r="AI13" s="137"/>
      <c r="AJ13" s="138"/>
      <c r="AK13" s="123">
        <f t="shared" si="6"/>
        <v>-610.81000000000006</v>
      </c>
      <c r="AL13" s="64"/>
      <c r="AM13" s="64"/>
    </row>
    <row r="14" spans="1:193" hidden="1">
      <c r="A14" s="64" t="s">
        <v>67</v>
      </c>
      <c r="B14" s="64" t="s">
        <v>173</v>
      </c>
      <c r="C14" s="64" t="s">
        <v>234</v>
      </c>
      <c r="D14" s="64"/>
      <c r="E14" s="64" t="s">
        <v>152</v>
      </c>
      <c r="F14" s="134">
        <v>42416</v>
      </c>
      <c r="G14" s="64"/>
      <c r="H14" s="64"/>
      <c r="I14" s="68">
        <v>513.33000000000004</v>
      </c>
      <c r="J14" s="116">
        <v>653.33000000000004</v>
      </c>
      <c r="K14" s="68">
        <f t="shared" si="0"/>
        <v>1166.6600000000001</v>
      </c>
      <c r="L14" s="68"/>
      <c r="M14" s="68"/>
      <c r="N14" s="68"/>
      <c r="O14" s="68"/>
      <c r="P14" s="54"/>
      <c r="Q14" s="55">
        <f t="shared" si="1"/>
        <v>1166.6600000000001</v>
      </c>
      <c r="R14" s="56"/>
      <c r="S14" s="57"/>
      <c r="T14" s="57">
        <v>0</v>
      </c>
      <c r="U14" s="57"/>
      <c r="V14" s="57"/>
      <c r="W14" s="57"/>
      <c r="X14" s="71">
        <v>114.82</v>
      </c>
      <c r="Y14" s="58"/>
      <c r="Z14" s="59"/>
      <c r="AA14" s="59">
        <v>0</v>
      </c>
      <c r="AB14" s="55">
        <f t="shared" si="2"/>
        <v>1051.8400000000001</v>
      </c>
      <c r="AC14" s="60">
        <f t="shared" si="7"/>
        <v>0</v>
      </c>
      <c r="AD14" s="55">
        <f t="shared" si="3"/>
        <v>1051.8400000000001</v>
      </c>
      <c r="AE14" s="61">
        <f t="shared" si="8"/>
        <v>116.66600000000001</v>
      </c>
      <c r="AF14" s="60">
        <v>10.23</v>
      </c>
      <c r="AG14" s="60">
        <f t="shared" si="4"/>
        <v>0</v>
      </c>
      <c r="AH14" s="62">
        <f t="shared" si="5"/>
        <v>1293.556</v>
      </c>
      <c r="AI14" s="137"/>
      <c r="AJ14" s="138"/>
      <c r="AK14" s="123">
        <f t="shared" si="6"/>
        <v>-1051.8400000000001</v>
      </c>
      <c r="AL14" s="64"/>
      <c r="AM14" s="64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</row>
    <row r="15" spans="1:193" hidden="1">
      <c r="A15" s="64" t="s">
        <v>84</v>
      </c>
      <c r="B15" s="64" t="s">
        <v>264</v>
      </c>
      <c r="C15" s="64"/>
      <c r="D15" s="50" t="s">
        <v>111</v>
      </c>
      <c r="E15" s="50" t="s">
        <v>153</v>
      </c>
      <c r="F15" s="133">
        <v>41740</v>
      </c>
      <c r="G15" s="51"/>
      <c r="H15" s="51"/>
      <c r="I15" s="52">
        <v>623.36</v>
      </c>
      <c r="J15" s="115"/>
      <c r="K15" s="68">
        <f t="shared" si="0"/>
        <v>623.36</v>
      </c>
      <c r="L15" s="52"/>
      <c r="M15" s="52"/>
      <c r="N15" s="53"/>
      <c r="O15" s="53"/>
      <c r="P15" s="54"/>
      <c r="Q15" s="55">
        <f t="shared" si="1"/>
        <v>623.36</v>
      </c>
      <c r="R15" s="56"/>
      <c r="S15" s="57"/>
      <c r="T15" s="66">
        <v>250</v>
      </c>
      <c r="U15" s="66">
        <f>Q15*4.9%</f>
        <v>30.544640000000001</v>
      </c>
      <c r="V15" s="66">
        <f>Q15*1%</f>
        <v>6.2336</v>
      </c>
      <c r="W15" s="57"/>
      <c r="X15" s="58"/>
      <c r="Y15" s="58"/>
      <c r="Z15" s="59"/>
      <c r="AA15" s="59">
        <v>0</v>
      </c>
      <c r="AB15" s="55">
        <f t="shared" si="2"/>
        <v>336.58175999999997</v>
      </c>
      <c r="AC15" s="60">
        <f t="shared" si="7"/>
        <v>0</v>
      </c>
      <c r="AD15" s="55">
        <f t="shared" si="3"/>
        <v>336.58175999999997</v>
      </c>
      <c r="AE15" s="61">
        <f t="shared" si="8"/>
        <v>62.336000000000006</v>
      </c>
      <c r="AF15" s="60">
        <v>10.23</v>
      </c>
      <c r="AG15" s="60">
        <f t="shared" si="4"/>
        <v>30.544640000000001</v>
      </c>
      <c r="AH15" s="62">
        <f t="shared" si="5"/>
        <v>726.47064</v>
      </c>
      <c r="AI15" s="137"/>
      <c r="AJ15" s="138"/>
      <c r="AK15" s="123">
        <f t="shared" si="6"/>
        <v>-336.58175999999997</v>
      </c>
      <c r="AL15" s="64"/>
      <c r="AM15" s="6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</row>
    <row r="16" spans="1:193" s="29" customFormat="1" hidden="1">
      <c r="A16" s="64" t="s">
        <v>68</v>
      </c>
      <c r="B16" s="64" t="s">
        <v>252</v>
      </c>
      <c r="C16" s="64"/>
      <c r="D16" s="64"/>
      <c r="E16" s="64" t="s">
        <v>70</v>
      </c>
      <c r="F16" s="134">
        <v>42472</v>
      </c>
      <c r="G16" s="64"/>
      <c r="H16" s="64"/>
      <c r="I16" s="68">
        <v>513.33000000000004</v>
      </c>
      <c r="J16" s="116">
        <v>653.33000000000004</v>
      </c>
      <c r="K16" s="68">
        <f t="shared" si="0"/>
        <v>1166.6600000000001</v>
      </c>
      <c r="L16" s="68"/>
      <c r="M16" s="68"/>
      <c r="N16" s="68"/>
      <c r="O16" s="68"/>
      <c r="P16" s="54"/>
      <c r="Q16" s="55">
        <f t="shared" si="1"/>
        <v>1166.6600000000001</v>
      </c>
      <c r="R16" s="56"/>
      <c r="S16" s="57"/>
      <c r="T16" s="103"/>
      <c r="U16" s="103"/>
      <c r="V16" s="103"/>
      <c r="W16" s="103"/>
      <c r="X16" s="104"/>
      <c r="Y16" s="104"/>
      <c r="Z16" s="88"/>
      <c r="AA16" s="88">
        <v>0</v>
      </c>
      <c r="AB16" s="55">
        <f t="shared" si="2"/>
        <v>1166.6600000000001</v>
      </c>
      <c r="AC16" s="60">
        <f t="shared" si="7"/>
        <v>0</v>
      </c>
      <c r="AD16" s="55">
        <f t="shared" si="3"/>
        <v>1166.6600000000001</v>
      </c>
      <c r="AE16" s="61">
        <f t="shared" si="8"/>
        <v>116.66600000000001</v>
      </c>
      <c r="AF16" s="60">
        <v>10.23</v>
      </c>
      <c r="AG16" s="60">
        <f t="shared" si="4"/>
        <v>0</v>
      </c>
      <c r="AH16" s="62">
        <f t="shared" si="5"/>
        <v>1293.556</v>
      </c>
      <c r="AI16" s="139"/>
      <c r="AJ16" s="140"/>
      <c r="AK16" s="123">
        <f t="shared" si="6"/>
        <v>-1166.6600000000001</v>
      </c>
      <c r="AL16" s="64">
        <v>2899146091</v>
      </c>
      <c r="AM16" s="69"/>
    </row>
    <row r="17" spans="1:193" hidden="1">
      <c r="A17" s="64" t="s">
        <v>66</v>
      </c>
      <c r="B17" s="50" t="s">
        <v>267</v>
      </c>
      <c r="C17" s="50"/>
      <c r="D17" s="50" t="s">
        <v>98</v>
      </c>
      <c r="E17" s="50" t="s">
        <v>150</v>
      </c>
      <c r="F17" s="133">
        <v>42116</v>
      </c>
      <c r="G17" s="51"/>
      <c r="H17" s="51"/>
      <c r="I17" s="52">
        <v>513.33000000000004</v>
      </c>
      <c r="J17" s="116">
        <v>653.33000000000004</v>
      </c>
      <c r="K17" s="68">
        <f t="shared" si="0"/>
        <v>1166.6600000000001</v>
      </c>
      <c r="L17" s="52"/>
      <c r="M17" s="52"/>
      <c r="N17" s="53"/>
      <c r="O17" s="53"/>
      <c r="P17" s="54"/>
      <c r="Q17" s="55">
        <f t="shared" si="1"/>
        <v>1166.6600000000001</v>
      </c>
      <c r="R17" s="56"/>
      <c r="S17" s="57">
        <v>58.91</v>
      </c>
      <c r="T17" s="57">
        <v>0</v>
      </c>
      <c r="U17" s="57"/>
      <c r="V17" s="57"/>
      <c r="W17" s="57"/>
      <c r="X17" s="58"/>
      <c r="Y17" s="58"/>
      <c r="Z17" s="70"/>
      <c r="AA17" s="59">
        <v>0</v>
      </c>
      <c r="AB17" s="55">
        <f t="shared" si="2"/>
        <v>1107.75</v>
      </c>
      <c r="AC17" s="60">
        <f t="shared" si="7"/>
        <v>0</v>
      </c>
      <c r="AD17" s="55">
        <f t="shared" si="3"/>
        <v>1107.75</v>
      </c>
      <c r="AE17" s="61">
        <f t="shared" si="8"/>
        <v>116.66600000000001</v>
      </c>
      <c r="AF17" s="60">
        <v>10.23</v>
      </c>
      <c r="AG17" s="60">
        <f t="shared" si="4"/>
        <v>0</v>
      </c>
      <c r="AH17" s="62">
        <f t="shared" si="5"/>
        <v>1293.556</v>
      </c>
      <c r="AI17" s="139"/>
      <c r="AJ17" s="139"/>
      <c r="AK17" s="123">
        <f t="shared" si="6"/>
        <v>-1107.75</v>
      </c>
      <c r="AL17" s="64"/>
      <c r="AM17" s="64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</row>
    <row r="18" spans="1:193" s="29" customFormat="1" ht="15" hidden="1" customHeight="1">
      <c r="A18" s="64" t="s">
        <v>68</v>
      </c>
      <c r="B18" s="64" t="s">
        <v>213</v>
      </c>
      <c r="C18" s="64" t="s">
        <v>206</v>
      </c>
      <c r="D18" s="64" t="s">
        <v>129</v>
      </c>
      <c r="E18" s="64" t="s">
        <v>70</v>
      </c>
      <c r="F18" s="133">
        <v>41831</v>
      </c>
      <c r="G18" s="64"/>
      <c r="H18" s="64"/>
      <c r="I18" s="68">
        <v>513.33000000000004</v>
      </c>
      <c r="J18" s="117">
        <v>653.33000000000004</v>
      </c>
      <c r="K18" s="68">
        <f t="shared" si="0"/>
        <v>1166.6600000000001</v>
      </c>
      <c r="L18" s="68"/>
      <c r="M18" s="68"/>
      <c r="N18" s="68"/>
      <c r="O18" s="68"/>
      <c r="P18" s="54"/>
      <c r="Q18" s="55">
        <f t="shared" si="1"/>
        <v>1166.6600000000001</v>
      </c>
      <c r="R18" s="56"/>
      <c r="S18" s="103">
        <v>58.91</v>
      </c>
      <c r="T18" s="66"/>
      <c r="U18" s="103"/>
      <c r="V18" s="103"/>
      <c r="W18" s="103"/>
      <c r="X18" s="104"/>
      <c r="Y18" s="71">
        <v>167.44</v>
      </c>
      <c r="Z18" s="88"/>
      <c r="AA18" s="106">
        <v>940.31</v>
      </c>
      <c r="AB18" s="55">
        <f t="shared" si="2"/>
        <v>0</v>
      </c>
      <c r="AC18" s="60">
        <f t="shared" si="7"/>
        <v>0</v>
      </c>
      <c r="AD18" s="55">
        <f t="shared" si="3"/>
        <v>0</v>
      </c>
      <c r="AE18" s="61">
        <f t="shared" si="8"/>
        <v>116.66600000000001</v>
      </c>
      <c r="AF18" s="60">
        <v>10.23</v>
      </c>
      <c r="AG18" s="60">
        <f t="shared" si="4"/>
        <v>0</v>
      </c>
      <c r="AH18" s="62">
        <f t="shared" si="5"/>
        <v>1293.556</v>
      </c>
      <c r="AI18" s="128"/>
      <c r="AJ18" s="137"/>
      <c r="AK18" s="123">
        <f t="shared" si="6"/>
        <v>0</v>
      </c>
      <c r="AL18" s="64"/>
      <c r="AM18" s="141" t="s">
        <v>296</v>
      </c>
    </row>
    <row r="19" spans="1:193" s="29" customFormat="1" ht="15" hidden="1" customHeight="1">
      <c r="A19" s="64"/>
      <c r="B19" s="64" t="s">
        <v>276</v>
      </c>
      <c r="C19" s="64"/>
      <c r="D19" s="64"/>
      <c r="E19" s="64" t="s">
        <v>277</v>
      </c>
      <c r="F19" s="134">
        <v>42506</v>
      </c>
      <c r="G19" s="64"/>
      <c r="H19" s="64"/>
      <c r="I19" s="68">
        <v>739.23</v>
      </c>
      <c r="J19" s="117"/>
      <c r="K19" s="68">
        <f t="shared" si="0"/>
        <v>739.23</v>
      </c>
      <c r="L19" s="68"/>
      <c r="M19" s="68"/>
      <c r="N19" s="68"/>
      <c r="O19" s="68"/>
      <c r="P19" s="109"/>
      <c r="Q19" s="55">
        <f t="shared" si="1"/>
        <v>739.23</v>
      </c>
      <c r="R19" s="56"/>
      <c r="S19" s="103"/>
      <c r="T19" s="103"/>
      <c r="U19" s="103"/>
      <c r="V19" s="103"/>
      <c r="W19" s="103"/>
      <c r="X19" s="104"/>
      <c r="Y19" s="104"/>
      <c r="Z19" s="88"/>
      <c r="AA19" s="130"/>
      <c r="AB19" s="55">
        <f t="shared" si="2"/>
        <v>739.23</v>
      </c>
      <c r="AC19" s="60">
        <f t="shared" si="7"/>
        <v>0</v>
      </c>
      <c r="AD19" s="55">
        <f t="shared" si="3"/>
        <v>739.23</v>
      </c>
      <c r="AE19" s="61">
        <f t="shared" si="8"/>
        <v>73.923000000000002</v>
      </c>
      <c r="AF19" s="60">
        <v>10.23</v>
      </c>
      <c r="AG19" s="60">
        <f t="shared" si="4"/>
        <v>0</v>
      </c>
      <c r="AH19" s="62">
        <f t="shared" si="5"/>
        <v>823.38300000000004</v>
      </c>
      <c r="AI19" s="137"/>
      <c r="AJ19" s="137"/>
      <c r="AK19" s="123">
        <f t="shared" si="6"/>
        <v>-739.23</v>
      </c>
      <c r="AL19" s="129">
        <v>14058709719</v>
      </c>
      <c r="AM19" s="69"/>
    </row>
    <row r="20" spans="1:193" hidden="1">
      <c r="A20" s="64" t="s">
        <v>84</v>
      </c>
      <c r="B20" s="50" t="s">
        <v>170</v>
      </c>
      <c r="C20" s="50"/>
      <c r="D20" s="50" t="s">
        <v>112</v>
      </c>
      <c r="E20" s="50" t="s">
        <v>143</v>
      </c>
      <c r="F20" s="133">
        <v>41227</v>
      </c>
      <c r="G20" s="51"/>
      <c r="H20" s="51"/>
      <c r="I20" s="52">
        <v>511.28</v>
      </c>
      <c r="J20" s="115"/>
      <c r="K20" s="68">
        <f t="shared" si="0"/>
        <v>511.28</v>
      </c>
      <c r="L20" s="52"/>
      <c r="M20" s="52"/>
      <c r="N20" s="53"/>
      <c r="O20" s="53"/>
      <c r="P20" s="54"/>
      <c r="Q20" s="55">
        <f t="shared" si="1"/>
        <v>511.28</v>
      </c>
      <c r="R20" s="56"/>
      <c r="S20" s="57"/>
      <c r="T20" s="66">
        <v>700</v>
      </c>
      <c r="U20" s="66">
        <f>Q20*4.9%</f>
        <v>25.052720000000001</v>
      </c>
      <c r="V20" s="66">
        <f>Q20*1%</f>
        <v>5.1128</v>
      </c>
      <c r="W20" s="57"/>
      <c r="X20" s="58"/>
      <c r="Y20" s="58"/>
      <c r="Z20" s="59"/>
      <c r="AA20" s="59">
        <v>0</v>
      </c>
      <c r="AB20" s="55">
        <f t="shared" si="2"/>
        <v>-218.88552000000004</v>
      </c>
      <c r="AC20" s="60">
        <f t="shared" si="7"/>
        <v>0</v>
      </c>
      <c r="AD20" s="55">
        <f t="shared" si="3"/>
        <v>-218.88552000000004</v>
      </c>
      <c r="AE20" s="61">
        <f t="shared" si="8"/>
        <v>51.128</v>
      </c>
      <c r="AF20" s="60">
        <v>10.23</v>
      </c>
      <c r="AG20" s="60">
        <f t="shared" si="4"/>
        <v>25.052720000000001</v>
      </c>
      <c r="AH20" s="62">
        <f t="shared" si="5"/>
        <v>597.69072000000006</v>
      </c>
      <c r="AI20" s="137"/>
      <c r="AJ20" s="137"/>
      <c r="AK20" s="123">
        <f t="shared" si="6"/>
        <v>218.88552000000004</v>
      </c>
      <c r="AL20" s="64"/>
      <c r="AM20" s="64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</row>
    <row r="21" spans="1:193" hidden="1">
      <c r="A21" s="64" t="s">
        <v>68</v>
      </c>
      <c r="B21" s="50" t="s">
        <v>218</v>
      </c>
      <c r="C21" s="50" t="s">
        <v>207</v>
      </c>
      <c r="D21" s="50">
        <v>18</v>
      </c>
      <c r="E21" s="50" t="s">
        <v>71</v>
      </c>
      <c r="F21" s="133">
        <v>39699</v>
      </c>
      <c r="G21" s="51"/>
      <c r="H21" s="51"/>
      <c r="I21" s="52">
        <v>1633.33</v>
      </c>
      <c r="J21" s="115"/>
      <c r="K21" s="68">
        <f t="shared" si="0"/>
        <v>1633.33</v>
      </c>
      <c r="L21" s="52"/>
      <c r="M21" s="52"/>
      <c r="N21" s="53"/>
      <c r="O21" s="53"/>
      <c r="P21" s="54"/>
      <c r="Q21" s="55">
        <f t="shared" si="1"/>
        <v>1633.33</v>
      </c>
      <c r="R21" s="56"/>
      <c r="S21" s="57"/>
      <c r="T21" s="66">
        <v>700</v>
      </c>
      <c r="U21" s="57"/>
      <c r="V21" s="57"/>
      <c r="W21" s="57"/>
      <c r="X21" s="58"/>
      <c r="Y21" s="58"/>
      <c r="Z21" s="65">
        <v>205.7</v>
      </c>
      <c r="AA21" s="59">
        <v>0</v>
      </c>
      <c r="AB21" s="55">
        <f t="shared" si="2"/>
        <v>727.62999999999988</v>
      </c>
      <c r="AC21" s="60">
        <f t="shared" si="7"/>
        <v>0</v>
      </c>
      <c r="AD21" s="55">
        <f t="shared" si="3"/>
        <v>727.62999999999988</v>
      </c>
      <c r="AE21" s="61">
        <f t="shared" si="8"/>
        <v>163.333</v>
      </c>
      <c r="AF21" s="60">
        <v>10.23</v>
      </c>
      <c r="AG21" s="60">
        <f t="shared" si="4"/>
        <v>0</v>
      </c>
      <c r="AH21" s="62">
        <f t="shared" si="5"/>
        <v>1806.893</v>
      </c>
      <c r="AI21" s="137"/>
      <c r="AJ21" s="138"/>
      <c r="AK21" s="123">
        <f t="shared" si="6"/>
        <v>-727.62999999999988</v>
      </c>
      <c r="AL21" s="64"/>
      <c r="AM21" s="64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</row>
    <row r="22" spans="1:193" hidden="1">
      <c r="A22" s="64" t="s">
        <v>84</v>
      </c>
      <c r="B22" s="50" t="s">
        <v>219</v>
      </c>
      <c r="C22" s="50"/>
      <c r="D22" s="50" t="s">
        <v>113</v>
      </c>
      <c r="E22" s="50" t="s">
        <v>154</v>
      </c>
      <c r="F22" s="133">
        <v>42242</v>
      </c>
      <c r="G22" s="51"/>
      <c r="H22" s="51"/>
      <c r="I22" s="52">
        <v>1100</v>
      </c>
      <c r="J22" s="115"/>
      <c r="K22" s="68">
        <f t="shared" si="0"/>
        <v>1100</v>
      </c>
      <c r="L22" s="52"/>
      <c r="M22" s="52"/>
      <c r="N22" s="53"/>
      <c r="O22" s="53"/>
      <c r="P22" s="54"/>
      <c r="Q22" s="55">
        <f t="shared" si="1"/>
        <v>1100</v>
      </c>
      <c r="R22" s="56"/>
      <c r="S22" s="57"/>
      <c r="T22" s="66">
        <f>+Q22*1%</f>
        <v>11</v>
      </c>
      <c r="U22" s="66">
        <f>+Q22*4.9%</f>
        <v>53.9</v>
      </c>
      <c r="V22" s="57"/>
      <c r="W22" s="57"/>
      <c r="X22" s="58"/>
      <c r="Y22" s="58"/>
      <c r="Z22" s="59"/>
      <c r="AA22" s="59">
        <v>0</v>
      </c>
      <c r="AB22" s="55">
        <f t="shared" si="2"/>
        <v>1035.0999999999999</v>
      </c>
      <c r="AC22" s="60">
        <f t="shared" si="7"/>
        <v>0</v>
      </c>
      <c r="AD22" s="55">
        <f t="shared" si="3"/>
        <v>1035.0999999999999</v>
      </c>
      <c r="AE22" s="61">
        <f t="shared" si="8"/>
        <v>110</v>
      </c>
      <c r="AF22" s="60">
        <v>10.23</v>
      </c>
      <c r="AG22" s="60">
        <f t="shared" si="4"/>
        <v>53.9</v>
      </c>
      <c r="AH22" s="62">
        <f t="shared" si="5"/>
        <v>1274.1300000000001</v>
      </c>
      <c r="AI22" s="137"/>
      <c r="AJ22" s="138"/>
      <c r="AK22" s="123">
        <f t="shared" si="6"/>
        <v>-1035.0999999999999</v>
      </c>
      <c r="AL22" s="64"/>
      <c r="AM22" s="64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</row>
    <row r="23" spans="1:193">
      <c r="A23" s="64" t="s">
        <v>67</v>
      </c>
      <c r="B23" s="50" t="s">
        <v>202</v>
      </c>
      <c r="C23" s="64" t="s">
        <v>234</v>
      </c>
      <c r="D23" s="50" t="s">
        <v>106</v>
      </c>
      <c r="E23" s="64" t="s">
        <v>152</v>
      </c>
      <c r="F23" s="133">
        <v>42332</v>
      </c>
      <c r="G23" s="51"/>
      <c r="H23" s="51"/>
      <c r="I23" s="180">
        <v>513.33000000000004</v>
      </c>
      <c r="J23" s="181">
        <v>653.33000000000004</v>
      </c>
      <c r="K23" s="182">
        <f t="shared" si="0"/>
        <v>1166.6600000000001</v>
      </c>
      <c r="L23" s="187">
        <v>3357.91</v>
      </c>
      <c r="M23" s="52"/>
      <c r="N23" s="53"/>
      <c r="O23" s="53"/>
      <c r="P23" s="54"/>
      <c r="Q23" s="55">
        <f>+L23</f>
        <v>3357.91</v>
      </c>
      <c r="R23" s="56"/>
      <c r="S23" s="57"/>
      <c r="T23" s="57">
        <v>0</v>
      </c>
      <c r="U23" s="57"/>
      <c r="V23" s="57"/>
      <c r="W23" s="57"/>
      <c r="X23" s="58"/>
      <c r="Y23" s="58"/>
      <c r="Z23" s="59"/>
      <c r="AA23" s="65"/>
      <c r="AB23" s="55">
        <f t="shared" si="2"/>
        <v>3357.91</v>
      </c>
      <c r="AC23" s="60">
        <f t="shared" si="7"/>
        <v>335.791</v>
      </c>
      <c r="AD23" s="55">
        <f t="shared" si="3"/>
        <v>3022.1189999999997</v>
      </c>
      <c r="AE23" s="61">
        <f t="shared" si="8"/>
        <v>0</v>
      </c>
      <c r="AF23" s="60">
        <v>10.23</v>
      </c>
      <c r="AG23" s="60">
        <f t="shared" si="4"/>
        <v>0</v>
      </c>
      <c r="AH23" s="62">
        <f t="shared" si="5"/>
        <v>3368.14</v>
      </c>
      <c r="AI23" s="137"/>
      <c r="AJ23" s="138"/>
      <c r="AK23" s="123">
        <f t="shared" si="6"/>
        <v>-3022.1189999999997</v>
      </c>
      <c r="AL23" s="64"/>
      <c r="AM23" s="64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</row>
    <row r="24" spans="1:193">
      <c r="A24" s="64" t="s">
        <v>68</v>
      </c>
      <c r="B24" s="64" t="s">
        <v>231</v>
      </c>
      <c r="C24" s="64" t="s">
        <v>209</v>
      </c>
      <c r="D24" s="64"/>
      <c r="E24" s="64" t="s">
        <v>70</v>
      </c>
      <c r="F24" s="134">
        <v>42437</v>
      </c>
      <c r="G24" s="64"/>
      <c r="H24" s="64"/>
      <c r="I24" s="180">
        <v>513.33000000000004</v>
      </c>
      <c r="J24" s="183">
        <v>653.33000000000004</v>
      </c>
      <c r="K24" s="182">
        <f t="shared" si="0"/>
        <v>1166.6600000000001</v>
      </c>
      <c r="L24" s="187">
        <v>1783.11</v>
      </c>
      <c r="M24" s="68"/>
      <c r="N24" s="68"/>
      <c r="O24" s="68"/>
      <c r="P24" s="54"/>
      <c r="Q24" s="55">
        <f>+L24</f>
        <v>1783.11</v>
      </c>
      <c r="R24" s="56"/>
      <c r="S24" s="57"/>
      <c r="T24" s="57">
        <v>0</v>
      </c>
      <c r="U24" s="57"/>
      <c r="V24" s="57"/>
      <c r="W24" s="57"/>
      <c r="X24" s="58"/>
      <c r="Y24" s="58"/>
      <c r="Z24" s="59"/>
      <c r="AA24" s="59">
        <v>0</v>
      </c>
      <c r="AB24" s="55">
        <f t="shared" si="2"/>
        <v>1783.11</v>
      </c>
      <c r="AC24" s="60">
        <f>AB24*0.1</f>
        <v>178.31100000000001</v>
      </c>
      <c r="AD24" s="55">
        <f t="shared" si="3"/>
        <v>1604.799</v>
      </c>
      <c r="AE24" s="61">
        <v>0</v>
      </c>
      <c r="AF24" s="60">
        <v>10.23</v>
      </c>
      <c r="AG24" s="60">
        <f t="shared" si="4"/>
        <v>0</v>
      </c>
      <c r="AH24" s="62">
        <f t="shared" si="5"/>
        <v>1793.34</v>
      </c>
      <c r="AI24" s="137"/>
      <c r="AJ24" s="138"/>
      <c r="AK24" s="123">
        <f t="shared" si="6"/>
        <v>-1604.799</v>
      </c>
      <c r="AL24" s="64"/>
      <c r="AM24" s="6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</row>
    <row r="25" spans="1:193" hidden="1">
      <c r="A25" s="64" t="s">
        <v>82</v>
      </c>
      <c r="B25" s="50" t="s">
        <v>178</v>
      </c>
      <c r="C25" s="50"/>
      <c r="D25" s="50" t="s">
        <v>87</v>
      </c>
      <c r="E25" s="50" t="s">
        <v>142</v>
      </c>
      <c r="F25" s="133">
        <v>41885</v>
      </c>
      <c r="G25" s="50"/>
      <c r="H25" s="50"/>
      <c r="I25" s="28">
        <f>+K25</f>
        <v>633.62</v>
      </c>
      <c r="J25" s="150"/>
      <c r="K25" s="68">
        <v>633.62</v>
      </c>
      <c r="L25" s="52"/>
      <c r="M25" s="52"/>
      <c r="N25" s="52"/>
      <c r="O25" s="52"/>
      <c r="P25" s="54"/>
      <c r="Q25" s="55">
        <f t="shared" si="1"/>
        <v>633.62</v>
      </c>
      <c r="R25" s="56"/>
      <c r="S25" s="57"/>
      <c r="T25" s="57">
        <v>0</v>
      </c>
      <c r="U25" s="57"/>
      <c r="V25" s="57"/>
      <c r="W25" s="57"/>
      <c r="X25" s="58"/>
      <c r="Y25" s="58"/>
      <c r="Z25" s="59"/>
      <c r="AA25" s="59">
        <v>0</v>
      </c>
      <c r="AB25" s="55">
        <f t="shared" si="2"/>
        <v>633.62</v>
      </c>
      <c r="AC25" s="60">
        <f t="shared" si="7"/>
        <v>0</v>
      </c>
      <c r="AD25" s="55">
        <f t="shared" si="3"/>
        <v>633.62</v>
      </c>
      <c r="AE25" s="61">
        <f t="shared" si="8"/>
        <v>63.362000000000002</v>
      </c>
      <c r="AF25" s="60">
        <v>10.23</v>
      </c>
      <c r="AG25" s="60">
        <f t="shared" si="4"/>
        <v>0</v>
      </c>
      <c r="AH25" s="62">
        <f t="shared" si="5"/>
        <v>707.21199999999999</v>
      </c>
      <c r="AI25" s="137"/>
      <c r="AJ25" s="138"/>
      <c r="AK25" s="123">
        <f t="shared" si="6"/>
        <v>-633.62</v>
      </c>
      <c r="AL25" s="64"/>
      <c r="AM25" s="141" t="s">
        <v>287</v>
      </c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</row>
    <row r="26" spans="1:193" s="30" customFormat="1" hidden="1">
      <c r="A26" s="64" t="s">
        <v>67</v>
      </c>
      <c r="B26" s="50" t="s">
        <v>254</v>
      </c>
      <c r="C26" s="64" t="s">
        <v>234</v>
      </c>
      <c r="D26" s="50" t="s">
        <v>105</v>
      </c>
      <c r="E26" s="50" t="s">
        <v>152</v>
      </c>
      <c r="F26" s="133">
        <v>42304</v>
      </c>
      <c r="G26" s="51"/>
      <c r="H26" s="51"/>
      <c r="I26" s="52">
        <v>513.33000000000004</v>
      </c>
      <c r="J26" s="151">
        <v>653.33000000000004</v>
      </c>
      <c r="K26" s="68">
        <f t="shared" si="0"/>
        <v>1166.6600000000001</v>
      </c>
      <c r="L26" s="68"/>
      <c r="M26" s="52"/>
      <c r="N26" s="53"/>
      <c r="O26" s="53"/>
      <c r="P26" s="54"/>
      <c r="Q26" s="55">
        <f t="shared" si="1"/>
        <v>1166.6600000000001</v>
      </c>
      <c r="R26" s="56"/>
      <c r="S26" s="57"/>
      <c r="T26" s="57">
        <v>0</v>
      </c>
      <c r="U26" s="57"/>
      <c r="V26" s="57"/>
      <c r="W26" s="57"/>
      <c r="X26" s="58"/>
      <c r="Y26" s="58"/>
      <c r="Z26" s="59"/>
      <c r="AA26" s="59">
        <v>0</v>
      </c>
      <c r="AB26" s="55">
        <f t="shared" si="2"/>
        <v>1166.6600000000001</v>
      </c>
      <c r="AC26" s="60">
        <f t="shared" si="7"/>
        <v>0</v>
      </c>
      <c r="AD26" s="55">
        <f t="shared" si="3"/>
        <v>1166.6600000000001</v>
      </c>
      <c r="AE26" s="61">
        <f t="shared" si="8"/>
        <v>116.66600000000001</v>
      </c>
      <c r="AF26" s="60">
        <v>10.23</v>
      </c>
      <c r="AG26" s="60">
        <f t="shared" si="4"/>
        <v>0</v>
      </c>
      <c r="AH26" s="62">
        <f t="shared" si="5"/>
        <v>1293.556</v>
      </c>
      <c r="AI26" s="137"/>
      <c r="AJ26" s="137"/>
      <c r="AK26" s="123">
        <f t="shared" si="6"/>
        <v>-1166.6600000000001</v>
      </c>
      <c r="AL26" s="64"/>
      <c r="AM26" s="64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</row>
    <row r="27" spans="1:193" s="29" customFormat="1" hidden="1">
      <c r="A27" s="64" t="s">
        <v>82</v>
      </c>
      <c r="B27" s="50" t="s">
        <v>257</v>
      </c>
      <c r="C27" s="50"/>
      <c r="D27" s="50" t="s">
        <v>100</v>
      </c>
      <c r="E27" s="50" t="s">
        <v>148</v>
      </c>
      <c r="F27" s="133">
        <v>42338</v>
      </c>
      <c r="G27" s="50"/>
      <c r="H27" s="50"/>
      <c r="I27" s="52">
        <v>739.23</v>
      </c>
      <c r="J27" s="150"/>
      <c r="K27" s="68">
        <f t="shared" si="0"/>
        <v>739.23</v>
      </c>
      <c r="L27" s="52"/>
      <c r="M27" s="52"/>
      <c r="N27" s="52"/>
      <c r="O27" s="52"/>
      <c r="P27" s="54"/>
      <c r="Q27" s="55">
        <f t="shared" si="1"/>
        <v>739.23</v>
      </c>
      <c r="R27" s="56"/>
      <c r="S27" s="57"/>
      <c r="T27" s="57">
        <v>0</v>
      </c>
      <c r="U27" s="57"/>
      <c r="V27" s="57"/>
      <c r="W27" s="57"/>
      <c r="X27" s="58"/>
      <c r="Y27" s="58"/>
      <c r="Z27" s="59"/>
      <c r="AA27" s="59">
        <v>0</v>
      </c>
      <c r="AB27" s="55">
        <f t="shared" si="2"/>
        <v>739.23</v>
      </c>
      <c r="AC27" s="60">
        <f t="shared" si="7"/>
        <v>0</v>
      </c>
      <c r="AD27" s="55">
        <f t="shared" si="3"/>
        <v>739.23</v>
      </c>
      <c r="AE27" s="61">
        <f t="shared" si="8"/>
        <v>73.923000000000002</v>
      </c>
      <c r="AF27" s="60">
        <v>10.23</v>
      </c>
      <c r="AG27" s="60">
        <f t="shared" si="4"/>
        <v>0</v>
      </c>
      <c r="AH27" s="62">
        <f t="shared" si="5"/>
        <v>823.38300000000004</v>
      </c>
      <c r="AI27" s="137"/>
      <c r="AJ27" s="138"/>
      <c r="AK27" s="123">
        <f t="shared" si="6"/>
        <v>-739.23</v>
      </c>
      <c r="AL27" s="64"/>
      <c r="AM27" s="69"/>
    </row>
    <row r="28" spans="1:193" hidden="1">
      <c r="A28" s="64" t="s">
        <v>66</v>
      </c>
      <c r="B28" s="50" t="s">
        <v>191</v>
      </c>
      <c r="C28" s="50"/>
      <c r="D28" s="50" t="s">
        <v>99</v>
      </c>
      <c r="E28" s="50" t="s">
        <v>150</v>
      </c>
      <c r="F28" s="133">
        <v>42110</v>
      </c>
      <c r="G28" s="50"/>
      <c r="H28" s="50"/>
      <c r="I28" s="52">
        <v>513.33000000000004</v>
      </c>
      <c r="J28" s="150">
        <v>486.67</v>
      </c>
      <c r="K28" s="68">
        <f>+I28+J28</f>
        <v>1000</v>
      </c>
      <c r="L28" s="52"/>
      <c r="M28" s="52"/>
      <c r="N28" s="52"/>
      <c r="O28" s="52"/>
      <c r="P28" s="54"/>
      <c r="Q28" s="55">
        <f t="shared" si="1"/>
        <v>1000</v>
      </c>
      <c r="R28" s="56">
        <v>250</v>
      </c>
      <c r="S28" s="57">
        <v>58.91</v>
      </c>
      <c r="T28" s="57">
        <v>0</v>
      </c>
      <c r="U28" s="57"/>
      <c r="V28" s="57"/>
      <c r="W28" s="57"/>
      <c r="X28" s="58"/>
      <c r="Y28" s="58"/>
      <c r="Z28" s="59"/>
      <c r="AA28" s="59">
        <v>0</v>
      </c>
      <c r="AB28" s="55">
        <f t="shared" si="2"/>
        <v>691.09</v>
      </c>
      <c r="AC28" s="60">
        <f t="shared" si="7"/>
        <v>0</v>
      </c>
      <c r="AD28" s="55">
        <f t="shared" si="3"/>
        <v>691.09</v>
      </c>
      <c r="AE28" s="61">
        <f t="shared" si="8"/>
        <v>100</v>
      </c>
      <c r="AF28" s="60">
        <v>10.23</v>
      </c>
      <c r="AG28" s="60">
        <f t="shared" si="4"/>
        <v>0</v>
      </c>
      <c r="AH28" s="62">
        <f t="shared" si="5"/>
        <v>1110.23</v>
      </c>
      <c r="AI28" s="137"/>
      <c r="AJ28" s="137"/>
      <c r="AK28" s="123">
        <f t="shared" si="6"/>
        <v>-691.09</v>
      </c>
      <c r="AL28" s="64"/>
      <c r="AM28" s="141" t="s">
        <v>287</v>
      </c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</row>
    <row r="29" spans="1:193" hidden="1">
      <c r="A29" s="64" t="s">
        <v>208</v>
      </c>
      <c r="B29" s="50" t="s">
        <v>176</v>
      </c>
      <c r="C29" s="50"/>
      <c r="D29" s="50" t="s">
        <v>101</v>
      </c>
      <c r="E29" s="50" t="s">
        <v>151</v>
      </c>
      <c r="F29" s="133">
        <v>42205</v>
      </c>
      <c r="G29" s="50"/>
      <c r="H29" s="72"/>
      <c r="I29" s="52">
        <v>577.38</v>
      </c>
      <c r="J29" s="150">
        <v>1047.6199999999999</v>
      </c>
      <c r="K29" s="68"/>
      <c r="L29" s="52"/>
      <c r="M29" s="52"/>
      <c r="N29" s="52"/>
      <c r="O29" s="52"/>
      <c r="P29" s="54"/>
      <c r="Q29" s="55">
        <f t="shared" si="1"/>
        <v>0</v>
      </c>
      <c r="R29" s="56"/>
      <c r="S29" s="57"/>
      <c r="T29" s="66">
        <v>200</v>
      </c>
      <c r="U29" s="57"/>
      <c r="V29" s="57"/>
      <c r="W29" s="57"/>
      <c r="X29" s="58"/>
      <c r="Y29" s="71">
        <v>168.06</v>
      </c>
      <c r="Z29" s="59"/>
      <c r="AA29" s="59">
        <v>0</v>
      </c>
      <c r="AB29" s="55">
        <f t="shared" si="2"/>
        <v>-368.06</v>
      </c>
      <c r="AC29" s="60">
        <f t="shared" si="7"/>
        <v>0</v>
      </c>
      <c r="AD29" s="55">
        <f t="shared" si="3"/>
        <v>-368.06</v>
      </c>
      <c r="AE29" s="61">
        <f t="shared" si="8"/>
        <v>0</v>
      </c>
      <c r="AF29" s="60">
        <v>10.23</v>
      </c>
      <c r="AG29" s="60">
        <f t="shared" si="4"/>
        <v>0</v>
      </c>
      <c r="AH29" s="62">
        <f t="shared" si="5"/>
        <v>10.23</v>
      </c>
      <c r="AI29" s="137"/>
      <c r="AJ29" s="137"/>
      <c r="AK29" s="123">
        <f t="shared" si="6"/>
        <v>368.06</v>
      </c>
      <c r="AL29" s="64"/>
      <c r="AM29" s="64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</row>
    <row r="30" spans="1:193" hidden="1">
      <c r="A30" s="64" t="s">
        <v>208</v>
      </c>
      <c r="B30" s="64" t="s">
        <v>269</v>
      </c>
      <c r="C30" s="64"/>
      <c r="D30" s="64"/>
      <c r="E30" s="64" t="s">
        <v>151</v>
      </c>
      <c r="F30" s="134">
        <v>42476</v>
      </c>
      <c r="G30" s="64"/>
      <c r="H30" s="124"/>
      <c r="I30" s="52">
        <v>577.38</v>
      </c>
      <c r="J30" s="151">
        <v>822.62</v>
      </c>
      <c r="K30" s="68">
        <f t="shared" si="0"/>
        <v>1400</v>
      </c>
      <c r="L30" s="68"/>
      <c r="M30" s="68"/>
      <c r="N30" s="68"/>
      <c r="O30" s="68"/>
      <c r="P30" s="54"/>
      <c r="Q30" s="55">
        <f t="shared" si="1"/>
        <v>1400</v>
      </c>
      <c r="R30" s="56"/>
      <c r="S30" s="57"/>
      <c r="T30" s="103"/>
      <c r="U30" s="103"/>
      <c r="V30" s="103"/>
      <c r="W30" s="103"/>
      <c r="X30" s="104"/>
      <c r="Y30" s="104"/>
      <c r="Z30" s="88"/>
      <c r="AA30" s="88">
        <v>0</v>
      </c>
      <c r="AB30" s="55">
        <f t="shared" si="2"/>
        <v>1400</v>
      </c>
      <c r="AC30" s="60">
        <f t="shared" si="7"/>
        <v>0</v>
      </c>
      <c r="AD30" s="55">
        <f t="shared" si="3"/>
        <v>1400</v>
      </c>
      <c r="AE30" s="61">
        <f t="shared" si="8"/>
        <v>140</v>
      </c>
      <c r="AF30" s="60">
        <v>10.23</v>
      </c>
      <c r="AG30" s="60">
        <f t="shared" si="4"/>
        <v>0</v>
      </c>
      <c r="AH30" s="62">
        <f t="shared" si="5"/>
        <v>1550.23</v>
      </c>
      <c r="AI30" s="137"/>
      <c r="AJ30" s="137"/>
      <c r="AK30" s="123">
        <f t="shared" si="6"/>
        <v>-1400</v>
      </c>
      <c r="AL30" s="64">
        <v>2919685839</v>
      </c>
      <c r="AM30" s="6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</row>
    <row r="31" spans="1:193" s="30" customFormat="1" hidden="1">
      <c r="A31" s="64" t="s">
        <v>84</v>
      </c>
      <c r="B31" s="50" t="s">
        <v>274</v>
      </c>
      <c r="C31" s="50"/>
      <c r="D31" s="50" t="s">
        <v>114</v>
      </c>
      <c r="E31" s="50" t="s">
        <v>158</v>
      </c>
      <c r="F31" s="133">
        <v>41227</v>
      </c>
      <c r="G31" s="51"/>
      <c r="H31" s="51"/>
      <c r="I31" s="52">
        <v>608.16</v>
      </c>
      <c r="J31" s="152"/>
      <c r="K31" s="68">
        <v>608.16</v>
      </c>
      <c r="L31" s="52"/>
      <c r="M31" s="52"/>
      <c r="N31" s="53"/>
      <c r="O31" s="53"/>
      <c r="P31" s="54"/>
      <c r="Q31" s="55">
        <f t="shared" si="1"/>
        <v>608.16</v>
      </c>
      <c r="R31" s="56"/>
      <c r="S31" s="57"/>
      <c r="T31" s="66">
        <v>500</v>
      </c>
      <c r="U31" s="66">
        <f>Q31*4.9%</f>
        <v>29.79984</v>
      </c>
      <c r="V31" s="66">
        <f>Q31*1%</f>
        <v>6.0815999999999999</v>
      </c>
      <c r="W31" s="57"/>
      <c r="X31" s="58"/>
      <c r="Y31" s="58"/>
      <c r="Z31" s="59"/>
      <c r="AA31" s="59">
        <v>0</v>
      </c>
      <c r="AB31" s="55">
        <f>+Q31-SUM(R31:AA31)</f>
        <v>72.27855999999997</v>
      </c>
      <c r="AC31" s="60">
        <f t="shared" si="7"/>
        <v>0</v>
      </c>
      <c r="AD31" s="55">
        <f>+AB31-AC31</f>
        <v>72.27855999999997</v>
      </c>
      <c r="AE31" s="61">
        <f t="shared" si="8"/>
        <v>60.816000000000003</v>
      </c>
      <c r="AF31" s="60">
        <v>10.23</v>
      </c>
      <c r="AG31" s="60">
        <f t="shared" si="4"/>
        <v>29.79984</v>
      </c>
      <c r="AH31" s="62">
        <f t="shared" si="5"/>
        <v>709.00584000000003</v>
      </c>
      <c r="AI31" s="137"/>
      <c r="AJ31" s="137"/>
      <c r="AK31" s="123">
        <f t="shared" si="6"/>
        <v>-72.27855999999997</v>
      </c>
      <c r="AL31" s="64"/>
      <c r="AM31" s="141" t="s">
        <v>287</v>
      </c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</row>
    <row r="32" spans="1:193" s="30" customFormat="1" hidden="1">
      <c r="A32" s="64"/>
      <c r="B32" s="64" t="s">
        <v>278</v>
      </c>
      <c r="C32" s="64"/>
      <c r="D32" s="64"/>
      <c r="E32" s="64" t="s">
        <v>69</v>
      </c>
      <c r="F32" s="134">
        <v>42507</v>
      </c>
      <c r="G32" s="64"/>
      <c r="H32" s="64"/>
      <c r="I32" s="68">
        <v>513.33000000000004</v>
      </c>
      <c r="J32" s="151">
        <v>653.33000000000004</v>
      </c>
      <c r="K32" s="68">
        <f>+I32+J32</f>
        <v>1166.6600000000001</v>
      </c>
      <c r="L32" s="68"/>
      <c r="M32" s="68"/>
      <c r="N32" s="68"/>
      <c r="O32" s="68"/>
      <c r="P32" s="109"/>
      <c r="Q32" s="55">
        <f t="shared" si="1"/>
        <v>1166.6600000000001</v>
      </c>
      <c r="R32" s="56">
        <v>400</v>
      </c>
      <c r="S32" s="57"/>
      <c r="T32" s="103"/>
      <c r="U32" s="103"/>
      <c r="V32" s="103"/>
      <c r="W32" s="103"/>
      <c r="X32" s="104"/>
      <c r="Y32" s="104"/>
      <c r="Z32" s="88"/>
      <c r="AA32" s="88"/>
      <c r="AB32" s="55">
        <f>+Q32-SUM(R32:AA32)</f>
        <v>766.66000000000008</v>
      </c>
      <c r="AC32" s="60">
        <f t="shared" si="7"/>
        <v>0</v>
      </c>
      <c r="AD32" s="55">
        <f>+AB32-AC32</f>
        <v>766.66000000000008</v>
      </c>
      <c r="AE32" s="61">
        <f t="shared" si="8"/>
        <v>116.66600000000001</v>
      </c>
      <c r="AF32" s="60">
        <v>10.23</v>
      </c>
      <c r="AG32" s="60">
        <f t="shared" si="4"/>
        <v>0</v>
      </c>
      <c r="AH32" s="62">
        <f t="shared" si="5"/>
        <v>1293.556</v>
      </c>
      <c r="AI32" s="137"/>
      <c r="AJ32" s="137"/>
      <c r="AK32" s="123">
        <f t="shared" si="6"/>
        <v>-766.66000000000008</v>
      </c>
      <c r="AL32" s="129">
        <v>2791168061</v>
      </c>
      <c r="AM32" s="6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</row>
    <row r="33" spans="1:193" s="30" customFormat="1" hidden="1">
      <c r="A33" s="64" t="s">
        <v>84</v>
      </c>
      <c r="B33" s="50" t="s">
        <v>192</v>
      </c>
      <c r="C33" s="50"/>
      <c r="D33" s="50" t="s">
        <v>115</v>
      </c>
      <c r="E33" s="50" t="s">
        <v>158</v>
      </c>
      <c r="F33" s="133">
        <v>41227</v>
      </c>
      <c r="G33" s="51"/>
      <c r="H33" s="51"/>
      <c r="I33" s="52">
        <v>608.16</v>
      </c>
      <c r="J33" s="152"/>
      <c r="K33" s="68">
        <f>+I33+J33</f>
        <v>608.16</v>
      </c>
      <c r="L33" s="52"/>
      <c r="M33" s="52"/>
      <c r="N33" s="53"/>
      <c r="O33" s="53"/>
      <c r="P33" s="54"/>
      <c r="Q33" s="55">
        <f t="shared" si="1"/>
        <v>608.16</v>
      </c>
      <c r="R33" s="56"/>
      <c r="S33" s="57"/>
      <c r="T33" s="103">
        <v>0</v>
      </c>
      <c r="U33" s="66">
        <f>Q33*4.9%</f>
        <v>29.79984</v>
      </c>
      <c r="V33" s="66">
        <f>Q33*1%</f>
        <v>6.0815999999999999</v>
      </c>
      <c r="W33" s="66">
        <v>300</v>
      </c>
      <c r="X33" s="58"/>
      <c r="Y33" s="58"/>
      <c r="Z33" s="70"/>
      <c r="AA33" s="59">
        <v>0</v>
      </c>
      <c r="AB33" s="55">
        <f t="shared" si="2"/>
        <v>272.27855999999997</v>
      </c>
      <c r="AC33" s="60">
        <f t="shared" si="7"/>
        <v>0</v>
      </c>
      <c r="AD33" s="55">
        <f t="shared" si="3"/>
        <v>272.27855999999997</v>
      </c>
      <c r="AE33" s="61">
        <f t="shared" si="8"/>
        <v>60.816000000000003</v>
      </c>
      <c r="AF33" s="60">
        <v>10.23</v>
      </c>
      <c r="AG33" s="60">
        <f t="shared" si="4"/>
        <v>29.79984</v>
      </c>
      <c r="AH33" s="62">
        <f t="shared" si="5"/>
        <v>709.00584000000003</v>
      </c>
      <c r="AI33" s="137"/>
      <c r="AJ33" s="138"/>
      <c r="AK33" s="123">
        <f t="shared" si="6"/>
        <v>-272.27855999999997</v>
      </c>
      <c r="AL33" s="64"/>
      <c r="AM33" s="6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</row>
    <row r="34" spans="1:193" s="29" customFormat="1" hidden="1">
      <c r="A34" s="64" t="s">
        <v>81</v>
      </c>
      <c r="B34" s="64" t="s">
        <v>299</v>
      </c>
      <c r="C34" s="64"/>
      <c r="D34" s="64"/>
      <c r="E34" s="64" t="s">
        <v>69</v>
      </c>
      <c r="F34" s="134">
        <v>42514</v>
      </c>
      <c r="G34" s="64"/>
      <c r="H34" s="64"/>
      <c r="I34" s="28">
        <f>+K34</f>
        <v>1332.86</v>
      </c>
      <c r="J34" s="151"/>
      <c r="K34" s="68">
        <v>1332.86</v>
      </c>
      <c r="L34" s="68"/>
      <c r="M34" s="68"/>
      <c r="N34" s="68"/>
      <c r="O34" s="68"/>
      <c r="P34" s="109"/>
      <c r="Q34" s="55">
        <f t="shared" si="1"/>
        <v>1332.86</v>
      </c>
      <c r="R34" s="56"/>
      <c r="S34" s="103"/>
      <c r="T34" s="103">
        <v>0</v>
      </c>
      <c r="U34" s="103"/>
      <c r="V34" s="103"/>
      <c r="W34" s="103"/>
      <c r="X34" s="104"/>
      <c r="Y34" s="104"/>
      <c r="Z34" s="88"/>
      <c r="AA34" s="88">
        <v>0</v>
      </c>
      <c r="AB34" s="55">
        <f t="shared" ref="AB34:AB44" si="9">+Q34-SUM(R34:AA34)</f>
        <v>1332.86</v>
      </c>
      <c r="AC34" s="60">
        <f t="shared" si="7"/>
        <v>0</v>
      </c>
      <c r="AD34" s="55">
        <f t="shared" si="3"/>
        <v>1332.86</v>
      </c>
      <c r="AE34" s="61">
        <f t="shared" si="8"/>
        <v>133.286</v>
      </c>
      <c r="AF34" s="60">
        <v>11.23</v>
      </c>
      <c r="AG34" s="60">
        <f t="shared" si="4"/>
        <v>0</v>
      </c>
      <c r="AH34" s="62">
        <f t="shared" si="5"/>
        <v>1477.376</v>
      </c>
      <c r="AI34" s="145"/>
      <c r="AJ34" s="146"/>
      <c r="AK34" s="123"/>
      <c r="AL34" s="64">
        <v>2747910657</v>
      </c>
      <c r="AM34" s="69" t="s">
        <v>288</v>
      </c>
    </row>
    <row r="35" spans="1:193" s="29" customFormat="1" hidden="1">
      <c r="A35" s="64" t="s">
        <v>82</v>
      </c>
      <c r="B35" s="64" t="s">
        <v>243</v>
      </c>
      <c r="C35" s="64"/>
      <c r="D35" s="64"/>
      <c r="E35" s="64" t="s">
        <v>244</v>
      </c>
      <c r="F35" s="134">
        <v>42457</v>
      </c>
      <c r="G35" s="64"/>
      <c r="H35" s="64"/>
      <c r="I35" s="28">
        <f>+K35</f>
        <v>942.85</v>
      </c>
      <c r="J35" s="151"/>
      <c r="K35" s="68">
        <v>942.85</v>
      </c>
      <c r="L35" s="68"/>
      <c r="M35" s="68"/>
      <c r="N35" s="68"/>
      <c r="O35" s="68"/>
      <c r="P35" s="54"/>
      <c r="Q35" s="55">
        <f t="shared" si="1"/>
        <v>942.85</v>
      </c>
      <c r="R35" s="56"/>
      <c r="S35" s="103"/>
      <c r="T35" s="103">
        <v>0</v>
      </c>
      <c r="U35" s="103"/>
      <c r="V35" s="103"/>
      <c r="W35" s="103"/>
      <c r="X35" s="104"/>
      <c r="Y35" s="104"/>
      <c r="Z35" s="88"/>
      <c r="AA35" s="88">
        <v>0</v>
      </c>
      <c r="AB35" s="55">
        <f t="shared" si="9"/>
        <v>942.85</v>
      </c>
      <c r="AC35" s="60">
        <f t="shared" si="7"/>
        <v>0</v>
      </c>
      <c r="AD35" s="55">
        <f t="shared" si="3"/>
        <v>942.85</v>
      </c>
      <c r="AE35" s="61">
        <f t="shared" si="8"/>
        <v>94.285000000000011</v>
      </c>
      <c r="AF35" s="60">
        <v>12.23</v>
      </c>
      <c r="AG35" s="60">
        <f t="shared" si="4"/>
        <v>0</v>
      </c>
      <c r="AH35" s="62">
        <f t="shared" si="5"/>
        <v>1049.365</v>
      </c>
      <c r="AI35" s="137"/>
      <c r="AJ35" s="137"/>
      <c r="AK35" s="123">
        <f t="shared" si="6"/>
        <v>-942.85</v>
      </c>
      <c r="AL35" s="64"/>
      <c r="AM35" s="141" t="s">
        <v>287</v>
      </c>
    </row>
    <row r="36" spans="1:193" s="29" customFormat="1" hidden="1">
      <c r="A36" s="64" t="s">
        <v>68</v>
      </c>
      <c r="B36" s="64" t="s">
        <v>268</v>
      </c>
      <c r="C36" s="64" t="s">
        <v>204</v>
      </c>
      <c r="D36" s="64"/>
      <c r="E36" s="64" t="s">
        <v>70</v>
      </c>
      <c r="F36" s="134">
        <v>42413</v>
      </c>
      <c r="G36" s="64"/>
      <c r="H36" s="64"/>
      <c r="I36" s="68">
        <v>513.33000000000004</v>
      </c>
      <c r="J36" s="151">
        <v>653.33000000000004</v>
      </c>
      <c r="K36" s="68">
        <f t="shared" si="0"/>
        <v>1166.6600000000001</v>
      </c>
      <c r="L36" s="68"/>
      <c r="M36" s="68"/>
      <c r="N36" s="68"/>
      <c r="O36" s="68"/>
      <c r="P36" s="54"/>
      <c r="Q36" s="55">
        <f t="shared" si="1"/>
        <v>1166.6600000000001</v>
      </c>
      <c r="R36" s="56"/>
      <c r="S36" s="103"/>
      <c r="T36" s="103">
        <v>0</v>
      </c>
      <c r="U36" s="103"/>
      <c r="V36" s="103"/>
      <c r="W36" s="103"/>
      <c r="X36" s="104"/>
      <c r="Y36" s="104"/>
      <c r="Z36" s="88"/>
      <c r="AA36" s="88">
        <v>0</v>
      </c>
      <c r="AB36" s="55">
        <f t="shared" si="9"/>
        <v>1166.6600000000001</v>
      </c>
      <c r="AC36" s="60">
        <f t="shared" si="7"/>
        <v>0</v>
      </c>
      <c r="AD36" s="55">
        <f t="shared" si="3"/>
        <v>1166.6600000000001</v>
      </c>
      <c r="AE36" s="61">
        <f t="shared" si="8"/>
        <v>116.66600000000001</v>
      </c>
      <c r="AF36" s="60">
        <v>13.23</v>
      </c>
      <c r="AG36" s="60">
        <f t="shared" si="4"/>
        <v>0</v>
      </c>
      <c r="AH36" s="62">
        <f t="shared" si="5"/>
        <v>1296.556</v>
      </c>
      <c r="AI36" s="137"/>
      <c r="AJ36" s="138"/>
      <c r="AK36" s="123">
        <f t="shared" si="6"/>
        <v>-1166.6600000000001</v>
      </c>
      <c r="AL36" s="64"/>
      <c r="AM36" s="64"/>
    </row>
    <row r="37" spans="1:193" s="29" customFormat="1" hidden="1">
      <c r="A37" s="64" t="s">
        <v>68</v>
      </c>
      <c r="B37" s="64" t="s">
        <v>291</v>
      </c>
      <c r="C37" s="64"/>
      <c r="D37" s="64"/>
      <c r="E37" s="64" t="s">
        <v>70</v>
      </c>
      <c r="F37" s="134">
        <v>42520</v>
      </c>
      <c r="G37" s="64"/>
      <c r="H37" s="64"/>
      <c r="I37" s="68">
        <v>513.33000000000004</v>
      </c>
      <c r="J37" s="151"/>
      <c r="K37" s="68">
        <f>+I37</f>
        <v>513.33000000000004</v>
      </c>
      <c r="L37" s="68"/>
      <c r="M37" s="68"/>
      <c r="N37" s="68"/>
      <c r="O37" s="68"/>
      <c r="P37" s="109"/>
      <c r="Q37" s="55">
        <f t="shared" si="1"/>
        <v>513.33000000000004</v>
      </c>
      <c r="R37" s="56"/>
      <c r="S37" s="103"/>
      <c r="T37" s="103">
        <v>0</v>
      </c>
      <c r="U37" s="103"/>
      <c r="V37" s="103"/>
      <c r="W37" s="103"/>
      <c r="X37" s="104"/>
      <c r="Y37" s="104"/>
      <c r="Z37" s="88"/>
      <c r="AA37" s="88">
        <v>0</v>
      </c>
      <c r="AB37" s="55">
        <f t="shared" si="9"/>
        <v>513.33000000000004</v>
      </c>
      <c r="AC37" s="60">
        <f t="shared" si="7"/>
        <v>0</v>
      </c>
      <c r="AD37" s="55">
        <f t="shared" si="3"/>
        <v>513.33000000000004</v>
      </c>
      <c r="AE37" s="61">
        <f t="shared" si="8"/>
        <v>51.333000000000006</v>
      </c>
      <c r="AF37" s="60">
        <v>14.23</v>
      </c>
      <c r="AG37" s="60">
        <f t="shared" si="4"/>
        <v>0</v>
      </c>
      <c r="AH37" s="62">
        <f t="shared" si="5"/>
        <v>578.89300000000003</v>
      </c>
      <c r="AI37" s="145"/>
      <c r="AJ37" s="146"/>
      <c r="AK37" s="123"/>
      <c r="AL37" s="64">
        <v>1175437504</v>
      </c>
      <c r="AM37" s="69" t="s">
        <v>290</v>
      </c>
    </row>
    <row r="38" spans="1:193" s="29" customFormat="1" hidden="1">
      <c r="A38" s="64" t="s">
        <v>68</v>
      </c>
      <c r="B38" s="64" t="s">
        <v>265</v>
      </c>
      <c r="C38" s="64" t="s">
        <v>204</v>
      </c>
      <c r="D38" s="64" t="s">
        <v>130</v>
      </c>
      <c r="E38" s="64" t="s">
        <v>70</v>
      </c>
      <c r="F38" s="133">
        <v>41906</v>
      </c>
      <c r="G38" s="64"/>
      <c r="H38" s="64"/>
      <c r="I38" s="68">
        <v>513.33000000000004</v>
      </c>
      <c r="J38" s="151">
        <v>653.33000000000004</v>
      </c>
      <c r="K38" s="68">
        <f t="shared" si="0"/>
        <v>1166.6600000000001</v>
      </c>
      <c r="L38" s="68"/>
      <c r="M38" s="68"/>
      <c r="N38" s="68"/>
      <c r="O38" s="68"/>
      <c r="P38" s="54"/>
      <c r="Q38" s="55">
        <f t="shared" si="1"/>
        <v>1166.6600000000001</v>
      </c>
      <c r="R38" s="56"/>
      <c r="S38" s="103">
        <v>58.91</v>
      </c>
      <c r="T38" s="103">
        <v>0</v>
      </c>
      <c r="U38" s="103"/>
      <c r="V38" s="103"/>
      <c r="W38" s="103"/>
      <c r="X38" s="104"/>
      <c r="Y38" s="104"/>
      <c r="Z38" s="88"/>
      <c r="AA38" s="65">
        <v>349.07</v>
      </c>
      <c r="AB38" s="55">
        <f t="shared" si="9"/>
        <v>758.68000000000006</v>
      </c>
      <c r="AC38" s="60">
        <f t="shared" si="7"/>
        <v>0</v>
      </c>
      <c r="AD38" s="55">
        <f t="shared" si="3"/>
        <v>758.68000000000006</v>
      </c>
      <c r="AE38" s="61">
        <f t="shared" si="8"/>
        <v>116.66600000000001</v>
      </c>
      <c r="AF38" s="60">
        <v>15.23</v>
      </c>
      <c r="AG38" s="60">
        <f t="shared" si="4"/>
        <v>0</v>
      </c>
      <c r="AH38" s="62">
        <f t="shared" si="5"/>
        <v>1298.556</v>
      </c>
      <c r="AI38" s="137"/>
      <c r="AJ38" s="138"/>
      <c r="AK38" s="123">
        <f t="shared" si="6"/>
        <v>-758.68000000000006</v>
      </c>
      <c r="AL38" s="64"/>
      <c r="AM38" s="64"/>
    </row>
    <row r="39" spans="1:193" s="29" customFormat="1" hidden="1">
      <c r="A39" s="64"/>
      <c r="B39" s="64" t="s">
        <v>281</v>
      </c>
      <c r="C39" s="64"/>
      <c r="D39" s="64"/>
      <c r="E39" s="64" t="s">
        <v>150</v>
      </c>
      <c r="F39" s="134">
        <v>42506</v>
      </c>
      <c r="G39" s="64"/>
      <c r="H39" s="64"/>
      <c r="I39" s="68">
        <v>513.33000000000004</v>
      </c>
      <c r="J39" s="151">
        <v>486.67</v>
      </c>
      <c r="K39" s="68">
        <f t="shared" si="0"/>
        <v>1000</v>
      </c>
      <c r="L39" s="68"/>
      <c r="M39" s="68"/>
      <c r="N39" s="68"/>
      <c r="O39" s="68"/>
      <c r="P39" s="109"/>
      <c r="Q39" s="55">
        <f t="shared" si="1"/>
        <v>1000</v>
      </c>
      <c r="R39" s="56"/>
      <c r="S39" s="103"/>
      <c r="T39" s="103"/>
      <c r="U39" s="103"/>
      <c r="V39" s="103"/>
      <c r="W39" s="103"/>
      <c r="X39" s="104"/>
      <c r="Y39" s="104"/>
      <c r="Z39" s="88"/>
      <c r="AA39" s="88">
        <v>0</v>
      </c>
      <c r="AB39" s="55">
        <f t="shared" si="9"/>
        <v>1000</v>
      </c>
      <c r="AC39" s="60">
        <f t="shared" si="7"/>
        <v>0</v>
      </c>
      <c r="AD39" s="55">
        <f t="shared" si="3"/>
        <v>1000</v>
      </c>
      <c r="AE39" s="61">
        <f t="shared" si="8"/>
        <v>100</v>
      </c>
      <c r="AF39" s="60">
        <v>16.23</v>
      </c>
      <c r="AG39" s="60">
        <f t="shared" si="4"/>
        <v>0</v>
      </c>
      <c r="AH39" s="62">
        <f t="shared" si="5"/>
        <v>1116.23</v>
      </c>
      <c r="AI39" s="137"/>
      <c r="AJ39" s="140"/>
      <c r="AK39" s="123">
        <f t="shared" si="6"/>
        <v>-1000</v>
      </c>
      <c r="AL39" s="129">
        <v>1180560405</v>
      </c>
      <c r="AM39" s="69"/>
    </row>
    <row r="40" spans="1:193" s="29" customFormat="1" hidden="1">
      <c r="A40" s="64" t="s">
        <v>68</v>
      </c>
      <c r="B40" s="64" t="s">
        <v>282</v>
      </c>
      <c r="C40" s="64"/>
      <c r="D40" s="64"/>
      <c r="E40" s="64" t="s">
        <v>283</v>
      </c>
      <c r="F40" s="134">
        <v>42480</v>
      </c>
      <c r="G40" s="64"/>
      <c r="H40" s="64"/>
      <c r="I40" s="68">
        <v>513.33000000000004</v>
      </c>
      <c r="J40" s="151">
        <v>1470</v>
      </c>
      <c r="K40" s="68">
        <f t="shared" si="0"/>
        <v>1983.33</v>
      </c>
      <c r="L40" s="68"/>
      <c r="M40" s="68"/>
      <c r="N40" s="68"/>
      <c r="O40" s="68"/>
      <c r="P40" s="109"/>
      <c r="Q40" s="55">
        <f t="shared" si="1"/>
        <v>1983.33</v>
      </c>
      <c r="R40" s="56"/>
      <c r="S40" s="103"/>
      <c r="T40" s="103"/>
      <c r="U40" s="103"/>
      <c r="V40" s="103"/>
      <c r="W40" s="103"/>
      <c r="X40" s="104"/>
      <c r="Y40" s="104"/>
      <c r="Z40" s="88"/>
      <c r="AA40" s="88">
        <v>0</v>
      </c>
      <c r="AB40" s="55">
        <f t="shared" si="9"/>
        <v>1983.33</v>
      </c>
      <c r="AC40" s="60">
        <f t="shared" si="7"/>
        <v>0</v>
      </c>
      <c r="AD40" s="55">
        <f t="shared" si="3"/>
        <v>1983.33</v>
      </c>
      <c r="AE40" s="61">
        <f t="shared" si="8"/>
        <v>198.333</v>
      </c>
      <c r="AF40" s="60">
        <v>17.23</v>
      </c>
      <c r="AG40" s="60">
        <f t="shared" si="4"/>
        <v>0</v>
      </c>
      <c r="AH40" s="62">
        <f t="shared" si="5"/>
        <v>2198.893</v>
      </c>
      <c r="AI40" s="139"/>
      <c r="AJ40" s="140"/>
      <c r="AK40" s="123">
        <f t="shared" si="6"/>
        <v>-1983.33</v>
      </c>
      <c r="AL40" s="64">
        <v>1116618499</v>
      </c>
      <c r="AM40" s="69"/>
    </row>
    <row r="41" spans="1:193" s="29" customFormat="1" hidden="1">
      <c r="A41" s="64" t="s">
        <v>68</v>
      </c>
      <c r="B41" s="64" t="s">
        <v>205</v>
      </c>
      <c r="C41" s="64" t="s">
        <v>204</v>
      </c>
      <c r="D41" s="76"/>
      <c r="E41" s="64" t="s">
        <v>70</v>
      </c>
      <c r="F41" s="134">
        <v>42240</v>
      </c>
      <c r="G41" s="64"/>
      <c r="H41" s="64"/>
      <c r="I41" s="68"/>
      <c r="J41" s="151"/>
      <c r="K41" s="68">
        <f t="shared" si="0"/>
        <v>0</v>
      </c>
      <c r="L41" s="68"/>
      <c r="M41" s="68"/>
      <c r="N41" s="68"/>
      <c r="O41" s="68"/>
      <c r="P41" s="109"/>
      <c r="Q41" s="55">
        <f t="shared" si="1"/>
        <v>0</v>
      </c>
      <c r="R41" s="56"/>
      <c r="S41" s="103"/>
      <c r="T41" s="103">
        <v>0</v>
      </c>
      <c r="U41" s="103"/>
      <c r="V41" s="103"/>
      <c r="W41" s="103"/>
      <c r="X41" s="104"/>
      <c r="Y41" s="104"/>
      <c r="Z41" s="88"/>
      <c r="AA41" s="88">
        <v>0</v>
      </c>
      <c r="AB41" s="55">
        <f t="shared" si="9"/>
        <v>0</v>
      </c>
      <c r="AC41" s="60">
        <f t="shared" si="7"/>
        <v>0</v>
      </c>
      <c r="AD41" s="55">
        <f t="shared" si="3"/>
        <v>0</v>
      </c>
      <c r="AE41" s="61">
        <f t="shared" si="8"/>
        <v>0</v>
      </c>
      <c r="AF41" s="60">
        <v>18.23</v>
      </c>
      <c r="AG41" s="60">
        <f t="shared" si="4"/>
        <v>0</v>
      </c>
      <c r="AH41" s="62">
        <f t="shared" si="5"/>
        <v>18.23</v>
      </c>
      <c r="AI41" s="147"/>
      <c r="AJ41" s="147"/>
      <c r="AK41" s="123">
        <f t="shared" si="6"/>
        <v>0</v>
      </c>
      <c r="AL41" s="64"/>
      <c r="AM41" s="69" t="s">
        <v>247</v>
      </c>
    </row>
    <row r="42" spans="1:193" hidden="1">
      <c r="A42" s="64" t="s">
        <v>82</v>
      </c>
      <c r="B42" s="50" t="s">
        <v>193</v>
      </c>
      <c r="C42" s="50"/>
      <c r="D42" s="50" t="s">
        <v>88</v>
      </c>
      <c r="E42" s="50" t="s">
        <v>143</v>
      </c>
      <c r="F42" s="133">
        <v>42319</v>
      </c>
      <c r="G42" s="50"/>
      <c r="H42" s="50"/>
      <c r="I42" s="52">
        <v>739.23</v>
      </c>
      <c r="J42" s="150"/>
      <c r="K42" s="68">
        <f t="shared" si="0"/>
        <v>739.23</v>
      </c>
      <c r="L42" s="52"/>
      <c r="M42" s="52"/>
      <c r="N42" s="52"/>
      <c r="O42" s="52"/>
      <c r="P42" s="54"/>
      <c r="Q42" s="55">
        <f t="shared" si="1"/>
        <v>739.23</v>
      </c>
      <c r="R42" s="56"/>
      <c r="S42" s="57"/>
      <c r="T42" s="57">
        <v>0</v>
      </c>
      <c r="U42" s="57"/>
      <c r="V42" s="57"/>
      <c r="W42" s="57"/>
      <c r="X42" s="58"/>
      <c r="Y42" s="58"/>
      <c r="Z42" s="59"/>
      <c r="AA42" s="88">
        <v>0</v>
      </c>
      <c r="AB42" s="55">
        <f t="shared" si="9"/>
        <v>739.23</v>
      </c>
      <c r="AC42" s="60">
        <f t="shared" si="7"/>
        <v>0</v>
      </c>
      <c r="AD42" s="55">
        <f t="shared" si="3"/>
        <v>739.23</v>
      </c>
      <c r="AE42" s="61">
        <f t="shared" si="8"/>
        <v>73.923000000000002</v>
      </c>
      <c r="AF42" s="60">
        <v>19.23</v>
      </c>
      <c r="AG42" s="60">
        <f t="shared" si="4"/>
        <v>0</v>
      </c>
      <c r="AH42" s="62">
        <f t="shared" si="5"/>
        <v>832.38300000000004</v>
      </c>
      <c r="AI42" s="137"/>
      <c r="AJ42" s="138"/>
      <c r="AK42" s="123">
        <f t="shared" si="6"/>
        <v>-739.23</v>
      </c>
      <c r="AL42" s="64"/>
      <c r="AM42" s="6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</row>
    <row r="43" spans="1:193">
      <c r="A43" s="64" t="s">
        <v>68</v>
      </c>
      <c r="B43" s="50" t="s">
        <v>189</v>
      </c>
      <c r="C43" s="50" t="s">
        <v>206</v>
      </c>
      <c r="D43" s="50" t="s">
        <v>131</v>
      </c>
      <c r="E43" s="50" t="s">
        <v>70</v>
      </c>
      <c r="F43" s="133">
        <v>41463</v>
      </c>
      <c r="G43" s="51"/>
      <c r="H43" s="51"/>
      <c r="I43" s="184">
        <v>513.33000000000004</v>
      </c>
      <c r="J43" s="181">
        <v>653.33000000000004</v>
      </c>
      <c r="K43" s="182">
        <f t="shared" si="0"/>
        <v>1166.6600000000001</v>
      </c>
      <c r="L43" s="187">
        <v>1717.77</v>
      </c>
      <c r="M43" s="52"/>
      <c r="N43" s="53"/>
      <c r="O43" s="53"/>
      <c r="P43" s="54"/>
      <c r="Q43" s="55">
        <f>+L43</f>
        <v>1717.77</v>
      </c>
      <c r="R43" s="56"/>
      <c r="S43" s="57"/>
      <c r="T43" s="57">
        <v>0</v>
      </c>
      <c r="U43" s="57"/>
      <c r="V43" s="57"/>
      <c r="W43" s="57"/>
      <c r="X43" s="58"/>
      <c r="Y43" s="58"/>
      <c r="Z43" s="59"/>
      <c r="AA43" s="88">
        <v>0</v>
      </c>
      <c r="AB43" s="55">
        <f t="shared" si="9"/>
        <v>1717.77</v>
      </c>
      <c r="AC43" s="60">
        <f>AB43*0.1</f>
        <v>171.77700000000002</v>
      </c>
      <c r="AD43" s="55">
        <f t="shared" si="3"/>
        <v>1545.9929999999999</v>
      </c>
      <c r="AE43" s="61">
        <v>0</v>
      </c>
      <c r="AF43" s="60">
        <v>20.23</v>
      </c>
      <c r="AG43" s="60">
        <f t="shared" si="4"/>
        <v>0</v>
      </c>
      <c r="AH43" s="62">
        <f t="shared" si="5"/>
        <v>1738</v>
      </c>
      <c r="AI43" s="137"/>
      <c r="AJ43" s="138"/>
      <c r="AK43" s="123">
        <f t="shared" si="6"/>
        <v>-1545.9929999999999</v>
      </c>
      <c r="AL43" s="64"/>
      <c r="AM43" s="64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</row>
    <row r="44" spans="1:193" s="29" customFormat="1" hidden="1">
      <c r="A44" s="64" t="s">
        <v>66</v>
      </c>
      <c r="B44" s="64" t="s">
        <v>292</v>
      </c>
      <c r="C44" s="64"/>
      <c r="D44" s="64" t="s">
        <v>293</v>
      </c>
      <c r="E44" s="64" t="s">
        <v>294</v>
      </c>
      <c r="F44" s="148">
        <v>40618</v>
      </c>
      <c r="G44" s="64"/>
      <c r="H44" s="64"/>
      <c r="I44" s="68">
        <v>1750</v>
      </c>
      <c r="J44" s="151"/>
      <c r="K44" s="68">
        <f t="shared" si="0"/>
        <v>1750</v>
      </c>
      <c r="L44" s="68"/>
      <c r="M44" s="68"/>
      <c r="N44" s="68"/>
      <c r="O44" s="68"/>
      <c r="P44" s="109"/>
      <c r="Q44" s="55">
        <f t="shared" si="1"/>
        <v>1750</v>
      </c>
      <c r="R44" s="56"/>
      <c r="S44" s="103"/>
      <c r="T44" s="103">
        <v>0</v>
      </c>
      <c r="U44" s="103"/>
      <c r="V44" s="103"/>
      <c r="W44" s="103"/>
      <c r="X44" s="104"/>
      <c r="Y44" s="104"/>
      <c r="Z44" s="88"/>
      <c r="AA44" s="88">
        <v>0</v>
      </c>
      <c r="AB44" s="55">
        <f t="shared" si="9"/>
        <v>1750</v>
      </c>
      <c r="AC44" s="60">
        <f t="shared" si="7"/>
        <v>0</v>
      </c>
      <c r="AD44" s="55">
        <f t="shared" si="3"/>
        <v>1750</v>
      </c>
      <c r="AE44" s="61">
        <f t="shared" si="8"/>
        <v>175</v>
      </c>
      <c r="AF44" s="60">
        <v>21.23</v>
      </c>
      <c r="AG44" s="60">
        <f t="shared" si="4"/>
        <v>0</v>
      </c>
      <c r="AH44" s="62">
        <f t="shared" si="5"/>
        <v>1946.23</v>
      </c>
      <c r="AI44" s="145"/>
      <c r="AJ44" s="146"/>
      <c r="AK44" s="123"/>
      <c r="AL44" s="64">
        <v>2659973974</v>
      </c>
      <c r="AM44" s="69" t="s">
        <v>295</v>
      </c>
    </row>
    <row r="45" spans="1:193">
      <c r="A45" s="64" t="s">
        <v>68</v>
      </c>
      <c r="B45" s="50" t="s">
        <v>266</v>
      </c>
      <c r="C45" s="50" t="s">
        <v>209</v>
      </c>
      <c r="D45" s="50" t="s">
        <v>132</v>
      </c>
      <c r="E45" s="50" t="s">
        <v>70</v>
      </c>
      <c r="F45" s="133">
        <v>42296</v>
      </c>
      <c r="G45" s="51"/>
      <c r="H45" s="51"/>
      <c r="I45" s="180">
        <v>513.33000000000004</v>
      </c>
      <c r="J45" s="181">
        <v>653.33000000000004</v>
      </c>
      <c r="K45" s="182">
        <f t="shared" si="0"/>
        <v>1166.6600000000001</v>
      </c>
      <c r="L45" s="187">
        <v>725.85</v>
      </c>
      <c r="M45" s="52"/>
      <c r="N45" s="53"/>
      <c r="O45" s="53"/>
      <c r="P45" s="54"/>
      <c r="Q45" s="55">
        <f>+L45</f>
        <v>725.85</v>
      </c>
      <c r="R45" s="56"/>
      <c r="S45" s="57"/>
      <c r="T45" s="57">
        <v>0</v>
      </c>
      <c r="U45" s="57"/>
      <c r="V45" s="57"/>
      <c r="W45" s="57"/>
      <c r="X45" s="58"/>
      <c r="Y45" s="58"/>
      <c r="Z45" s="59"/>
      <c r="AA45" s="65"/>
      <c r="AB45" s="55">
        <f t="shared" ref="AB45:AB103" si="10">+Q45-SUM(R45:AA45)</f>
        <v>725.85</v>
      </c>
      <c r="AC45" s="60">
        <f t="shared" si="7"/>
        <v>0</v>
      </c>
      <c r="AD45" s="55">
        <f t="shared" si="3"/>
        <v>725.85</v>
      </c>
      <c r="AE45" s="61">
        <f t="shared" si="8"/>
        <v>72.585000000000008</v>
      </c>
      <c r="AF45" s="60">
        <v>10.23</v>
      </c>
      <c r="AG45" s="60">
        <f t="shared" si="4"/>
        <v>0</v>
      </c>
      <c r="AH45" s="62">
        <f t="shared" si="5"/>
        <v>808.66500000000008</v>
      </c>
      <c r="AI45" s="137"/>
      <c r="AJ45" s="138"/>
      <c r="AK45" s="123">
        <f t="shared" si="6"/>
        <v>-725.85</v>
      </c>
      <c r="AL45" s="64"/>
      <c r="AM45" s="64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</row>
    <row r="46" spans="1:193" hidden="1">
      <c r="A46" s="64" t="s">
        <v>67</v>
      </c>
      <c r="B46" s="50" t="s">
        <v>77</v>
      </c>
      <c r="C46" s="64" t="s">
        <v>234</v>
      </c>
      <c r="D46" s="50" t="s">
        <v>107</v>
      </c>
      <c r="E46" s="50" t="s">
        <v>152</v>
      </c>
      <c r="F46" s="133">
        <v>42199</v>
      </c>
      <c r="G46" s="51"/>
      <c r="H46" s="51"/>
      <c r="I46" s="52">
        <v>513.33000000000004</v>
      </c>
      <c r="J46" s="151">
        <v>653.33000000000004</v>
      </c>
      <c r="K46" s="68">
        <f t="shared" si="0"/>
        <v>1166.6600000000001</v>
      </c>
      <c r="L46" s="52"/>
      <c r="M46" s="52"/>
      <c r="N46" s="53"/>
      <c r="O46" s="53"/>
      <c r="P46" s="54"/>
      <c r="Q46" s="55">
        <f t="shared" ref="Q45:Q78" si="11">SUM(K46:O46)-P46</f>
        <v>1166.6600000000001</v>
      </c>
      <c r="R46" s="56"/>
      <c r="S46" s="57">
        <v>58.91</v>
      </c>
      <c r="T46" s="57">
        <v>0</v>
      </c>
      <c r="U46" s="57"/>
      <c r="V46" s="57"/>
      <c r="W46" s="57"/>
      <c r="X46" s="58"/>
      <c r="Y46" s="58"/>
      <c r="Z46" s="59"/>
      <c r="AA46" s="59">
        <v>0</v>
      </c>
      <c r="AB46" s="55">
        <f t="shared" si="10"/>
        <v>1107.75</v>
      </c>
      <c r="AC46" s="60">
        <f t="shared" si="7"/>
        <v>0</v>
      </c>
      <c r="AD46" s="55">
        <f t="shared" si="3"/>
        <v>1107.75</v>
      </c>
      <c r="AE46" s="61">
        <f t="shared" si="8"/>
        <v>116.66600000000001</v>
      </c>
      <c r="AF46" s="60">
        <v>10.23</v>
      </c>
      <c r="AG46" s="60">
        <f t="shared" si="4"/>
        <v>0</v>
      </c>
      <c r="AH46" s="62">
        <f t="shared" si="5"/>
        <v>1293.556</v>
      </c>
      <c r="AI46" s="137"/>
      <c r="AJ46" s="138"/>
      <c r="AK46" s="123">
        <f t="shared" si="6"/>
        <v>-1107.75</v>
      </c>
      <c r="AL46" s="64"/>
      <c r="AM46" s="64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</row>
    <row r="47" spans="1:193" hidden="1">
      <c r="A47" s="64" t="s">
        <v>68</v>
      </c>
      <c r="B47" s="50" t="s">
        <v>210</v>
      </c>
      <c r="C47" s="50" t="s">
        <v>209</v>
      </c>
      <c r="D47" s="50" t="s">
        <v>133</v>
      </c>
      <c r="E47" s="50" t="s">
        <v>70</v>
      </c>
      <c r="F47" s="133">
        <v>42304</v>
      </c>
      <c r="G47" s="51"/>
      <c r="H47" s="51"/>
      <c r="I47" s="52">
        <v>513.33000000000004</v>
      </c>
      <c r="J47" s="151">
        <v>653.33000000000004</v>
      </c>
      <c r="K47" s="68">
        <f t="shared" si="0"/>
        <v>1166.6600000000001</v>
      </c>
      <c r="L47" s="52"/>
      <c r="M47" s="52"/>
      <c r="N47" s="53"/>
      <c r="O47" s="53"/>
      <c r="P47" s="54"/>
      <c r="Q47" s="55">
        <f t="shared" si="11"/>
        <v>1166.6600000000001</v>
      </c>
      <c r="R47" s="56"/>
      <c r="S47" s="57"/>
      <c r="T47" s="57">
        <v>0</v>
      </c>
      <c r="U47" s="57"/>
      <c r="V47" s="57"/>
      <c r="W47" s="57"/>
      <c r="X47" s="58"/>
      <c r="Y47" s="58"/>
      <c r="Z47" s="59"/>
      <c r="AA47" s="59">
        <v>0</v>
      </c>
      <c r="AB47" s="55">
        <f t="shared" si="10"/>
        <v>1166.6600000000001</v>
      </c>
      <c r="AC47" s="60">
        <f t="shared" si="7"/>
        <v>0</v>
      </c>
      <c r="AD47" s="55">
        <f t="shared" si="3"/>
        <v>1166.6600000000001</v>
      </c>
      <c r="AE47" s="61">
        <f t="shared" si="8"/>
        <v>116.66600000000001</v>
      </c>
      <c r="AF47" s="60">
        <v>10.23</v>
      </c>
      <c r="AG47" s="60">
        <f t="shared" si="4"/>
        <v>0</v>
      </c>
      <c r="AH47" s="62">
        <f t="shared" si="5"/>
        <v>1293.556</v>
      </c>
      <c r="AI47" s="127"/>
      <c r="AJ47" s="127"/>
      <c r="AK47" s="127"/>
      <c r="AL47" s="64"/>
      <c r="AM47" s="64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</row>
    <row r="48" spans="1:193" s="29" customFormat="1" hidden="1">
      <c r="A48" s="64" t="s">
        <v>68</v>
      </c>
      <c r="B48" s="50" t="s">
        <v>214</v>
      </c>
      <c r="C48" s="50"/>
      <c r="D48" s="50" t="s">
        <v>135</v>
      </c>
      <c r="E48" s="50" t="s">
        <v>70</v>
      </c>
      <c r="F48" s="133">
        <v>42164</v>
      </c>
      <c r="G48" s="51"/>
      <c r="H48" s="51"/>
      <c r="I48" s="52">
        <v>513.33000000000004</v>
      </c>
      <c r="J48" s="151">
        <v>653.33000000000004</v>
      </c>
      <c r="K48" s="68">
        <f t="shared" si="0"/>
        <v>1166.6600000000001</v>
      </c>
      <c r="L48" s="52"/>
      <c r="M48" s="52"/>
      <c r="N48" s="53"/>
      <c r="O48" s="53"/>
      <c r="P48" s="54"/>
      <c r="Q48" s="55">
        <f t="shared" si="11"/>
        <v>1166.6600000000001</v>
      </c>
      <c r="R48" s="56"/>
      <c r="S48" s="57"/>
      <c r="T48" s="57">
        <v>0</v>
      </c>
      <c r="U48" s="57"/>
      <c r="V48" s="57"/>
      <c r="W48" s="57"/>
      <c r="X48" s="58"/>
      <c r="Y48" s="58"/>
      <c r="Z48" s="59"/>
      <c r="AA48" s="59">
        <v>0</v>
      </c>
      <c r="AB48" s="55">
        <f t="shared" si="10"/>
        <v>1166.6600000000001</v>
      </c>
      <c r="AC48" s="60">
        <f t="shared" si="7"/>
        <v>0</v>
      </c>
      <c r="AD48" s="55">
        <f t="shared" si="3"/>
        <v>1166.6600000000001</v>
      </c>
      <c r="AE48" s="61">
        <f t="shared" si="8"/>
        <v>116.66600000000001</v>
      </c>
      <c r="AF48" s="60">
        <v>10.23</v>
      </c>
      <c r="AG48" s="60">
        <f t="shared" si="4"/>
        <v>0</v>
      </c>
      <c r="AH48" s="62">
        <f t="shared" si="5"/>
        <v>1293.556</v>
      </c>
      <c r="AI48" s="137"/>
      <c r="AJ48" s="140"/>
      <c r="AK48" s="123">
        <f t="shared" si="6"/>
        <v>-1166.6600000000001</v>
      </c>
      <c r="AL48" s="64"/>
      <c r="AM48" s="64"/>
    </row>
    <row r="49" spans="1:193" hidden="1">
      <c r="A49" s="64" t="s">
        <v>84</v>
      </c>
      <c r="B49" s="50" t="s">
        <v>165</v>
      </c>
      <c r="C49" s="50"/>
      <c r="D49" s="50" t="s">
        <v>116</v>
      </c>
      <c r="E49" s="50" t="s">
        <v>153</v>
      </c>
      <c r="F49" s="133">
        <v>41981</v>
      </c>
      <c r="G49" s="51"/>
      <c r="H49" s="51"/>
      <c r="I49" s="52">
        <v>556.78</v>
      </c>
      <c r="J49" s="152"/>
      <c r="K49" s="68">
        <f t="shared" si="0"/>
        <v>556.78</v>
      </c>
      <c r="L49" s="52"/>
      <c r="M49" s="52"/>
      <c r="N49" s="53"/>
      <c r="O49" s="53"/>
      <c r="P49" s="54"/>
      <c r="Q49" s="55">
        <f t="shared" si="11"/>
        <v>556.78</v>
      </c>
      <c r="R49" s="56"/>
      <c r="S49" s="57"/>
      <c r="T49" s="66">
        <v>100</v>
      </c>
      <c r="U49" s="66">
        <f>Q49*4.9%</f>
        <v>27.282219999999999</v>
      </c>
      <c r="V49" s="66">
        <f>Q49*1%</f>
        <v>5.5678000000000001</v>
      </c>
      <c r="W49" s="57"/>
      <c r="X49" s="58"/>
      <c r="Y49" s="58"/>
      <c r="Z49" s="59"/>
      <c r="AA49" s="59">
        <v>0</v>
      </c>
      <c r="AB49" s="55">
        <f t="shared" si="10"/>
        <v>423.92998</v>
      </c>
      <c r="AC49" s="60">
        <f t="shared" si="7"/>
        <v>0</v>
      </c>
      <c r="AD49" s="55">
        <f t="shared" si="3"/>
        <v>423.92998</v>
      </c>
      <c r="AE49" s="61">
        <f t="shared" si="8"/>
        <v>55.677999999999997</v>
      </c>
      <c r="AF49" s="60">
        <v>10.23</v>
      </c>
      <c r="AG49" s="60">
        <f t="shared" si="4"/>
        <v>27.282219999999999</v>
      </c>
      <c r="AH49" s="62">
        <f t="shared" si="5"/>
        <v>649.97022000000004</v>
      </c>
      <c r="AI49" s="137"/>
      <c r="AJ49" s="137"/>
      <c r="AK49" s="123">
        <f t="shared" si="6"/>
        <v>-423.92998</v>
      </c>
      <c r="AL49" s="64"/>
      <c r="AM49" s="64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</row>
    <row r="50" spans="1:193" s="29" customFormat="1" hidden="1">
      <c r="A50" s="64" t="s">
        <v>84</v>
      </c>
      <c r="B50" s="64" t="s">
        <v>216</v>
      </c>
      <c r="C50" s="64"/>
      <c r="D50" s="64" t="s">
        <v>217</v>
      </c>
      <c r="E50" s="50" t="s">
        <v>158</v>
      </c>
      <c r="F50" s="132">
        <v>41284</v>
      </c>
      <c r="G50" s="64"/>
      <c r="H50" s="64"/>
      <c r="I50" s="68">
        <v>608.16</v>
      </c>
      <c r="J50" s="151"/>
      <c r="K50" s="68">
        <f t="shared" si="0"/>
        <v>608.16</v>
      </c>
      <c r="L50" s="68"/>
      <c r="M50" s="68"/>
      <c r="N50" s="68"/>
      <c r="O50" s="68"/>
      <c r="P50" s="54"/>
      <c r="Q50" s="55">
        <f t="shared" si="11"/>
        <v>608.16</v>
      </c>
      <c r="R50" s="56"/>
      <c r="S50" s="57"/>
      <c r="T50" s="57">
        <v>0</v>
      </c>
      <c r="U50" s="66">
        <f>Q50*4.9%</f>
        <v>29.79984</v>
      </c>
      <c r="V50" s="66">
        <f>Q50*1%</f>
        <v>6.0815999999999999</v>
      </c>
      <c r="W50" s="57"/>
      <c r="X50" s="58"/>
      <c r="Y50" s="58"/>
      <c r="Z50" s="59"/>
      <c r="AA50" s="59">
        <v>0</v>
      </c>
      <c r="AB50" s="55">
        <f t="shared" si="10"/>
        <v>572.27855999999997</v>
      </c>
      <c r="AC50" s="60">
        <f t="shared" si="7"/>
        <v>0</v>
      </c>
      <c r="AD50" s="55">
        <f t="shared" si="3"/>
        <v>572.27855999999997</v>
      </c>
      <c r="AE50" s="61">
        <f t="shared" si="8"/>
        <v>60.816000000000003</v>
      </c>
      <c r="AF50" s="60">
        <v>10.23</v>
      </c>
      <c r="AG50" s="60">
        <f t="shared" si="4"/>
        <v>29.79984</v>
      </c>
      <c r="AH50" s="62">
        <f t="shared" si="5"/>
        <v>709.00584000000003</v>
      </c>
      <c r="AI50" s="137"/>
      <c r="AJ50" s="138"/>
      <c r="AK50" s="123">
        <f t="shared" si="6"/>
        <v>-572.27855999999997</v>
      </c>
      <c r="AL50" s="64">
        <v>2948910731</v>
      </c>
      <c r="AM50" s="69"/>
    </row>
    <row r="51" spans="1:193" hidden="1">
      <c r="A51" s="64" t="s">
        <v>84</v>
      </c>
      <c r="B51" s="50" t="s">
        <v>167</v>
      </c>
      <c r="C51" s="50"/>
      <c r="D51" s="50" t="s">
        <v>117</v>
      </c>
      <c r="E51" s="50" t="s">
        <v>155</v>
      </c>
      <c r="F51" s="132">
        <v>41227</v>
      </c>
      <c r="G51" s="51"/>
      <c r="H51" s="51"/>
      <c r="I51" s="52">
        <v>608.16</v>
      </c>
      <c r="J51" s="152"/>
      <c r="K51" s="68">
        <f t="shared" si="0"/>
        <v>608.16</v>
      </c>
      <c r="L51" s="52"/>
      <c r="M51" s="52"/>
      <c r="N51" s="53"/>
      <c r="O51" s="53"/>
      <c r="P51" s="54"/>
      <c r="Q51" s="55">
        <f t="shared" si="11"/>
        <v>608.16</v>
      </c>
      <c r="R51" s="56"/>
      <c r="S51" s="57"/>
      <c r="T51" s="57"/>
      <c r="U51" s="66">
        <f>Q51*4.9%</f>
        <v>29.79984</v>
      </c>
      <c r="V51" s="66">
        <f>Q51*1%</f>
        <v>6.0815999999999999</v>
      </c>
      <c r="W51" s="57"/>
      <c r="X51" s="58"/>
      <c r="Y51" s="58"/>
      <c r="Z51" s="59"/>
      <c r="AA51" s="59">
        <v>0</v>
      </c>
      <c r="AB51" s="55">
        <f t="shared" si="10"/>
        <v>572.27855999999997</v>
      </c>
      <c r="AC51" s="60">
        <f t="shared" si="7"/>
        <v>0</v>
      </c>
      <c r="AD51" s="55">
        <f t="shared" si="3"/>
        <v>572.27855999999997</v>
      </c>
      <c r="AE51" s="61">
        <f t="shared" si="8"/>
        <v>60.816000000000003</v>
      </c>
      <c r="AF51" s="60">
        <v>10.23</v>
      </c>
      <c r="AG51" s="60">
        <f t="shared" si="4"/>
        <v>29.79984</v>
      </c>
      <c r="AH51" s="62">
        <f t="shared" si="5"/>
        <v>709.00584000000003</v>
      </c>
      <c r="AI51" s="137"/>
      <c r="AJ51" s="137"/>
      <c r="AK51" s="123">
        <f t="shared" si="6"/>
        <v>-572.27855999999997</v>
      </c>
      <c r="AL51" s="64"/>
      <c r="AM51" s="6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</row>
    <row r="52" spans="1:193" hidden="1">
      <c r="A52" s="64" t="s">
        <v>82</v>
      </c>
      <c r="B52" s="50" t="s">
        <v>195</v>
      </c>
      <c r="C52" s="50"/>
      <c r="D52" s="50" t="s">
        <v>89</v>
      </c>
      <c r="E52" s="50" t="s">
        <v>144</v>
      </c>
      <c r="F52" s="132">
        <v>41493</v>
      </c>
      <c r="G52" s="50"/>
      <c r="H52" s="50"/>
      <c r="I52" s="52">
        <v>633.16</v>
      </c>
      <c r="J52" s="150"/>
      <c r="K52" s="68">
        <f t="shared" si="0"/>
        <v>633.16</v>
      </c>
      <c r="L52" s="52"/>
      <c r="M52" s="52"/>
      <c r="N52" s="52"/>
      <c r="O52" s="52"/>
      <c r="P52" s="54"/>
      <c r="Q52" s="55">
        <f t="shared" si="11"/>
        <v>633.16</v>
      </c>
      <c r="R52" s="56"/>
      <c r="S52" s="57"/>
      <c r="T52" s="57">
        <v>0</v>
      </c>
      <c r="U52" s="57"/>
      <c r="V52" s="57"/>
      <c r="W52" s="57"/>
      <c r="X52" s="58"/>
      <c r="Y52" s="58"/>
      <c r="Z52" s="59"/>
      <c r="AA52" s="59">
        <v>0</v>
      </c>
      <c r="AB52" s="55">
        <f t="shared" si="10"/>
        <v>633.16</v>
      </c>
      <c r="AC52" s="60">
        <f t="shared" si="7"/>
        <v>0</v>
      </c>
      <c r="AD52" s="55">
        <f t="shared" si="3"/>
        <v>633.16</v>
      </c>
      <c r="AE52" s="61">
        <f t="shared" si="8"/>
        <v>63.316000000000003</v>
      </c>
      <c r="AF52" s="60">
        <v>10.23</v>
      </c>
      <c r="AG52" s="60">
        <f t="shared" si="4"/>
        <v>0</v>
      </c>
      <c r="AH52" s="62">
        <f t="shared" si="5"/>
        <v>706.70600000000002</v>
      </c>
      <c r="AI52" s="137"/>
      <c r="AJ52" s="138"/>
      <c r="AK52" s="123">
        <f t="shared" si="6"/>
        <v>-633.16</v>
      </c>
      <c r="AL52" s="64"/>
      <c r="AM52" s="141" t="s">
        <v>287</v>
      </c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</row>
    <row r="53" spans="1:193" s="33" customFormat="1" hidden="1">
      <c r="A53" s="64" t="s">
        <v>84</v>
      </c>
      <c r="B53" s="64" t="s">
        <v>270</v>
      </c>
      <c r="C53" s="64"/>
      <c r="D53" s="64"/>
      <c r="E53" s="64" t="s">
        <v>144</v>
      </c>
      <c r="F53" s="134">
        <v>42416</v>
      </c>
      <c r="G53" s="64"/>
      <c r="H53" s="64"/>
      <c r="I53" s="68">
        <v>739.23</v>
      </c>
      <c r="J53" s="151"/>
      <c r="K53" s="68">
        <f t="shared" si="0"/>
        <v>739.23</v>
      </c>
      <c r="L53" s="68"/>
      <c r="M53" s="68"/>
      <c r="N53" s="68"/>
      <c r="O53" s="68"/>
      <c r="P53" s="54"/>
      <c r="Q53" s="55">
        <f t="shared" si="11"/>
        <v>739.23</v>
      </c>
      <c r="R53" s="56"/>
      <c r="S53" s="57"/>
      <c r="T53" s="57">
        <v>0</v>
      </c>
      <c r="U53" s="57"/>
      <c r="V53" s="66">
        <f>Q53*1%</f>
        <v>7.3923000000000005</v>
      </c>
      <c r="W53" s="57"/>
      <c r="X53" s="58"/>
      <c r="Y53" s="58"/>
      <c r="Z53" s="59"/>
      <c r="AA53" s="59">
        <v>0</v>
      </c>
      <c r="AB53" s="55">
        <f t="shared" si="10"/>
        <v>731.83770000000004</v>
      </c>
      <c r="AC53" s="60">
        <f t="shared" si="7"/>
        <v>0</v>
      </c>
      <c r="AD53" s="55">
        <f t="shared" si="3"/>
        <v>731.83770000000004</v>
      </c>
      <c r="AE53" s="61">
        <f t="shared" si="8"/>
        <v>73.923000000000002</v>
      </c>
      <c r="AF53" s="60">
        <v>10.23</v>
      </c>
      <c r="AG53" s="60">
        <f t="shared" si="4"/>
        <v>0</v>
      </c>
      <c r="AH53" s="62">
        <f t="shared" si="5"/>
        <v>823.38300000000004</v>
      </c>
      <c r="AI53" s="137"/>
      <c r="AJ53" s="138"/>
      <c r="AK53" s="123">
        <f t="shared" si="6"/>
        <v>-731.83770000000004</v>
      </c>
      <c r="AL53" s="64">
        <v>1296641458</v>
      </c>
      <c r="AM53" s="6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</row>
    <row r="54" spans="1:193" s="29" customFormat="1" hidden="1">
      <c r="A54" s="64" t="s">
        <v>82</v>
      </c>
      <c r="B54" s="64" t="s">
        <v>251</v>
      </c>
      <c r="C54" s="64"/>
      <c r="D54" s="64"/>
      <c r="E54" s="64" t="s">
        <v>145</v>
      </c>
      <c r="F54" s="132">
        <v>42471</v>
      </c>
      <c r="G54" s="64"/>
      <c r="H54" s="64"/>
      <c r="I54" s="68">
        <v>739.23</v>
      </c>
      <c r="J54" s="151"/>
      <c r="K54" s="68">
        <f t="shared" si="0"/>
        <v>739.23</v>
      </c>
      <c r="L54" s="68"/>
      <c r="M54" s="68"/>
      <c r="N54" s="68"/>
      <c r="O54" s="68"/>
      <c r="P54" s="54"/>
      <c r="Q54" s="55">
        <f t="shared" si="11"/>
        <v>739.23</v>
      </c>
      <c r="R54" s="56"/>
      <c r="S54" s="103"/>
      <c r="T54" s="103"/>
      <c r="U54" s="103"/>
      <c r="V54" s="103"/>
      <c r="W54" s="103"/>
      <c r="X54" s="104"/>
      <c r="Y54" s="104"/>
      <c r="Z54" s="88"/>
      <c r="AA54" s="88">
        <v>0</v>
      </c>
      <c r="AB54" s="55">
        <f t="shared" si="10"/>
        <v>739.23</v>
      </c>
      <c r="AC54" s="60">
        <f t="shared" si="7"/>
        <v>0</v>
      </c>
      <c r="AD54" s="55">
        <f t="shared" si="3"/>
        <v>739.23</v>
      </c>
      <c r="AE54" s="61">
        <f t="shared" si="8"/>
        <v>73.923000000000002</v>
      </c>
      <c r="AF54" s="60">
        <v>10.23</v>
      </c>
      <c r="AG54" s="60">
        <f t="shared" si="4"/>
        <v>0</v>
      </c>
      <c r="AH54" s="62">
        <f t="shared" si="5"/>
        <v>823.38300000000004</v>
      </c>
      <c r="AI54" s="137"/>
      <c r="AJ54" s="138"/>
      <c r="AK54" s="123">
        <f t="shared" si="6"/>
        <v>-739.23</v>
      </c>
      <c r="AL54" s="64">
        <v>2777556799</v>
      </c>
      <c r="AM54" s="69"/>
    </row>
    <row r="55" spans="1:193" hidden="1">
      <c r="A55" s="64" t="s">
        <v>83</v>
      </c>
      <c r="B55" s="64" t="s">
        <v>172</v>
      </c>
      <c r="C55" s="64"/>
      <c r="D55" s="64"/>
      <c r="E55" s="64" t="s">
        <v>151</v>
      </c>
      <c r="F55" s="134">
        <v>42413</v>
      </c>
      <c r="G55" s="64"/>
      <c r="H55" s="64"/>
      <c r="I55" s="68">
        <f>1237.24/15*7</f>
        <v>577.37866666666673</v>
      </c>
      <c r="J55" s="153">
        <v>1047.6199999999999</v>
      </c>
      <c r="K55" s="68">
        <f t="shared" si="0"/>
        <v>1624.9986666666666</v>
      </c>
      <c r="L55" s="68"/>
      <c r="M55" s="68"/>
      <c r="N55" s="68"/>
      <c r="O55" s="68"/>
      <c r="P55" s="54"/>
      <c r="Q55" s="55">
        <f t="shared" si="11"/>
        <v>1624.9986666666666</v>
      </c>
      <c r="R55" s="56"/>
      <c r="S55" s="57"/>
      <c r="T55" s="57">
        <v>0</v>
      </c>
      <c r="U55" s="57"/>
      <c r="V55" s="57"/>
      <c r="W55" s="57"/>
      <c r="X55" s="58"/>
      <c r="Y55" s="58"/>
      <c r="Z55" s="59"/>
      <c r="AA55" s="59">
        <v>0</v>
      </c>
      <c r="AB55" s="55">
        <f t="shared" si="10"/>
        <v>1624.9986666666666</v>
      </c>
      <c r="AC55" s="60">
        <f t="shared" si="7"/>
        <v>0</v>
      </c>
      <c r="AD55" s="55">
        <f t="shared" si="3"/>
        <v>1624.9986666666666</v>
      </c>
      <c r="AE55" s="61">
        <f t="shared" si="8"/>
        <v>162.49986666666666</v>
      </c>
      <c r="AF55" s="60">
        <v>10.23</v>
      </c>
      <c r="AG55" s="60">
        <f t="shared" si="4"/>
        <v>0</v>
      </c>
      <c r="AH55" s="62">
        <f t="shared" si="5"/>
        <v>1797.7285333333334</v>
      </c>
      <c r="AI55" s="137"/>
      <c r="AJ55" s="138"/>
      <c r="AK55" s="123">
        <f t="shared" si="6"/>
        <v>-1624.9986666666666</v>
      </c>
      <c r="AL55" s="64"/>
      <c r="AM55" s="6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</row>
    <row r="56" spans="1:193" hidden="1">
      <c r="A56" s="64" t="s">
        <v>68</v>
      </c>
      <c r="B56" s="50" t="s">
        <v>262</v>
      </c>
      <c r="C56" s="50" t="s">
        <v>209</v>
      </c>
      <c r="D56" s="50" t="s">
        <v>134</v>
      </c>
      <c r="E56" s="50" t="s">
        <v>70</v>
      </c>
      <c r="F56" s="133">
        <v>41622</v>
      </c>
      <c r="G56" s="51"/>
      <c r="H56" s="51"/>
      <c r="I56" s="52">
        <v>513.33000000000004</v>
      </c>
      <c r="J56" s="151">
        <v>653.33000000000004</v>
      </c>
      <c r="K56" s="68">
        <f t="shared" si="0"/>
        <v>1166.6600000000001</v>
      </c>
      <c r="L56" s="52"/>
      <c r="M56" s="52"/>
      <c r="N56" s="53"/>
      <c r="O56" s="53"/>
      <c r="P56" s="54"/>
      <c r="Q56" s="55">
        <f t="shared" si="11"/>
        <v>1166.6600000000001</v>
      </c>
      <c r="R56" s="56"/>
      <c r="S56" s="57">
        <v>58.91</v>
      </c>
      <c r="T56" s="57">
        <v>0</v>
      </c>
      <c r="U56" s="57"/>
      <c r="V56" s="57"/>
      <c r="W56" s="57"/>
      <c r="X56" s="58"/>
      <c r="Y56" s="58"/>
      <c r="Z56" s="59"/>
      <c r="AA56" s="59">
        <v>0</v>
      </c>
      <c r="AB56" s="55">
        <f t="shared" si="10"/>
        <v>1107.75</v>
      </c>
      <c r="AC56" s="60">
        <f t="shared" si="7"/>
        <v>0</v>
      </c>
      <c r="AD56" s="55">
        <f t="shared" si="3"/>
        <v>1107.75</v>
      </c>
      <c r="AE56" s="61">
        <f t="shared" si="8"/>
        <v>116.66600000000001</v>
      </c>
      <c r="AF56" s="60">
        <v>10.23</v>
      </c>
      <c r="AG56" s="60">
        <f t="shared" si="4"/>
        <v>0</v>
      </c>
      <c r="AH56" s="62">
        <f t="shared" si="5"/>
        <v>1293.556</v>
      </c>
      <c r="AI56" s="137"/>
      <c r="AJ56" s="137"/>
      <c r="AK56" s="123">
        <f t="shared" si="6"/>
        <v>-1107.75</v>
      </c>
      <c r="AL56" s="64"/>
      <c r="AM56" s="64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</row>
    <row r="57" spans="1:193" hidden="1">
      <c r="A57" s="64" t="s">
        <v>68</v>
      </c>
      <c r="B57" s="50" t="s">
        <v>271</v>
      </c>
      <c r="C57" s="50" t="s">
        <v>206</v>
      </c>
      <c r="D57" s="50">
        <v>30</v>
      </c>
      <c r="E57" s="50" t="s">
        <v>70</v>
      </c>
      <c r="F57" s="133">
        <v>37834</v>
      </c>
      <c r="G57" s="51"/>
      <c r="H57" s="51"/>
      <c r="I57" s="68">
        <v>513.33000000000004</v>
      </c>
      <c r="J57" s="151">
        <v>653.33000000000004</v>
      </c>
      <c r="K57" s="68">
        <f t="shared" si="0"/>
        <v>1166.6600000000001</v>
      </c>
      <c r="L57" s="52"/>
      <c r="M57" s="52"/>
      <c r="N57" s="53"/>
      <c r="O57" s="53"/>
      <c r="P57" s="54"/>
      <c r="Q57" s="55">
        <f t="shared" si="11"/>
        <v>1166.6600000000001</v>
      </c>
      <c r="R57" s="56"/>
      <c r="S57" s="57"/>
      <c r="T57" s="57">
        <v>0</v>
      </c>
      <c r="U57" s="57"/>
      <c r="V57" s="57"/>
      <c r="W57" s="57"/>
      <c r="X57" s="58"/>
      <c r="Y57" s="58"/>
      <c r="Z57" s="59"/>
      <c r="AA57" s="59">
        <v>0</v>
      </c>
      <c r="AB57" s="55">
        <f t="shared" si="10"/>
        <v>1166.6600000000001</v>
      </c>
      <c r="AC57" s="60">
        <f t="shared" si="7"/>
        <v>0</v>
      </c>
      <c r="AD57" s="55">
        <f t="shared" si="3"/>
        <v>1166.6600000000001</v>
      </c>
      <c r="AE57" s="61">
        <f t="shared" si="8"/>
        <v>116.66600000000001</v>
      </c>
      <c r="AF57" s="60">
        <v>10.23</v>
      </c>
      <c r="AG57" s="60">
        <f t="shared" si="4"/>
        <v>0</v>
      </c>
      <c r="AH57" s="62">
        <f t="shared" si="5"/>
        <v>1293.556</v>
      </c>
      <c r="AI57" s="137"/>
      <c r="AJ57" s="138"/>
      <c r="AK57" s="123">
        <f t="shared" si="6"/>
        <v>-1166.6600000000001</v>
      </c>
      <c r="AL57" s="64"/>
      <c r="AM57" s="64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</row>
    <row r="58" spans="1:193">
      <c r="A58" s="64" t="s">
        <v>68</v>
      </c>
      <c r="B58" s="50" t="s">
        <v>184</v>
      </c>
      <c r="C58" s="50" t="s">
        <v>204</v>
      </c>
      <c r="D58" s="50" t="s">
        <v>136</v>
      </c>
      <c r="E58" s="50" t="s">
        <v>70</v>
      </c>
      <c r="F58" s="133">
        <v>42394</v>
      </c>
      <c r="G58" s="51"/>
      <c r="H58" s="51"/>
      <c r="I58" s="180">
        <v>513.33000000000004</v>
      </c>
      <c r="J58" s="183">
        <v>653.33000000000004</v>
      </c>
      <c r="K58" s="182">
        <f t="shared" si="0"/>
        <v>1166.6600000000001</v>
      </c>
      <c r="L58" s="187">
        <v>2651.96</v>
      </c>
      <c r="M58" s="52"/>
      <c r="N58" s="53"/>
      <c r="O58" s="53"/>
      <c r="P58" s="54"/>
      <c r="Q58" s="55">
        <f>+L58</f>
        <v>2651.96</v>
      </c>
      <c r="R58" s="56"/>
      <c r="S58" s="57"/>
      <c r="T58" s="57">
        <v>0</v>
      </c>
      <c r="U58" s="57"/>
      <c r="V58" s="57"/>
      <c r="W58" s="57"/>
      <c r="X58" s="58"/>
      <c r="Y58" s="58"/>
      <c r="Z58" s="70"/>
      <c r="AA58" s="87"/>
      <c r="AB58" s="55">
        <f t="shared" si="10"/>
        <v>2651.96</v>
      </c>
      <c r="AC58" s="60">
        <f t="shared" si="7"/>
        <v>265.19600000000003</v>
      </c>
      <c r="AD58" s="55">
        <f t="shared" si="3"/>
        <v>2386.7640000000001</v>
      </c>
      <c r="AE58" s="61">
        <f t="shared" si="8"/>
        <v>0</v>
      </c>
      <c r="AF58" s="60">
        <v>10.23</v>
      </c>
      <c r="AG58" s="60">
        <f t="shared" si="4"/>
        <v>0</v>
      </c>
      <c r="AH58" s="62">
        <f t="shared" si="5"/>
        <v>2662.19</v>
      </c>
      <c r="AI58" s="137"/>
      <c r="AJ58" s="138"/>
      <c r="AK58" s="123">
        <f t="shared" si="6"/>
        <v>-2386.7640000000001</v>
      </c>
      <c r="AL58" s="64"/>
      <c r="AM58" s="64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</row>
    <row r="59" spans="1:193" s="37" customFormat="1">
      <c r="A59" s="64" t="s">
        <v>67</v>
      </c>
      <c r="B59" s="50" t="s">
        <v>190</v>
      </c>
      <c r="C59" s="64" t="s">
        <v>234</v>
      </c>
      <c r="D59" s="50" t="s">
        <v>108</v>
      </c>
      <c r="E59" s="50" t="s">
        <v>298</v>
      </c>
      <c r="F59" s="133">
        <v>42342</v>
      </c>
      <c r="G59" s="51"/>
      <c r="H59" s="51"/>
      <c r="I59" s="188">
        <v>513.33000000000004</v>
      </c>
      <c r="J59" s="181">
        <v>686.67</v>
      </c>
      <c r="K59" s="182">
        <f t="shared" si="0"/>
        <v>1200</v>
      </c>
      <c r="L59" s="187">
        <v>686.67</v>
      </c>
      <c r="M59" s="52"/>
      <c r="N59" s="53"/>
      <c r="O59" s="53"/>
      <c r="P59" s="54"/>
      <c r="Q59" s="55">
        <f>+L59</f>
        <v>686.67</v>
      </c>
      <c r="R59" s="56"/>
      <c r="S59" s="57"/>
      <c r="T59" s="57">
        <v>0</v>
      </c>
      <c r="U59" s="57"/>
      <c r="V59" s="57"/>
      <c r="W59" s="57"/>
      <c r="X59" s="71"/>
      <c r="Y59" s="58"/>
      <c r="Z59" s="59"/>
      <c r="AA59" s="59">
        <v>0</v>
      </c>
      <c r="AB59" s="55">
        <f t="shared" si="10"/>
        <v>686.67</v>
      </c>
      <c r="AC59" s="60">
        <f t="shared" si="7"/>
        <v>0</v>
      </c>
      <c r="AD59" s="55">
        <f t="shared" si="3"/>
        <v>686.67</v>
      </c>
      <c r="AE59" s="61">
        <f t="shared" si="8"/>
        <v>68.667000000000002</v>
      </c>
      <c r="AF59" s="60">
        <v>10.23</v>
      </c>
      <c r="AG59" s="60">
        <f t="shared" si="4"/>
        <v>0</v>
      </c>
      <c r="AH59" s="62">
        <f t="shared" si="5"/>
        <v>765.56700000000001</v>
      </c>
      <c r="AI59" s="137"/>
      <c r="AJ59" s="137"/>
      <c r="AK59" s="123">
        <f t="shared" si="6"/>
        <v>-686.67</v>
      </c>
      <c r="AL59" s="64"/>
      <c r="AM59" s="141" t="s">
        <v>297</v>
      </c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</row>
    <row r="60" spans="1:193" hidden="1">
      <c r="A60" s="64" t="s">
        <v>84</v>
      </c>
      <c r="B60" s="64" t="s">
        <v>238</v>
      </c>
      <c r="C60" s="64"/>
      <c r="D60" s="64"/>
      <c r="E60" s="64" t="s">
        <v>153</v>
      </c>
      <c r="F60" s="134">
        <v>42444</v>
      </c>
      <c r="G60" s="64"/>
      <c r="H60" s="64"/>
      <c r="I60" s="68">
        <v>608.16</v>
      </c>
      <c r="J60" s="152"/>
      <c r="K60" s="68">
        <f t="shared" si="0"/>
        <v>608.16</v>
      </c>
      <c r="L60" s="68"/>
      <c r="M60" s="68"/>
      <c r="N60" s="68"/>
      <c r="O60" s="68"/>
      <c r="P60" s="54"/>
      <c r="Q60" s="55">
        <f t="shared" si="11"/>
        <v>608.16</v>
      </c>
      <c r="R60" s="56"/>
      <c r="S60" s="57"/>
      <c r="T60" s="57"/>
      <c r="U60" s="57"/>
      <c r="V60" s="57"/>
      <c r="W60" s="57"/>
      <c r="X60" s="58"/>
      <c r="Y60" s="58"/>
      <c r="Z60" s="59"/>
      <c r="AA60" s="59">
        <v>0</v>
      </c>
      <c r="AB60" s="55">
        <f t="shared" si="10"/>
        <v>608.16</v>
      </c>
      <c r="AC60" s="60">
        <f t="shared" si="7"/>
        <v>0</v>
      </c>
      <c r="AD60" s="55">
        <f t="shared" si="3"/>
        <v>608.16</v>
      </c>
      <c r="AE60" s="61">
        <f t="shared" si="8"/>
        <v>60.816000000000003</v>
      </c>
      <c r="AF60" s="60">
        <v>10.23</v>
      </c>
      <c r="AG60" s="60">
        <f t="shared" si="4"/>
        <v>0</v>
      </c>
      <c r="AH60" s="62">
        <f t="shared" si="5"/>
        <v>679.20600000000002</v>
      </c>
      <c r="AI60" s="137"/>
      <c r="AJ60" s="137"/>
      <c r="AK60" s="123">
        <f t="shared" si="6"/>
        <v>-608.16</v>
      </c>
      <c r="AL60" s="86">
        <v>1159718206</v>
      </c>
      <c r="AM60" s="86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</row>
    <row r="61" spans="1:193" hidden="1">
      <c r="A61" s="64" t="s">
        <v>84</v>
      </c>
      <c r="B61" s="64" t="s">
        <v>284</v>
      </c>
      <c r="C61" s="64"/>
      <c r="D61" s="64"/>
      <c r="E61" s="64" t="s">
        <v>221</v>
      </c>
      <c r="F61" s="134">
        <v>42494</v>
      </c>
      <c r="G61" s="64"/>
      <c r="H61" s="64"/>
      <c r="I61" s="28">
        <f>+K61</f>
        <v>942.85</v>
      </c>
      <c r="J61" s="151"/>
      <c r="K61" s="68">
        <v>942.85</v>
      </c>
      <c r="L61" s="68"/>
      <c r="M61" s="68"/>
      <c r="N61" s="68"/>
      <c r="O61" s="68"/>
      <c r="P61" s="109"/>
      <c r="Q61" s="55">
        <f t="shared" si="11"/>
        <v>942.85</v>
      </c>
      <c r="R61" s="56"/>
      <c r="S61" s="57"/>
      <c r="T61" s="57"/>
      <c r="U61" s="57"/>
      <c r="V61" s="57"/>
      <c r="W61" s="57"/>
      <c r="X61" s="58"/>
      <c r="Y61" s="58"/>
      <c r="Z61" s="59"/>
      <c r="AA61" s="59">
        <v>0</v>
      </c>
      <c r="AB61" s="55">
        <f t="shared" si="10"/>
        <v>942.85</v>
      </c>
      <c r="AC61" s="60">
        <f t="shared" si="7"/>
        <v>0</v>
      </c>
      <c r="AD61" s="55">
        <f t="shared" si="3"/>
        <v>942.85</v>
      </c>
      <c r="AE61" s="61">
        <f t="shared" si="8"/>
        <v>94.285000000000011</v>
      </c>
      <c r="AF61" s="60">
        <v>10.23</v>
      </c>
      <c r="AG61" s="60">
        <f t="shared" si="4"/>
        <v>0</v>
      </c>
      <c r="AH61" s="62">
        <f t="shared" si="5"/>
        <v>1047.365</v>
      </c>
      <c r="AI61" s="137"/>
      <c r="AJ61" s="138"/>
      <c r="AK61" s="123">
        <f t="shared" si="6"/>
        <v>-942.85</v>
      </c>
      <c r="AL61" s="86">
        <v>2858432805</v>
      </c>
      <c r="AM61" s="141" t="s">
        <v>287</v>
      </c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</row>
    <row r="62" spans="1:193" hidden="1">
      <c r="A62" s="64" t="s">
        <v>83</v>
      </c>
      <c r="B62" s="64" t="s">
        <v>232</v>
      </c>
      <c r="C62" s="64"/>
      <c r="D62" s="64" t="s">
        <v>233</v>
      </c>
      <c r="E62" s="64" t="s">
        <v>151</v>
      </c>
      <c r="F62" s="133">
        <v>40813</v>
      </c>
      <c r="G62" s="64"/>
      <c r="H62" s="64"/>
      <c r="I62" s="68">
        <f>1237.24/15*7</f>
        <v>577.37866666666673</v>
      </c>
      <c r="J62" s="82">
        <v>1047.6199999999999</v>
      </c>
      <c r="K62" s="68">
        <f t="shared" si="0"/>
        <v>1624.9986666666666</v>
      </c>
      <c r="L62" s="68"/>
      <c r="M62" s="68"/>
      <c r="N62" s="68"/>
      <c r="O62" s="68"/>
      <c r="P62" s="54"/>
      <c r="Q62" s="55">
        <f t="shared" si="11"/>
        <v>1624.9986666666666</v>
      </c>
      <c r="R62" s="56"/>
      <c r="S62" s="57"/>
      <c r="T62" s="57"/>
      <c r="U62" s="57"/>
      <c r="V62" s="57"/>
      <c r="W62" s="57"/>
      <c r="X62" s="58"/>
      <c r="Y62" s="58"/>
      <c r="Z62" s="59"/>
      <c r="AA62" s="59">
        <v>0</v>
      </c>
      <c r="AB62" s="55">
        <f t="shared" si="10"/>
        <v>1624.9986666666666</v>
      </c>
      <c r="AC62" s="60">
        <f t="shared" si="7"/>
        <v>0</v>
      </c>
      <c r="AD62" s="55">
        <f t="shared" si="3"/>
        <v>1624.9986666666666</v>
      </c>
      <c r="AE62" s="61">
        <f t="shared" si="8"/>
        <v>162.49986666666666</v>
      </c>
      <c r="AF62" s="60">
        <v>10.23</v>
      </c>
      <c r="AG62" s="60">
        <f t="shared" si="4"/>
        <v>0</v>
      </c>
      <c r="AH62" s="62">
        <f t="shared" si="5"/>
        <v>1797.7285333333334</v>
      </c>
      <c r="AI62" s="137"/>
      <c r="AJ62" s="138"/>
      <c r="AK62" s="123">
        <f t="shared" si="6"/>
        <v>-1624.9986666666666</v>
      </c>
      <c r="AL62" s="64"/>
      <c r="AM62" s="6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</row>
    <row r="63" spans="1:193">
      <c r="A63" s="86" t="s">
        <v>68</v>
      </c>
      <c r="B63" s="50" t="s">
        <v>239</v>
      </c>
      <c r="C63" s="64" t="s">
        <v>234</v>
      </c>
      <c r="D63" s="77" t="s">
        <v>228</v>
      </c>
      <c r="E63" s="64" t="s">
        <v>150</v>
      </c>
      <c r="F63" s="133">
        <v>42282</v>
      </c>
      <c r="G63" s="50"/>
      <c r="H63" s="50"/>
      <c r="I63" s="180">
        <v>513.33000000000004</v>
      </c>
      <c r="J63" s="185">
        <v>986.67</v>
      </c>
      <c r="K63" s="182">
        <f t="shared" si="0"/>
        <v>1500</v>
      </c>
      <c r="L63" s="187">
        <v>500</v>
      </c>
      <c r="M63" s="52"/>
      <c r="N63" s="52"/>
      <c r="O63" s="52"/>
      <c r="P63" s="54"/>
      <c r="Q63" s="55">
        <f>+L63</f>
        <v>500</v>
      </c>
      <c r="R63" s="56"/>
      <c r="S63" s="57"/>
      <c r="T63" s="57"/>
      <c r="U63" s="57"/>
      <c r="V63" s="57"/>
      <c r="W63" s="57"/>
      <c r="X63" s="58"/>
      <c r="Y63" s="58"/>
      <c r="Z63" s="59"/>
      <c r="AA63" s="59">
        <v>0</v>
      </c>
      <c r="AB63" s="55">
        <f t="shared" si="10"/>
        <v>500</v>
      </c>
      <c r="AC63" s="60">
        <f t="shared" si="7"/>
        <v>0</v>
      </c>
      <c r="AD63" s="55">
        <f t="shared" si="3"/>
        <v>500</v>
      </c>
      <c r="AE63" s="61">
        <f t="shared" si="8"/>
        <v>50</v>
      </c>
      <c r="AF63" s="60">
        <v>10.23</v>
      </c>
      <c r="AG63" s="60">
        <f t="shared" si="4"/>
        <v>0</v>
      </c>
      <c r="AH63" s="62">
        <f t="shared" si="5"/>
        <v>560.23</v>
      </c>
      <c r="AI63" s="137"/>
      <c r="AJ63" s="138"/>
      <c r="AK63" s="123">
        <f t="shared" si="6"/>
        <v>-500</v>
      </c>
      <c r="AL63" s="64"/>
      <c r="AM63" s="141" t="s">
        <v>297</v>
      </c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</row>
    <row r="64" spans="1:193" hidden="1">
      <c r="A64" s="64" t="s">
        <v>68</v>
      </c>
      <c r="B64" s="50" t="s">
        <v>215</v>
      </c>
      <c r="C64" s="50" t="s">
        <v>206</v>
      </c>
      <c r="D64" s="50" t="s">
        <v>137</v>
      </c>
      <c r="E64" s="50" t="s">
        <v>70</v>
      </c>
      <c r="F64" s="133">
        <v>42310</v>
      </c>
      <c r="G64" s="51"/>
      <c r="H64" s="51"/>
      <c r="I64" s="52">
        <v>513.33000000000004</v>
      </c>
      <c r="J64" s="151">
        <v>653.33000000000004</v>
      </c>
      <c r="K64" s="68">
        <f t="shared" si="0"/>
        <v>1166.6600000000001</v>
      </c>
      <c r="L64" s="52"/>
      <c r="M64" s="52"/>
      <c r="N64" s="53"/>
      <c r="O64" s="53"/>
      <c r="P64" s="54"/>
      <c r="Q64" s="55">
        <f t="shared" si="11"/>
        <v>1166.6600000000001</v>
      </c>
      <c r="R64" s="56"/>
      <c r="S64" s="57"/>
      <c r="T64" s="57">
        <v>0</v>
      </c>
      <c r="U64" s="57"/>
      <c r="V64" s="57"/>
      <c r="W64" s="57"/>
      <c r="X64" s="71">
        <v>460.45</v>
      </c>
      <c r="Y64" s="58"/>
      <c r="Z64" s="59"/>
      <c r="AA64" s="65">
        <v>517.25</v>
      </c>
      <c r="AB64" s="55">
        <f t="shared" si="10"/>
        <v>188.96000000000004</v>
      </c>
      <c r="AC64" s="60">
        <f t="shared" si="7"/>
        <v>0</v>
      </c>
      <c r="AD64" s="55">
        <f t="shared" si="3"/>
        <v>188.96000000000004</v>
      </c>
      <c r="AE64" s="61">
        <f t="shared" si="8"/>
        <v>116.66600000000001</v>
      </c>
      <c r="AF64" s="60">
        <v>10.23</v>
      </c>
      <c r="AG64" s="60">
        <f t="shared" si="4"/>
        <v>0</v>
      </c>
      <c r="AH64" s="62">
        <f t="shared" si="5"/>
        <v>1293.556</v>
      </c>
      <c r="AI64" s="137"/>
      <c r="AJ64" s="138"/>
      <c r="AK64" s="123">
        <f t="shared" si="6"/>
        <v>-188.96000000000004</v>
      </c>
      <c r="AL64" s="64"/>
      <c r="AM64" s="64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</row>
    <row r="65" spans="1:193" hidden="1">
      <c r="A65" s="64" t="s">
        <v>84</v>
      </c>
      <c r="B65" s="50" t="s">
        <v>200</v>
      </c>
      <c r="C65" s="50"/>
      <c r="D65" s="50" t="s">
        <v>118</v>
      </c>
      <c r="E65" s="50" t="s">
        <v>156</v>
      </c>
      <c r="F65" s="133">
        <v>42242</v>
      </c>
      <c r="G65" s="51"/>
      <c r="H65" s="51"/>
      <c r="I65" s="52">
        <v>1100</v>
      </c>
      <c r="J65" s="152"/>
      <c r="K65" s="68">
        <f t="shared" si="0"/>
        <v>1100</v>
      </c>
      <c r="L65" s="52"/>
      <c r="M65" s="52"/>
      <c r="N65" s="53"/>
      <c r="O65" s="53"/>
      <c r="P65" s="54"/>
      <c r="Q65" s="55">
        <f t="shared" si="11"/>
        <v>1100</v>
      </c>
      <c r="R65" s="56"/>
      <c r="S65" s="57"/>
      <c r="T65" s="66">
        <f>+Q65*1%</f>
        <v>11</v>
      </c>
      <c r="U65" s="66">
        <f>+Q65*4.9%</f>
        <v>53.9</v>
      </c>
      <c r="V65" s="57"/>
      <c r="W65" s="57"/>
      <c r="X65" s="58"/>
      <c r="Y65" s="58"/>
      <c r="Z65" s="59"/>
      <c r="AA65" s="59">
        <v>0</v>
      </c>
      <c r="AB65" s="55">
        <f t="shared" si="10"/>
        <v>1035.0999999999999</v>
      </c>
      <c r="AC65" s="60">
        <f t="shared" si="7"/>
        <v>0</v>
      </c>
      <c r="AD65" s="55">
        <f t="shared" si="3"/>
        <v>1035.0999999999999</v>
      </c>
      <c r="AE65" s="61">
        <f t="shared" si="8"/>
        <v>110</v>
      </c>
      <c r="AF65" s="60">
        <v>10.23</v>
      </c>
      <c r="AG65" s="60">
        <f t="shared" si="4"/>
        <v>53.9</v>
      </c>
      <c r="AH65" s="62">
        <f t="shared" si="5"/>
        <v>1274.1300000000001</v>
      </c>
      <c r="AI65" s="137"/>
      <c r="AJ65" s="137"/>
      <c r="AK65" s="123">
        <f t="shared" si="6"/>
        <v>-1035.0999999999999</v>
      </c>
      <c r="AL65" s="64"/>
      <c r="AM65" s="64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</row>
    <row r="66" spans="1:193" hidden="1">
      <c r="A66" s="64" t="s">
        <v>82</v>
      </c>
      <c r="B66" s="50" t="s">
        <v>258</v>
      </c>
      <c r="C66" s="50"/>
      <c r="D66" s="50" t="s">
        <v>90</v>
      </c>
      <c r="E66" s="50" t="s">
        <v>144</v>
      </c>
      <c r="F66" s="133">
        <v>42170</v>
      </c>
      <c r="G66" s="50"/>
      <c r="H66" s="50"/>
      <c r="I66" s="28">
        <f>+K66</f>
        <v>633.62</v>
      </c>
      <c r="J66" s="150"/>
      <c r="K66" s="68">
        <v>633.62</v>
      </c>
      <c r="L66" s="52"/>
      <c r="M66" s="52"/>
      <c r="N66" s="52"/>
      <c r="O66" s="52"/>
      <c r="P66" s="54"/>
      <c r="Q66" s="55">
        <f t="shared" si="11"/>
        <v>633.62</v>
      </c>
      <c r="R66" s="56"/>
      <c r="S66" s="57"/>
      <c r="T66" s="57">
        <v>0</v>
      </c>
      <c r="U66" s="57"/>
      <c r="V66" s="57"/>
      <c r="W66" s="57"/>
      <c r="X66" s="58"/>
      <c r="Y66" s="58"/>
      <c r="Z66" s="59"/>
      <c r="AA66" s="59">
        <v>0</v>
      </c>
      <c r="AB66" s="55">
        <f t="shared" si="10"/>
        <v>633.62</v>
      </c>
      <c r="AC66" s="60">
        <f t="shared" si="7"/>
        <v>0</v>
      </c>
      <c r="AD66" s="55">
        <f t="shared" si="3"/>
        <v>633.62</v>
      </c>
      <c r="AE66" s="61">
        <f t="shared" si="8"/>
        <v>63.362000000000002</v>
      </c>
      <c r="AF66" s="60">
        <v>10.23</v>
      </c>
      <c r="AG66" s="60">
        <f t="shared" si="4"/>
        <v>0</v>
      </c>
      <c r="AH66" s="62">
        <f t="shared" si="5"/>
        <v>707.21199999999999</v>
      </c>
      <c r="AI66" s="137"/>
      <c r="AJ66" s="138"/>
      <c r="AK66" s="123">
        <f t="shared" si="6"/>
        <v>-633.62</v>
      </c>
      <c r="AL66" s="64"/>
      <c r="AM66" s="141" t="s">
        <v>287</v>
      </c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</row>
    <row r="67" spans="1:193" hidden="1">
      <c r="A67" s="64" t="s">
        <v>84</v>
      </c>
      <c r="B67" s="50" t="s">
        <v>177</v>
      </c>
      <c r="C67" s="50"/>
      <c r="D67" s="50" t="s">
        <v>119</v>
      </c>
      <c r="E67" s="50" t="s">
        <v>157</v>
      </c>
      <c r="F67" s="133">
        <v>36868</v>
      </c>
      <c r="G67" s="51"/>
      <c r="H67" s="51"/>
      <c r="I67" s="52">
        <v>623.36</v>
      </c>
      <c r="J67" s="152"/>
      <c r="K67" s="68">
        <f t="shared" si="0"/>
        <v>623.36</v>
      </c>
      <c r="L67" s="52"/>
      <c r="M67" s="52"/>
      <c r="N67" s="53"/>
      <c r="O67" s="53"/>
      <c r="P67" s="54"/>
      <c r="Q67" s="55">
        <f t="shared" si="11"/>
        <v>623.36</v>
      </c>
      <c r="R67" s="56"/>
      <c r="S67" s="57"/>
      <c r="T67" s="57"/>
      <c r="U67" s="66">
        <f>Q67*4.9%</f>
        <v>30.544640000000001</v>
      </c>
      <c r="V67" s="66">
        <f>Q67*1%</f>
        <v>6.2336</v>
      </c>
      <c r="W67" s="57"/>
      <c r="X67" s="58"/>
      <c r="Y67" s="58"/>
      <c r="Z67" s="59"/>
      <c r="AA67" s="59">
        <v>0</v>
      </c>
      <c r="AB67" s="55">
        <f t="shared" si="10"/>
        <v>586.58176000000003</v>
      </c>
      <c r="AC67" s="60">
        <f t="shared" si="7"/>
        <v>0</v>
      </c>
      <c r="AD67" s="55">
        <f t="shared" si="3"/>
        <v>586.58176000000003</v>
      </c>
      <c r="AE67" s="61">
        <f t="shared" si="8"/>
        <v>62.336000000000006</v>
      </c>
      <c r="AF67" s="60">
        <v>10.23</v>
      </c>
      <c r="AG67" s="60">
        <f t="shared" si="4"/>
        <v>30.544640000000001</v>
      </c>
      <c r="AH67" s="62">
        <f t="shared" si="5"/>
        <v>726.47064</v>
      </c>
      <c r="AI67" s="137"/>
      <c r="AJ67" s="137"/>
      <c r="AK67" s="123">
        <f t="shared" si="6"/>
        <v>-586.58176000000003</v>
      </c>
      <c r="AL67" s="64"/>
      <c r="AM67" s="64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</row>
    <row r="68" spans="1:193" s="29" customFormat="1" hidden="1">
      <c r="A68" s="64" t="s">
        <v>84</v>
      </c>
      <c r="B68" s="50" t="s">
        <v>171</v>
      </c>
      <c r="C68" s="50"/>
      <c r="D68" s="50" t="s">
        <v>120</v>
      </c>
      <c r="E68" s="50" t="s">
        <v>221</v>
      </c>
      <c r="F68" s="133">
        <v>41949</v>
      </c>
      <c r="G68" s="51"/>
      <c r="H68" s="51"/>
      <c r="I68" s="52">
        <v>511.28</v>
      </c>
      <c r="J68" s="152"/>
      <c r="K68" s="68">
        <f t="shared" si="0"/>
        <v>511.28</v>
      </c>
      <c r="L68" s="52"/>
      <c r="M68" s="52"/>
      <c r="N68" s="53"/>
      <c r="O68" s="53"/>
      <c r="P68" s="54"/>
      <c r="Q68" s="55">
        <f t="shared" si="11"/>
        <v>511.28</v>
      </c>
      <c r="R68" s="56"/>
      <c r="S68" s="57"/>
      <c r="T68" s="66">
        <v>100</v>
      </c>
      <c r="U68" s="66">
        <f>Q68*4.9%</f>
        <v>25.052720000000001</v>
      </c>
      <c r="V68" s="66">
        <f>Q68*1%</f>
        <v>5.1128</v>
      </c>
      <c r="W68" s="57"/>
      <c r="X68" s="58"/>
      <c r="Y68" s="58"/>
      <c r="Z68" s="59"/>
      <c r="AA68" s="59">
        <v>0</v>
      </c>
      <c r="AB68" s="55">
        <f t="shared" si="10"/>
        <v>381.11447999999996</v>
      </c>
      <c r="AC68" s="60">
        <f t="shared" si="7"/>
        <v>0</v>
      </c>
      <c r="AD68" s="55">
        <f t="shared" si="3"/>
        <v>381.11447999999996</v>
      </c>
      <c r="AE68" s="61">
        <f t="shared" si="8"/>
        <v>51.128</v>
      </c>
      <c r="AF68" s="60">
        <v>10.23</v>
      </c>
      <c r="AG68" s="60">
        <f t="shared" si="4"/>
        <v>25.052720000000001</v>
      </c>
      <c r="AH68" s="62">
        <f t="shared" si="5"/>
        <v>597.69072000000006</v>
      </c>
      <c r="AI68" s="137"/>
      <c r="AJ68" s="138"/>
      <c r="AK68" s="123">
        <f t="shared" si="6"/>
        <v>-381.11447999999996</v>
      </c>
      <c r="AL68" s="64"/>
      <c r="AM68" s="64"/>
    </row>
    <row r="69" spans="1:193" s="29" customFormat="1" hidden="1">
      <c r="A69" s="64" t="s">
        <v>82</v>
      </c>
      <c r="B69" s="64" t="s">
        <v>273</v>
      </c>
      <c r="C69" s="64"/>
      <c r="D69" s="64"/>
      <c r="E69" s="64" t="s">
        <v>221</v>
      </c>
      <c r="F69" s="134">
        <v>42493</v>
      </c>
      <c r="G69" s="64"/>
      <c r="H69" s="64"/>
      <c r="I69" s="68">
        <v>739.23</v>
      </c>
      <c r="J69" s="151"/>
      <c r="K69" s="68">
        <f t="shared" si="0"/>
        <v>739.23</v>
      </c>
      <c r="L69" s="68"/>
      <c r="M69" s="68"/>
      <c r="N69" s="68"/>
      <c r="O69" s="68"/>
      <c r="P69" s="109"/>
      <c r="Q69" s="55">
        <f t="shared" si="11"/>
        <v>739.23</v>
      </c>
      <c r="R69" s="56"/>
      <c r="S69" s="57"/>
      <c r="T69" s="103"/>
      <c r="U69" s="103"/>
      <c r="V69" s="103"/>
      <c r="W69" s="103"/>
      <c r="X69" s="104"/>
      <c r="Y69" s="104"/>
      <c r="Z69" s="88"/>
      <c r="AA69" s="88">
        <v>0</v>
      </c>
      <c r="AB69" s="55">
        <f t="shared" si="10"/>
        <v>739.23</v>
      </c>
      <c r="AC69" s="60">
        <f t="shared" si="7"/>
        <v>0</v>
      </c>
      <c r="AD69" s="55">
        <f t="shared" si="3"/>
        <v>739.23</v>
      </c>
      <c r="AE69" s="61">
        <f t="shared" si="8"/>
        <v>73.923000000000002</v>
      </c>
      <c r="AF69" s="60">
        <v>10.23</v>
      </c>
      <c r="AG69" s="60">
        <f t="shared" si="4"/>
        <v>0</v>
      </c>
      <c r="AH69" s="62">
        <f t="shared" si="5"/>
        <v>823.38300000000004</v>
      </c>
      <c r="AI69" s="137"/>
      <c r="AJ69" s="137"/>
      <c r="AK69" s="123">
        <f t="shared" si="6"/>
        <v>-739.23</v>
      </c>
      <c r="AL69" s="64">
        <v>2999103732</v>
      </c>
      <c r="AM69" s="69"/>
    </row>
    <row r="70" spans="1:193">
      <c r="A70" s="64" t="s">
        <v>68</v>
      </c>
      <c r="B70" s="50" t="s">
        <v>226</v>
      </c>
      <c r="C70" s="50" t="s">
        <v>209</v>
      </c>
      <c r="D70" s="50" t="s">
        <v>138</v>
      </c>
      <c r="E70" s="50" t="s">
        <v>70</v>
      </c>
      <c r="F70" s="133">
        <v>42251</v>
      </c>
      <c r="G70" s="51"/>
      <c r="H70" s="51"/>
      <c r="I70" s="180">
        <v>513.33000000000004</v>
      </c>
      <c r="J70" s="181">
        <v>653.33000000000004</v>
      </c>
      <c r="K70" s="182">
        <f t="shared" si="0"/>
        <v>1166.6600000000001</v>
      </c>
      <c r="L70" s="187">
        <v>4769.7299999999996</v>
      </c>
      <c r="M70" s="52"/>
      <c r="N70" s="53"/>
      <c r="O70" s="53"/>
      <c r="P70" s="54"/>
      <c r="Q70" s="55">
        <f>+L70</f>
        <v>4769.7299999999996</v>
      </c>
      <c r="R70" s="56"/>
      <c r="S70" s="57"/>
      <c r="T70" s="57">
        <v>0</v>
      </c>
      <c r="U70" s="57"/>
      <c r="V70" s="57"/>
      <c r="W70" s="57"/>
      <c r="X70" s="58"/>
      <c r="Y70" s="58"/>
      <c r="Z70" s="59"/>
      <c r="AA70" s="59">
        <v>0</v>
      </c>
      <c r="AB70" s="55">
        <f>+Q70-SUM(R70:AA70)</f>
        <v>4769.7299999999996</v>
      </c>
      <c r="AC70" s="60">
        <f>IF(Q70&gt;2250,Q70*0.1,0)</f>
        <v>476.97299999999996</v>
      </c>
      <c r="AD70" s="55">
        <f t="shared" si="3"/>
        <v>4292.7569999999996</v>
      </c>
      <c r="AE70" s="61">
        <f t="shared" si="8"/>
        <v>0</v>
      </c>
      <c r="AF70" s="60">
        <v>10.23</v>
      </c>
      <c r="AG70" s="60">
        <f t="shared" si="4"/>
        <v>0</v>
      </c>
      <c r="AH70" s="62">
        <f>+Q70+AE70+AF70+AG70</f>
        <v>4779.9599999999991</v>
      </c>
      <c r="AI70" s="137"/>
      <c r="AJ70" s="138"/>
      <c r="AK70" s="123">
        <f t="shared" si="6"/>
        <v>-4292.7569999999996</v>
      </c>
      <c r="AL70" s="64"/>
      <c r="AM70" s="64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</row>
    <row r="71" spans="1:193" hidden="1">
      <c r="A71" s="64"/>
      <c r="B71" s="64" t="s">
        <v>280</v>
      </c>
      <c r="C71" s="64"/>
      <c r="D71" s="64"/>
      <c r="E71" s="64" t="s">
        <v>69</v>
      </c>
      <c r="F71" s="134">
        <v>42506</v>
      </c>
      <c r="G71" s="64"/>
      <c r="H71" s="64"/>
      <c r="I71" s="68">
        <v>1166.6600000000001</v>
      </c>
      <c r="J71" s="151"/>
      <c r="K71" s="68">
        <f t="shared" ref="K71:K109" si="12">+I71+J71</f>
        <v>1166.6600000000001</v>
      </c>
      <c r="L71" s="68"/>
      <c r="M71" s="68"/>
      <c r="N71" s="68"/>
      <c r="O71" s="68"/>
      <c r="P71" s="109"/>
      <c r="Q71" s="55">
        <f>SUM(K71:O71)-P71</f>
        <v>1166.6600000000001</v>
      </c>
      <c r="R71" s="56"/>
      <c r="S71" s="57"/>
      <c r="T71" s="57">
        <v>0</v>
      </c>
      <c r="U71" s="57"/>
      <c r="V71" s="57"/>
      <c r="W71" s="57"/>
      <c r="X71" s="58"/>
      <c r="Y71" s="58"/>
      <c r="Z71" s="59"/>
      <c r="AA71" s="59">
        <v>0</v>
      </c>
      <c r="AB71" s="55">
        <f>+Q71-SUM(R71:AA71)</f>
        <v>1166.6600000000001</v>
      </c>
      <c r="AC71" s="60">
        <f>IF(Q71&gt;2250,Q71*0.1,0)</f>
        <v>0</v>
      </c>
      <c r="AD71" s="55">
        <f t="shared" ref="AD71:AD103" si="13">+AB71-AC71</f>
        <v>1166.6600000000001</v>
      </c>
      <c r="AE71" s="61">
        <f t="shared" si="8"/>
        <v>116.66600000000001</v>
      </c>
      <c r="AF71" s="60">
        <v>10.23</v>
      </c>
      <c r="AG71" s="60">
        <f t="shared" ref="AG71:AG104" si="14">+U71</f>
        <v>0</v>
      </c>
      <c r="AH71" s="62">
        <f>+Q71+AE71+AF71+AG71</f>
        <v>1293.556</v>
      </c>
      <c r="AI71" s="137"/>
      <c r="AJ71" s="137"/>
      <c r="AK71" s="123">
        <f t="shared" si="6"/>
        <v>-1166.6600000000001</v>
      </c>
      <c r="AL71" s="129">
        <v>2928860106</v>
      </c>
      <c r="AM71" s="6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</row>
    <row r="72" spans="1:193" s="37" customFormat="1" hidden="1">
      <c r="A72" s="64" t="s">
        <v>82</v>
      </c>
      <c r="B72" s="50" t="s">
        <v>74</v>
      </c>
      <c r="C72" s="50"/>
      <c r="D72" s="50" t="s">
        <v>91</v>
      </c>
      <c r="E72" s="50" t="s">
        <v>145</v>
      </c>
      <c r="F72" s="133">
        <v>42129</v>
      </c>
      <c r="G72" s="50"/>
      <c r="H72" s="51"/>
      <c r="I72" s="52">
        <v>739.23</v>
      </c>
      <c r="J72" s="152"/>
      <c r="K72" s="68">
        <f t="shared" si="12"/>
        <v>739.23</v>
      </c>
      <c r="L72" s="52"/>
      <c r="M72" s="52"/>
      <c r="N72" s="73"/>
      <c r="O72" s="53"/>
      <c r="P72" s="54"/>
      <c r="Q72" s="55">
        <f t="shared" si="11"/>
        <v>739.23</v>
      </c>
      <c r="R72" s="56"/>
      <c r="S72" s="57"/>
      <c r="T72" s="57">
        <v>0</v>
      </c>
      <c r="U72" s="57"/>
      <c r="V72" s="57"/>
      <c r="W72" s="57"/>
      <c r="X72" s="58"/>
      <c r="Y72" s="58"/>
      <c r="Z72" s="59"/>
      <c r="AA72" s="59">
        <v>0</v>
      </c>
      <c r="AB72" s="55">
        <f t="shared" si="10"/>
        <v>739.23</v>
      </c>
      <c r="AC72" s="60">
        <f t="shared" si="7"/>
        <v>0</v>
      </c>
      <c r="AD72" s="55">
        <f t="shared" si="13"/>
        <v>739.23</v>
      </c>
      <c r="AE72" s="61">
        <f t="shared" si="8"/>
        <v>73.923000000000002</v>
      </c>
      <c r="AF72" s="60">
        <v>10.23</v>
      </c>
      <c r="AG72" s="60">
        <f t="shared" si="14"/>
        <v>0</v>
      </c>
      <c r="AH72" s="62">
        <f t="shared" ref="AH72:AH104" si="15">+Q72+AE72+AF72+AG72</f>
        <v>823.38300000000004</v>
      </c>
      <c r="AI72" s="137"/>
      <c r="AJ72" s="138"/>
      <c r="AK72" s="123">
        <f t="shared" si="6"/>
        <v>-739.23</v>
      </c>
      <c r="AL72" s="64"/>
      <c r="AM72" s="6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</row>
    <row r="73" spans="1:193" s="29" customFormat="1" hidden="1">
      <c r="A73" s="64" t="s">
        <v>81</v>
      </c>
      <c r="B73" s="64" t="s">
        <v>250</v>
      </c>
      <c r="C73" s="64"/>
      <c r="D73" s="64"/>
      <c r="E73" s="64" t="s">
        <v>69</v>
      </c>
      <c r="F73" s="134">
        <v>42472</v>
      </c>
      <c r="G73" s="64"/>
      <c r="H73" s="64"/>
      <c r="I73" s="68">
        <v>1166.26</v>
      </c>
      <c r="J73" s="151"/>
      <c r="K73" s="68">
        <f t="shared" si="12"/>
        <v>1166.26</v>
      </c>
      <c r="L73" s="68"/>
      <c r="M73" s="68"/>
      <c r="N73" s="74"/>
      <c r="O73" s="68"/>
      <c r="P73" s="54"/>
      <c r="Q73" s="55">
        <f t="shared" si="11"/>
        <v>1166.26</v>
      </c>
      <c r="R73" s="56">
        <v>250</v>
      </c>
      <c r="S73" s="103"/>
      <c r="T73" s="103"/>
      <c r="U73" s="103"/>
      <c r="V73" s="103"/>
      <c r="W73" s="103"/>
      <c r="X73" s="104"/>
      <c r="Y73" s="104"/>
      <c r="Z73" s="88"/>
      <c r="AA73" s="88">
        <v>0</v>
      </c>
      <c r="AB73" s="55">
        <f t="shared" si="10"/>
        <v>916.26</v>
      </c>
      <c r="AC73" s="60">
        <f t="shared" si="7"/>
        <v>0</v>
      </c>
      <c r="AD73" s="55">
        <f t="shared" si="13"/>
        <v>916.26</v>
      </c>
      <c r="AE73" s="61">
        <f t="shared" ref="AE73:AE103" si="16">IF(Q73&lt;2250,Q73*0.1,0)</f>
        <v>116.626</v>
      </c>
      <c r="AF73" s="60">
        <v>10.23</v>
      </c>
      <c r="AG73" s="60">
        <f t="shared" si="14"/>
        <v>0</v>
      </c>
      <c r="AH73" s="62">
        <f t="shared" si="15"/>
        <v>1293.116</v>
      </c>
      <c r="AI73" s="137"/>
      <c r="AJ73" s="138"/>
      <c r="AK73" s="123">
        <f t="shared" si="6"/>
        <v>-916.26</v>
      </c>
      <c r="AL73" s="144">
        <v>1123036669</v>
      </c>
      <c r="AM73" s="69"/>
    </row>
    <row r="74" spans="1:193" hidden="1">
      <c r="A74" s="64" t="s">
        <v>82</v>
      </c>
      <c r="B74" s="50" t="s">
        <v>194</v>
      </c>
      <c r="C74" s="50"/>
      <c r="D74" s="50" t="s">
        <v>92</v>
      </c>
      <c r="E74" s="50" t="s">
        <v>144</v>
      </c>
      <c r="F74" s="134">
        <v>42377</v>
      </c>
      <c r="G74" s="50"/>
      <c r="H74" s="51"/>
      <c r="I74" s="52">
        <v>739.23</v>
      </c>
      <c r="J74" s="152"/>
      <c r="K74" s="68">
        <f t="shared" si="12"/>
        <v>739.23</v>
      </c>
      <c r="L74" s="52"/>
      <c r="M74" s="52"/>
      <c r="N74" s="53"/>
      <c r="O74" s="53"/>
      <c r="P74" s="54"/>
      <c r="Q74" s="55">
        <f t="shared" si="11"/>
        <v>739.23</v>
      </c>
      <c r="R74" s="56"/>
      <c r="S74" s="57"/>
      <c r="T74" s="57">
        <v>0</v>
      </c>
      <c r="U74" s="57"/>
      <c r="V74" s="57"/>
      <c r="W74" s="57"/>
      <c r="X74" s="58"/>
      <c r="Y74" s="58"/>
      <c r="Z74" s="59"/>
      <c r="AA74" s="59">
        <v>0</v>
      </c>
      <c r="AB74" s="55">
        <f t="shared" si="10"/>
        <v>739.23</v>
      </c>
      <c r="AC74" s="60">
        <f t="shared" si="7"/>
        <v>0</v>
      </c>
      <c r="AD74" s="55">
        <f t="shared" si="13"/>
        <v>739.23</v>
      </c>
      <c r="AE74" s="61">
        <f t="shared" si="16"/>
        <v>73.923000000000002</v>
      </c>
      <c r="AF74" s="60">
        <v>10.23</v>
      </c>
      <c r="AG74" s="60">
        <f t="shared" si="14"/>
        <v>0</v>
      </c>
      <c r="AH74" s="62">
        <f t="shared" si="15"/>
        <v>823.38300000000004</v>
      </c>
      <c r="AI74" s="137"/>
      <c r="AJ74" s="138"/>
      <c r="AK74" s="123">
        <f t="shared" si="6"/>
        <v>-739.23</v>
      </c>
      <c r="AL74" s="64"/>
      <c r="AM74" s="6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</row>
    <row r="75" spans="1:193" hidden="1">
      <c r="A75" s="64" t="s">
        <v>82</v>
      </c>
      <c r="B75" s="64" t="s">
        <v>223</v>
      </c>
      <c r="C75" s="64"/>
      <c r="D75" s="64"/>
      <c r="E75" s="64" t="s">
        <v>144</v>
      </c>
      <c r="F75" s="134">
        <v>42422</v>
      </c>
      <c r="G75" s="64"/>
      <c r="H75" s="64"/>
      <c r="I75" s="52">
        <v>739.23</v>
      </c>
      <c r="J75" s="152"/>
      <c r="K75" s="68">
        <f t="shared" si="12"/>
        <v>739.23</v>
      </c>
      <c r="L75" s="52"/>
      <c r="M75" s="52"/>
      <c r="N75" s="53"/>
      <c r="O75" s="53"/>
      <c r="P75" s="54"/>
      <c r="Q75" s="55">
        <f t="shared" si="11"/>
        <v>739.23</v>
      </c>
      <c r="R75" s="56"/>
      <c r="S75" s="57"/>
      <c r="T75" s="57">
        <v>0</v>
      </c>
      <c r="U75" s="57"/>
      <c r="V75" s="57"/>
      <c r="W75" s="57"/>
      <c r="X75" s="58"/>
      <c r="Y75" s="58"/>
      <c r="Z75" s="59"/>
      <c r="AA75" s="59">
        <v>0</v>
      </c>
      <c r="AB75" s="55">
        <f t="shared" si="10"/>
        <v>739.23</v>
      </c>
      <c r="AC75" s="60">
        <f t="shared" si="7"/>
        <v>0</v>
      </c>
      <c r="AD75" s="55">
        <f t="shared" si="13"/>
        <v>739.23</v>
      </c>
      <c r="AE75" s="61">
        <f t="shared" si="16"/>
        <v>73.923000000000002</v>
      </c>
      <c r="AF75" s="60">
        <v>10.23</v>
      </c>
      <c r="AG75" s="60">
        <f t="shared" si="14"/>
        <v>0</v>
      </c>
      <c r="AH75" s="62">
        <f t="shared" si="15"/>
        <v>823.38300000000004</v>
      </c>
      <c r="AI75" s="137"/>
      <c r="AJ75" s="138"/>
      <c r="AK75" s="123">
        <f t="shared" si="6"/>
        <v>-739.23</v>
      </c>
      <c r="AL75" s="64"/>
      <c r="AM75" s="6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</row>
    <row r="76" spans="1:193" hidden="1">
      <c r="A76" s="64" t="s">
        <v>84</v>
      </c>
      <c r="B76" s="50" t="s">
        <v>261</v>
      </c>
      <c r="C76" s="50"/>
      <c r="D76" s="50" t="s">
        <v>121</v>
      </c>
      <c r="E76" s="50" t="s">
        <v>158</v>
      </c>
      <c r="F76" s="133">
        <v>41227</v>
      </c>
      <c r="G76" s="51"/>
      <c r="H76" s="51"/>
      <c r="I76" s="28">
        <f>+K76</f>
        <v>534.29999999999995</v>
      </c>
      <c r="J76" s="152"/>
      <c r="K76" s="68">
        <v>534.29999999999995</v>
      </c>
      <c r="L76" s="52"/>
      <c r="M76" s="52"/>
      <c r="N76" s="53"/>
      <c r="O76" s="53"/>
      <c r="P76" s="54"/>
      <c r="Q76" s="55">
        <f t="shared" si="11"/>
        <v>534.29999999999995</v>
      </c>
      <c r="R76" s="56"/>
      <c r="S76" s="57"/>
      <c r="T76" s="66">
        <v>200</v>
      </c>
      <c r="U76" s="66">
        <f>Q76*4.9%</f>
        <v>26.180699999999998</v>
      </c>
      <c r="V76" s="66">
        <f>Q76*1%</f>
        <v>5.343</v>
      </c>
      <c r="W76" s="66">
        <v>321.74</v>
      </c>
      <c r="X76" s="58"/>
      <c r="Y76" s="58"/>
      <c r="Z76" s="59"/>
      <c r="AA76" s="59">
        <v>0</v>
      </c>
      <c r="AB76" s="55">
        <f t="shared" si="10"/>
        <v>-18.963700000000017</v>
      </c>
      <c r="AC76" s="60">
        <f t="shared" si="7"/>
        <v>0</v>
      </c>
      <c r="AD76" s="55">
        <f t="shared" si="13"/>
        <v>-18.963700000000017</v>
      </c>
      <c r="AE76" s="61">
        <f t="shared" si="16"/>
        <v>53.43</v>
      </c>
      <c r="AF76" s="60">
        <v>10.23</v>
      </c>
      <c r="AG76" s="60">
        <f t="shared" si="14"/>
        <v>26.180699999999998</v>
      </c>
      <c r="AH76" s="62">
        <f t="shared" si="15"/>
        <v>624.14069999999992</v>
      </c>
      <c r="AI76" s="137"/>
      <c r="AJ76" s="137"/>
      <c r="AK76" s="123">
        <f t="shared" ref="AK76:AK104" si="17">+AI76+AJ76-AD76</f>
        <v>18.963700000000017</v>
      </c>
      <c r="AL76" s="64"/>
      <c r="AM76" s="141" t="s">
        <v>287</v>
      </c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</row>
    <row r="77" spans="1:193" hidden="1">
      <c r="A77" s="64" t="s">
        <v>68</v>
      </c>
      <c r="B77" s="50" t="s">
        <v>301</v>
      </c>
      <c r="C77" s="50"/>
      <c r="D77" s="50"/>
      <c r="E77" s="64" t="s">
        <v>70</v>
      </c>
      <c r="F77" s="133">
        <v>42522</v>
      </c>
      <c r="G77" s="51"/>
      <c r="H77" s="51"/>
      <c r="I77" s="186">
        <v>513.33000000000004</v>
      </c>
      <c r="J77" s="183">
        <v>653.33000000000004</v>
      </c>
      <c r="K77" s="182">
        <v>534.29999999999995</v>
      </c>
      <c r="L77" s="52"/>
      <c r="M77" s="52"/>
      <c r="N77" s="53"/>
      <c r="O77" s="53"/>
      <c r="P77" s="54"/>
      <c r="Q77" s="55">
        <f>+L77</f>
        <v>0</v>
      </c>
      <c r="R77" s="56"/>
      <c r="S77" s="57"/>
      <c r="T77" s="66"/>
      <c r="U77" s="66"/>
      <c r="V77" s="66"/>
      <c r="W77" s="66"/>
      <c r="X77" s="58"/>
      <c r="Y77" s="58"/>
      <c r="Z77" s="59"/>
      <c r="AA77" s="59">
        <v>0</v>
      </c>
      <c r="AB77" s="55">
        <f t="shared" ref="AB77" si="18">+Q77-SUM(R77:AA77)</f>
        <v>0</v>
      </c>
      <c r="AC77" s="60">
        <f t="shared" ref="AC77:AC104" si="19">IF(Q77&gt;2250,Q77*0.1,0)</f>
        <v>0</v>
      </c>
      <c r="AD77" s="55">
        <f t="shared" si="13"/>
        <v>0</v>
      </c>
      <c r="AE77" s="61">
        <f t="shared" si="16"/>
        <v>0</v>
      </c>
      <c r="AF77" s="60">
        <v>10.23</v>
      </c>
      <c r="AG77" s="60">
        <f t="shared" si="14"/>
        <v>0</v>
      </c>
      <c r="AH77" s="62">
        <f t="shared" si="15"/>
        <v>10.23</v>
      </c>
      <c r="AI77" s="137"/>
      <c r="AJ77" s="137"/>
      <c r="AK77" s="123"/>
      <c r="AL77" s="64"/>
      <c r="AM77" s="141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</row>
    <row r="78" spans="1:193" s="29" customFormat="1">
      <c r="A78" s="64" t="s">
        <v>68</v>
      </c>
      <c r="B78" s="64" t="s">
        <v>185</v>
      </c>
      <c r="C78" s="64" t="s">
        <v>206</v>
      </c>
      <c r="D78" s="76" t="s">
        <v>186</v>
      </c>
      <c r="E78" s="64" t="s">
        <v>70</v>
      </c>
      <c r="F78" s="133">
        <v>42396</v>
      </c>
      <c r="G78" s="64"/>
      <c r="H78" s="64"/>
      <c r="I78" s="182">
        <v>513.33000000000004</v>
      </c>
      <c r="J78" s="181">
        <v>653.33000000000004</v>
      </c>
      <c r="K78" s="182">
        <f t="shared" si="12"/>
        <v>1166.6600000000001</v>
      </c>
      <c r="L78" s="187">
        <v>2895.77</v>
      </c>
      <c r="M78" s="68"/>
      <c r="N78" s="68"/>
      <c r="O78" s="68"/>
      <c r="P78" s="54"/>
      <c r="Q78" s="55">
        <f>+L78</f>
        <v>2895.77</v>
      </c>
      <c r="R78" s="56"/>
      <c r="S78" s="57"/>
      <c r="T78" s="103"/>
      <c r="U78" s="103"/>
      <c r="V78" s="103"/>
      <c r="W78" s="103"/>
      <c r="X78" s="71"/>
      <c r="Y78" s="104"/>
      <c r="Z78" s="88"/>
      <c r="AA78" s="65"/>
      <c r="AB78" s="55">
        <f t="shared" si="10"/>
        <v>2895.77</v>
      </c>
      <c r="AC78" s="60">
        <f t="shared" si="19"/>
        <v>289.577</v>
      </c>
      <c r="AD78" s="55">
        <f t="shared" si="13"/>
        <v>2606.1930000000002</v>
      </c>
      <c r="AE78" s="61">
        <f t="shared" si="16"/>
        <v>0</v>
      </c>
      <c r="AF78" s="60">
        <v>10.23</v>
      </c>
      <c r="AG78" s="60">
        <f t="shared" si="14"/>
        <v>0</v>
      </c>
      <c r="AH78" s="62">
        <f t="shared" si="15"/>
        <v>2906</v>
      </c>
      <c r="AI78" s="137"/>
      <c r="AJ78" s="137"/>
      <c r="AK78" s="123">
        <f t="shared" si="17"/>
        <v>-2606.1930000000002</v>
      </c>
      <c r="AL78" s="64"/>
      <c r="AM78" s="69"/>
    </row>
    <row r="79" spans="1:193" hidden="1">
      <c r="A79" s="64" t="s">
        <v>84</v>
      </c>
      <c r="B79" s="50" t="s">
        <v>168</v>
      </c>
      <c r="C79" s="50"/>
      <c r="D79" s="50" t="s">
        <v>123</v>
      </c>
      <c r="E79" s="50" t="s">
        <v>153</v>
      </c>
      <c r="F79" s="133">
        <v>41732</v>
      </c>
      <c r="G79" s="51"/>
      <c r="H79" s="51"/>
      <c r="I79" s="52">
        <v>556.78</v>
      </c>
      <c r="J79" s="152"/>
      <c r="K79" s="68">
        <f t="shared" si="12"/>
        <v>556.78</v>
      </c>
      <c r="L79" s="52"/>
      <c r="M79" s="52"/>
      <c r="N79" s="53"/>
      <c r="O79" s="53"/>
      <c r="P79" s="54"/>
      <c r="Q79" s="55">
        <f t="shared" ref="Q79:Q104" si="20">SUM(K79:O79)-P79</f>
        <v>556.78</v>
      </c>
      <c r="R79" s="56"/>
      <c r="S79" s="57"/>
      <c r="T79" s="57">
        <v>0</v>
      </c>
      <c r="U79" s="66">
        <f>Q79*4.9%</f>
        <v>27.282219999999999</v>
      </c>
      <c r="V79" s="66">
        <f>Q79*1%</f>
        <v>5.5678000000000001</v>
      </c>
      <c r="W79" s="57"/>
      <c r="X79" s="58"/>
      <c r="Y79" s="58"/>
      <c r="Z79" s="59"/>
      <c r="AA79" s="59">
        <v>0</v>
      </c>
      <c r="AB79" s="55">
        <f t="shared" si="10"/>
        <v>523.92998</v>
      </c>
      <c r="AC79" s="60">
        <f t="shared" si="19"/>
        <v>0</v>
      </c>
      <c r="AD79" s="55">
        <f t="shared" si="13"/>
        <v>523.92998</v>
      </c>
      <c r="AE79" s="61">
        <f t="shared" si="16"/>
        <v>55.677999999999997</v>
      </c>
      <c r="AF79" s="60">
        <v>10.23</v>
      </c>
      <c r="AG79" s="60">
        <f t="shared" si="14"/>
        <v>27.282219999999999</v>
      </c>
      <c r="AH79" s="62">
        <f t="shared" si="15"/>
        <v>649.97022000000004</v>
      </c>
      <c r="AI79" s="137"/>
      <c r="AJ79" s="137"/>
      <c r="AK79" s="123">
        <f t="shared" si="17"/>
        <v>-523.92998</v>
      </c>
      <c r="AL79" s="64"/>
      <c r="AM79" s="64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</row>
    <row r="80" spans="1:193" hidden="1">
      <c r="A80" s="64" t="s">
        <v>68</v>
      </c>
      <c r="B80" s="50" t="s">
        <v>237</v>
      </c>
      <c r="C80" s="50"/>
      <c r="D80" s="50"/>
      <c r="E80" s="50" t="s">
        <v>70</v>
      </c>
      <c r="F80" s="134">
        <v>42443</v>
      </c>
      <c r="G80" s="51"/>
      <c r="H80" s="51"/>
      <c r="I80" s="52">
        <v>513.33000000000004</v>
      </c>
      <c r="J80" s="151">
        <v>653.33000000000004</v>
      </c>
      <c r="K80" s="68">
        <f t="shared" si="12"/>
        <v>1166.6600000000001</v>
      </c>
      <c r="L80" s="52"/>
      <c r="M80" s="52"/>
      <c r="N80" s="53"/>
      <c r="O80" s="53"/>
      <c r="P80" s="54"/>
      <c r="Q80" s="55">
        <f t="shared" si="20"/>
        <v>1166.6600000000001</v>
      </c>
      <c r="R80" s="56"/>
      <c r="S80" s="57"/>
      <c r="T80" s="57"/>
      <c r="U80" s="66"/>
      <c r="V80" s="66"/>
      <c r="W80" s="57"/>
      <c r="X80" s="58"/>
      <c r="Y80" s="58"/>
      <c r="Z80" s="59"/>
      <c r="AA80" s="65">
        <v>1155.6199999999999</v>
      </c>
      <c r="AB80" s="55">
        <f t="shared" si="10"/>
        <v>11.040000000000191</v>
      </c>
      <c r="AC80" s="60">
        <f t="shared" si="19"/>
        <v>0</v>
      </c>
      <c r="AD80" s="55">
        <f t="shared" si="13"/>
        <v>11.040000000000191</v>
      </c>
      <c r="AE80" s="61">
        <f t="shared" si="16"/>
        <v>116.66600000000001</v>
      </c>
      <c r="AF80" s="60">
        <v>10.23</v>
      </c>
      <c r="AG80" s="60">
        <f t="shared" si="14"/>
        <v>0</v>
      </c>
      <c r="AH80" s="62">
        <f t="shared" si="15"/>
        <v>1293.556</v>
      </c>
      <c r="AI80" s="137"/>
      <c r="AJ80" s="137"/>
      <c r="AK80" s="123">
        <f t="shared" si="17"/>
        <v>-11.040000000000191</v>
      </c>
      <c r="AL80" s="64">
        <v>2713019144</v>
      </c>
      <c r="AM80" s="86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</row>
    <row r="81" spans="1:193" s="29" customFormat="1" hidden="1">
      <c r="A81" s="64" t="s">
        <v>81</v>
      </c>
      <c r="B81" s="64" t="s">
        <v>201</v>
      </c>
      <c r="C81" s="64"/>
      <c r="D81" s="64" t="s">
        <v>102</v>
      </c>
      <c r="E81" s="64" t="s">
        <v>151</v>
      </c>
      <c r="F81" s="133">
        <v>42321</v>
      </c>
      <c r="G81" s="64"/>
      <c r="H81" s="64"/>
      <c r="I81" s="52">
        <v>577.38</v>
      </c>
      <c r="J81" s="150">
        <v>1047.6199999999999</v>
      </c>
      <c r="K81" s="68">
        <f t="shared" si="12"/>
        <v>1625</v>
      </c>
      <c r="L81" s="68"/>
      <c r="M81" s="68"/>
      <c r="N81" s="68"/>
      <c r="O81" s="68"/>
      <c r="P81" s="109"/>
      <c r="Q81" s="55">
        <f t="shared" si="20"/>
        <v>1625</v>
      </c>
      <c r="R81" s="56"/>
      <c r="S81" s="103"/>
      <c r="T81" s="103">
        <v>0</v>
      </c>
      <c r="U81" s="103"/>
      <c r="V81" s="103"/>
      <c r="W81" s="103"/>
      <c r="X81" s="104"/>
      <c r="Y81" s="104"/>
      <c r="Z81" s="88"/>
      <c r="AA81" s="88">
        <v>0</v>
      </c>
      <c r="AB81" s="55">
        <f t="shared" ref="AB81" si="21">+Q81-SUM(R81:AA81)</f>
        <v>1625</v>
      </c>
      <c r="AC81" s="60">
        <f t="shared" si="19"/>
        <v>0</v>
      </c>
      <c r="AD81" s="55">
        <f t="shared" si="13"/>
        <v>1625</v>
      </c>
      <c r="AE81" s="61">
        <f t="shared" si="16"/>
        <v>162.5</v>
      </c>
      <c r="AF81" s="60">
        <v>10.23</v>
      </c>
      <c r="AG81" s="60">
        <f t="shared" si="14"/>
        <v>0</v>
      </c>
      <c r="AH81" s="62">
        <f t="shared" si="15"/>
        <v>1797.73</v>
      </c>
      <c r="AI81" s="137"/>
      <c r="AJ81" s="138"/>
      <c r="AK81" s="123">
        <f t="shared" si="17"/>
        <v>-1625</v>
      </c>
      <c r="AL81" s="64"/>
      <c r="AM81" s="69"/>
    </row>
    <row r="82" spans="1:193" hidden="1">
      <c r="A82" s="64" t="s">
        <v>82</v>
      </c>
      <c r="B82" s="64" t="s">
        <v>256</v>
      </c>
      <c r="C82" s="64"/>
      <c r="D82" s="64"/>
      <c r="E82" s="64" t="s">
        <v>144</v>
      </c>
      <c r="F82" s="134">
        <v>42416</v>
      </c>
      <c r="G82" s="64"/>
      <c r="H82" s="64"/>
      <c r="I82" s="28">
        <f>+K82</f>
        <v>633.62</v>
      </c>
      <c r="J82" s="151"/>
      <c r="K82" s="68">
        <v>633.62</v>
      </c>
      <c r="L82" s="68"/>
      <c r="M82" s="68"/>
      <c r="N82" s="68"/>
      <c r="O82" s="68"/>
      <c r="P82" s="54"/>
      <c r="Q82" s="55">
        <f t="shared" si="20"/>
        <v>633.62</v>
      </c>
      <c r="R82" s="56"/>
      <c r="S82" s="57"/>
      <c r="T82" s="57">
        <v>0</v>
      </c>
      <c r="U82" s="57"/>
      <c r="V82" s="57"/>
      <c r="W82" s="57"/>
      <c r="X82" s="58"/>
      <c r="Y82" s="58"/>
      <c r="Z82" s="59"/>
      <c r="AA82" s="59">
        <v>0</v>
      </c>
      <c r="AB82" s="55">
        <f t="shared" si="10"/>
        <v>633.62</v>
      </c>
      <c r="AC82" s="60">
        <f t="shared" si="19"/>
        <v>0</v>
      </c>
      <c r="AD82" s="55">
        <f t="shared" si="13"/>
        <v>633.62</v>
      </c>
      <c r="AE82" s="61">
        <f t="shared" si="16"/>
        <v>63.362000000000002</v>
      </c>
      <c r="AF82" s="60">
        <v>10.23</v>
      </c>
      <c r="AG82" s="60">
        <f t="shared" si="14"/>
        <v>0</v>
      </c>
      <c r="AH82" s="62">
        <f t="shared" si="15"/>
        <v>707.21199999999999</v>
      </c>
      <c r="AI82" s="137"/>
      <c r="AJ82" s="138"/>
      <c r="AK82" s="123">
        <f t="shared" si="17"/>
        <v>-633.62</v>
      </c>
      <c r="AL82" s="64"/>
      <c r="AM82" s="141" t="s">
        <v>287</v>
      </c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</row>
    <row r="83" spans="1:193">
      <c r="A83" s="64" t="s">
        <v>84</v>
      </c>
      <c r="B83" s="50" t="s">
        <v>183</v>
      </c>
      <c r="C83" s="50"/>
      <c r="D83" s="50" t="s">
        <v>122</v>
      </c>
      <c r="E83" s="50" t="s">
        <v>159</v>
      </c>
      <c r="F83" s="133">
        <v>42228</v>
      </c>
      <c r="G83" s="51"/>
      <c r="H83" s="51"/>
      <c r="I83" s="180">
        <v>511.28</v>
      </c>
      <c r="J83" s="183">
        <v>988.72</v>
      </c>
      <c r="K83" s="182">
        <f t="shared" si="12"/>
        <v>1500</v>
      </c>
      <c r="L83" s="187">
        <v>988.72</v>
      </c>
      <c r="M83" s="52"/>
      <c r="N83" s="53"/>
      <c r="O83" s="53"/>
      <c r="P83" s="54"/>
      <c r="Q83" s="55">
        <f t="shared" si="20"/>
        <v>2488.7200000000003</v>
      </c>
      <c r="R83" s="56"/>
      <c r="S83" s="57"/>
      <c r="T83" s="66"/>
      <c r="U83" s="57"/>
      <c r="V83" s="57"/>
      <c r="W83" s="57"/>
      <c r="X83" s="58"/>
      <c r="Y83" s="58"/>
      <c r="Z83" s="59"/>
      <c r="AA83" s="65"/>
      <c r="AB83" s="55">
        <f t="shared" si="10"/>
        <v>2488.7200000000003</v>
      </c>
      <c r="AC83" s="60">
        <f t="shared" si="19"/>
        <v>248.87200000000004</v>
      </c>
      <c r="AD83" s="55">
        <f t="shared" si="13"/>
        <v>2239.8480000000004</v>
      </c>
      <c r="AE83" s="61">
        <f t="shared" si="16"/>
        <v>0</v>
      </c>
      <c r="AF83" s="60">
        <v>10.23</v>
      </c>
      <c r="AG83" s="60">
        <f t="shared" si="14"/>
        <v>0</v>
      </c>
      <c r="AH83" s="62">
        <f t="shared" si="15"/>
        <v>2498.9500000000003</v>
      </c>
      <c r="AI83" s="137"/>
      <c r="AJ83" s="137"/>
      <c r="AK83" s="123">
        <f t="shared" si="17"/>
        <v>-2239.8480000000004</v>
      </c>
      <c r="AL83" s="64"/>
      <c r="AM83" s="64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</row>
    <row r="84" spans="1:193" hidden="1">
      <c r="A84" s="64" t="s">
        <v>81</v>
      </c>
      <c r="B84" s="50" t="s">
        <v>197</v>
      </c>
      <c r="C84" s="50"/>
      <c r="D84" s="50" t="s">
        <v>86</v>
      </c>
      <c r="E84" s="50" t="s">
        <v>69</v>
      </c>
      <c r="F84" s="133">
        <v>42065</v>
      </c>
      <c r="G84" s="50"/>
      <c r="H84" s="50"/>
      <c r="I84" s="52">
        <v>1166.26</v>
      </c>
      <c r="J84" s="150"/>
      <c r="K84" s="68">
        <f t="shared" si="12"/>
        <v>1166.26</v>
      </c>
      <c r="L84" s="52"/>
      <c r="M84" s="52"/>
      <c r="N84" s="52"/>
      <c r="O84" s="52"/>
      <c r="P84" s="54"/>
      <c r="Q84" s="55">
        <f t="shared" si="20"/>
        <v>1166.26</v>
      </c>
      <c r="R84" s="56"/>
      <c r="S84" s="57"/>
      <c r="T84" s="57">
        <v>0</v>
      </c>
      <c r="U84" s="57"/>
      <c r="V84" s="57"/>
      <c r="W84" s="57"/>
      <c r="X84" s="58"/>
      <c r="Y84" s="58"/>
      <c r="Z84" s="59"/>
      <c r="AA84" s="59">
        <v>0</v>
      </c>
      <c r="AB84" s="55">
        <f t="shared" si="10"/>
        <v>1166.26</v>
      </c>
      <c r="AC84" s="60">
        <f t="shared" si="19"/>
        <v>0</v>
      </c>
      <c r="AD84" s="55">
        <f t="shared" si="13"/>
        <v>1166.26</v>
      </c>
      <c r="AE84" s="61">
        <f t="shared" si="16"/>
        <v>116.626</v>
      </c>
      <c r="AF84" s="60">
        <v>10.23</v>
      </c>
      <c r="AG84" s="60">
        <f t="shared" si="14"/>
        <v>0</v>
      </c>
      <c r="AH84" s="62">
        <f t="shared" si="15"/>
        <v>1293.116</v>
      </c>
      <c r="AI84" s="137"/>
      <c r="AJ84" s="138"/>
      <c r="AK84" s="123">
        <f t="shared" si="17"/>
        <v>-1166.26</v>
      </c>
      <c r="AL84" s="64"/>
      <c r="AM84" s="64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</row>
    <row r="85" spans="1:193" hidden="1">
      <c r="A85" s="64" t="s">
        <v>83</v>
      </c>
      <c r="B85" s="50" t="s">
        <v>253</v>
      </c>
      <c r="C85" s="50" t="s">
        <v>259</v>
      </c>
      <c r="D85" s="50" t="s">
        <v>103</v>
      </c>
      <c r="E85" s="50" t="s">
        <v>149</v>
      </c>
      <c r="F85" s="133">
        <v>42392</v>
      </c>
      <c r="G85" s="50"/>
      <c r="H85" s="50"/>
      <c r="I85" s="52">
        <v>1100</v>
      </c>
      <c r="J85" s="150"/>
      <c r="K85" s="68">
        <f t="shared" si="12"/>
        <v>1100</v>
      </c>
      <c r="L85" s="52"/>
      <c r="M85" s="52"/>
      <c r="N85" s="52"/>
      <c r="O85" s="52"/>
      <c r="P85" s="54"/>
      <c r="Q85" s="55">
        <f t="shared" si="20"/>
        <v>1100</v>
      </c>
      <c r="R85" s="56"/>
      <c r="S85" s="57"/>
      <c r="T85" s="57">
        <v>0</v>
      </c>
      <c r="U85" s="57"/>
      <c r="V85" s="57"/>
      <c r="W85" s="57"/>
      <c r="X85" s="58"/>
      <c r="Y85" s="58"/>
      <c r="Z85" s="59"/>
      <c r="AA85" s="59">
        <v>0</v>
      </c>
      <c r="AB85" s="55">
        <f t="shared" si="10"/>
        <v>1100</v>
      </c>
      <c r="AC85" s="60">
        <f t="shared" si="19"/>
        <v>0</v>
      </c>
      <c r="AD85" s="55">
        <f t="shared" si="13"/>
        <v>1100</v>
      </c>
      <c r="AE85" s="61">
        <f t="shared" si="16"/>
        <v>110</v>
      </c>
      <c r="AF85" s="60">
        <v>10.23</v>
      </c>
      <c r="AG85" s="60">
        <f t="shared" si="14"/>
        <v>0</v>
      </c>
      <c r="AH85" s="62">
        <f t="shared" si="15"/>
        <v>1220.23</v>
      </c>
      <c r="AI85" s="137"/>
      <c r="AJ85" s="137"/>
      <c r="AK85" s="123">
        <f t="shared" si="17"/>
        <v>-1100</v>
      </c>
      <c r="AL85" s="64"/>
      <c r="AM85" s="6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</row>
    <row r="86" spans="1:193" hidden="1">
      <c r="A86" s="64" t="s">
        <v>68</v>
      </c>
      <c r="B86" s="50" t="s">
        <v>79</v>
      </c>
      <c r="C86" s="50" t="s">
        <v>204</v>
      </c>
      <c r="D86" s="50" t="s">
        <v>139</v>
      </c>
      <c r="E86" s="50" t="s">
        <v>70</v>
      </c>
      <c r="F86" s="133">
        <v>41218</v>
      </c>
      <c r="G86" s="51"/>
      <c r="H86" s="51"/>
      <c r="I86" s="52">
        <v>513.33000000000004</v>
      </c>
      <c r="J86" s="151">
        <v>653.33000000000004</v>
      </c>
      <c r="K86" s="68">
        <f t="shared" si="12"/>
        <v>1166.6600000000001</v>
      </c>
      <c r="L86" s="52"/>
      <c r="M86" s="52"/>
      <c r="N86" s="53"/>
      <c r="O86" s="53"/>
      <c r="P86" s="54"/>
      <c r="Q86" s="55">
        <f t="shared" si="20"/>
        <v>1166.6600000000001</v>
      </c>
      <c r="R86" s="56"/>
      <c r="S86" s="57">
        <v>58.91</v>
      </c>
      <c r="T86" s="57">
        <v>0</v>
      </c>
      <c r="U86" s="57"/>
      <c r="V86" s="57"/>
      <c r="W86" s="57"/>
      <c r="X86" s="58"/>
      <c r="Y86" s="58"/>
      <c r="Z86" s="59"/>
      <c r="AA86" s="59">
        <v>0</v>
      </c>
      <c r="AB86" s="55">
        <f t="shared" si="10"/>
        <v>1107.75</v>
      </c>
      <c r="AC86" s="60">
        <f t="shared" si="19"/>
        <v>0</v>
      </c>
      <c r="AD86" s="55">
        <f t="shared" si="13"/>
        <v>1107.75</v>
      </c>
      <c r="AE86" s="61">
        <f t="shared" si="16"/>
        <v>116.66600000000001</v>
      </c>
      <c r="AF86" s="60">
        <v>10.23</v>
      </c>
      <c r="AG86" s="60">
        <f t="shared" si="14"/>
        <v>0</v>
      </c>
      <c r="AH86" s="62">
        <f t="shared" si="15"/>
        <v>1293.556</v>
      </c>
      <c r="AI86" s="137"/>
      <c r="AJ86" s="138"/>
      <c r="AK86" s="123">
        <f t="shared" si="17"/>
        <v>-1107.75</v>
      </c>
      <c r="AL86" s="64"/>
      <c r="AM86" s="64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</row>
    <row r="87" spans="1:193" s="33" customFormat="1" hidden="1">
      <c r="A87" s="64" t="s">
        <v>84</v>
      </c>
      <c r="B87" s="50" t="s">
        <v>263</v>
      </c>
      <c r="C87" s="50"/>
      <c r="D87" s="50" t="s">
        <v>124</v>
      </c>
      <c r="E87" s="50" t="s">
        <v>160</v>
      </c>
      <c r="F87" s="133">
        <v>41703</v>
      </c>
      <c r="G87" s="51"/>
      <c r="H87" s="51"/>
      <c r="I87" s="52">
        <v>556.78</v>
      </c>
      <c r="J87" s="152"/>
      <c r="K87" s="68">
        <f t="shared" si="12"/>
        <v>556.78</v>
      </c>
      <c r="L87" s="52"/>
      <c r="M87" s="52"/>
      <c r="N87" s="53"/>
      <c r="O87" s="53"/>
      <c r="P87" s="54"/>
      <c r="Q87" s="55">
        <f t="shared" si="20"/>
        <v>556.78</v>
      </c>
      <c r="R87" s="56"/>
      <c r="S87" s="57"/>
      <c r="T87" s="57">
        <v>0</v>
      </c>
      <c r="U87" s="66">
        <f>Q87*4.9%</f>
        <v>27.282219999999999</v>
      </c>
      <c r="V87" s="66">
        <f>Q87*1%</f>
        <v>5.5678000000000001</v>
      </c>
      <c r="W87" s="57"/>
      <c r="X87" s="58"/>
      <c r="Y87" s="58"/>
      <c r="Z87" s="59"/>
      <c r="AA87" s="59">
        <v>0</v>
      </c>
      <c r="AB87" s="55">
        <f t="shared" si="10"/>
        <v>523.92998</v>
      </c>
      <c r="AC87" s="60">
        <f t="shared" si="19"/>
        <v>0</v>
      </c>
      <c r="AD87" s="55">
        <f t="shared" si="13"/>
        <v>523.92998</v>
      </c>
      <c r="AE87" s="61">
        <f t="shared" si="16"/>
        <v>55.677999999999997</v>
      </c>
      <c r="AF87" s="60">
        <v>10.23</v>
      </c>
      <c r="AG87" s="60">
        <f t="shared" si="14"/>
        <v>27.282219999999999</v>
      </c>
      <c r="AH87" s="62">
        <f t="shared" si="15"/>
        <v>649.97022000000004</v>
      </c>
      <c r="AI87" s="137"/>
      <c r="AJ87" s="137"/>
      <c r="AK87" s="123">
        <f t="shared" si="17"/>
        <v>-523.92998</v>
      </c>
      <c r="AL87" s="64"/>
      <c r="AM87" s="64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</row>
    <row r="88" spans="1:193" hidden="1">
      <c r="A88" s="64" t="s">
        <v>84</v>
      </c>
      <c r="B88" s="50" t="s">
        <v>166</v>
      </c>
      <c r="C88" s="50"/>
      <c r="D88" s="50" t="s">
        <v>125</v>
      </c>
      <c r="E88" s="50" t="s">
        <v>158</v>
      </c>
      <c r="F88" s="133">
        <v>41291</v>
      </c>
      <c r="G88" s="51"/>
      <c r="H88" s="51"/>
      <c r="I88" s="52">
        <v>623.36</v>
      </c>
      <c r="J88" s="152"/>
      <c r="K88" s="68">
        <f t="shared" si="12"/>
        <v>623.36</v>
      </c>
      <c r="L88" s="52"/>
      <c r="M88" s="52"/>
      <c r="N88" s="53"/>
      <c r="O88" s="53"/>
      <c r="P88" s="54"/>
      <c r="Q88" s="55">
        <f t="shared" si="20"/>
        <v>623.36</v>
      </c>
      <c r="R88" s="56"/>
      <c r="S88" s="57"/>
      <c r="T88" s="66">
        <v>200</v>
      </c>
      <c r="U88" s="66">
        <f>Q88*4.9%</f>
        <v>30.544640000000001</v>
      </c>
      <c r="V88" s="66">
        <f>Q88*1%</f>
        <v>6.2336</v>
      </c>
      <c r="W88" s="66">
        <v>257.64</v>
      </c>
      <c r="X88" s="58"/>
      <c r="Y88" s="58"/>
      <c r="Z88" s="65">
        <v>201.24</v>
      </c>
      <c r="AA88" s="59">
        <v>0</v>
      </c>
      <c r="AB88" s="55">
        <f t="shared" si="10"/>
        <v>-72.298239999999964</v>
      </c>
      <c r="AC88" s="60">
        <f t="shared" si="19"/>
        <v>0</v>
      </c>
      <c r="AD88" s="55">
        <f t="shared" si="13"/>
        <v>-72.298239999999964</v>
      </c>
      <c r="AE88" s="61">
        <f t="shared" si="16"/>
        <v>62.336000000000006</v>
      </c>
      <c r="AF88" s="60">
        <v>10.23</v>
      </c>
      <c r="AG88" s="60">
        <f t="shared" si="14"/>
        <v>30.544640000000001</v>
      </c>
      <c r="AH88" s="62">
        <f t="shared" si="15"/>
        <v>726.47064</v>
      </c>
      <c r="AI88" s="137"/>
      <c r="AJ88" s="137"/>
      <c r="AK88" s="123">
        <f t="shared" si="17"/>
        <v>72.298239999999964</v>
      </c>
      <c r="AL88" s="64"/>
      <c r="AM88" s="6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</row>
    <row r="89" spans="1:193" hidden="1">
      <c r="A89" s="64" t="s">
        <v>68</v>
      </c>
      <c r="B89" s="64" t="s">
        <v>289</v>
      </c>
      <c r="C89" s="64"/>
      <c r="D89" s="64"/>
      <c r="E89" s="64" t="s">
        <v>70</v>
      </c>
      <c r="F89" s="134">
        <v>42520</v>
      </c>
      <c r="G89" s="64"/>
      <c r="H89" s="64"/>
      <c r="I89" s="28">
        <v>513.33000000000004</v>
      </c>
      <c r="J89" s="151"/>
      <c r="K89" s="68">
        <v>513.33000000000004</v>
      </c>
      <c r="L89" s="68"/>
      <c r="M89" s="68"/>
      <c r="N89" s="68"/>
      <c r="O89" s="68"/>
      <c r="P89" s="109"/>
      <c r="Q89" s="55">
        <f t="shared" si="20"/>
        <v>513.33000000000004</v>
      </c>
      <c r="R89" s="56"/>
      <c r="S89" s="57"/>
      <c r="T89" s="103"/>
      <c r="U89" s="103"/>
      <c r="V89" s="103"/>
      <c r="W89" s="103"/>
      <c r="X89" s="104"/>
      <c r="Y89" s="104"/>
      <c r="Z89" s="88"/>
      <c r="AA89" s="88">
        <v>0</v>
      </c>
      <c r="AB89" s="55">
        <f t="shared" ref="AB89" si="22">+Q89-SUM(R89:AA89)</f>
        <v>513.33000000000004</v>
      </c>
      <c r="AC89" s="60">
        <f t="shared" si="19"/>
        <v>0</v>
      </c>
      <c r="AD89" s="55">
        <f t="shared" si="13"/>
        <v>513.33000000000004</v>
      </c>
      <c r="AE89" s="61">
        <f t="shared" si="16"/>
        <v>51.333000000000006</v>
      </c>
      <c r="AF89" s="60">
        <v>11.23</v>
      </c>
      <c r="AG89" s="60">
        <f t="shared" si="14"/>
        <v>0</v>
      </c>
      <c r="AH89" s="62">
        <f t="shared" si="15"/>
        <v>575.89300000000003</v>
      </c>
      <c r="AI89" s="142"/>
      <c r="AJ89" s="142"/>
      <c r="AK89" s="126"/>
      <c r="AL89" s="65">
        <v>189347992</v>
      </c>
      <c r="AM89" s="143" t="s">
        <v>290</v>
      </c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</row>
    <row r="90" spans="1:193" hidden="1">
      <c r="A90" s="64" t="s">
        <v>82</v>
      </c>
      <c r="B90" s="50" t="s">
        <v>180</v>
      </c>
      <c r="C90" s="50"/>
      <c r="D90" s="50" t="s">
        <v>94</v>
      </c>
      <c r="E90" s="50" t="s">
        <v>146</v>
      </c>
      <c r="F90" s="133">
        <v>41666</v>
      </c>
      <c r="G90" s="50"/>
      <c r="H90" s="50"/>
      <c r="I90" s="52">
        <v>739.23</v>
      </c>
      <c r="J90" s="150"/>
      <c r="K90" s="68">
        <f t="shared" si="12"/>
        <v>739.23</v>
      </c>
      <c r="L90" s="52"/>
      <c r="M90" s="52"/>
      <c r="N90" s="53"/>
      <c r="O90" s="53"/>
      <c r="P90" s="54"/>
      <c r="Q90" s="55">
        <f t="shared" si="20"/>
        <v>739.23</v>
      </c>
      <c r="R90" s="56"/>
      <c r="S90" s="57"/>
      <c r="T90" s="66">
        <v>150</v>
      </c>
      <c r="U90" s="57"/>
      <c r="V90" s="57"/>
      <c r="W90" s="57"/>
      <c r="X90" s="58"/>
      <c r="Y90" s="58"/>
      <c r="Z90" s="59"/>
      <c r="AA90" s="59">
        <v>0</v>
      </c>
      <c r="AB90" s="55">
        <f t="shared" si="10"/>
        <v>589.23</v>
      </c>
      <c r="AC90" s="60">
        <f t="shared" si="19"/>
        <v>0</v>
      </c>
      <c r="AD90" s="55">
        <f t="shared" si="13"/>
        <v>589.23</v>
      </c>
      <c r="AE90" s="61">
        <f t="shared" si="16"/>
        <v>73.923000000000002</v>
      </c>
      <c r="AF90" s="60">
        <v>10.23</v>
      </c>
      <c r="AG90" s="60">
        <f t="shared" si="14"/>
        <v>0</v>
      </c>
      <c r="AH90" s="62">
        <f t="shared" si="15"/>
        <v>823.38300000000004</v>
      </c>
      <c r="AI90" s="137"/>
      <c r="AJ90" s="138"/>
      <c r="AK90" s="123">
        <f t="shared" si="17"/>
        <v>-589.23</v>
      </c>
      <c r="AL90" s="64"/>
      <c r="AM90" s="64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</row>
    <row r="91" spans="1:193" hidden="1">
      <c r="A91" s="64" t="s">
        <v>84</v>
      </c>
      <c r="B91" s="64" t="s">
        <v>275</v>
      </c>
      <c r="C91" s="64"/>
      <c r="D91" s="64"/>
      <c r="E91" s="64" t="s">
        <v>153</v>
      </c>
      <c r="F91" s="134">
        <v>42493</v>
      </c>
      <c r="G91" s="64"/>
      <c r="H91" s="64"/>
      <c r="I91" s="68">
        <v>511.28</v>
      </c>
      <c r="J91" s="151"/>
      <c r="K91" s="68">
        <f t="shared" si="12"/>
        <v>511.28</v>
      </c>
      <c r="L91" s="68"/>
      <c r="M91" s="68"/>
      <c r="N91" s="68"/>
      <c r="O91" s="68"/>
      <c r="P91" s="109"/>
      <c r="Q91" s="55">
        <f t="shared" si="20"/>
        <v>511.28</v>
      </c>
      <c r="R91" s="56"/>
      <c r="S91" s="57"/>
      <c r="T91" s="103"/>
      <c r="U91" s="103"/>
      <c r="V91" s="103"/>
      <c r="W91" s="103"/>
      <c r="X91" s="104"/>
      <c r="Y91" s="104"/>
      <c r="Z91" s="88"/>
      <c r="AA91" s="88">
        <v>0</v>
      </c>
      <c r="AB91" s="55">
        <f t="shared" si="10"/>
        <v>511.28</v>
      </c>
      <c r="AC91" s="60">
        <f t="shared" si="19"/>
        <v>0</v>
      </c>
      <c r="AD91" s="55">
        <f t="shared" si="13"/>
        <v>511.28</v>
      </c>
      <c r="AE91" s="61">
        <f t="shared" si="16"/>
        <v>51.128</v>
      </c>
      <c r="AF91" s="60">
        <v>10.23</v>
      </c>
      <c r="AG91" s="60">
        <f t="shared" si="14"/>
        <v>0</v>
      </c>
      <c r="AH91" s="62">
        <f t="shared" si="15"/>
        <v>572.63800000000003</v>
      </c>
      <c r="AI91" s="137"/>
      <c r="AJ91" s="137"/>
      <c r="AK91" s="123">
        <f t="shared" si="17"/>
        <v>-511.28</v>
      </c>
      <c r="AL91" s="64"/>
      <c r="AM91" s="6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</row>
    <row r="92" spans="1:193" hidden="1">
      <c r="A92" s="64" t="s">
        <v>83</v>
      </c>
      <c r="B92" s="50" t="s">
        <v>236</v>
      </c>
      <c r="C92" s="50"/>
      <c r="D92" s="50" t="s">
        <v>104</v>
      </c>
      <c r="E92" s="50" t="s">
        <v>151</v>
      </c>
      <c r="F92" s="133">
        <v>42333</v>
      </c>
      <c r="G92" s="51"/>
      <c r="H92" s="51"/>
      <c r="I92" s="52">
        <v>577.38</v>
      </c>
      <c r="J92" s="150">
        <v>1047.6199999999999</v>
      </c>
      <c r="K92" s="68">
        <f t="shared" si="12"/>
        <v>1625</v>
      </c>
      <c r="L92" s="80"/>
      <c r="M92" s="52"/>
      <c r="N92" s="53"/>
      <c r="O92" s="53"/>
      <c r="P92" s="54"/>
      <c r="Q92" s="55">
        <f t="shared" si="20"/>
        <v>1625</v>
      </c>
      <c r="R92" s="56"/>
      <c r="S92" s="57"/>
      <c r="T92" s="57">
        <v>0</v>
      </c>
      <c r="U92" s="57"/>
      <c r="V92" s="57"/>
      <c r="W92" s="57"/>
      <c r="X92" s="58"/>
      <c r="Y92" s="58"/>
      <c r="Z92" s="59"/>
      <c r="AA92" s="65">
        <v>351.55</v>
      </c>
      <c r="AB92" s="55">
        <f t="shared" si="10"/>
        <v>1273.45</v>
      </c>
      <c r="AC92" s="60">
        <f t="shared" si="19"/>
        <v>0</v>
      </c>
      <c r="AD92" s="55">
        <f t="shared" si="13"/>
        <v>1273.45</v>
      </c>
      <c r="AE92" s="61">
        <f t="shared" si="16"/>
        <v>162.5</v>
      </c>
      <c r="AF92" s="60">
        <v>10.23</v>
      </c>
      <c r="AG92" s="60">
        <f t="shared" si="14"/>
        <v>0</v>
      </c>
      <c r="AH92" s="62">
        <f t="shared" si="15"/>
        <v>1797.73</v>
      </c>
      <c r="AI92" s="137"/>
      <c r="AJ92" s="138"/>
      <c r="AK92" s="123">
        <f t="shared" si="17"/>
        <v>-1273.45</v>
      </c>
      <c r="AL92" s="64"/>
      <c r="AM92" s="64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</row>
    <row r="93" spans="1:193" s="29" customFormat="1">
      <c r="A93" s="64" t="s">
        <v>68</v>
      </c>
      <c r="B93" s="64" t="s">
        <v>246</v>
      </c>
      <c r="C93" s="64"/>
      <c r="D93" s="64"/>
      <c r="E93" s="64" t="s">
        <v>70</v>
      </c>
      <c r="F93" s="134">
        <v>42459</v>
      </c>
      <c r="G93" s="64"/>
      <c r="H93" s="64"/>
      <c r="I93" s="184">
        <v>513.33000000000004</v>
      </c>
      <c r="J93" s="181">
        <v>653.33000000000004</v>
      </c>
      <c r="K93" s="182">
        <f t="shared" si="12"/>
        <v>1166.6600000000001</v>
      </c>
      <c r="L93" s="187">
        <v>6578.54</v>
      </c>
      <c r="M93" s="68"/>
      <c r="N93" s="68"/>
      <c r="O93" s="68"/>
      <c r="P93" s="54"/>
      <c r="Q93" s="55">
        <f t="shared" si="20"/>
        <v>7745.2</v>
      </c>
      <c r="R93" s="56"/>
      <c r="S93" s="103"/>
      <c r="T93" s="103"/>
      <c r="U93" s="103"/>
      <c r="V93" s="103"/>
      <c r="W93" s="103"/>
      <c r="X93" s="104"/>
      <c r="Y93" s="104"/>
      <c r="Z93" s="88"/>
      <c r="AA93" s="88"/>
      <c r="AB93" s="55">
        <f t="shared" si="10"/>
        <v>7745.2</v>
      </c>
      <c r="AC93" s="60">
        <f>IF(Q93&gt;2250,Q93*0.1,0)</f>
        <v>774.52</v>
      </c>
      <c r="AD93" s="55">
        <f>+AB93-AC93</f>
        <v>6970.68</v>
      </c>
      <c r="AE93" s="61">
        <f t="shared" si="16"/>
        <v>0</v>
      </c>
      <c r="AF93" s="60">
        <v>10.23</v>
      </c>
      <c r="AG93" s="60">
        <f>+U93</f>
        <v>0</v>
      </c>
      <c r="AH93" s="62">
        <f t="shared" si="15"/>
        <v>7755.4299999999994</v>
      </c>
      <c r="AI93" s="139"/>
      <c r="AJ93" s="138"/>
      <c r="AK93" s="123">
        <f t="shared" si="17"/>
        <v>-6970.68</v>
      </c>
      <c r="AL93" s="64"/>
      <c r="AM93" s="69"/>
    </row>
    <row r="94" spans="1:193" hidden="1">
      <c r="A94" s="64" t="s">
        <v>82</v>
      </c>
      <c r="B94" s="50" t="s">
        <v>222</v>
      </c>
      <c r="C94" s="50"/>
      <c r="D94" s="50" t="s">
        <v>93</v>
      </c>
      <c r="E94" s="50" t="s">
        <v>144</v>
      </c>
      <c r="F94" s="134">
        <v>42346</v>
      </c>
      <c r="G94" s="50"/>
      <c r="H94" s="50"/>
      <c r="I94" s="28">
        <f>+K94</f>
        <v>633.62</v>
      </c>
      <c r="J94" s="150"/>
      <c r="K94" s="68">
        <v>633.62</v>
      </c>
      <c r="L94" s="52"/>
      <c r="M94" s="52"/>
      <c r="N94" s="53"/>
      <c r="O94" s="53"/>
      <c r="P94" s="54"/>
      <c r="Q94" s="55">
        <f t="shared" si="20"/>
        <v>633.62</v>
      </c>
      <c r="R94" s="56"/>
      <c r="S94" s="57"/>
      <c r="T94" s="57">
        <v>0</v>
      </c>
      <c r="U94" s="57"/>
      <c r="V94" s="57"/>
      <c r="W94" s="57"/>
      <c r="X94" s="58"/>
      <c r="Y94" s="58"/>
      <c r="Z94" s="59"/>
      <c r="AA94" s="59">
        <v>0</v>
      </c>
      <c r="AB94" s="55">
        <f t="shared" si="10"/>
        <v>633.62</v>
      </c>
      <c r="AC94" s="60">
        <f t="shared" si="19"/>
        <v>0</v>
      </c>
      <c r="AD94" s="55">
        <f t="shared" si="13"/>
        <v>633.62</v>
      </c>
      <c r="AE94" s="61">
        <f t="shared" si="16"/>
        <v>63.362000000000002</v>
      </c>
      <c r="AF94" s="60">
        <v>10.23</v>
      </c>
      <c r="AG94" s="60">
        <f t="shared" si="14"/>
        <v>0</v>
      </c>
      <c r="AH94" s="62">
        <f t="shared" si="15"/>
        <v>707.21199999999999</v>
      </c>
      <c r="AI94" s="137"/>
      <c r="AJ94" s="138"/>
      <c r="AK94" s="123">
        <f t="shared" si="17"/>
        <v>-633.62</v>
      </c>
      <c r="AL94" s="64"/>
      <c r="AM94" s="141" t="s">
        <v>287</v>
      </c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</row>
    <row r="95" spans="1:193" hidden="1">
      <c r="A95" s="64" t="s">
        <v>82</v>
      </c>
      <c r="B95" s="50" t="s">
        <v>75</v>
      </c>
      <c r="C95" s="50"/>
      <c r="D95" s="50" t="s">
        <v>95</v>
      </c>
      <c r="E95" s="50" t="s">
        <v>147</v>
      </c>
      <c r="F95" s="133">
        <v>42100</v>
      </c>
      <c r="G95" s="50"/>
      <c r="H95" s="50"/>
      <c r="I95" s="28">
        <f>+K95</f>
        <v>633.62</v>
      </c>
      <c r="J95" s="150"/>
      <c r="K95" s="68">
        <v>633.62</v>
      </c>
      <c r="L95" s="52"/>
      <c r="M95" s="52"/>
      <c r="N95" s="52"/>
      <c r="O95" s="52"/>
      <c r="P95" s="54"/>
      <c r="Q95" s="55">
        <f t="shared" si="20"/>
        <v>633.62</v>
      </c>
      <c r="R95" s="56"/>
      <c r="S95" s="57"/>
      <c r="T95" s="57">
        <v>0</v>
      </c>
      <c r="U95" s="57"/>
      <c r="V95" s="57"/>
      <c r="W95" s="57"/>
      <c r="X95" s="58"/>
      <c r="Y95" s="58"/>
      <c r="Z95" s="59"/>
      <c r="AA95" s="59">
        <v>0</v>
      </c>
      <c r="AB95" s="55">
        <f t="shared" si="10"/>
        <v>633.62</v>
      </c>
      <c r="AC95" s="60">
        <f t="shared" si="19"/>
        <v>0</v>
      </c>
      <c r="AD95" s="55">
        <f t="shared" si="13"/>
        <v>633.62</v>
      </c>
      <c r="AE95" s="61">
        <f t="shared" si="16"/>
        <v>63.362000000000002</v>
      </c>
      <c r="AF95" s="60">
        <v>10.23</v>
      </c>
      <c r="AG95" s="60">
        <f t="shared" si="14"/>
        <v>0</v>
      </c>
      <c r="AH95" s="62">
        <f t="shared" si="15"/>
        <v>707.21199999999999</v>
      </c>
      <c r="AI95" s="137"/>
      <c r="AJ95" s="138"/>
      <c r="AK95" s="123">
        <f t="shared" si="17"/>
        <v>-633.62</v>
      </c>
      <c r="AL95" s="64"/>
      <c r="AM95" s="141" t="s">
        <v>287</v>
      </c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</row>
    <row r="96" spans="1:193" hidden="1">
      <c r="A96" s="64" t="s">
        <v>81</v>
      </c>
      <c r="B96" s="64" t="s">
        <v>198</v>
      </c>
      <c r="C96" s="64"/>
      <c r="D96" s="75"/>
      <c r="E96" s="50" t="s">
        <v>199</v>
      </c>
      <c r="F96" s="133">
        <v>42328</v>
      </c>
      <c r="G96" s="51"/>
      <c r="H96" s="51"/>
      <c r="I96" s="28">
        <f>+K96</f>
        <v>999.65</v>
      </c>
      <c r="J96" s="152"/>
      <c r="K96" s="68">
        <v>999.65</v>
      </c>
      <c r="L96" s="52"/>
      <c r="M96" s="52"/>
      <c r="N96" s="53"/>
      <c r="O96" s="53"/>
      <c r="P96" s="54"/>
      <c r="Q96" s="55">
        <f t="shared" si="20"/>
        <v>999.65</v>
      </c>
      <c r="R96" s="56"/>
      <c r="S96" s="57"/>
      <c r="T96" s="57"/>
      <c r="U96" s="57"/>
      <c r="V96" s="57"/>
      <c r="W96" s="57"/>
      <c r="X96" s="58"/>
      <c r="Y96" s="58"/>
      <c r="Z96" s="59"/>
      <c r="AA96" s="59">
        <v>0</v>
      </c>
      <c r="AB96" s="55">
        <f t="shared" si="10"/>
        <v>999.65</v>
      </c>
      <c r="AC96" s="60">
        <f t="shared" si="19"/>
        <v>0</v>
      </c>
      <c r="AD96" s="55">
        <f t="shared" si="13"/>
        <v>999.65</v>
      </c>
      <c r="AE96" s="61">
        <f t="shared" si="16"/>
        <v>99.965000000000003</v>
      </c>
      <c r="AF96" s="60">
        <v>10.23</v>
      </c>
      <c r="AG96" s="60">
        <f t="shared" si="14"/>
        <v>0</v>
      </c>
      <c r="AH96" s="62">
        <f t="shared" si="15"/>
        <v>1109.845</v>
      </c>
      <c r="AI96" s="137"/>
      <c r="AJ96" s="138"/>
      <c r="AK96" s="123">
        <f t="shared" si="17"/>
        <v>-999.65</v>
      </c>
      <c r="AL96" s="64"/>
      <c r="AM96" s="141" t="s">
        <v>287</v>
      </c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</row>
    <row r="97" spans="1:193" s="29" customFormat="1">
      <c r="A97" s="64" t="s">
        <v>68</v>
      </c>
      <c r="B97" s="64" t="s">
        <v>255</v>
      </c>
      <c r="C97" s="64" t="s">
        <v>206</v>
      </c>
      <c r="D97" s="64" t="s">
        <v>140</v>
      </c>
      <c r="E97" s="64" t="s">
        <v>70</v>
      </c>
      <c r="F97" s="133">
        <v>42327</v>
      </c>
      <c r="G97" s="64"/>
      <c r="H97" s="64"/>
      <c r="I97" s="184">
        <v>513.33000000000004</v>
      </c>
      <c r="J97" s="181">
        <v>653.33000000000004</v>
      </c>
      <c r="K97" s="182">
        <f t="shared" si="12"/>
        <v>1166.6600000000001</v>
      </c>
      <c r="L97" s="187">
        <v>1513.32</v>
      </c>
      <c r="M97" s="68"/>
      <c r="N97" s="68"/>
      <c r="O97" s="68"/>
      <c r="P97" s="54"/>
      <c r="Q97" s="55">
        <f>+L97</f>
        <v>1513.32</v>
      </c>
      <c r="R97" s="56"/>
      <c r="S97" s="103"/>
      <c r="T97" s="103">
        <v>0</v>
      </c>
      <c r="U97" s="103"/>
      <c r="V97" s="103"/>
      <c r="W97" s="103"/>
      <c r="X97" s="71"/>
      <c r="Y97" s="104"/>
      <c r="Z97" s="88"/>
      <c r="AA97" s="107"/>
      <c r="AB97" s="55">
        <f t="shared" si="10"/>
        <v>1513.32</v>
      </c>
      <c r="AC97" s="60">
        <f t="shared" si="19"/>
        <v>0</v>
      </c>
      <c r="AD97" s="55">
        <f t="shared" si="13"/>
        <v>1513.32</v>
      </c>
      <c r="AE97" s="61">
        <f t="shared" si="16"/>
        <v>151.33199999999999</v>
      </c>
      <c r="AF97" s="60">
        <v>10.23</v>
      </c>
      <c r="AG97" s="60">
        <f t="shared" si="14"/>
        <v>0</v>
      </c>
      <c r="AH97" s="62">
        <f t="shared" si="15"/>
        <v>1674.8820000000001</v>
      </c>
      <c r="AI97" s="137"/>
      <c r="AJ97" s="138"/>
      <c r="AK97" s="123">
        <f t="shared" si="17"/>
        <v>-1513.32</v>
      </c>
      <c r="AL97" s="64"/>
      <c r="AM97" s="69"/>
    </row>
    <row r="98" spans="1:193" s="29" customFormat="1" hidden="1">
      <c r="A98" s="64"/>
      <c r="B98" s="64" t="s">
        <v>279</v>
      </c>
      <c r="C98" s="64" t="s">
        <v>204</v>
      </c>
      <c r="D98" s="64"/>
      <c r="E98" s="64" t="s">
        <v>70</v>
      </c>
      <c r="F98" s="134">
        <v>42506</v>
      </c>
      <c r="G98" s="64"/>
      <c r="H98" s="64"/>
      <c r="I98" s="68">
        <v>1166.6600000000001</v>
      </c>
      <c r="J98" s="151"/>
      <c r="K98" s="52">
        <f t="shared" si="12"/>
        <v>1166.6600000000001</v>
      </c>
      <c r="L98" s="68"/>
      <c r="M98" s="68"/>
      <c r="N98" s="68"/>
      <c r="O98" s="68"/>
      <c r="P98" s="109"/>
      <c r="Q98" s="55">
        <f t="shared" si="20"/>
        <v>1166.6600000000001</v>
      </c>
      <c r="R98" s="56"/>
      <c r="S98" s="103"/>
      <c r="T98" s="103"/>
      <c r="U98" s="103"/>
      <c r="V98" s="103"/>
      <c r="W98" s="103"/>
      <c r="X98" s="104"/>
      <c r="Y98" s="104"/>
      <c r="Z98" s="88"/>
      <c r="AA98" s="131">
        <v>0</v>
      </c>
      <c r="AB98" s="55">
        <f t="shared" si="10"/>
        <v>1166.6600000000001</v>
      </c>
      <c r="AC98" s="60">
        <f t="shared" si="19"/>
        <v>0</v>
      </c>
      <c r="AD98" s="55">
        <f t="shared" si="13"/>
        <v>1166.6600000000001</v>
      </c>
      <c r="AE98" s="61">
        <f t="shared" si="16"/>
        <v>116.66600000000001</v>
      </c>
      <c r="AF98" s="60">
        <v>10.23</v>
      </c>
      <c r="AG98" s="60">
        <f t="shared" si="14"/>
        <v>0</v>
      </c>
      <c r="AH98" s="62">
        <f t="shared" si="15"/>
        <v>1293.556</v>
      </c>
      <c r="AI98" s="139"/>
      <c r="AJ98" s="139"/>
      <c r="AK98" s="126">
        <f t="shared" si="17"/>
        <v>-1166.6600000000001</v>
      </c>
      <c r="AL98" s="129">
        <v>1179675078</v>
      </c>
      <c r="AM98" s="69"/>
    </row>
    <row r="99" spans="1:193" hidden="1">
      <c r="A99" s="64" t="s">
        <v>67</v>
      </c>
      <c r="B99" s="50" t="s">
        <v>224</v>
      </c>
      <c r="C99" s="50" t="s">
        <v>207</v>
      </c>
      <c r="D99" s="50" t="s">
        <v>109</v>
      </c>
      <c r="E99" s="50" t="s">
        <v>235</v>
      </c>
      <c r="F99" s="133">
        <v>42173</v>
      </c>
      <c r="G99" s="51"/>
      <c r="H99" s="51"/>
      <c r="I99" s="52">
        <v>1633.33</v>
      </c>
      <c r="J99" s="152">
        <v>1500</v>
      </c>
      <c r="K99" s="52">
        <f t="shared" si="12"/>
        <v>3133.33</v>
      </c>
      <c r="L99" s="52"/>
      <c r="M99" s="52"/>
      <c r="N99" s="53"/>
      <c r="O99" s="53"/>
      <c r="P99" s="54"/>
      <c r="Q99" s="55">
        <f t="shared" si="20"/>
        <v>3133.33</v>
      </c>
      <c r="R99" s="56"/>
      <c r="S99" s="57">
        <v>58.91</v>
      </c>
      <c r="T99" s="57">
        <v>0</v>
      </c>
      <c r="U99" s="57"/>
      <c r="V99" s="57"/>
      <c r="W99" s="57"/>
      <c r="X99" s="58"/>
      <c r="Y99" s="58"/>
      <c r="Z99" s="59"/>
      <c r="AA99" s="59">
        <v>0</v>
      </c>
      <c r="AB99" s="55">
        <f t="shared" si="10"/>
        <v>3074.42</v>
      </c>
      <c r="AC99" s="60">
        <f t="shared" si="19"/>
        <v>313.33300000000003</v>
      </c>
      <c r="AD99" s="55">
        <f t="shared" si="13"/>
        <v>2761.087</v>
      </c>
      <c r="AE99" s="61">
        <f t="shared" si="16"/>
        <v>0</v>
      </c>
      <c r="AF99" s="60">
        <v>10.23</v>
      </c>
      <c r="AG99" s="60">
        <f t="shared" si="14"/>
        <v>0</v>
      </c>
      <c r="AH99" s="62">
        <f t="shared" si="15"/>
        <v>3143.56</v>
      </c>
      <c r="AI99" s="139"/>
      <c r="AJ99" s="140"/>
      <c r="AK99" s="123">
        <f t="shared" si="17"/>
        <v>-2761.087</v>
      </c>
      <c r="AL99" s="64"/>
      <c r="AM99" s="64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</row>
    <row r="100" spans="1:193" hidden="1">
      <c r="A100" s="64" t="s">
        <v>84</v>
      </c>
      <c r="B100" s="50" t="s">
        <v>260</v>
      </c>
      <c r="C100" s="50"/>
      <c r="D100" s="50" t="s">
        <v>126</v>
      </c>
      <c r="E100" s="50" t="s">
        <v>157</v>
      </c>
      <c r="F100" s="133">
        <v>41227</v>
      </c>
      <c r="G100" s="51"/>
      <c r="H100" s="51"/>
      <c r="I100" s="52">
        <v>623.36</v>
      </c>
      <c r="J100" s="152"/>
      <c r="K100" s="52">
        <f t="shared" si="12"/>
        <v>623.36</v>
      </c>
      <c r="L100" s="52"/>
      <c r="M100" s="52"/>
      <c r="N100" s="53"/>
      <c r="O100" s="53"/>
      <c r="P100" s="54"/>
      <c r="Q100" s="55">
        <f t="shared" si="20"/>
        <v>623.36</v>
      </c>
      <c r="R100" s="56"/>
      <c r="S100" s="57"/>
      <c r="T100" s="66">
        <v>200</v>
      </c>
      <c r="U100" s="66">
        <f>Q100*4.9%</f>
        <v>30.544640000000001</v>
      </c>
      <c r="V100" s="66">
        <f>Q100*1%</f>
        <v>6.2336</v>
      </c>
      <c r="W100" s="57"/>
      <c r="X100" s="58"/>
      <c r="Y100" s="58"/>
      <c r="Z100" s="59"/>
      <c r="AA100" s="59">
        <v>0</v>
      </c>
      <c r="AB100" s="55">
        <f t="shared" si="10"/>
        <v>386.58176000000003</v>
      </c>
      <c r="AC100" s="60">
        <f t="shared" si="19"/>
        <v>0</v>
      </c>
      <c r="AD100" s="55">
        <f t="shared" si="13"/>
        <v>386.58176000000003</v>
      </c>
      <c r="AE100" s="61">
        <f t="shared" si="16"/>
        <v>62.336000000000006</v>
      </c>
      <c r="AF100" s="60">
        <v>10.23</v>
      </c>
      <c r="AG100" s="60">
        <f t="shared" si="14"/>
        <v>30.544640000000001</v>
      </c>
      <c r="AH100" s="62">
        <f t="shared" si="15"/>
        <v>726.47064</v>
      </c>
      <c r="AI100" s="137"/>
      <c r="AJ100" s="138"/>
      <c r="AK100" s="123">
        <f t="shared" si="17"/>
        <v>-386.58176000000003</v>
      </c>
      <c r="AL100" s="64"/>
      <c r="AM100" s="64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</row>
    <row r="101" spans="1:193" s="29" customFormat="1" hidden="1">
      <c r="A101" s="64" t="s">
        <v>68</v>
      </c>
      <c r="B101" s="64" t="s">
        <v>80</v>
      </c>
      <c r="C101" s="64" t="s">
        <v>209</v>
      </c>
      <c r="D101" s="64" t="s">
        <v>141</v>
      </c>
      <c r="E101" s="64" t="s">
        <v>70</v>
      </c>
      <c r="F101" s="133">
        <v>42333</v>
      </c>
      <c r="G101" s="64"/>
      <c r="H101" s="64"/>
      <c r="I101" s="68">
        <v>513.33000000000004</v>
      </c>
      <c r="J101" s="151">
        <v>653.33000000000004</v>
      </c>
      <c r="K101" s="68">
        <f t="shared" si="12"/>
        <v>1166.6600000000001</v>
      </c>
      <c r="L101" s="68"/>
      <c r="M101" s="68"/>
      <c r="N101" s="68"/>
      <c r="O101" s="68"/>
      <c r="P101" s="54"/>
      <c r="Q101" s="55">
        <f t="shared" si="20"/>
        <v>1166.6600000000001</v>
      </c>
      <c r="R101" s="56">
        <v>250</v>
      </c>
      <c r="S101" s="103"/>
      <c r="T101" s="103">
        <v>0</v>
      </c>
      <c r="U101" s="103"/>
      <c r="V101" s="103"/>
      <c r="W101" s="103"/>
      <c r="X101" s="104"/>
      <c r="Y101" s="104"/>
      <c r="Z101" s="88"/>
      <c r="AA101" s="88">
        <v>0</v>
      </c>
      <c r="AB101" s="55">
        <f t="shared" si="10"/>
        <v>916.66000000000008</v>
      </c>
      <c r="AC101" s="60">
        <f t="shared" si="19"/>
        <v>0</v>
      </c>
      <c r="AD101" s="55">
        <f t="shared" si="13"/>
        <v>916.66000000000008</v>
      </c>
      <c r="AE101" s="61">
        <f t="shared" si="16"/>
        <v>116.66600000000001</v>
      </c>
      <c r="AF101" s="60">
        <v>10.23</v>
      </c>
      <c r="AG101" s="60">
        <f t="shared" si="14"/>
        <v>0</v>
      </c>
      <c r="AH101" s="62">
        <f t="shared" si="15"/>
        <v>1293.556</v>
      </c>
      <c r="AI101" s="137"/>
      <c r="AJ101" s="140"/>
      <c r="AK101" s="123">
        <f t="shared" si="17"/>
        <v>-916.66000000000008</v>
      </c>
      <c r="AL101" s="64"/>
      <c r="AM101" s="64"/>
    </row>
    <row r="102" spans="1:193" s="29" customFormat="1" hidden="1">
      <c r="A102" s="64" t="s">
        <v>81</v>
      </c>
      <c r="B102" s="50" t="s">
        <v>76</v>
      </c>
      <c r="C102" s="50"/>
      <c r="D102" s="50" t="s">
        <v>97</v>
      </c>
      <c r="E102" s="50" t="s">
        <v>149</v>
      </c>
      <c r="F102" s="133">
        <v>42361</v>
      </c>
      <c r="G102" s="50"/>
      <c r="H102" s="50"/>
      <c r="I102" s="52">
        <v>739.23</v>
      </c>
      <c r="J102" s="150"/>
      <c r="K102" s="52">
        <f t="shared" si="12"/>
        <v>739.23</v>
      </c>
      <c r="L102" s="52"/>
      <c r="M102" s="52"/>
      <c r="N102" s="52"/>
      <c r="O102" s="52"/>
      <c r="P102" s="54"/>
      <c r="Q102" s="55">
        <f t="shared" si="20"/>
        <v>739.23</v>
      </c>
      <c r="R102" s="56"/>
      <c r="S102" s="57"/>
      <c r="T102" s="57">
        <v>0</v>
      </c>
      <c r="U102" s="57"/>
      <c r="V102" s="57"/>
      <c r="W102" s="57"/>
      <c r="X102" s="58"/>
      <c r="Y102" s="58"/>
      <c r="Z102" s="59"/>
      <c r="AA102" s="59">
        <v>0</v>
      </c>
      <c r="AB102" s="55">
        <f t="shared" si="10"/>
        <v>739.23</v>
      </c>
      <c r="AC102" s="60">
        <f t="shared" si="19"/>
        <v>0</v>
      </c>
      <c r="AD102" s="55">
        <f t="shared" si="13"/>
        <v>739.23</v>
      </c>
      <c r="AE102" s="61">
        <f t="shared" si="16"/>
        <v>73.923000000000002</v>
      </c>
      <c r="AF102" s="60">
        <v>10.23</v>
      </c>
      <c r="AG102" s="60">
        <f t="shared" si="14"/>
        <v>0</v>
      </c>
      <c r="AH102" s="62">
        <f t="shared" si="15"/>
        <v>823.38300000000004</v>
      </c>
      <c r="AI102" s="137"/>
      <c r="AJ102" s="139"/>
      <c r="AK102" s="123">
        <f t="shared" si="17"/>
        <v>-739.23</v>
      </c>
      <c r="AL102" s="64"/>
      <c r="AM102" s="64"/>
    </row>
    <row r="103" spans="1:193" hidden="1">
      <c r="A103" s="64" t="s">
        <v>82</v>
      </c>
      <c r="B103" s="50" t="s">
        <v>179</v>
      </c>
      <c r="C103" s="50"/>
      <c r="D103" s="50" t="s">
        <v>96</v>
      </c>
      <c r="E103" s="50" t="s">
        <v>147</v>
      </c>
      <c r="F103" s="133">
        <v>41549</v>
      </c>
      <c r="G103" s="50"/>
      <c r="H103" s="50"/>
      <c r="I103" s="52">
        <v>739.23</v>
      </c>
      <c r="J103" s="150"/>
      <c r="K103" s="52">
        <f t="shared" si="12"/>
        <v>739.23</v>
      </c>
      <c r="L103" s="52"/>
      <c r="M103" s="52"/>
      <c r="N103" s="52"/>
      <c r="O103" s="52"/>
      <c r="P103" s="54"/>
      <c r="Q103" s="55">
        <f t="shared" si="20"/>
        <v>739.23</v>
      </c>
      <c r="R103" s="56"/>
      <c r="S103" s="57"/>
      <c r="T103" s="103"/>
      <c r="U103" s="57"/>
      <c r="V103" s="57"/>
      <c r="W103" s="57"/>
      <c r="X103" s="58"/>
      <c r="Y103" s="58"/>
      <c r="Z103" s="59"/>
      <c r="AA103" s="59">
        <v>0</v>
      </c>
      <c r="AB103" s="55">
        <f t="shared" si="10"/>
        <v>739.23</v>
      </c>
      <c r="AC103" s="60">
        <f t="shared" si="19"/>
        <v>0</v>
      </c>
      <c r="AD103" s="55">
        <f t="shared" si="13"/>
        <v>739.23</v>
      </c>
      <c r="AE103" s="61">
        <f t="shared" si="16"/>
        <v>73.923000000000002</v>
      </c>
      <c r="AF103" s="60">
        <v>10.23</v>
      </c>
      <c r="AG103" s="60">
        <f t="shared" si="14"/>
        <v>0</v>
      </c>
      <c r="AH103" s="62">
        <f t="shared" si="15"/>
        <v>823.38300000000004</v>
      </c>
      <c r="AI103" s="137"/>
      <c r="AJ103" s="138"/>
      <c r="AK103" s="123">
        <f t="shared" si="17"/>
        <v>-739.23</v>
      </c>
      <c r="AL103" s="64"/>
      <c r="AM103" s="64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</row>
    <row r="104" spans="1:193" hidden="1">
      <c r="A104" s="69"/>
      <c r="B104" s="50"/>
      <c r="C104" s="50"/>
      <c r="D104" s="51"/>
      <c r="E104" s="50"/>
      <c r="F104" s="50"/>
      <c r="G104" s="50"/>
      <c r="H104" s="50"/>
      <c r="I104" s="52"/>
      <c r="J104" s="150"/>
      <c r="K104" s="52"/>
      <c r="L104" s="52"/>
      <c r="M104" s="52"/>
      <c r="N104" s="52"/>
      <c r="O104" s="52"/>
      <c r="P104" s="54"/>
      <c r="Q104" s="55">
        <f t="shared" si="20"/>
        <v>0</v>
      </c>
      <c r="R104" s="56"/>
      <c r="S104" s="57"/>
      <c r="T104" s="57"/>
      <c r="U104" s="57"/>
      <c r="V104" s="57"/>
      <c r="W104" s="57"/>
      <c r="X104" s="58"/>
      <c r="Y104" s="58"/>
      <c r="Z104" s="58"/>
      <c r="AA104" s="58"/>
      <c r="AB104" s="55"/>
      <c r="AC104" s="60">
        <f t="shared" si="19"/>
        <v>0</v>
      </c>
      <c r="AD104" s="55"/>
      <c r="AE104" s="61">
        <f t="shared" ref="AE104" si="23">IF(Q104&lt;3500,Q104*0.1,0)</f>
        <v>0</v>
      </c>
      <c r="AF104" s="60"/>
      <c r="AG104" s="60">
        <f t="shared" si="14"/>
        <v>0</v>
      </c>
      <c r="AH104" s="62">
        <f t="shared" si="15"/>
        <v>0</v>
      </c>
      <c r="AI104" s="68"/>
      <c r="AJ104" s="68"/>
      <c r="AK104" s="123">
        <f t="shared" si="17"/>
        <v>0</v>
      </c>
      <c r="AL104" s="64"/>
      <c r="AM104" s="64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</row>
    <row r="105" spans="1:193" s="29" customFormat="1">
      <c r="A105" s="46"/>
      <c r="B105" s="47"/>
      <c r="C105" s="47"/>
      <c r="D105" s="47"/>
      <c r="E105" s="47"/>
      <c r="F105" s="47"/>
      <c r="G105" s="47"/>
      <c r="H105" s="47"/>
      <c r="I105" s="48"/>
      <c r="J105" s="119"/>
      <c r="K105" s="48"/>
      <c r="L105" s="48"/>
      <c r="M105" s="48"/>
      <c r="N105" s="48"/>
      <c r="O105" s="48"/>
      <c r="P105" s="48"/>
      <c r="Q105" s="49"/>
      <c r="R105" s="48"/>
      <c r="S105" s="48"/>
      <c r="T105" s="48"/>
      <c r="U105" s="48"/>
      <c r="V105" s="48"/>
      <c r="W105" s="48"/>
      <c r="X105" s="78"/>
      <c r="Y105" s="78"/>
      <c r="Z105" s="78"/>
      <c r="AA105" s="78"/>
      <c r="AB105" s="49"/>
      <c r="AC105" s="78"/>
      <c r="AD105" s="49"/>
      <c r="AE105" s="78"/>
      <c r="AF105" s="78"/>
      <c r="AG105" s="78"/>
      <c r="AH105" s="49"/>
      <c r="AI105" s="99"/>
      <c r="AJ105" s="99"/>
      <c r="AK105" s="41"/>
    </row>
    <row r="106" spans="1:193">
      <c r="B106" s="79" t="s">
        <v>17</v>
      </c>
      <c r="C106" s="79"/>
      <c r="D106" s="79"/>
      <c r="E106" s="79"/>
      <c r="F106" s="79"/>
      <c r="G106" s="79"/>
      <c r="H106" s="79"/>
      <c r="I106" s="52"/>
      <c r="J106" s="120"/>
      <c r="K106" s="80">
        <f>SUM(K7:K105)</f>
        <v>96218.687333333379</v>
      </c>
      <c r="L106" s="80">
        <f>SUM(L7:L105)</f>
        <v>28169.35</v>
      </c>
      <c r="M106" s="80"/>
      <c r="N106" s="80">
        <f>SUM(N7:N105)</f>
        <v>0</v>
      </c>
      <c r="O106" s="80">
        <f>SUM(O7:O105)</f>
        <v>0</v>
      </c>
      <c r="P106" s="80">
        <f>SUM(P7:P105)</f>
        <v>0</v>
      </c>
      <c r="Q106" s="80">
        <f>+Q23+Q24+Q43+Q45+Q58+Q63+Q70+Q78+Q83+Q93+Q97</f>
        <v>30149.34</v>
      </c>
      <c r="R106" s="80">
        <f>SUM(R7:R105)</f>
        <v>1337.5</v>
      </c>
      <c r="S106" s="80"/>
      <c r="T106" s="81">
        <f t="shared" ref="T106:AK106" si="24">SUM(T7:T105)</f>
        <v>3322</v>
      </c>
      <c r="U106" s="81">
        <f t="shared" si="24"/>
        <v>537.85536000000002</v>
      </c>
      <c r="V106" s="81">
        <f t="shared" si="24"/>
        <v>95.15870000000001</v>
      </c>
      <c r="W106" s="81">
        <f t="shared" si="24"/>
        <v>879.38</v>
      </c>
      <c r="X106" s="80">
        <f t="shared" si="24"/>
        <v>575.27</v>
      </c>
      <c r="Y106" s="80">
        <f t="shared" si="24"/>
        <v>335.5</v>
      </c>
      <c r="Z106" s="80">
        <f t="shared" si="24"/>
        <v>406.94</v>
      </c>
      <c r="AA106" s="80">
        <f t="shared" si="24"/>
        <v>3682.1499999999996</v>
      </c>
      <c r="AB106" s="80">
        <f t="shared" si="24"/>
        <v>99842.673273333319</v>
      </c>
      <c r="AC106" s="80">
        <f t="shared" si="24"/>
        <v>3054.35</v>
      </c>
      <c r="AD106" s="80">
        <f t="shared" si="24"/>
        <v>96788.323273333313</v>
      </c>
      <c r="AE106" s="80">
        <f t="shared" si="24"/>
        <v>8127.6957333333339</v>
      </c>
      <c r="AF106" s="80">
        <f t="shared" si="24"/>
        <v>1059.3100000000011</v>
      </c>
      <c r="AG106" s="80">
        <f t="shared" si="24"/>
        <v>537.85536000000002</v>
      </c>
      <c r="AH106" s="80">
        <f t="shared" si="24"/>
        <v>121545.31842666662</v>
      </c>
      <c r="AI106" s="100">
        <f t="shared" si="24"/>
        <v>0</v>
      </c>
      <c r="AJ106" s="100">
        <f t="shared" si="24"/>
        <v>0</v>
      </c>
      <c r="AK106" s="82">
        <f t="shared" si="24"/>
        <v>-91512.14327333332</v>
      </c>
      <c r="AL106" s="50"/>
      <c r="AM106" s="50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</row>
    <row r="107" spans="1:193">
      <c r="AH107" s="24">
        <f>AH106*0.16</f>
        <v>19447.250948266661</v>
      </c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</row>
    <row r="108" spans="1:193" hidden="1">
      <c r="A108" s="174" t="s">
        <v>229</v>
      </c>
      <c r="B108" s="174"/>
      <c r="C108" s="155"/>
      <c r="D108" s="50"/>
      <c r="E108" s="50"/>
      <c r="F108" s="50"/>
      <c r="G108" s="50"/>
      <c r="H108" s="50"/>
      <c r="I108" s="52"/>
      <c r="J108" s="118"/>
      <c r="K108" s="52"/>
      <c r="L108" s="52"/>
      <c r="M108" s="52"/>
      <c r="N108" s="52"/>
      <c r="O108" s="52"/>
      <c r="P108" s="52"/>
      <c r="Q108" s="80"/>
      <c r="R108" s="52"/>
      <c r="S108" s="52"/>
      <c r="T108" s="68"/>
      <c r="U108" s="68"/>
      <c r="V108" s="68"/>
      <c r="W108" s="68"/>
      <c r="X108" s="52"/>
      <c r="Y108" s="52"/>
      <c r="Z108" s="52"/>
      <c r="AA108" s="52"/>
      <c r="AB108" s="80"/>
      <c r="AC108" s="52"/>
      <c r="AD108" s="80"/>
      <c r="AE108" s="52"/>
      <c r="AF108" s="52"/>
      <c r="AG108" s="52"/>
      <c r="AH108" s="80">
        <f>+AH106+AH107</f>
        <v>140992.56937493329</v>
      </c>
      <c r="AI108" s="100"/>
      <c r="AJ108" s="100"/>
      <c r="AK108" s="82"/>
      <c r="AL108" s="50"/>
      <c r="AM108" s="50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</row>
    <row r="109" spans="1:193" hidden="1">
      <c r="A109" s="64" t="s">
        <v>84</v>
      </c>
      <c r="B109" s="50" t="s">
        <v>230</v>
      </c>
      <c r="C109" s="50"/>
      <c r="D109" s="51"/>
      <c r="E109" s="50" t="s">
        <v>300</v>
      </c>
      <c r="F109" s="135">
        <v>41142</v>
      </c>
      <c r="G109" s="50"/>
      <c r="H109" s="50"/>
      <c r="I109" s="52"/>
      <c r="J109" s="118"/>
      <c r="K109" s="68"/>
      <c r="L109" s="52"/>
      <c r="M109" s="52"/>
      <c r="N109" s="52"/>
      <c r="O109" s="52"/>
      <c r="P109" s="52"/>
      <c r="Q109" s="55">
        <f>SUM(K109:P109)</f>
        <v>0</v>
      </c>
      <c r="R109" s="56"/>
      <c r="S109" s="56"/>
      <c r="T109" s="68"/>
      <c r="U109" s="66">
        <f>Q109*4.9%</f>
        <v>0</v>
      </c>
      <c r="V109" s="66">
        <f>Q109*1%</f>
        <v>0</v>
      </c>
      <c r="W109" s="68"/>
      <c r="X109" s="84"/>
      <c r="Y109" s="84"/>
      <c r="Z109" s="84"/>
      <c r="AA109" s="84"/>
      <c r="AB109" s="55">
        <f t="shared" ref="AB109:AB110" si="25">+Q109-SUM(R109:AA109)</f>
        <v>0</v>
      </c>
      <c r="AC109" s="60">
        <f>+AB109*0.05</f>
        <v>0</v>
      </c>
      <c r="AD109" s="55">
        <f>+AB109-X109-AA109</f>
        <v>0</v>
      </c>
      <c r="AE109" s="61">
        <f>IF(AB109&lt;3000,AB109*0.1,0)</f>
        <v>0</v>
      </c>
      <c r="AF109" s="60">
        <v>0</v>
      </c>
      <c r="AG109" s="60"/>
      <c r="AH109" s="55">
        <f>+AB109+AE109+AF109</f>
        <v>0</v>
      </c>
      <c r="AI109" s="101"/>
      <c r="AJ109" s="101"/>
      <c r="AK109" s="85"/>
      <c r="AL109" s="50"/>
      <c r="AM109" s="6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</row>
    <row r="110" spans="1:193" hidden="1">
      <c r="A110" s="64" t="s">
        <v>84</v>
      </c>
      <c r="B110" s="51" t="s">
        <v>249</v>
      </c>
      <c r="C110" s="51"/>
      <c r="D110" s="51"/>
      <c r="E110" s="51"/>
      <c r="F110" s="136">
        <v>40824</v>
      </c>
      <c r="G110" s="51"/>
      <c r="H110" s="51"/>
      <c r="I110" s="53"/>
      <c r="J110" s="115"/>
      <c r="K110" s="68"/>
      <c r="L110" s="68"/>
      <c r="M110" s="53"/>
      <c r="N110" s="53"/>
      <c r="O110" s="53"/>
      <c r="P110" s="53"/>
      <c r="Q110" s="55">
        <f>SUM(K110:P110)</f>
        <v>0</v>
      </c>
      <c r="R110" s="56"/>
      <c r="S110" s="56"/>
      <c r="T110" s="68"/>
      <c r="U110" s="68"/>
      <c r="V110" s="68"/>
      <c r="W110" s="68"/>
      <c r="X110" s="84"/>
      <c r="Y110" s="84"/>
      <c r="Z110" s="71">
        <v>364.96</v>
      </c>
      <c r="AA110" s="84"/>
      <c r="AB110" s="55">
        <f t="shared" si="25"/>
        <v>-364.96</v>
      </c>
      <c r="AC110" s="60">
        <f>+AB110*0.05</f>
        <v>-18.248000000000001</v>
      </c>
      <c r="AD110" s="55">
        <f>+AB110-X110-AA110</f>
        <v>-364.96</v>
      </c>
      <c r="AE110" s="61">
        <f>IF(AB110&lt;3000,AB110*0.1,0)</f>
        <v>-36.496000000000002</v>
      </c>
      <c r="AF110" s="60">
        <v>0</v>
      </c>
      <c r="AG110" s="60"/>
      <c r="AH110" s="55">
        <f>+AB110+AE110+AF110</f>
        <v>-401.45599999999996</v>
      </c>
      <c r="AI110" s="101"/>
      <c r="AJ110" s="101"/>
      <c r="AK110" s="85"/>
      <c r="AL110" s="50"/>
      <c r="AM110" s="141" t="s">
        <v>287</v>
      </c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</row>
    <row r="111" spans="1:193" hidden="1">
      <c r="AH111" s="24">
        <f>SUM(AH109:AH110)</f>
        <v>-401.45599999999996</v>
      </c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</row>
    <row r="112" spans="1:193" hidden="1">
      <c r="B112" s="32"/>
      <c r="C112" s="32"/>
      <c r="D112" s="32"/>
      <c r="AH112" s="24">
        <f>+AH111*0.16</f>
        <v>-64.232959999999991</v>
      </c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</row>
    <row r="113" spans="1:193" hidden="1">
      <c r="A113" s="172" t="s">
        <v>248</v>
      </c>
      <c r="B113" s="172"/>
      <c r="C113" s="32"/>
      <c r="D113" s="32"/>
      <c r="AH113" s="24">
        <f>+AH111+AH112</f>
        <v>-465.68895999999995</v>
      </c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</row>
    <row r="114" spans="1:193" s="29" customFormat="1" hidden="1">
      <c r="A114" s="64" t="s">
        <v>68</v>
      </c>
      <c r="B114" s="64" t="s">
        <v>205</v>
      </c>
      <c r="C114" s="64" t="s">
        <v>204</v>
      </c>
      <c r="D114" s="76"/>
      <c r="E114" s="64" t="s">
        <v>70</v>
      </c>
      <c r="F114" s="67">
        <v>42240</v>
      </c>
      <c r="G114" s="64"/>
      <c r="H114" s="64"/>
      <c r="I114" s="68"/>
      <c r="J114" s="116"/>
      <c r="K114" s="68">
        <f t="shared" ref="K114" si="26">+I114+J114</f>
        <v>0</v>
      </c>
      <c r="L114" s="68"/>
      <c r="M114" s="68"/>
      <c r="N114" s="68"/>
      <c r="O114" s="68"/>
      <c r="P114" s="109"/>
      <c r="Q114" s="122">
        <f t="shared" ref="Q114" si="27">SUM(K114:O114)-P114</f>
        <v>0</v>
      </c>
      <c r="R114" s="68"/>
      <c r="S114" s="68">
        <v>58.91</v>
      </c>
      <c r="T114" s="68"/>
      <c r="U114" s="68"/>
      <c r="V114" s="68"/>
      <c r="W114" s="68"/>
      <c r="X114" s="60"/>
      <c r="Y114" s="60"/>
      <c r="Z114" s="64"/>
      <c r="AA114" s="64">
        <v>0</v>
      </c>
      <c r="AB114" s="122">
        <f t="shared" ref="AB114" si="28">+Q114-SUM(R114:AA114)</f>
        <v>-58.91</v>
      </c>
      <c r="AC114" s="60">
        <f t="shared" ref="AC114" si="29">IF(Q114&gt;2250,Q114*0.1,0)</f>
        <v>0</v>
      </c>
      <c r="AD114" s="122">
        <f>+AB114-AC114</f>
        <v>-58.91</v>
      </c>
      <c r="AE114" s="60">
        <f>IF(Q114&lt;3500,Q114*0.1,0)</f>
        <v>0</v>
      </c>
      <c r="AF114" s="60">
        <v>10.23</v>
      </c>
      <c r="AG114" s="60">
        <f t="shared" ref="AG114" si="30">+U114</f>
        <v>0</v>
      </c>
      <c r="AH114" s="122">
        <f t="shared" ref="AH114" si="31">+Q114+AE114+AF114+AG114</f>
        <v>10.23</v>
      </c>
      <c r="AI114" s="102"/>
      <c r="AJ114" s="105"/>
      <c r="AK114" s="63">
        <f t="shared" ref="AK114" si="32">+AI114+AJ114-AD114</f>
        <v>58.91</v>
      </c>
      <c r="AL114" s="64"/>
      <c r="AM114" s="108" t="s">
        <v>247</v>
      </c>
    </row>
    <row r="115" spans="1:193" hidden="1"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</row>
    <row r="116" spans="1:193" hidden="1"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</row>
    <row r="117" spans="1:193" hidden="1"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</row>
    <row r="118" spans="1:193" hidden="1"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</row>
    <row r="119" spans="1:193" hidden="1"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</row>
    <row r="120" spans="1:193" hidden="1"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</row>
    <row r="121" spans="1:193" hidden="1">
      <c r="A121" s="31" t="s">
        <v>54</v>
      </c>
      <c r="B121" s="23"/>
      <c r="C121" s="23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</row>
    <row r="122" spans="1:193" hidden="1">
      <c r="A122" s="31" t="s">
        <v>55</v>
      </c>
      <c r="B122" s="23"/>
      <c r="C122" s="23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</row>
    <row r="123" spans="1:193" hidden="1">
      <c r="A123" s="31" t="s">
        <v>56</v>
      </c>
      <c r="B123" s="23"/>
      <c r="C123" s="23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</row>
    <row r="124" spans="1:193" hidden="1">
      <c r="A124" s="31" t="s">
        <v>57</v>
      </c>
      <c r="B124" s="23"/>
      <c r="C124" s="23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</row>
    <row r="125" spans="1:193" hidden="1">
      <c r="A125" s="31" t="s">
        <v>58</v>
      </c>
      <c r="B125" s="23"/>
      <c r="C125" s="23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</row>
    <row r="126" spans="1:193" hidden="1">
      <c r="A126" s="31" t="s">
        <v>59</v>
      </c>
      <c r="B126" s="23"/>
      <c r="C126" s="23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</row>
    <row r="127" spans="1:193" hidden="1"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</row>
    <row r="128" spans="1:193" hidden="1"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</row>
    <row r="129" spans="2:3" hidden="1"/>
    <row r="130" spans="2:3" hidden="1">
      <c r="B130" s="27"/>
      <c r="C130" s="36"/>
    </row>
    <row r="131" spans="2:3">
      <c r="B131" s="27"/>
      <c r="C131" s="36"/>
    </row>
    <row r="132" spans="2:3">
      <c r="B132" s="27"/>
      <c r="C132" s="36"/>
    </row>
  </sheetData>
  <sheetProtection selectLockedCells="1" selectUnlockedCells="1"/>
  <autoFilter ref="A5:AM104">
    <filterColumn colId="11">
      <customFilters>
        <customFilter operator="notEqual" val=" "/>
      </customFilters>
    </filterColumn>
    <filterColumn colId="34" showButton="0"/>
    <sortState ref="A8:AN94">
      <sortCondition ref="B5:B94"/>
    </sortState>
  </autoFilter>
  <mergeCells count="37">
    <mergeCell ref="A113:B113"/>
    <mergeCell ref="AH5:AH6"/>
    <mergeCell ref="AI5:AJ5"/>
    <mergeCell ref="AK5:AK6"/>
    <mergeCell ref="AL5:AL6"/>
    <mergeCell ref="AM5:AM6"/>
    <mergeCell ref="A108:B108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132"/>
  <sheetViews>
    <sheetView workbookViewId="0">
      <pane xSplit="2" ySplit="6" topLeftCell="C61" activePane="bottomRight" state="frozen"/>
      <selection pane="topRight" activeCell="C1" sqref="C1"/>
      <selection pane="bottomLeft" activeCell="A7" sqref="A7"/>
      <selection pane="bottomRight" activeCell="C83" sqref="C83"/>
    </sheetView>
  </sheetViews>
  <sheetFormatPr baseColWidth="10" defaultColWidth="11.5703125" defaultRowHeight="15"/>
  <cols>
    <col min="1" max="1" width="28.7109375" style="31" customWidth="1"/>
    <col min="2" max="2" width="39.140625" style="31" customWidth="1"/>
    <col min="3" max="3" width="8.140625" style="31" customWidth="1"/>
    <col min="4" max="4" width="8.85546875" style="31" customWidth="1"/>
    <col min="5" max="5" width="31.5703125" style="31" customWidth="1"/>
    <col min="6" max="6" width="20.140625" style="31" customWidth="1"/>
    <col min="7" max="7" width="13" style="31" customWidth="1"/>
    <col min="8" max="8" width="11.7109375" style="31" customWidth="1"/>
    <col min="9" max="9" width="17.140625" style="23" customWidth="1"/>
    <col min="10" max="10" width="11.7109375" style="12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98" hidden="1" customWidth="1"/>
    <col min="36" max="36" width="12.7109375" style="98" hidden="1" customWidth="1"/>
    <col min="37" max="37" width="11.5703125" style="4" hidden="1" customWidth="1"/>
    <col min="38" max="38" width="58.7109375" style="31" bestFit="1" customWidth="1"/>
    <col min="39" max="39" width="101.7109375" style="31" bestFit="1" customWidth="1"/>
    <col min="40" max="53" width="11.5703125" style="29"/>
    <col min="54" max="16384" width="11.5703125" style="31"/>
  </cols>
  <sheetData>
    <row r="1" spans="1:193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10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97"/>
      <c r="AJ1" s="97"/>
      <c r="AK1" s="4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11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97"/>
      <c r="AJ2" s="97"/>
      <c r="AK2" s="4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285</v>
      </c>
      <c r="B3" s="20"/>
      <c r="C3" s="20"/>
      <c r="D3" s="20"/>
      <c r="E3" s="21"/>
      <c r="F3" s="21"/>
      <c r="G3" s="21"/>
      <c r="H3" s="21"/>
      <c r="I3" s="14"/>
      <c r="J3" s="112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97"/>
      <c r="AJ3" s="97"/>
      <c r="AK3" s="4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286</v>
      </c>
      <c r="I4" s="23"/>
      <c r="J4" s="11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98"/>
      <c r="AJ4" s="98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162" t="s">
        <v>36</v>
      </c>
      <c r="B5" s="164" t="s">
        <v>37</v>
      </c>
      <c r="C5" s="162" t="s">
        <v>207</v>
      </c>
      <c r="D5" s="164" t="s">
        <v>38</v>
      </c>
      <c r="E5" s="164" t="s">
        <v>0</v>
      </c>
      <c r="F5" s="162" t="s">
        <v>203</v>
      </c>
      <c r="G5" s="166" t="s">
        <v>64</v>
      </c>
      <c r="H5" s="166" t="s">
        <v>62</v>
      </c>
      <c r="I5" s="168" t="s">
        <v>63</v>
      </c>
      <c r="J5" s="160" t="s">
        <v>65</v>
      </c>
      <c r="K5" s="166" t="s">
        <v>272</v>
      </c>
      <c r="L5" s="160" t="s">
        <v>72</v>
      </c>
      <c r="M5" s="39"/>
      <c r="N5" s="166" t="s">
        <v>32</v>
      </c>
      <c r="O5" s="166" t="s">
        <v>33</v>
      </c>
      <c r="P5" s="166" t="s">
        <v>60</v>
      </c>
      <c r="Q5" s="166" t="s">
        <v>34</v>
      </c>
      <c r="R5" s="166" t="s">
        <v>35</v>
      </c>
      <c r="S5" s="38"/>
      <c r="T5" s="170" t="s">
        <v>161</v>
      </c>
      <c r="U5" s="170" t="s">
        <v>182</v>
      </c>
      <c r="V5" s="170" t="s">
        <v>181</v>
      </c>
      <c r="W5" s="170" t="s">
        <v>162</v>
      </c>
      <c r="X5" s="166" t="s">
        <v>28</v>
      </c>
      <c r="Y5" s="166" t="s">
        <v>53</v>
      </c>
      <c r="Z5" s="166" t="s">
        <v>52</v>
      </c>
      <c r="AA5" s="166" t="s">
        <v>30</v>
      </c>
      <c r="AB5" s="166" t="s">
        <v>61</v>
      </c>
      <c r="AC5" s="166" t="s">
        <v>25</v>
      </c>
      <c r="AD5" s="166" t="s">
        <v>29</v>
      </c>
      <c r="AE5" s="166" t="s">
        <v>24</v>
      </c>
      <c r="AF5" s="166" t="s">
        <v>26</v>
      </c>
      <c r="AG5" s="42"/>
      <c r="AH5" s="166" t="s">
        <v>27</v>
      </c>
      <c r="AI5" s="175" t="s">
        <v>245</v>
      </c>
      <c r="AJ5" s="176"/>
      <c r="AK5" s="177" t="s">
        <v>164</v>
      </c>
      <c r="AL5" s="173" t="s">
        <v>211</v>
      </c>
      <c r="AM5" s="173" t="s">
        <v>212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35" customFormat="1" ht="39" customHeight="1">
      <c r="A6" s="163"/>
      <c r="B6" s="165"/>
      <c r="C6" s="163"/>
      <c r="D6" s="165"/>
      <c r="E6" s="165"/>
      <c r="F6" s="163"/>
      <c r="G6" s="167"/>
      <c r="H6" s="167"/>
      <c r="I6" s="169"/>
      <c r="J6" s="161"/>
      <c r="K6" s="167"/>
      <c r="L6" s="161"/>
      <c r="M6" s="43" t="s">
        <v>227</v>
      </c>
      <c r="N6" s="167"/>
      <c r="O6" s="167"/>
      <c r="P6" s="167"/>
      <c r="Q6" s="167"/>
      <c r="R6" s="167"/>
      <c r="S6" s="44" t="s">
        <v>225</v>
      </c>
      <c r="T6" s="171"/>
      <c r="U6" s="171"/>
      <c r="V6" s="171"/>
      <c r="W6" s="171"/>
      <c r="X6" s="167"/>
      <c r="Y6" s="167"/>
      <c r="Z6" s="167"/>
      <c r="AA6" s="167"/>
      <c r="AB6" s="167"/>
      <c r="AC6" s="167"/>
      <c r="AD6" s="167"/>
      <c r="AE6" s="167"/>
      <c r="AF6" s="167"/>
      <c r="AG6" s="38"/>
      <c r="AH6" s="167"/>
      <c r="AI6" s="96" t="s">
        <v>63</v>
      </c>
      <c r="AJ6" s="96" t="s">
        <v>65</v>
      </c>
      <c r="AK6" s="177"/>
      <c r="AL6" s="173"/>
      <c r="AM6" s="173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193" s="30" customFormat="1">
      <c r="A7" s="64" t="s">
        <v>81</v>
      </c>
      <c r="B7" s="50" t="s">
        <v>196</v>
      </c>
      <c r="C7" s="50"/>
      <c r="D7" s="50" t="s">
        <v>85</v>
      </c>
      <c r="E7" s="50" t="s">
        <v>69</v>
      </c>
      <c r="F7" s="133">
        <v>42062</v>
      </c>
      <c r="G7" s="51"/>
      <c r="H7" s="51"/>
      <c r="I7" s="52">
        <v>1166.26</v>
      </c>
      <c r="J7" s="114"/>
      <c r="K7" s="52">
        <f t="shared" ref="K7:K41" si="0">+I7+J7</f>
        <v>1166.26</v>
      </c>
      <c r="L7" s="52">
        <v>1130.9000000000001</v>
      </c>
      <c r="M7" s="52"/>
      <c r="N7" s="53"/>
      <c r="O7" s="53"/>
      <c r="P7" s="54"/>
      <c r="Q7" s="55">
        <f t="shared" ref="Q7:Q44" si="1">SUM(K7:O7)-P7</f>
        <v>2297.16</v>
      </c>
      <c r="R7" s="56"/>
      <c r="S7" s="103"/>
      <c r="T7" s="57">
        <v>0</v>
      </c>
      <c r="U7" s="57"/>
      <c r="V7" s="57"/>
      <c r="W7" s="57"/>
      <c r="X7" s="58"/>
      <c r="Y7" s="58"/>
      <c r="Z7" s="59"/>
      <c r="AA7" s="59">
        <v>0</v>
      </c>
      <c r="AB7" s="55">
        <f t="shared" ref="AB7:AB33" si="2">+Q7-SUM(R7:AA7)</f>
        <v>2297.16</v>
      </c>
      <c r="AC7" s="60">
        <f>IF(Q7&gt;2250,Q7*0.1,0)</f>
        <v>229.71600000000001</v>
      </c>
      <c r="AD7" s="55">
        <f t="shared" ref="AD7:AD33" si="3">+AB7-AC7</f>
        <v>2067.444</v>
      </c>
      <c r="AE7" s="61">
        <f>IF(Q7&lt;2250,Q7*0.1,0)</f>
        <v>0</v>
      </c>
      <c r="AF7" s="60">
        <v>10.23</v>
      </c>
      <c r="AG7" s="60">
        <f t="shared" ref="AG7:AG33" si="4">+U7</f>
        <v>0</v>
      </c>
      <c r="AH7" s="62">
        <f t="shared" ref="AH7:AH33" si="5">+Q7+AE7+AF7+AG7</f>
        <v>2307.39</v>
      </c>
      <c r="AI7" s="137"/>
      <c r="AJ7" s="138"/>
      <c r="AK7" s="123">
        <f t="shared" ref="AK7:AK75" si="6">+AI7+AJ7-AD7</f>
        <v>-2067.444</v>
      </c>
      <c r="AL7" s="64"/>
      <c r="AM7" s="64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spans="1:193">
      <c r="A8" s="64" t="s">
        <v>68</v>
      </c>
      <c r="B8" s="50" t="s">
        <v>187</v>
      </c>
      <c r="C8" s="50" t="s">
        <v>207</v>
      </c>
      <c r="D8" s="50" t="s">
        <v>127</v>
      </c>
      <c r="E8" s="50" t="s">
        <v>71</v>
      </c>
      <c r="F8" s="133">
        <v>41797</v>
      </c>
      <c r="G8" s="51"/>
      <c r="H8" s="51"/>
      <c r="I8" s="52">
        <v>1633.33</v>
      </c>
      <c r="J8" s="115"/>
      <c r="K8" s="52">
        <f t="shared" si="0"/>
        <v>1633.33</v>
      </c>
      <c r="L8" s="52">
        <v>0</v>
      </c>
      <c r="M8" s="52"/>
      <c r="N8" s="53"/>
      <c r="O8" s="53"/>
      <c r="P8" s="54"/>
      <c r="Q8" s="55">
        <f t="shared" si="1"/>
        <v>1633.33</v>
      </c>
      <c r="R8" s="56"/>
      <c r="S8" s="125">
        <v>334.75</v>
      </c>
      <c r="T8" s="57">
        <v>0</v>
      </c>
      <c r="U8" s="57"/>
      <c r="V8" s="57"/>
      <c r="W8" s="57"/>
      <c r="X8" s="58"/>
      <c r="Y8" s="58"/>
      <c r="Z8" s="59"/>
      <c r="AA8" s="59">
        <v>0</v>
      </c>
      <c r="AB8" s="55">
        <f t="shared" si="2"/>
        <v>1298.58</v>
      </c>
      <c r="AC8" s="60">
        <f t="shared" ref="AC8:AC76" si="7">IF(Q8&gt;2250,Q8*0.1,0)</f>
        <v>0</v>
      </c>
      <c r="AD8" s="55">
        <f t="shared" si="3"/>
        <v>1298.58</v>
      </c>
      <c r="AE8" s="61">
        <f t="shared" ref="AE8:AE72" si="8">IF(Q8&lt;2250,Q8*0.1,0)</f>
        <v>163.333</v>
      </c>
      <c r="AF8" s="60">
        <v>10.23</v>
      </c>
      <c r="AG8" s="60">
        <f t="shared" si="4"/>
        <v>0</v>
      </c>
      <c r="AH8" s="62">
        <f t="shared" si="5"/>
        <v>1806.893</v>
      </c>
      <c r="AI8" s="137"/>
      <c r="AJ8" s="138"/>
      <c r="AK8" s="123">
        <f t="shared" si="6"/>
        <v>-1298.58</v>
      </c>
      <c r="AL8" s="64"/>
      <c r="AM8" s="64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</row>
    <row r="9" spans="1:193">
      <c r="A9" s="64" t="s">
        <v>84</v>
      </c>
      <c r="B9" s="50" t="s">
        <v>169</v>
      </c>
      <c r="C9" s="50"/>
      <c r="D9" s="50" t="s">
        <v>110</v>
      </c>
      <c r="E9" s="50" t="s">
        <v>158</v>
      </c>
      <c r="F9" s="133">
        <v>41381</v>
      </c>
      <c r="G9" s="51"/>
      <c r="H9" s="51"/>
      <c r="I9" s="52">
        <v>623.36</v>
      </c>
      <c r="J9" s="115"/>
      <c r="K9" s="52">
        <f t="shared" si="0"/>
        <v>623.36</v>
      </c>
      <c r="L9" s="52">
        <f>4408.98+2.6</f>
        <v>4411.58</v>
      </c>
      <c r="M9" s="52"/>
      <c r="N9" s="53"/>
      <c r="O9" s="53"/>
      <c r="P9" s="54"/>
      <c r="Q9" s="55">
        <f t="shared" si="1"/>
        <v>5034.9399999999996</v>
      </c>
      <c r="R9" s="56"/>
      <c r="S9" s="57"/>
      <c r="T9" s="57"/>
      <c r="U9" s="66">
        <f>Q9*4.9%</f>
        <v>246.71205999999998</v>
      </c>
      <c r="V9" s="66">
        <f>Q9*1%</f>
        <v>50.349399999999996</v>
      </c>
      <c r="W9" s="57"/>
      <c r="X9" s="58"/>
      <c r="Y9" s="58"/>
      <c r="Z9" s="59"/>
      <c r="AA9" s="59">
        <v>0</v>
      </c>
      <c r="AB9" s="55">
        <f t="shared" si="2"/>
        <v>4737.8785399999997</v>
      </c>
      <c r="AC9" s="60">
        <f t="shared" si="7"/>
        <v>503.49399999999997</v>
      </c>
      <c r="AD9" s="55">
        <f t="shared" si="3"/>
        <v>4234.38454</v>
      </c>
      <c r="AE9" s="61">
        <f t="shared" si="8"/>
        <v>0</v>
      </c>
      <c r="AF9" s="60">
        <v>10.23</v>
      </c>
      <c r="AG9" s="60">
        <f t="shared" si="4"/>
        <v>246.71205999999998</v>
      </c>
      <c r="AH9" s="62">
        <f t="shared" si="5"/>
        <v>5291.882059999999</v>
      </c>
      <c r="AI9" s="137"/>
      <c r="AJ9" s="138"/>
      <c r="AK9" s="123">
        <f t="shared" si="6"/>
        <v>-4234.38454</v>
      </c>
      <c r="AL9" s="64"/>
      <c r="AM9" s="64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</row>
    <row r="10" spans="1:193">
      <c r="A10" s="64" t="s">
        <v>82</v>
      </c>
      <c r="B10" s="50" t="s">
        <v>174</v>
      </c>
      <c r="C10" s="50"/>
      <c r="D10" s="50" t="s">
        <v>175</v>
      </c>
      <c r="E10" s="50" t="s">
        <v>148</v>
      </c>
      <c r="F10" s="133">
        <v>42395</v>
      </c>
      <c r="G10" s="51"/>
      <c r="H10" s="51"/>
      <c r="I10" s="28">
        <f>+K10</f>
        <v>633.62</v>
      </c>
      <c r="J10" s="115"/>
      <c r="K10" s="68">
        <v>633.62</v>
      </c>
      <c r="L10" s="52">
        <f>901.66+3.714</f>
        <v>905.37400000000002</v>
      </c>
      <c r="M10" s="52"/>
      <c r="N10" s="53"/>
      <c r="O10" s="53"/>
      <c r="P10" s="54"/>
      <c r="Q10" s="55">
        <f t="shared" si="1"/>
        <v>1538.9940000000001</v>
      </c>
      <c r="R10" s="56"/>
      <c r="S10" s="57"/>
      <c r="T10" s="57"/>
      <c r="U10" s="57"/>
      <c r="V10" s="57"/>
      <c r="W10" s="57"/>
      <c r="X10" s="58"/>
      <c r="Y10" s="58"/>
      <c r="Z10" s="59"/>
      <c r="AA10" s="59"/>
      <c r="AB10" s="55">
        <f t="shared" si="2"/>
        <v>1538.9940000000001</v>
      </c>
      <c r="AC10" s="60">
        <f t="shared" si="7"/>
        <v>0</v>
      </c>
      <c r="AD10" s="55">
        <f t="shared" si="3"/>
        <v>1538.9940000000001</v>
      </c>
      <c r="AE10" s="61">
        <f t="shared" si="8"/>
        <v>153.89940000000001</v>
      </c>
      <c r="AF10" s="60">
        <v>10.23</v>
      </c>
      <c r="AG10" s="60">
        <f t="shared" si="4"/>
        <v>0</v>
      </c>
      <c r="AH10" s="62">
        <f t="shared" si="5"/>
        <v>1703.1234000000002</v>
      </c>
      <c r="AI10" s="137"/>
      <c r="AJ10" s="137"/>
      <c r="AK10" s="123">
        <f t="shared" si="6"/>
        <v>-1538.9940000000001</v>
      </c>
      <c r="AL10" s="64"/>
      <c r="AM10" s="141" t="s">
        <v>287</v>
      </c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</row>
    <row r="11" spans="1:193">
      <c r="A11" s="64" t="s">
        <v>68</v>
      </c>
      <c r="B11" s="50" t="s">
        <v>78</v>
      </c>
      <c r="C11" s="50" t="s">
        <v>207</v>
      </c>
      <c r="D11" s="50">
        <v>16</v>
      </c>
      <c r="E11" s="50" t="s">
        <v>71</v>
      </c>
      <c r="F11" s="133">
        <v>39508</v>
      </c>
      <c r="G11" s="51"/>
      <c r="H11" s="51"/>
      <c r="I11" s="52">
        <v>1633.33</v>
      </c>
      <c r="J11" s="115"/>
      <c r="K11" s="68">
        <f t="shared" si="0"/>
        <v>1633.33</v>
      </c>
      <c r="L11" s="52">
        <v>0</v>
      </c>
      <c r="M11" s="52"/>
      <c r="N11" s="53"/>
      <c r="O11" s="53"/>
      <c r="P11" s="54"/>
      <c r="Q11" s="55">
        <f t="shared" si="1"/>
        <v>1633.33</v>
      </c>
      <c r="R11" s="56"/>
      <c r="S11" s="57"/>
      <c r="T11" s="57">
        <v>0</v>
      </c>
      <c r="U11" s="57"/>
      <c r="V11" s="57"/>
      <c r="W11" s="57"/>
      <c r="X11" s="58"/>
      <c r="Y11" s="58"/>
      <c r="Z11" s="59"/>
      <c r="AA11" s="59">
        <v>0</v>
      </c>
      <c r="AB11" s="55">
        <f t="shared" si="2"/>
        <v>1633.33</v>
      </c>
      <c r="AC11" s="60">
        <f t="shared" si="7"/>
        <v>0</v>
      </c>
      <c r="AD11" s="55">
        <f t="shared" si="3"/>
        <v>1633.33</v>
      </c>
      <c r="AE11" s="61">
        <f t="shared" si="8"/>
        <v>163.333</v>
      </c>
      <c r="AF11" s="60">
        <v>10.23</v>
      </c>
      <c r="AG11" s="60">
        <f t="shared" si="4"/>
        <v>0</v>
      </c>
      <c r="AH11" s="62">
        <f t="shared" si="5"/>
        <v>1806.893</v>
      </c>
      <c r="AI11" s="137"/>
      <c r="AJ11" s="138"/>
      <c r="AK11" s="123">
        <f t="shared" si="6"/>
        <v>-1633.33</v>
      </c>
      <c r="AL11" s="64"/>
      <c r="AM11" s="64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</row>
    <row r="12" spans="1:193" s="37" customFormat="1">
      <c r="A12" s="64" t="s">
        <v>81</v>
      </c>
      <c r="B12" s="64" t="s">
        <v>220</v>
      </c>
      <c r="C12" s="64"/>
      <c r="D12" s="64"/>
      <c r="E12" s="64" t="s">
        <v>221</v>
      </c>
      <c r="F12" s="134">
        <v>42422</v>
      </c>
      <c r="G12" s="64"/>
      <c r="H12" s="64"/>
      <c r="I12" s="68">
        <v>739.23</v>
      </c>
      <c r="J12" s="116"/>
      <c r="K12" s="68">
        <f t="shared" si="0"/>
        <v>739.23</v>
      </c>
      <c r="L12" s="68">
        <f>1468.5+7.42</f>
        <v>1475.92</v>
      </c>
      <c r="M12" s="68"/>
      <c r="N12" s="68"/>
      <c r="O12" s="68"/>
      <c r="P12" s="54"/>
      <c r="Q12" s="55">
        <f t="shared" si="1"/>
        <v>2215.15</v>
      </c>
      <c r="R12" s="56"/>
      <c r="S12" s="57"/>
      <c r="T12" s="57">
        <v>0</v>
      </c>
      <c r="U12" s="57"/>
      <c r="V12" s="57"/>
      <c r="W12" s="57"/>
      <c r="X12" s="58"/>
      <c r="Y12" s="58"/>
      <c r="Z12" s="59"/>
      <c r="AA12" s="59">
        <v>0</v>
      </c>
      <c r="AB12" s="55">
        <f t="shared" si="2"/>
        <v>2215.15</v>
      </c>
      <c r="AC12" s="60">
        <f t="shared" si="7"/>
        <v>0</v>
      </c>
      <c r="AD12" s="55">
        <f t="shared" si="3"/>
        <v>2215.15</v>
      </c>
      <c r="AE12" s="61">
        <f t="shared" si="8"/>
        <v>221.51500000000001</v>
      </c>
      <c r="AF12" s="60">
        <v>10.23</v>
      </c>
      <c r="AG12" s="60">
        <f t="shared" si="4"/>
        <v>0</v>
      </c>
      <c r="AH12" s="62">
        <f t="shared" si="5"/>
        <v>2446.895</v>
      </c>
      <c r="AI12" s="137"/>
      <c r="AJ12" s="138"/>
      <c r="AK12" s="123">
        <f t="shared" si="6"/>
        <v>-2215.15</v>
      </c>
      <c r="AL12" s="64">
        <v>1456104819</v>
      </c>
      <c r="AM12" s="6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</row>
    <row r="13" spans="1:193" s="29" customFormat="1">
      <c r="A13" s="64" t="s">
        <v>68</v>
      </c>
      <c r="B13" s="64" t="s">
        <v>188</v>
      </c>
      <c r="C13" s="64" t="s">
        <v>204</v>
      </c>
      <c r="D13" s="64" t="s">
        <v>128</v>
      </c>
      <c r="E13" s="64" t="s">
        <v>70</v>
      </c>
      <c r="F13" s="134">
        <v>42383</v>
      </c>
      <c r="G13" s="64"/>
      <c r="H13" s="64"/>
      <c r="I13" s="68">
        <v>513.33000000000004</v>
      </c>
      <c r="J13" s="116">
        <v>653.33000000000004</v>
      </c>
      <c r="K13" s="68">
        <f t="shared" si="0"/>
        <v>1166.6600000000001</v>
      </c>
      <c r="L13" s="68">
        <v>0</v>
      </c>
      <c r="M13" s="68"/>
      <c r="N13" s="68"/>
      <c r="O13" s="68"/>
      <c r="P13" s="54"/>
      <c r="Q13" s="55">
        <f t="shared" si="1"/>
        <v>1166.6600000000001</v>
      </c>
      <c r="R13" s="56">
        <v>187.5</v>
      </c>
      <c r="S13" s="57"/>
      <c r="T13" s="57">
        <v>0</v>
      </c>
      <c r="U13" s="57"/>
      <c r="V13" s="57"/>
      <c r="W13" s="57"/>
      <c r="X13" s="58"/>
      <c r="Y13" s="58"/>
      <c r="Z13" s="59"/>
      <c r="AA13" s="65">
        <v>368.35</v>
      </c>
      <c r="AB13" s="55">
        <f t="shared" si="2"/>
        <v>610.81000000000006</v>
      </c>
      <c r="AC13" s="60">
        <f t="shared" si="7"/>
        <v>0</v>
      </c>
      <c r="AD13" s="55">
        <f t="shared" si="3"/>
        <v>610.81000000000006</v>
      </c>
      <c r="AE13" s="61">
        <f t="shared" si="8"/>
        <v>116.66600000000001</v>
      </c>
      <c r="AF13" s="60">
        <v>10.23</v>
      </c>
      <c r="AG13" s="60">
        <f t="shared" si="4"/>
        <v>0</v>
      </c>
      <c r="AH13" s="62">
        <f t="shared" si="5"/>
        <v>1293.556</v>
      </c>
      <c r="AI13" s="137"/>
      <c r="AJ13" s="138"/>
      <c r="AK13" s="123">
        <f t="shared" si="6"/>
        <v>-610.81000000000006</v>
      </c>
      <c r="AL13" s="64"/>
      <c r="AM13" s="64"/>
    </row>
    <row r="14" spans="1:193">
      <c r="A14" s="64" t="s">
        <v>67</v>
      </c>
      <c r="B14" s="64" t="s">
        <v>173</v>
      </c>
      <c r="C14" s="64" t="s">
        <v>234</v>
      </c>
      <c r="D14" s="64"/>
      <c r="E14" s="64" t="s">
        <v>152</v>
      </c>
      <c r="F14" s="134">
        <v>42416</v>
      </c>
      <c r="G14" s="64"/>
      <c r="H14" s="64"/>
      <c r="I14" s="68">
        <v>513.33000000000004</v>
      </c>
      <c r="J14" s="116">
        <v>653.33000000000004</v>
      </c>
      <c r="K14" s="68">
        <f t="shared" si="0"/>
        <v>1166.6600000000001</v>
      </c>
      <c r="L14" s="68">
        <v>0</v>
      </c>
      <c r="M14" s="68"/>
      <c r="N14" s="68"/>
      <c r="O14" s="68"/>
      <c r="P14" s="54"/>
      <c r="Q14" s="55">
        <f t="shared" si="1"/>
        <v>1166.6600000000001</v>
      </c>
      <c r="R14" s="56"/>
      <c r="S14" s="57"/>
      <c r="T14" s="57">
        <v>0</v>
      </c>
      <c r="U14" s="57"/>
      <c r="V14" s="57"/>
      <c r="W14" s="57"/>
      <c r="X14" s="71">
        <v>114.82</v>
      </c>
      <c r="Y14" s="58"/>
      <c r="Z14" s="59"/>
      <c r="AA14" s="59">
        <v>0</v>
      </c>
      <c r="AB14" s="55">
        <f t="shared" si="2"/>
        <v>1051.8400000000001</v>
      </c>
      <c r="AC14" s="60">
        <f t="shared" si="7"/>
        <v>0</v>
      </c>
      <c r="AD14" s="55">
        <f t="shared" si="3"/>
        <v>1051.8400000000001</v>
      </c>
      <c r="AE14" s="61">
        <f t="shared" si="8"/>
        <v>116.66600000000001</v>
      </c>
      <c r="AF14" s="60">
        <v>10.23</v>
      </c>
      <c r="AG14" s="60">
        <f t="shared" si="4"/>
        <v>0</v>
      </c>
      <c r="AH14" s="62">
        <f t="shared" si="5"/>
        <v>1293.556</v>
      </c>
      <c r="AI14" s="137"/>
      <c r="AJ14" s="138"/>
      <c r="AK14" s="123">
        <f t="shared" si="6"/>
        <v>-1051.8400000000001</v>
      </c>
      <c r="AL14" s="64"/>
      <c r="AM14" s="64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</row>
    <row r="15" spans="1:193">
      <c r="A15" s="64" t="s">
        <v>84</v>
      </c>
      <c r="B15" s="64" t="s">
        <v>264</v>
      </c>
      <c r="C15" s="64"/>
      <c r="D15" s="50" t="s">
        <v>111</v>
      </c>
      <c r="E15" s="50" t="s">
        <v>153</v>
      </c>
      <c r="F15" s="133">
        <v>41740</v>
      </c>
      <c r="G15" s="51"/>
      <c r="H15" s="51"/>
      <c r="I15" s="52">
        <v>623.36</v>
      </c>
      <c r="J15" s="115"/>
      <c r="K15" s="68">
        <f t="shared" si="0"/>
        <v>623.36</v>
      </c>
      <c r="L15" s="52">
        <f>483.85+2.59</f>
        <v>486.44</v>
      </c>
      <c r="M15" s="52"/>
      <c r="N15" s="53"/>
      <c r="O15" s="53"/>
      <c r="P15" s="54"/>
      <c r="Q15" s="55">
        <f t="shared" si="1"/>
        <v>1109.8</v>
      </c>
      <c r="R15" s="56"/>
      <c r="S15" s="57"/>
      <c r="T15" s="66">
        <v>250</v>
      </c>
      <c r="U15" s="66">
        <f>Q15*4.9%</f>
        <v>54.380200000000002</v>
      </c>
      <c r="V15" s="66">
        <f>Q15*1%</f>
        <v>11.097999999999999</v>
      </c>
      <c r="W15" s="57"/>
      <c r="X15" s="58"/>
      <c r="Y15" s="58"/>
      <c r="Z15" s="59"/>
      <c r="AA15" s="59">
        <v>0</v>
      </c>
      <c r="AB15" s="55">
        <f t="shared" si="2"/>
        <v>794.32179999999994</v>
      </c>
      <c r="AC15" s="60">
        <f t="shared" si="7"/>
        <v>0</v>
      </c>
      <c r="AD15" s="55">
        <f t="shared" si="3"/>
        <v>794.32179999999994</v>
      </c>
      <c r="AE15" s="61">
        <f t="shared" si="8"/>
        <v>110.98</v>
      </c>
      <c r="AF15" s="60">
        <v>10.23</v>
      </c>
      <c r="AG15" s="60">
        <f t="shared" si="4"/>
        <v>54.380200000000002</v>
      </c>
      <c r="AH15" s="62">
        <f t="shared" si="5"/>
        <v>1285.3902</v>
      </c>
      <c r="AI15" s="137"/>
      <c r="AJ15" s="138"/>
      <c r="AK15" s="123">
        <f t="shared" si="6"/>
        <v>-794.32179999999994</v>
      </c>
      <c r="AL15" s="64"/>
      <c r="AM15" s="6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</row>
    <row r="16" spans="1:193" s="29" customFormat="1">
      <c r="A16" s="64" t="s">
        <v>68</v>
      </c>
      <c r="B16" s="64" t="s">
        <v>252</v>
      </c>
      <c r="C16" s="64"/>
      <c r="D16" s="64"/>
      <c r="E16" s="64" t="s">
        <v>70</v>
      </c>
      <c r="F16" s="134">
        <v>42472</v>
      </c>
      <c r="G16" s="64"/>
      <c r="H16" s="64"/>
      <c r="I16" s="68">
        <v>513.33000000000004</v>
      </c>
      <c r="J16" s="116">
        <v>653.33000000000004</v>
      </c>
      <c r="K16" s="68">
        <f t="shared" si="0"/>
        <v>1166.6600000000001</v>
      </c>
      <c r="L16" s="68">
        <v>1623.52</v>
      </c>
      <c r="M16" s="68"/>
      <c r="N16" s="68"/>
      <c r="O16" s="68"/>
      <c r="P16" s="54"/>
      <c r="Q16" s="55">
        <f t="shared" si="1"/>
        <v>2790.1800000000003</v>
      </c>
      <c r="R16" s="56"/>
      <c r="S16" s="57"/>
      <c r="T16" s="103"/>
      <c r="U16" s="103"/>
      <c r="V16" s="103"/>
      <c r="W16" s="103"/>
      <c r="X16" s="104"/>
      <c r="Y16" s="104"/>
      <c r="Z16" s="88"/>
      <c r="AA16" s="88">
        <v>0</v>
      </c>
      <c r="AB16" s="55">
        <f t="shared" si="2"/>
        <v>2790.1800000000003</v>
      </c>
      <c r="AC16" s="60">
        <f t="shared" si="7"/>
        <v>279.01800000000003</v>
      </c>
      <c r="AD16" s="55">
        <f t="shared" si="3"/>
        <v>2511.1620000000003</v>
      </c>
      <c r="AE16" s="61">
        <f t="shared" si="8"/>
        <v>0</v>
      </c>
      <c r="AF16" s="60">
        <v>10.23</v>
      </c>
      <c r="AG16" s="60">
        <f t="shared" ref="AG16" si="9">+U16</f>
        <v>0</v>
      </c>
      <c r="AH16" s="62">
        <f t="shared" si="5"/>
        <v>2800.4100000000003</v>
      </c>
      <c r="AI16" s="139"/>
      <c r="AJ16" s="140"/>
      <c r="AK16" s="123">
        <f t="shared" si="6"/>
        <v>-2511.1620000000003</v>
      </c>
      <c r="AL16" s="64">
        <v>2899146091</v>
      </c>
      <c r="AM16" s="69"/>
    </row>
    <row r="17" spans="1:193">
      <c r="A17" s="64" t="s">
        <v>66</v>
      </c>
      <c r="B17" s="50" t="s">
        <v>267</v>
      </c>
      <c r="C17" s="50"/>
      <c r="D17" s="50" t="s">
        <v>98</v>
      </c>
      <c r="E17" s="50" t="s">
        <v>150</v>
      </c>
      <c r="F17" s="133">
        <v>42116</v>
      </c>
      <c r="G17" s="51"/>
      <c r="H17" s="51"/>
      <c r="I17" s="52">
        <v>513.33000000000004</v>
      </c>
      <c r="J17" s="116">
        <v>653.33000000000004</v>
      </c>
      <c r="K17" s="68">
        <f t="shared" si="0"/>
        <v>1166.6600000000001</v>
      </c>
      <c r="L17" s="52">
        <v>700</v>
      </c>
      <c r="M17" s="52"/>
      <c r="N17" s="53"/>
      <c r="O17" s="53"/>
      <c r="P17" s="54"/>
      <c r="Q17" s="55">
        <f t="shared" si="1"/>
        <v>1866.66</v>
      </c>
      <c r="R17" s="56"/>
      <c r="S17" s="57">
        <v>58.91</v>
      </c>
      <c r="T17" s="57">
        <v>0</v>
      </c>
      <c r="U17" s="57"/>
      <c r="V17" s="57"/>
      <c r="W17" s="57"/>
      <c r="X17" s="58"/>
      <c r="Y17" s="58"/>
      <c r="Z17" s="70"/>
      <c r="AA17" s="59">
        <v>0</v>
      </c>
      <c r="AB17" s="55">
        <f t="shared" si="2"/>
        <v>1807.75</v>
      </c>
      <c r="AC17" s="60">
        <f t="shared" si="7"/>
        <v>0</v>
      </c>
      <c r="AD17" s="55">
        <f t="shared" si="3"/>
        <v>1807.75</v>
      </c>
      <c r="AE17" s="61">
        <f t="shared" si="8"/>
        <v>186.66600000000003</v>
      </c>
      <c r="AF17" s="60">
        <v>10.23</v>
      </c>
      <c r="AG17" s="60">
        <f t="shared" si="4"/>
        <v>0</v>
      </c>
      <c r="AH17" s="62">
        <f t="shared" si="5"/>
        <v>2063.556</v>
      </c>
      <c r="AI17" s="139"/>
      <c r="AJ17" s="139"/>
      <c r="AK17" s="123">
        <f t="shared" si="6"/>
        <v>-1807.75</v>
      </c>
      <c r="AL17" s="64"/>
      <c r="AM17" s="64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</row>
    <row r="18" spans="1:193" s="29" customFormat="1" ht="15" customHeight="1">
      <c r="A18" s="64" t="s">
        <v>68</v>
      </c>
      <c r="B18" s="64" t="s">
        <v>213</v>
      </c>
      <c r="C18" s="64" t="s">
        <v>206</v>
      </c>
      <c r="D18" s="64" t="s">
        <v>129</v>
      </c>
      <c r="E18" s="64" t="s">
        <v>70</v>
      </c>
      <c r="F18" s="133">
        <v>41831</v>
      </c>
      <c r="G18" s="64"/>
      <c r="H18" s="64"/>
      <c r="I18" s="68">
        <v>513.33000000000004</v>
      </c>
      <c r="J18" s="117">
        <v>653.33000000000004</v>
      </c>
      <c r="K18" s="68">
        <f t="shared" si="0"/>
        <v>1166.6600000000001</v>
      </c>
      <c r="L18" s="68">
        <v>0</v>
      </c>
      <c r="M18" s="68"/>
      <c r="N18" s="68"/>
      <c r="O18" s="68"/>
      <c r="P18" s="54"/>
      <c r="Q18" s="55">
        <f t="shared" si="1"/>
        <v>1166.6600000000001</v>
      </c>
      <c r="R18" s="56"/>
      <c r="S18" s="103">
        <v>58.91</v>
      </c>
      <c r="T18" s="66"/>
      <c r="U18" s="103"/>
      <c r="V18" s="103"/>
      <c r="W18" s="103"/>
      <c r="X18" s="104"/>
      <c r="Y18" s="71">
        <v>167.44</v>
      </c>
      <c r="Z18" s="88"/>
      <c r="AA18" s="106">
        <v>940.31</v>
      </c>
      <c r="AB18" s="55">
        <f t="shared" si="2"/>
        <v>0</v>
      </c>
      <c r="AC18" s="60">
        <f t="shared" si="7"/>
        <v>0</v>
      </c>
      <c r="AD18" s="55">
        <f t="shared" si="3"/>
        <v>0</v>
      </c>
      <c r="AE18" s="61">
        <f t="shared" si="8"/>
        <v>116.66600000000001</v>
      </c>
      <c r="AF18" s="60">
        <v>10.23</v>
      </c>
      <c r="AG18" s="60">
        <f t="shared" si="4"/>
        <v>0</v>
      </c>
      <c r="AH18" s="62">
        <f t="shared" si="5"/>
        <v>1293.556</v>
      </c>
      <c r="AI18" s="128"/>
      <c r="AJ18" s="137"/>
      <c r="AK18" s="123">
        <f t="shared" si="6"/>
        <v>0</v>
      </c>
      <c r="AL18" s="64"/>
      <c r="AM18" s="141" t="s">
        <v>296</v>
      </c>
    </row>
    <row r="19" spans="1:193" s="29" customFormat="1" ht="15" customHeight="1">
      <c r="A19" s="64"/>
      <c r="B19" s="64" t="s">
        <v>276</v>
      </c>
      <c r="C19" s="64"/>
      <c r="D19" s="64"/>
      <c r="E19" s="64" t="s">
        <v>277</v>
      </c>
      <c r="F19" s="134">
        <v>42506</v>
      </c>
      <c r="G19" s="64"/>
      <c r="H19" s="64"/>
      <c r="I19" s="68">
        <v>739.23</v>
      </c>
      <c r="J19" s="117"/>
      <c r="K19" s="68">
        <f t="shared" si="0"/>
        <v>739.23</v>
      </c>
      <c r="L19" s="68">
        <f>1399.61+7.428</f>
        <v>1407.038</v>
      </c>
      <c r="M19" s="68"/>
      <c r="N19" s="68"/>
      <c r="O19" s="68"/>
      <c r="P19" s="109"/>
      <c r="Q19" s="55">
        <f t="shared" si="1"/>
        <v>2146.268</v>
      </c>
      <c r="R19" s="56"/>
      <c r="S19" s="103"/>
      <c r="T19" s="103"/>
      <c r="U19" s="103"/>
      <c r="V19" s="103"/>
      <c r="W19" s="103"/>
      <c r="X19" s="104"/>
      <c r="Y19" s="104"/>
      <c r="Z19" s="88"/>
      <c r="AA19" s="130"/>
      <c r="AB19" s="55">
        <f t="shared" si="2"/>
        <v>2146.268</v>
      </c>
      <c r="AC19" s="60">
        <f t="shared" ref="AC19" si="10">IF(Q19&gt;2250,Q19*0.1,0)</f>
        <v>0</v>
      </c>
      <c r="AD19" s="55">
        <f t="shared" ref="AD19" si="11">+AB19-AC19</f>
        <v>2146.268</v>
      </c>
      <c r="AE19" s="61">
        <f t="shared" si="8"/>
        <v>214.6268</v>
      </c>
      <c r="AF19" s="60">
        <v>10.23</v>
      </c>
      <c r="AG19" s="60">
        <f t="shared" ref="AG19" si="12">+U19</f>
        <v>0</v>
      </c>
      <c r="AH19" s="62">
        <f t="shared" si="5"/>
        <v>2371.1248000000001</v>
      </c>
      <c r="AI19" s="137"/>
      <c r="AJ19" s="137"/>
      <c r="AK19" s="123">
        <f t="shared" si="6"/>
        <v>-2146.268</v>
      </c>
      <c r="AL19" s="129">
        <v>14058709719</v>
      </c>
      <c r="AM19" s="69"/>
    </row>
    <row r="20" spans="1:193">
      <c r="A20" s="64" t="s">
        <v>84</v>
      </c>
      <c r="B20" s="50" t="s">
        <v>170</v>
      </c>
      <c r="C20" s="50"/>
      <c r="D20" s="50" t="s">
        <v>112</v>
      </c>
      <c r="E20" s="50" t="s">
        <v>143</v>
      </c>
      <c r="F20" s="133">
        <v>41227</v>
      </c>
      <c r="G20" s="51"/>
      <c r="H20" s="51"/>
      <c r="I20" s="52">
        <v>511.28</v>
      </c>
      <c r="J20" s="115"/>
      <c r="K20" s="68">
        <f t="shared" si="0"/>
        <v>511.28</v>
      </c>
      <c r="L20" s="52">
        <f>2683.35+7.42</f>
        <v>2690.77</v>
      </c>
      <c r="M20" s="52"/>
      <c r="N20" s="53"/>
      <c r="O20" s="53"/>
      <c r="P20" s="54"/>
      <c r="Q20" s="55">
        <f t="shared" si="1"/>
        <v>3202.05</v>
      </c>
      <c r="R20" s="56"/>
      <c r="S20" s="57"/>
      <c r="T20" s="66">
        <v>700</v>
      </c>
      <c r="U20" s="66">
        <f>Q20*4.9%</f>
        <v>156.90045000000001</v>
      </c>
      <c r="V20" s="66">
        <f>Q20*1%</f>
        <v>32.020500000000006</v>
      </c>
      <c r="W20" s="57"/>
      <c r="X20" s="58"/>
      <c r="Y20" s="58"/>
      <c r="Z20" s="59"/>
      <c r="AA20" s="59">
        <v>0</v>
      </c>
      <c r="AB20" s="55">
        <f t="shared" si="2"/>
        <v>2313.1290500000005</v>
      </c>
      <c r="AC20" s="60">
        <f t="shared" si="7"/>
        <v>320.20500000000004</v>
      </c>
      <c r="AD20" s="55">
        <f t="shared" si="3"/>
        <v>1992.9240500000005</v>
      </c>
      <c r="AE20" s="61">
        <f t="shared" si="8"/>
        <v>0</v>
      </c>
      <c r="AF20" s="60">
        <v>10.23</v>
      </c>
      <c r="AG20" s="60">
        <f t="shared" si="4"/>
        <v>156.90045000000001</v>
      </c>
      <c r="AH20" s="62">
        <f t="shared" si="5"/>
        <v>3369.1804500000003</v>
      </c>
      <c r="AI20" s="137"/>
      <c r="AJ20" s="137"/>
      <c r="AK20" s="123">
        <f t="shared" si="6"/>
        <v>-1992.9240500000005</v>
      </c>
      <c r="AL20" s="64"/>
      <c r="AM20" s="64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</row>
    <row r="21" spans="1:193">
      <c r="A21" s="64" t="s">
        <v>68</v>
      </c>
      <c r="B21" s="50" t="s">
        <v>218</v>
      </c>
      <c r="C21" s="50" t="s">
        <v>207</v>
      </c>
      <c r="D21" s="50">
        <v>18</v>
      </c>
      <c r="E21" s="50" t="s">
        <v>71</v>
      </c>
      <c r="F21" s="133">
        <v>39699</v>
      </c>
      <c r="G21" s="51"/>
      <c r="H21" s="51"/>
      <c r="I21" s="52">
        <v>1633.33</v>
      </c>
      <c r="J21" s="115"/>
      <c r="K21" s="68">
        <f t="shared" si="0"/>
        <v>1633.33</v>
      </c>
      <c r="L21" s="52">
        <v>0</v>
      </c>
      <c r="M21" s="52"/>
      <c r="N21" s="53"/>
      <c r="O21" s="53"/>
      <c r="P21" s="54"/>
      <c r="Q21" s="55">
        <f t="shared" si="1"/>
        <v>1633.33</v>
      </c>
      <c r="R21" s="56"/>
      <c r="S21" s="57"/>
      <c r="T21" s="66">
        <v>700</v>
      </c>
      <c r="U21" s="57"/>
      <c r="V21" s="57"/>
      <c r="W21" s="57"/>
      <c r="X21" s="58"/>
      <c r="Y21" s="58"/>
      <c r="Z21" s="65">
        <v>205.7</v>
      </c>
      <c r="AA21" s="59">
        <v>0</v>
      </c>
      <c r="AB21" s="55">
        <f t="shared" si="2"/>
        <v>727.62999999999988</v>
      </c>
      <c r="AC21" s="60">
        <f t="shared" si="7"/>
        <v>0</v>
      </c>
      <c r="AD21" s="55">
        <f t="shared" si="3"/>
        <v>727.62999999999988</v>
      </c>
      <c r="AE21" s="61">
        <f t="shared" si="8"/>
        <v>163.333</v>
      </c>
      <c r="AF21" s="60">
        <v>10.23</v>
      </c>
      <c r="AG21" s="60">
        <f t="shared" si="4"/>
        <v>0</v>
      </c>
      <c r="AH21" s="62">
        <f t="shared" si="5"/>
        <v>1806.893</v>
      </c>
      <c r="AI21" s="137"/>
      <c r="AJ21" s="138"/>
      <c r="AK21" s="123">
        <f t="shared" si="6"/>
        <v>-727.62999999999988</v>
      </c>
      <c r="AL21" s="64"/>
      <c r="AM21" s="64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</row>
    <row r="22" spans="1:193">
      <c r="A22" s="64" t="s">
        <v>84</v>
      </c>
      <c r="B22" s="50" t="s">
        <v>219</v>
      </c>
      <c r="C22" s="50"/>
      <c r="D22" s="50" t="s">
        <v>113</v>
      </c>
      <c r="E22" s="50" t="s">
        <v>154</v>
      </c>
      <c r="F22" s="133">
        <v>42242</v>
      </c>
      <c r="G22" s="51"/>
      <c r="H22" s="51"/>
      <c r="I22" s="52">
        <v>1100</v>
      </c>
      <c r="J22" s="115"/>
      <c r="K22" s="68">
        <f t="shared" si="0"/>
        <v>1100</v>
      </c>
      <c r="L22" s="52">
        <v>675</v>
      </c>
      <c r="M22" s="52"/>
      <c r="N22" s="53"/>
      <c r="O22" s="53"/>
      <c r="P22" s="54"/>
      <c r="Q22" s="55">
        <f t="shared" si="1"/>
        <v>1775</v>
      </c>
      <c r="R22" s="56"/>
      <c r="S22" s="57"/>
      <c r="T22" s="66">
        <f>+Q22*1%</f>
        <v>17.75</v>
      </c>
      <c r="U22" s="66">
        <f>+Q22*4.9%</f>
        <v>86.975000000000009</v>
      </c>
      <c r="V22" s="57"/>
      <c r="W22" s="57"/>
      <c r="X22" s="58"/>
      <c r="Y22" s="58"/>
      <c r="Z22" s="59"/>
      <c r="AA22" s="59">
        <v>0</v>
      </c>
      <c r="AB22" s="55">
        <f t="shared" si="2"/>
        <v>1670.2750000000001</v>
      </c>
      <c r="AC22" s="60">
        <f t="shared" si="7"/>
        <v>0</v>
      </c>
      <c r="AD22" s="55">
        <f t="shared" si="3"/>
        <v>1670.2750000000001</v>
      </c>
      <c r="AE22" s="61">
        <f t="shared" si="8"/>
        <v>177.5</v>
      </c>
      <c r="AF22" s="60">
        <v>10.23</v>
      </c>
      <c r="AG22" s="60">
        <f t="shared" si="4"/>
        <v>86.975000000000009</v>
      </c>
      <c r="AH22" s="62">
        <f t="shared" si="5"/>
        <v>2049.7049999999999</v>
      </c>
      <c r="AI22" s="137"/>
      <c r="AJ22" s="138"/>
      <c r="AK22" s="123">
        <f t="shared" si="6"/>
        <v>-1670.2750000000001</v>
      </c>
      <c r="AL22" s="64"/>
      <c r="AM22" s="64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</row>
    <row r="23" spans="1:193">
      <c r="A23" s="64" t="s">
        <v>67</v>
      </c>
      <c r="B23" s="50" t="s">
        <v>202</v>
      </c>
      <c r="C23" s="64" t="s">
        <v>234</v>
      </c>
      <c r="D23" s="50" t="s">
        <v>106</v>
      </c>
      <c r="E23" s="64" t="s">
        <v>152</v>
      </c>
      <c r="F23" s="133">
        <v>42332</v>
      </c>
      <c r="G23" s="51"/>
      <c r="H23" s="51"/>
      <c r="I23" s="52">
        <v>513.33000000000004</v>
      </c>
      <c r="J23" s="116">
        <v>653.33000000000004</v>
      </c>
      <c r="K23" s="68">
        <f t="shared" si="0"/>
        <v>1166.6600000000001</v>
      </c>
      <c r="L23" s="52">
        <v>3798.36</v>
      </c>
      <c r="M23" s="52"/>
      <c r="N23" s="53"/>
      <c r="O23" s="53"/>
      <c r="P23" s="54"/>
      <c r="Q23" s="55">
        <f t="shared" si="1"/>
        <v>4965.0200000000004</v>
      </c>
      <c r="R23" s="56">
        <v>375</v>
      </c>
      <c r="S23" s="57"/>
      <c r="T23" s="57">
        <v>0</v>
      </c>
      <c r="U23" s="57"/>
      <c r="V23" s="57"/>
      <c r="W23" s="57"/>
      <c r="X23" s="58"/>
      <c r="Y23" s="58"/>
      <c r="Z23" s="59"/>
      <c r="AA23" s="65">
        <v>566.61</v>
      </c>
      <c r="AB23" s="55">
        <f t="shared" si="2"/>
        <v>4023.4100000000003</v>
      </c>
      <c r="AC23" s="60">
        <f t="shared" si="7"/>
        <v>496.50200000000007</v>
      </c>
      <c r="AD23" s="55">
        <f t="shared" si="3"/>
        <v>3526.9080000000004</v>
      </c>
      <c r="AE23" s="61">
        <f t="shared" si="8"/>
        <v>0</v>
      </c>
      <c r="AF23" s="60">
        <v>10.23</v>
      </c>
      <c r="AG23" s="60">
        <f t="shared" si="4"/>
        <v>0</v>
      </c>
      <c r="AH23" s="62">
        <f t="shared" si="5"/>
        <v>4975.25</v>
      </c>
      <c r="AI23" s="137"/>
      <c r="AJ23" s="138"/>
      <c r="AK23" s="123">
        <f t="shared" si="6"/>
        <v>-3526.9080000000004</v>
      </c>
      <c r="AL23" s="64"/>
      <c r="AM23" s="64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</row>
    <row r="24" spans="1:193">
      <c r="A24" s="64" t="s">
        <v>68</v>
      </c>
      <c r="B24" s="64" t="s">
        <v>231</v>
      </c>
      <c r="C24" s="64" t="s">
        <v>209</v>
      </c>
      <c r="D24" s="64"/>
      <c r="E24" s="64" t="s">
        <v>70</v>
      </c>
      <c r="F24" s="134">
        <v>42437</v>
      </c>
      <c r="G24" s="64"/>
      <c r="H24" s="64"/>
      <c r="I24" s="52">
        <v>513.33000000000004</v>
      </c>
      <c r="J24" s="115">
        <v>653.33000000000004</v>
      </c>
      <c r="K24" s="68">
        <f t="shared" si="0"/>
        <v>1166.6600000000001</v>
      </c>
      <c r="L24" s="68">
        <v>4650.57</v>
      </c>
      <c r="M24" s="68"/>
      <c r="N24" s="68"/>
      <c r="O24" s="68"/>
      <c r="P24" s="54"/>
      <c r="Q24" s="55">
        <f t="shared" si="1"/>
        <v>5817.23</v>
      </c>
      <c r="R24" s="56"/>
      <c r="S24" s="57"/>
      <c r="T24" s="57">
        <v>0</v>
      </c>
      <c r="U24" s="57"/>
      <c r="V24" s="57"/>
      <c r="W24" s="57"/>
      <c r="X24" s="58"/>
      <c r="Y24" s="58"/>
      <c r="Z24" s="59"/>
      <c r="AA24" s="59">
        <v>0</v>
      </c>
      <c r="AB24" s="55">
        <f t="shared" si="2"/>
        <v>5817.23</v>
      </c>
      <c r="AC24" s="60">
        <f t="shared" si="7"/>
        <v>581.72299999999996</v>
      </c>
      <c r="AD24" s="55">
        <f t="shared" si="3"/>
        <v>5235.5069999999996</v>
      </c>
      <c r="AE24" s="61">
        <f t="shared" si="8"/>
        <v>0</v>
      </c>
      <c r="AF24" s="60">
        <v>10.23</v>
      </c>
      <c r="AG24" s="60">
        <f t="shared" si="4"/>
        <v>0</v>
      </c>
      <c r="AH24" s="62">
        <f t="shared" si="5"/>
        <v>5827.4599999999991</v>
      </c>
      <c r="AI24" s="137"/>
      <c r="AJ24" s="138"/>
      <c r="AK24" s="123">
        <f t="shared" si="6"/>
        <v>-5235.5069999999996</v>
      </c>
      <c r="AL24" s="64"/>
      <c r="AM24" s="6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</row>
    <row r="25" spans="1:193">
      <c r="A25" s="64" t="s">
        <v>82</v>
      </c>
      <c r="B25" s="50" t="s">
        <v>178</v>
      </c>
      <c r="C25" s="50"/>
      <c r="D25" s="50" t="s">
        <v>87</v>
      </c>
      <c r="E25" s="50" t="s">
        <v>142</v>
      </c>
      <c r="F25" s="133">
        <v>41885</v>
      </c>
      <c r="G25" s="50"/>
      <c r="H25" s="50"/>
      <c r="I25" s="28">
        <f>+K25</f>
        <v>633.62</v>
      </c>
      <c r="J25" s="150"/>
      <c r="K25" s="68">
        <v>633.62</v>
      </c>
      <c r="L25" s="52">
        <f>3025.83+13.099</f>
        <v>3038.9290000000001</v>
      </c>
      <c r="M25" s="52"/>
      <c r="N25" s="52"/>
      <c r="O25" s="52"/>
      <c r="P25" s="54"/>
      <c r="Q25" s="55">
        <f t="shared" si="1"/>
        <v>3672.549</v>
      </c>
      <c r="R25" s="56"/>
      <c r="S25" s="57"/>
      <c r="T25" s="57">
        <v>0</v>
      </c>
      <c r="U25" s="57"/>
      <c r="V25" s="57"/>
      <c r="W25" s="57"/>
      <c r="X25" s="58"/>
      <c r="Y25" s="58"/>
      <c r="Z25" s="59"/>
      <c r="AA25" s="59">
        <v>0</v>
      </c>
      <c r="AB25" s="55">
        <f t="shared" si="2"/>
        <v>3672.549</v>
      </c>
      <c r="AC25" s="60">
        <f t="shared" si="7"/>
        <v>367.25490000000002</v>
      </c>
      <c r="AD25" s="55">
        <f t="shared" si="3"/>
        <v>3305.2941000000001</v>
      </c>
      <c r="AE25" s="61">
        <f t="shared" si="8"/>
        <v>0</v>
      </c>
      <c r="AF25" s="60">
        <v>10.23</v>
      </c>
      <c r="AG25" s="60">
        <f t="shared" si="4"/>
        <v>0</v>
      </c>
      <c r="AH25" s="62">
        <f t="shared" si="5"/>
        <v>3682.779</v>
      </c>
      <c r="AI25" s="137"/>
      <c r="AJ25" s="138"/>
      <c r="AK25" s="123">
        <f t="shared" si="6"/>
        <v>-3305.2941000000001</v>
      </c>
      <c r="AL25" s="64"/>
      <c r="AM25" s="141" t="s">
        <v>287</v>
      </c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</row>
    <row r="26" spans="1:193" s="30" customFormat="1">
      <c r="A26" s="64" t="s">
        <v>67</v>
      </c>
      <c r="B26" s="50" t="s">
        <v>254</v>
      </c>
      <c r="C26" s="64" t="s">
        <v>234</v>
      </c>
      <c r="D26" s="50" t="s">
        <v>105</v>
      </c>
      <c r="E26" s="50" t="s">
        <v>152</v>
      </c>
      <c r="F26" s="133">
        <v>42304</v>
      </c>
      <c r="G26" s="51"/>
      <c r="H26" s="51"/>
      <c r="I26" s="52">
        <v>513.33000000000004</v>
      </c>
      <c r="J26" s="151">
        <v>653.33000000000004</v>
      </c>
      <c r="K26" s="68">
        <f t="shared" si="0"/>
        <v>1166.6600000000001</v>
      </c>
      <c r="L26" s="68">
        <v>2932.28</v>
      </c>
      <c r="M26" s="52"/>
      <c r="N26" s="53"/>
      <c r="O26" s="53"/>
      <c r="P26" s="54"/>
      <c r="Q26" s="55">
        <f t="shared" si="1"/>
        <v>4098.9400000000005</v>
      </c>
      <c r="R26" s="56"/>
      <c r="S26" s="57"/>
      <c r="T26" s="57">
        <v>0</v>
      </c>
      <c r="U26" s="57"/>
      <c r="V26" s="57"/>
      <c r="W26" s="57"/>
      <c r="X26" s="58"/>
      <c r="Y26" s="58"/>
      <c r="Z26" s="59"/>
      <c r="AA26" s="59">
        <v>0</v>
      </c>
      <c r="AB26" s="55">
        <f t="shared" si="2"/>
        <v>4098.9400000000005</v>
      </c>
      <c r="AC26" s="60">
        <f t="shared" si="7"/>
        <v>409.89400000000006</v>
      </c>
      <c r="AD26" s="55">
        <f t="shared" si="3"/>
        <v>3689.0460000000003</v>
      </c>
      <c r="AE26" s="61">
        <f t="shared" si="8"/>
        <v>0</v>
      </c>
      <c r="AF26" s="60">
        <v>10.23</v>
      </c>
      <c r="AG26" s="60">
        <f t="shared" si="4"/>
        <v>0</v>
      </c>
      <c r="AH26" s="62">
        <f t="shared" si="5"/>
        <v>4109.17</v>
      </c>
      <c r="AI26" s="137"/>
      <c r="AJ26" s="137"/>
      <c r="AK26" s="123">
        <f t="shared" si="6"/>
        <v>-3689.0460000000003</v>
      </c>
      <c r="AL26" s="64"/>
      <c r="AM26" s="64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</row>
    <row r="27" spans="1:193" s="29" customFormat="1">
      <c r="A27" s="64" t="s">
        <v>82</v>
      </c>
      <c r="B27" s="50" t="s">
        <v>257</v>
      </c>
      <c r="C27" s="50"/>
      <c r="D27" s="50" t="s">
        <v>100</v>
      </c>
      <c r="E27" s="50" t="s">
        <v>148</v>
      </c>
      <c r="F27" s="133">
        <v>42338</v>
      </c>
      <c r="G27" s="50"/>
      <c r="H27" s="50"/>
      <c r="I27" s="52">
        <v>739.23</v>
      </c>
      <c r="J27" s="150"/>
      <c r="K27" s="68">
        <f t="shared" si="0"/>
        <v>739.23</v>
      </c>
      <c r="L27" s="52">
        <f>1094.7+5.71</f>
        <v>1100.4100000000001</v>
      </c>
      <c r="M27" s="52"/>
      <c r="N27" s="52"/>
      <c r="O27" s="52"/>
      <c r="P27" s="54"/>
      <c r="Q27" s="55">
        <f t="shared" si="1"/>
        <v>1839.64</v>
      </c>
      <c r="R27" s="56"/>
      <c r="S27" s="57"/>
      <c r="T27" s="57">
        <v>0</v>
      </c>
      <c r="U27" s="57"/>
      <c r="V27" s="57"/>
      <c r="W27" s="57"/>
      <c r="X27" s="58"/>
      <c r="Y27" s="58"/>
      <c r="Z27" s="59"/>
      <c r="AA27" s="59">
        <v>0</v>
      </c>
      <c r="AB27" s="55">
        <f t="shared" si="2"/>
        <v>1839.64</v>
      </c>
      <c r="AC27" s="60">
        <f t="shared" si="7"/>
        <v>0</v>
      </c>
      <c r="AD27" s="55">
        <f t="shared" si="3"/>
        <v>1839.64</v>
      </c>
      <c r="AE27" s="61">
        <f t="shared" si="8"/>
        <v>183.96400000000003</v>
      </c>
      <c r="AF27" s="60">
        <v>10.23</v>
      </c>
      <c r="AG27" s="60">
        <f t="shared" si="4"/>
        <v>0</v>
      </c>
      <c r="AH27" s="62">
        <f t="shared" si="5"/>
        <v>2033.8340000000001</v>
      </c>
      <c r="AI27" s="137"/>
      <c r="AJ27" s="138"/>
      <c r="AK27" s="123">
        <f t="shared" si="6"/>
        <v>-1839.64</v>
      </c>
      <c r="AL27" s="64"/>
      <c r="AM27" s="69"/>
    </row>
    <row r="28" spans="1:193">
      <c r="A28" s="64" t="s">
        <v>66</v>
      </c>
      <c r="B28" s="50" t="s">
        <v>191</v>
      </c>
      <c r="C28" s="50"/>
      <c r="D28" s="50" t="s">
        <v>99</v>
      </c>
      <c r="E28" s="50" t="s">
        <v>150</v>
      </c>
      <c r="F28" s="133">
        <v>42110</v>
      </c>
      <c r="G28" s="50"/>
      <c r="H28" s="50"/>
      <c r="I28" s="52">
        <v>513.33000000000004</v>
      </c>
      <c r="J28" s="150">
        <v>486.67</v>
      </c>
      <c r="K28" s="68">
        <f>+I28+J28</f>
        <v>1000</v>
      </c>
      <c r="L28" s="52">
        <v>1232</v>
      </c>
      <c r="M28" s="52"/>
      <c r="N28" s="52"/>
      <c r="O28" s="52"/>
      <c r="P28" s="54"/>
      <c r="Q28" s="55">
        <f t="shared" si="1"/>
        <v>2232</v>
      </c>
      <c r="R28" s="56">
        <v>250</v>
      </c>
      <c r="S28" s="57">
        <v>58.91</v>
      </c>
      <c r="T28" s="57">
        <v>0</v>
      </c>
      <c r="U28" s="57"/>
      <c r="V28" s="57"/>
      <c r="W28" s="57"/>
      <c r="X28" s="58"/>
      <c r="Y28" s="58"/>
      <c r="Z28" s="59"/>
      <c r="AA28" s="59">
        <v>0</v>
      </c>
      <c r="AB28" s="55">
        <f t="shared" si="2"/>
        <v>1923.0900000000001</v>
      </c>
      <c r="AC28" s="60">
        <f t="shared" si="7"/>
        <v>0</v>
      </c>
      <c r="AD28" s="55">
        <f t="shared" si="3"/>
        <v>1923.0900000000001</v>
      </c>
      <c r="AE28" s="61">
        <f t="shared" si="8"/>
        <v>223.20000000000002</v>
      </c>
      <c r="AF28" s="60">
        <v>10.23</v>
      </c>
      <c r="AG28" s="60">
        <f t="shared" si="4"/>
        <v>0</v>
      </c>
      <c r="AH28" s="62">
        <f t="shared" si="5"/>
        <v>2465.4299999999998</v>
      </c>
      <c r="AI28" s="137"/>
      <c r="AJ28" s="137"/>
      <c r="AK28" s="123">
        <f t="shared" si="6"/>
        <v>-1923.0900000000001</v>
      </c>
      <c r="AL28" s="64"/>
      <c r="AM28" s="141" t="s">
        <v>287</v>
      </c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</row>
    <row r="29" spans="1:193">
      <c r="A29" s="64" t="s">
        <v>208</v>
      </c>
      <c r="B29" s="50" t="s">
        <v>176</v>
      </c>
      <c r="C29" s="50"/>
      <c r="D29" s="50" t="s">
        <v>101</v>
      </c>
      <c r="E29" s="50" t="s">
        <v>151</v>
      </c>
      <c r="F29" s="133">
        <v>42205</v>
      </c>
      <c r="G29" s="50"/>
      <c r="H29" s="72"/>
      <c r="I29" s="52">
        <v>577.38</v>
      </c>
      <c r="J29" s="150">
        <v>1047.6199999999999</v>
      </c>
      <c r="K29" s="68"/>
      <c r="L29" s="52">
        <v>0</v>
      </c>
      <c r="M29" s="52"/>
      <c r="N29" s="52"/>
      <c r="O29" s="52"/>
      <c r="P29" s="54"/>
      <c r="Q29" s="55">
        <f t="shared" si="1"/>
        <v>0</v>
      </c>
      <c r="R29" s="56"/>
      <c r="S29" s="57"/>
      <c r="T29" s="66">
        <v>200</v>
      </c>
      <c r="U29" s="57"/>
      <c r="V29" s="57"/>
      <c r="W29" s="57"/>
      <c r="X29" s="58"/>
      <c r="Y29" s="71">
        <v>168.06</v>
      </c>
      <c r="Z29" s="59"/>
      <c r="AA29" s="59">
        <v>0</v>
      </c>
      <c r="AB29" s="55">
        <f t="shared" si="2"/>
        <v>-368.06</v>
      </c>
      <c r="AC29" s="60">
        <f t="shared" si="7"/>
        <v>0</v>
      </c>
      <c r="AD29" s="55">
        <f t="shared" si="3"/>
        <v>-368.06</v>
      </c>
      <c r="AE29" s="61">
        <f t="shared" si="8"/>
        <v>0</v>
      </c>
      <c r="AF29" s="60">
        <v>10.23</v>
      </c>
      <c r="AG29" s="60">
        <f t="shared" si="4"/>
        <v>0</v>
      </c>
      <c r="AH29" s="62">
        <f t="shared" si="5"/>
        <v>10.23</v>
      </c>
      <c r="AI29" s="137"/>
      <c r="AJ29" s="137"/>
      <c r="AK29" s="123">
        <f t="shared" si="6"/>
        <v>368.06</v>
      </c>
      <c r="AL29" s="64"/>
      <c r="AM29" s="64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</row>
    <row r="30" spans="1:193">
      <c r="A30" s="64" t="s">
        <v>208</v>
      </c>
      <c r="B30" s="64" t="s">
        <v>269</v>
      </c>
      <c r="C30" s="64"/>
      <c r="D30" s="64"/>
      <c r="E30" s="64" t="s">
        <v>151</v>
      </c>
      <c r="F30" s="134">
        <v>42476</v>
      </c>
      <c r="G30" s="64"/>
      <c r="H30" s="124"/>
      <c r="I30" s="52">
        <v>577.38</v>
      </c>
      <c r="J30" s="151">
        <v>822.62</v>
      </c>
      <c r="K30" s="68">
        <f t="shared" si="0"/>
        <v>1400</v>
      </c>
      <c r="L30" s="68">
        <v>0</v>
      </c>
      <c r="M30" s="68"/>
      <c r="N30" s="68"/>
      <c r="O30" s="68"/>
      <c r="P30" s="54"/>
      <c r="Q30" s="55">
        <f t="shared" si="1"/>
        <v>1400</v>
      </c>
      <c r="R30" s="56"/>
      <c r="S30" s="57"/>
      <c r="T30" s="103"/>
      <c r="U30" s="103"/>
      <c r="V30" s="103"/>
      <c r="W30" s="103"/>
      <c r="X30" s="104"/>
      <c r="Y30" s="104"/>
      <c r="Z30" s="88"/>
      <c r="AA30" s="88">
        <v>0</v>
      </c>
      <c r="AB30" s="55">
        <f t="shared" si="2"/>
        <v>1400</v>
      </c>
      <c r="AC30" s="60">
        <f t="shared" ref="AC30" si="13">IF(Q30&gt;2250,Q30*0.1,0)</f>
        <v>0</v>
      </c>
      <c r="AD30" s="55">
        <f t="shared" ref="AD30" si="14">+AB30-AC30</f>
        <v>1400</v>
      </c>
      <c r="AE30" s="61">
        <f t="shared" si="8"/>
        <v>140</v>
      </c>
      <c r="AF30" s="60">
        <v>10.23</v>
      </c>
      <c r="AG30" s="60">
        <f t="shared" ref="AG30" si="15">+U30</f>
        <v>0</v>
      </c>
      <c r="AH30" s="62">
        <f t="shared" ref="AH30" si="16">+Q30+AE30+AF30+AG30</f>
        <v>1550.23</v>
      </c>
      <c r="AI30" s="137"/>
      <c r="AJ30" s="137"/>
      <c r="AK30" s="123">
        <f t="shared" si="6"/>
        <v>-1400</v>
      </c>
      <c r="AL30" s="64">
        <v>2919685839</v>
      </c>
      <c r="AM30" s="6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</row>
    <row r="31" spans="1:193" s="30" customFormat="1">
      <c r="A31" s="64" t="s">
        <v>84</v>
      </c>
      <c r="B31" s="50" t="s">
        <v>274</v>
      </c>
      <c r="C31" s="50"/>
      <c r="D31" s="50" t="s">
        <v>114</v>
      </c>
      <c r="E31" s="50" t="s">
        <v>158</v>
      </c>
      <c r="F31" s="133">
        <v>41227</v>
      </c>
      <c r="G31" s="51"/>
      <c r="H31" s="51"/>
      <c r="I31" s="52">
        <v>608.16</v>
      </c>
      <c r="J31" s="152"/>
      <c r="K31" s="68">
        <v>608.16</v>
      </c>
      <c r="L31" s="52">
        <f>2536.49+5.6</f>
        <v>2542.0899999999997</v>
      </c>
      <c r="M31" s="52"/>
      <c r="N31" s="53"/>
      <c r="O31" s="53"/>
      <c r="P31" s="54"/>
      <c r="Q31" s="55">
        <f t="shared" si="1"/>
        <v>3150.2499999999995</v>
      </c>
      <c r="R31" s="56"/>
      <c r="S31" s="57"/>
      <c r="T31" s="66">
        <v>500</v>
      </c>
      <c r="U31" s="66">
        <f>Q31*4.9%</f>
        <v>154.36224999999999</v>
      </c>
      <c r="V31" s="66">
        <f>Q31*1%</f>
        <v>31.502499999999998</v>
      </c>
      <c r="W31" s="57"/>
      <c r="X31" s="58"/>
      <c r="Y31" s="58"/>
      <c r="Z31" s="59"/>
      <c r="AA31" s="59">
        <v>0</v>
      </c>
      <c r="AB31" s="55">
        <f>+Q31-SUM(R31:AA31)</f>
        <v>2464.3852499999994</v>
      </c>
      <c r="AC31" s="60">
        <f t="shared" si="7"/>
        <v>315.02499999999998</v>
      </c>
      <c r="AD31" s="55">
        <f>+AB31-AC31</f>
        <v>2149.3602499999993</v>
      </c>
      <c r="AE31" s="61">
        <f t="shared" si="8"/>
        <v>0</v>
      </c>
      <c r="AF31" s="60">
        <v>10.23</v>
      </c>
      <c r="AG31" s="60">
        <f t="shared" si="4"/>
        <v>154.36224999999999</v>
      </c>
      <c r="AH31" s="62">
        <f t="shared" si="5"/>
        <v>3314.8422499999997</v>
      </c>
      <c r="AI31" s="137"/>
      <c r="AJ31" s="137"/>
      <c r="AK31" s="123">
        <f t="shared" si="6"/>
        <v>-2149.3602499999993</v>
      </c>
      <c r="AL31" s="64"/>
      <c r="AM31" s="141" t="s">
        <v>287</v>
      </c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</row>
    <row r="32" spans="1:193" s="30" customFormat="1">
      <c r="A32" s="64"/>
      <c r="B32" s="64" t="s">
        <v>278</v>
      </c>
      <c r="C32" s="64"/>
      <c r="D32" s="64"/>
      <c r="E32" s="64" t="s">
        <v>69</v>
      </c>
      <c r="F32" s="134">
        <v>42507</v>
      </c>
      <c r="G32" s="64"/>
      <c r="H32" s="64"/>
      <c r="I32" s="68">
        <v>513.33000000000004</v>
      </c>
      <c r="J32" s="151">
        <v>653.33000000000004</v>
      </c>
      <c r="K32" s="68">
        <f>+I32+J32</f>
        <v>1166.6600000000001</v>
      </c>
      <c r="L32" s="68">
        <v>1063.0899999999999</v>
      </c>
      <c r="M32" s="68"/>
      <c r="N32" s="68"/>
      <c r="O32" s="68"/>
      <c r="P32" s="109"/>
      <c r="Q32" s="55">
        <f t="shared" si="1"/>
        <v>2229.75</v>
      </c>
      <c r="R32" s="56">
        <v>400</v>
      </c>
      <c r="S32" s="57"/>
      <c r="T32" s="103"/>
      <c r="U32" s="103"/>
      <c r="V32" s="103"/>
      <c r="W32" s="103"/>
      <c r="X32" s="104"/>
      <c r="Y32" s="104"/>
      <c r="Z32" s="88"/>
      <c r="AA32" s="88"/>
      <c r="AB32" s="55">
        <f>+Q32-SUM(R32:AA32)</f>
        <v>1829.75</v>
      </c>
      <c r="AC32" s="60">
        <f t="shared" ref="AC32" si="17">IF(Q32&gt;2250,Q32*0.1,0)</f>
        <v>0</v>
      </c>
      <c r="AD32" s="55">
        <f>+AB32-AC32</f>
        <v>1829.75</v>
      </c>
      <c r="AE32" s="61">
        <f t="shared" si="8"/>
        <v>222.97500000000002</v>
      </c>
      <c r="AF32" s="60">
        <v>10.23</v>
      </c>
      <c r="AG32" s="60">
        <f t="shared" ref="AG32" si="18">+U32</f>
        <v>0</v>
      </c>
      <c r="AH32" s="62">
        <f t="shared" ref="AH32" si="19">+Q32+AE32+AF32+AG32</f>
        <v>2462.9549999999999</v>
      </c>
      <c r="AI32" s="137"/>
      <c r="AJ32" s="137"/>
      <c r="AK32" s="123">
        <f t="shared" si="6"/>
        <v>-1829.75</v>
      </c>
      <c r="AL32" s="129">
        <v>2791168061</v>
      </c>
      <c r="AM32" s="6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</row>
    <row r="33" spans="1:193" s="30" customFormat="1">
      <c r="A33" s="64" t="s">
        <v>84</v>
      </c>
      <c r="B33" s="50" t="s">
        <v>192</v>
      </c>
      <c r="C33" s="50"/>
      <c r="D33" s="50" t="s">
        <v>115</v>
      </c>
      <c r="E33" s="50" t="s">
        <v>158</v>
      </c>
      <c r="F33" s="133">
        <v>41227</v>
      </c>
      <c r="G33" s="51"/>
      <c r="H33" s="51"/>
      <c r="I33" s="52">
        <v>608.16</v>
      </c>
      <c r="J33" s="152"/>
      <c r="K33" s="68">
        <f>+I33+J33</f>
        <v>608.16</v>
      </c>
      <c r="L33" s="52">
        <f>4210.59+2.972</f>
        <v>4213.5619999999999</v>
      </c>
      <c r="M33" s="52"/>
      <c r="N33" s="53"/>
      <c r="O33" s="53"/>
      <c r="P33" s="54"/>
      <c r="Q33" s="55">
        <f t="shared" si="1"/>
        <v>4821.7219999999998</v>
      </c>
      <c r="R33" s="56"/>
      <c r="S33" s="57"/>
      <c r="T33" s="103">
        <v>0</v>
      </c>
      <c r="U33" s="66">
        <f>Q33*4.9%</f>
        <v>236.26437799999999</v>
      </c>
      <c r="V33" s="66">
        <f>Q33*1%</f>
        <v>48.217219999999998</v>
      </c>
      <c r="W33" s="66">
        <v>300</v>
      </c>
      <c r="X33" s="58"/>
      <c r="Y33" s="58"/>
      <c r="Z33" s="70"/>
      <c r="AA33" s="59">
        <v>0</v>
      </c>
      <c r="AB33" s="55">
        <f t="shared" si="2"/>
        <v>4237.2404019999994</v>
      </c>
      <c r="AC33" s="60">
        <f t="shared" si="7"/>
        <v>482.17219999999998</v>
      </c>
      <c r="AD33" s="55">
        <f t="shared" si="3"/>
        <v>3755.0682019999995</v>
      </c>
      <c r="AE33" s="61">
        <f t="shared" si="8"/>
        <v>0</v>
      </c>
      <c r="AF33" s="60">
        <v>10.23</v>
      </c>
      <c r="AG33" s="60">
        <f t="shared" si="4"/>
        <v>236.26437799999999</v>
      </c>
      <c r="AH33" s="62">
        <f t="shared" si="5"/>
        <v>5068.2163779999992</v>
      </c>
      <c r="AI33" s="137"/>
      <c r="AJ33" s="138"/>
      <c r="AK33" s="123">
        <f t="shared" si="6"/>
        <v>-3755.0682019999995</v>
      </c>
      <c r="AL33" s="64"/>
      <c r="AM33" s="6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</row>
    <row r="34" spans="1:193" s="29" customFormat="1">
      <c r="A34" s="64" t="s">
        <v>81</v>
      </c>
      <c r="B34" s="64" t="s">
        <v>299</v>
      </c>
      <c r="C34" s="64"/>
      <c r="D34" s="64"/>
      <c r="E34" s="64" t="s">
        <v>69</v>
      </c>
      <c r="F34" s="134">
        <v>42514</v>
      </c>
      <c r="G34" s="64"/>
      <c r="H34" s="64"/>
      <c r="I34" s="28">
        <f>+K34</f>
        <v>1332.86</v>
      </c>
      <c r="J34" s="151"/>
      <c r="K34" s="68">
        <v>1332.86</v>
      </c>
      <c r="L34" s="68">
        <v>0</v>
      </c>
      <c r="M34" s="68"/>
      <c r="N34" s="68"/>
      <c r="O34" s="68"/>
      <c r="P34" s="109"/>
      <c r="Q34" s="55">
        <f t="shared" si="1"/>
        <v>1332.86</v>
      </c>
      <c r="R34" s="56"/>
      <c r="S34" s="103"/>
      <c r="T34" s="103">
        <v>0</v>
      </c>
      <c r="U34" s="103"/>
      <c r="V34" s="103"/>
      <c r="W34" s="103"/>
      <c r="X34" s="104"/>
      <c r="Y34" s="104"/>
      <c r="Z34" s="88"/>
      <c r="AA34" s="88">
        <v>0</v>
      </c>
      <c r="AB34" s="55">
        <f t="shared" ref="AB34:AB44" si="20">+Q34-SUM(R34:AA34)</f>
        <v>1332.86</v>
      </c>
      <c r="AC34" s="60">
        <f t="shared" ref="AC34:AC44" si="21">IF(Q34&gt;2250,Q34*0.1,0)</f>
        <v>0</v>
      </c>
      <c r="AD34" s="55">
        <f t="shared" ref="AD34:AD44" si="22">+AB34-AC34</f>
        <v>1332.86</v>
      </c>
      <c r="AE34" s="61">
        <f t="shared" ref="AE34:AE44" si="23">IF(Q34&lt;2250,Q34*0.1,0)</f>
        <v>133.286</v>
      </c>
      <c r="AF34" s="60">
        <v>11.23</v>
      </c>
      <c r="AG34" s="60">
        <f t="shared" ref="AG34:AG44" si="24">+U34</f>
        <v>0</v>
      </c>
      <c r="AH34" s="62">
        <f t="shared" ref="AH34:AH44" si="25">+Q34+AE34+AF34+AG34</f>
        <v>1477.376</v>
      </c>
      <c r="AI34" s="145"/>
      <c r="AJ34" s="146"/>
      <c r="AK34" s="123"/>
      <c r="AL34" s="64">
        <v>2747910657</v>
      </c>
      <c r="AM34" s="69" t="s">
        <v>288</v>
      </c>
    </row>
    <row r="35" spans="1:193" s="29" customFormat="1">
      <c r="A35" s="64" t="s">
        <v>82</v>
      </c>
      <c r="B35" s="64" t="s">
        <v>243</v>
      </c>
      <c r="C35" s="64"/>
      <c r="D35" s="64"/>
      <c r="E35" s="64" t="s">
        <v>244</v>
      </c>
      <c r="F35" s="134">
        <v>42457</v>
      </c>
      <c r="G35" s="64"/>
      <c r="H35" s="64"/>
      <c r="I35" s="28">
        <f>+K35</f>
        <v>942.85</v>
      </c>
      <c r="J35" s="151"/>
      <c r="K35" s="68">
        <v>942.85</v>
      </c>
      <c r="L35" s="68">
        <v>0</v>
      </c>
      <c r="M35" s="68"/>
      <c r="N35" s="68"/>
      <c r="O35" s="68"/>
      <c r="P35" s="54"/>
      <c r="Q35" s="55">
        <f t="shared" si="1"/>
        <v>942.85</v>
      </c>
      <c r="R35" s="56"/>
      <c r="S35" s="103"/>
      <c r="T35" s="103">
        <v>0</v>
      </c>
      <c r="U35" s="103"/>
      <c r="V35" s="103"/>
      <c r="W35" s="103"/>
      <c r="X35" s="104"/>
      <c r="Y35" s="104"/>
      <c r="Z35" s="88"/>
      <c r="AA35" s="88">
        <v>0</v>
      </c>
      <c r="AB35" s="55">
        <f t="shared" si="20"/>
        <v>942.85</v>
      </c>
      <c r="AC35" s="60">
        <f t="shared" si="21"/>
        <v>0</v>
      </c>
      <c r="AD35" s="55">
        <f t="shared" si="22"/>
        <v>942.85</v>
      </c>
      <c r="AE35" s="61">
        <f t="shared" si="23"/>
        <v>94.285000000000011</v>
      </c>
      <c r="AF35" s="60">
        <v>12.23</v>
      </c>
      <c r="AG35" s="60">
        <f t="shared" si="24"/>
        <v>0</v>
      </c>
      <c r="AH35" s="62">
        <f t="shared" si="25"/>
        <v>1049.365</v>
      </c>
      <c r="AI35" s="137"/>
      <c r="AJ35" s="137"/>
      <c r="AK35" s="123">
        <f t="shared" si="6"/>
        <v>-942.85</v>
      </c>
      <c r="AL35" s="64"/>
      <c r="AM35" s="141" t="s">
        <v>287</v>
      </c>
    </row>
    <row r="36" spans="1:193" s="29" customFormat="1">
      <c r="A36" s="64" t="s">
        <v>68</v>
      </c>
      <c r="B36" s="64" t="s">
        <v>268</v>
      </c>
      <c r="C36" s="64" t="s">
        <v>204</v>
      </c>
      <c r="D36" s="64"/>
      <c r="E36" s="64" t="s">
        <v>70</v>
      </c>
      <c r="F36" s="134">
        <v>42413</v>
      </c>
      <c r="G36" s="64"/>
      <c r="H36" s="64"/>
      <c r="I36" s="68">
        <v>513.33000000000004</v>
      </c>
      <c r="J36" s="151">
        <v>653.33000000000004</v>
      </c>
      <c r="K36" s="68">
        <f t="shared" si="0"/>
        <v>1166.6600000000001</v>
      </c>
      <c r="L36" s="68">
        <v>0</v>
      </c>
      <c r="M36" s="68"/>
      <c r="N36" s="68"/>
      <c r="O36" s="68"/>
      <c r="P36" s="54"/>
      <c r="Q36" s="55">
        <f t="shared" si="1"/>
        <v>1166.6600000000001</v>
      </c>
      <c r="R36" s="56"/>
      <c r="S36" s="103"/>
      <c r="T36" s="103">
        <v>0</v>
      </c>
      <c r="U36" s="103"/>
      <c r="V36" s="103"/>
      <c r="W36" s="103"/>
      <c r="X36" s="104"/>
      <c r="Y36" s="104"/>
      <c r="Z36" s="88"/>
      <c r="AA36" s="88">
        <v>0</v>
      </c>
      <c r="AB36" s="55">
        <f t="shared" si="20"/>
        <v>1166.6600000000001</v>
      </c>
      <c r="AC36" s="60">
        <f t="shared" si="21"/>
        <v>0</v>
      </c>
      <c r="AD36" s="55">
        <f t="shared" si="22"/>
        <v>1166.6600000000001</v>
      </c>
      <c r="AE36" s="61">
        <f t="shared" si="23"/>
        <v>116.66600000000001</v>
      </c>
      <c r="AF36" s="60">
        <v>13.23</v>
      </c>
      <c r="AG36" s="60">
        <f t="shared" si="24"/>
        <v>0</v>
      </c>
      <c r="AH36" s="62">
        <f t="shared" si="25"/>
        <v>1296.556</v>
      </c>
      <c r="AI36" s="137"/>
      <c r="AJ36" s="138"/>
      <c r="AK36" s="123">
        <f t="shared" si="6"/>
        <v>-1166.6600000000001</v>
      </c>
      <c r="AL36" s="64"/>
      <c r="AM36" s="64"/>
    </row>
    <row r="37" spans="1:193" s="29" customFormat="1">
      <c r="A37" s="64" t="s">
        <v>68</v>
      </c>
      <c r="B37" s="64" t="s">
        <v>291</v>
      </c>
      <c r="C37" s="64"/>
      <c r="D37" s="64"/>
      <c r="E37" s="64" t="s">
        <v>70</v>
      </c>
      <c r="F37" s="134">
        <v>42520</v>
      </c>
      <c r="G37" s="64"/>
      <c r="H37" s="64"/>
      <c r="I37" s="68">
        <v>513.33000000000004</v>
      </c>
      <c r="J37" s="151"/>
      <c r="K37" s="68">
        <f>+I37</f>
        <v>513.33000000000004</v>
      </c>
      <c r="L37" s="68">
        <v>0</v>
      </c>
      <c r="M37" s="68"/>
      <c r="N37" s="68"/>
      <c r="O37" s="68"/>
      <c r="P37" s="109"/>
      <c r="Q37" s="55">
        <f t="shared" si="1"/>
        <v>513.33000000000004</v>
      </c>
      <c r="R37" s="56"/>
      <c r="S37" s="103"/>
      <c r="T37" s="103">
        <v>0</v>
      </c>
      <c r="U37" s="103"/>
      <c r="V37" s="103"/>
      <c r="W37" s="103"/>
      <c r="X37" s="104"/>
      <c r="Y37" s="104"/>
      <c r="Z37" s="88"/>
      <c r="AA37" s="88">
        <v>0</v>
      </c>
      <c r="AB37" s="55">
        <f t="shared" si="20"/>
        <v>513.33000000000004</v>
      </c>
      <c r="AC37" s="60">
        <f t="shared" si="21"/>
        <v>0</v>
      </c>
      <c r="AD37" s="55">
        <f t="shared" si="22"/>
        <v>513.33000000000004</v>
      </c>
      <c r="AE37" s="61">
        <f t="shared" si="23"/>
        <v>51.333000000000006</v>
      </c>
      <c r="AF37" s="60">
        <v>14.23</v>
      </c>
      <c r="AG37" s="60">
        <f t="shared" si="24"/>
        <v>0</v>
      </c>
      <c r="AH37" s="62">
        <f t="shared" si="25"/>
        <v>578.89300000000003</v>
      </c>
      <c r="AI37" s="145"/>
      <c r="AJ37" s="146"/>
      <c r="AK37" s="123"/>
      <c r="AL37" s="64">
        <v>1175437504</v>
      </c>
      <c r="AM37" s="69" t="s">
        <v>290</v>
      </c>
    </row>
    <row r="38" spans="1:193" s="29" customFormat="1">
      <c r="A38" s="64" t="s">
        <v>68</v>
      </c>
      <c r="B38" s="64" t="s">
        <v>265</v>
      </c>
      <c r="C38" s="64" t="s">
        <v>204</v>
      </c>
      <c r="D38" s="64" t="s">
        <v>130</v>
      </c>
      <c r="E38" s="64" t="s">
        <v>70</v>
      </c>
      <c r="F38" s="133">
        <v>41906</v>
      </c>
      <c r="G38" s="64"/>
      <c r="H38" s="64"/>
      <c r="I38" s="68">
        <v>513.33000000000004</v>
      </c>
      <c r="J38" s="151">
        <v>653.33000000000004</v>
      </c>
      <c r="K38" s="68">
        <f t="shared" si="0"/>
        <v>1166.6600000000001</v>
      </c>
      <c r="L38" s="68">
        <v>3864</v>
      </c>
      <c r="M38" s="68"/>
      <c r="N38" s="68"/>
      <c r="O38" s="68"/>
      <c r="P38" s="54"/>
      <c r="Q38" s="55">
        <f t="shared" si="1"/>
        <v>5030.66</v>
      </c>
      <c r="R38" s="56"/>
      <c r="S38" s="103">
        <v>58.91</v>
      </c>
      <c r="T38" s="103">
        <v>0</v>
      </c>
      <c r="U38" s="103"/>
      <c r="V38" s="103"/>
      <c r="W38" s="103"/>
      <c r="X38" s="104"/>
      <c r="Y38" s="104"/>
      <c r="Z38" s="88"/>
      <c r="AA38" s="65">
        <v>349.07</v>
      </c>
      <c r="AB38" s="55">
        <f t="shared" si="20"/>
        <v>4622.68</v>
      </c>
      <c r="AC38" s="60">
        <f t="shared" si="21"/>
        <v>503.06600000000003</v>
      </c>
      <c r="AD38" s="55">
        <f t="shared" si="22"/>
        <v>4119.6140000000005</v>
      </c>
      <c r="AE38" s="61">
        <f t="shared" si="23"/>
        <v>0</v>
      </c>
      <c r="AF38" s="60">
        <v>15.23</v>
      </c>
      <c r="AG38" s="60">
        <f t="shared" si="24"/>
        <v>0</v>
      </c>
      <c r="AH38" s="62">
        <f t="shared" si="25"/>
        <v>5045.8899999999994</v>
      </c>
      <c r="AI38" s="137"/>
      <c r="AJ38" s="138"/>
      <c r="AK38" s="123">
        <f t="shared" si="6"/>
        <v>-4119.6140000000005</v>
      </c>
      <c r="AL38" s="64"/>
      <c r="AM38" s="64"/>
    </row>
    <row r="39" spans="1:193" s="29" customFormat="1">
      <c r="A39" s="64"/>
      <c r="B39" s="64" t="s">
        <v>281</v>
      </c>
      <c r="C39" s="64"/>
      <c r="D39" s="64"/>
      <c r="E39" s="64" t="s">
        <v>150</v>
      </c>
      <c r="F39" s="134">
        <v>42506</v>
      </c>
      <c r="G39" s="64"/>
      <c r="H39" s="64"/>
      <c r="I39" s="68">
        <v>513.33000000000004</v>
      </c>
      <c r="J39" s="151">
        <v>486.67</v>
      </c>
      <c r="K39" s="68">
        <f t="shared" si="0"/>
        <v>1000</v>
      </c>
      <c r="L39" s="68">
        <v>700</v>
      </c>
      <c r="M39" s="68"/>
      <c r="N39" s="68"/>
      <c r="O39" s="68"/>
      <c r="P39" s="109"/>
      <c r="Q39" s="55">
        <f t="shared" si="1"/>
        <v>1700</v>
      </c>
      <c r="R39" s="56"/>
      <c r="S39" s="103"/>
      <c r="T39" s="103"/>
      <c r="U39" s="103"/>
      <c r="V39" s="103"/>
      <c r="W39" s="103"/>
      <c r="X39" s="104"/>
      <c r="Y39" s="104"/>
      <c r="Z39" s="88"/>
      <c r="AA39" s="88">
        <v>0</v>
      </c>
      <c r="AB39" s="55">
        <f t="shared" si="20"/>
        <v>1700</v>
      </c>
      <c r="AC39" s="60">
        <f t="shared" si="21"/>
        <v>0</v>
      </c>
      <c r="AD39" s="55">
        <f t="shared" si="22"/>
        <v>1700</v>
      </c>
      <c r="AE39" s="61">
        <f t="shared" si="23"/>
        <v>170</v>
      </c>
      <c r="AF39" s="60">
        <v>16.23</v>
      </c>
      <c r="AG39" s="60">
        <f t="shared" si="24"/>
        <v>0</v>
      </c>
      <c r="AH39" s="62">
        <f t="shared" si="25"/>
        <v>1886.23</v>
      </c>
      <c r="AI39" s="137"/>
      <c r="AJ39" s="140"/>
      <c r="AK39" s="123">
        <f t="shared" si="6"/>
        <v>-1700</v>
      </c>
      <c r="AL39" s="129">
        <v>1180560405</v>
      </c>
      <c r="AM39" s="69"/>
    </row>
    <row r="40" spans="1:193" s="29" customFormat="1">
      <c r="A40" s="64" t="s">
        <v>68</v>
      </c>
      <c r="B40" s="64" t="s">
        <v>282</v>
      </c>
      <c r="C40" s="64"/>
      <c r="D40" s="64"/>
      <c r="E40" s="64" t="s">
        <v>283</v>
      </c>
      <c r="F40" s="134">
        <v>42480</v>
      </c>
      <c r="G40" s="64"/>
      <c r="H40" s="64"/>
      <c r="I40" s="68">
        <v>513.33000000000004</v>
      </c>
      <c r="J40" s="151">
        <v>1470</v>
      </c>
      <c r="K40" s="68">
        <f t="shared" ref="K40:K78" si="26">+I40+J40</f>
        <v>1983.33</v>
      </c>
      <c r="L40" s="68">
        <v>0</v>
      </c>
      <c r="M40" s="68"/>
      <c r="N40" s="68"/>
      <c r="O40" s="68"/>
      <c r="P40" s="109"/>
      <c r="Q40" s="55">
        <f t="shared" si="1"/>
        <v>1983.33</v>
      </c>
      <c r="R40" s="56"/>
      <c r="S40" s="103"/>
      <c r="T40" s="103"/>
      <c r="U40" s="103"/>
      <c r="V40" s="103"/>
      <c r="W40" s="103"/>
      <c r="X40" s="104"/>
      <c r="Y40" s="104"/>
      <c r="Z40" s="88"/>
      <c r="AA40" s="88">
        <v>0</v>
      </c>
      <c r="AB40" s="55">
        <f t="shared" si="20"/>
        <v>1983.33</v>
      </c>
      <c r="AC40" s="60">
        <f t="shared" si="21"/>
        <v>0</v>
      </c>
      <c r="AD40" s="55">
        <f t="shared" si="22"/>
        <v>1983.33</v>
      </c>
      <c r="AE40" s="61">
        <f t="shared" si="23"/>
        <v>198.333</v>
      </c>
      <c r="AF40" s="60">
        <v>17.23</v>
      </c>
      <c r="AG40" s="60">
        <f t="shared" si="24"/>
        <v>0</v>
      </c>
      <c r="AH40" s="62">
        <f t="shared" si="25"/>
        <v>2198.893</v>
      </c>
      <c r="AI40" s="139"/>
      <c r="AJ40" s="140"/>
      <c r="AK40" s="123">
        <f t="shared" si="6"/>
        <v>-1983.33</v>
      </c>
      <c r="AL40" s="64">
        <v>1116618499</v>
      </c>
      <c r="AM40" s="69"/>
    </row>
    <row r="41" spans="1:193" s="29" customFormat="1">
      <c r="A41" s="64" t="s">
        <v>68</v>
      </c>
      <c r="B41" s="64" t="s">
        <v>205</v>
      </c>
      <c r="C41" s="64" t="s">
        <v>204</v>
      </c>
      <c r="D41" s="76"/>
      <c r="E41" s="64" t="s">
        <v>70</v>
      </c>
      <c r="F41" s="134">
        <v>42240</v>
      </c>
      <c r="G41" s="64"/>
      <c r="H41" s="64"/>
      <c r="I41" s="68"/>
      <c r="J41" s="151"/>
      <c r="K41" s="68">
        <f t="shared" si="0"/>
        <v>0</v>
      </c>
      <c r="L41" s="68">
        <v>0</v>
      </c>
      <c r="M41" s="68"/>
      <c r="N41" s="68"/>
      <c r="O41" s="68"/>
      <c r="P41" s="109"/>
      <c r="Q41" s="55">
        <f t="shared" si="1"/>
        <v>0</v>
      </c>
      <c r="R41" s="56"/>
      <c r="S41" s="103"/>
      <c r="T41" s="103">
        <v>0</v>
      </c>
      <c r="U41" s="103"/>
      <c r="V41" s="103"/>
      <c r="W41" s="103"/>
      <c r="X41" s="104"/>
      <c r="Y41" s="104"/>
      <c r="Z41" s="88"/>
      <c r="AA41" s="88">
        <v>0</v>
      </c>
      <c r="AB41" s="55">
        <f t="shared" si="20"/>
        <v>0</v>
      </c>
      <c r="AC41" s="60">
        <f t="shared" si="21"/>
        <v>0</v>
      </c>
      <c r="AD41" s="55">
        <f t="shared" si="22"/>
        <v>0</v>
      </c>
      <c r="AE41" s="61">
        <f t="shared" si="23"/>
        <v>0</v>
      </c>
      <c r="AF41" s="60">
        <v>18.23</v>
      </c>
      <c r="AG41" s="60">
        <f t="shared" si="24"/>
        <v>0</v>
      </c>
      <c r="AH41" s="62">
        <f t="shared" si="25"/>
        <v>18.23</v>
      </c>
      <c r="AI41" s="147"/>
      <c r="AJ41" s="147"/>
      <c r="AK41" s="123">
        <f t="shared" si="6"/>
        <v>0</v>
      </c>
      <c r="AL41" s="64"/>
      <c r="AM41" s="69" t="s">
        <v>247</v>
      </c>
    </row>
    <row r="42" spans="1:193">
      <c r="A42" s="64" t="s">
        <v>82</v>
      </c>
      <c r="B42" s="50" t="s">
        <v>193</v>
      </c>
      <c r="C42" s="50"/>
      <c r="D42" s="50" t="s">
        <v>88</v>
      </c>
      <c r="E42" s="50" t="s">
        <v>143</v>
      </c>
      <c r="F42" s="133">
        <v>42319</v>
      </c>
      <c r="G42" s="50"/>
      <c r="H42" s="50"/>
      <c r="I42" s="52">
        <v>739.23</v>
      </c>
      <c r="J42" s="150"/>
      <c r="K42" s="68">
        <f t="shared" si="26"/>
        <v>739.23</v>
      </c>
      <c r="L42" s="52">
        <f>1858.85+7.42</f>
        <v>1866.27</v>
      </c>
      <c r="M42" s="52"/>
      <c r="N42" s="52"/>
      <c r="O42" s="52"/>
      <c r="P42" s="54"/>
      <c r="Q42" s="55">
        <f t="shared" si="1"/>
        <v>2605.5</v>
      </c>
      <c r="R42" s="56"/>
      <c r="S42" s="57"/>
      <c r="T42" s="57">
        <v>0</v>
      </c>
      <c r="U42" s="57"/>
      <c r="V42" s="57"/>
      <c r="W42" s="57"/>
      <c r="X42" s="58"/>
      <c r="Y42" s="58"/>
      <c r="Z42" s="59"/>
      <c r="AA42" s="88">
        <v>0</v>
      </c>
      <c r="AB42" s="55">
        <f t="shared" si="20"/>
        <v>2605.5</v>
      </c>
      <c r="AC42" s="60">
        <f t="shared" si="21"/>
        <v>260.55</v>
      </c>
      <c r="AD42" s="55">
        <f t="shared" si="22"/>
        <v>2344.9499999999998</v>
      </c>
      <c r="AE42" s="61">
        <f t="shared" si="23"/>
        <v>0</v>
      </c>
      <c r="AF42" s="60">
        <v>19.23</v>
      </c>
      <c r="AG42" s="60">
        <f t="shared" si="24"/>
        <v>0</v>
      </c>
      <c r="AH42" s="62">
        <f t="shared" si="25"/>
        <v>2624.73</v>
      </c>
      <c r="AI42" s="137"/>
      <c r="AJ42" s="138"/>
      <c r="AK42" s="123">
        <f t="shared" si="6"/>
        <v>-2344.9499999999998</v>
      </c>
      <c r="AL42" s="64"/>
      <c r="AM42" s="6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</row>
    <row r="43" spans="1:193">
      <c r="A43" s="64" t="s">
        <v>68</v>
      </c>
      <c r="B43" s="50" t="s">
        <v>189</v>
      </c>
      <c r="C43" s="50" t="s">
        <v>206</v>
      </c>
      <c r="D43" s="50" t="s">
        <v>131</v>
      </c>
      <c r="E43" s="50" t="s">
        <v>70</v>
      </c>
      <c r="F43" s="133">
        <v>41463</v>
      </c>
      <c r="G43" s="51"/>
      <c r="H43" s="51"/>
      <c r="I43" s="68">
        <v>513.33000000000004</v>
      </c>
      <c r="J43" s="151">
        <v>653.33000000000004</v>
      </c>
      <c r="K43" s="68">
        <f t="shared" si="26"/>
        <v>1166.6600000000001</v>
      </c>
      <c r="L43" s="52">
        <v>2322.64</v>
      </c>
      <c r="M43" s="52"/>
      <c r="N43" s="53"/>
      <c r="O43" s="53"/>
      <c r="P43" s="54"/>
      <c r="Q43" s="55">
        <f t="shared" si="1"/>
        <v>3489.3</v>
      </c>
      <c r="R43" s="56"/>
      <c r="S43" s="57">
        <v>58.91</v>
      </c>
      <c r="T43" s="57">
        <v>0</v>
      </c>
      <c r="U43" s="57"/>
      <c r="V43" s="57"/>
      <c r="W43" s="57"/>
      <c r="X43" s="58"/>
      <c r="Y43" s="58"/>
      <c r="Z43" s="59"/>
      <c r="AA43" s="88">
        <v>0</v>
      </c>
      <c r="AB43" s="55">
        <f t="shared" si="20"/>
        <v>3430.3900000000003</v>
      </c>
      <c r="AC43" s="60">
        <f t="shared" si="21"/>
        <v>348.93000000000006</v>
      </c>
      <c r="AD43" s="55">
        <f t="shared" si="22"/>
        <v>3081.46</v>
      </c>
      <c r="AE43" s="61">
        <f t="shared" si="23"/>
        <v>0</v>
      </c>
      <c r="AF43" s="60">
        <v>20.23</v>
      </c>
      <c r="AG43" s="60">
        <f t="shared" si="24"/>
        <v>0</v>
      </c>
      <c r="AH43" s="62">
        <f t="shared" si="25"/>
        <v>3509.53</v>
      </c>
      <c r="AI43" s="137"/>
      <c r="AJ43" s="138"/>
      <c r="AK43" s="123">
        <f t="shared" si="6"/>
        <v>-3081.46</v>
      </c>
      <c r="AL43" s="64"/>
      <c r="AM43" s="64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</row>
    <row r="44" spans="1:193" s="29" customFormat="1">
      <c r="A44" s="64" t="s">
        <v>66</v>
      </c>
      <c r="B44" s="64" t="s">
        <v>292</v>
      </c>
      <c r="C44" s="64"/>
      <c r="D44" s="64" t="s">
        <v>293</v>
      </c>
      <c r="E44" s="64" t="s">
        <v>294</v>
      </c>
      <c r="F44" s="148">
        <v>40618</v>
      </c>
      <c r="G44" s="64"/>
      <c r="H44" s="64"/>
      <c r="I44" s="68">
        <v>1750</v>
      </c>
      <c r="J44" s="151"/>
      <c r="K44" s="68">
        <f t="shared" si="26"/>
        <v>1750</v>
      </c>
      <c r="L44" s="68">
        <v>4722.1400000000003</v>
      </c>
      <c r="M44" s="68"/>
      <c r="N44" s="68"/>
      <c r="O44" s="68"/>
      <c r="P44" s="109"/>
      <c r="Q44" s="55">
        <f t="shared" si="1"/>
        <v>6472.14</v>
      </c>
      <c r="R44" s="56"/>
      <c r="S44" s="103"/>
      <c r="T44" s="103">
        <v>0</v>
      </c>
      <c r="U44" s="103"/>
      <c r="V44" s="103"/>
      <c r="W44" s="103"/>
      <c r="X44" s="104"/>
      <c r="Y44" s="104"/>
      <c r="Z44" s="88"/>
      <c r="AA44" s="88">
        <v>0</v>
      </c>
      <c r="AB44" s="55">
        <f t="shared" si="20"/>
        <v>6472.14</v>
      </c>
      <c r="AC44" s="60">
        <f t="shared" si="21"/>
        <v>647.21400000000006</v>
      </c>
      <c r="AD44" s="55">
        <f t="shared" si="22"/>
        <v>5824.9260000000004</v>
      </c>
      <c r="AE44" s="61">
        <f t="shared" si="23"/>
        <v>0</v>
      </c>
      <c r="AF44" s="60">
        <v>21.23</v>
      </c>
      <c r="AG44" s="60">
        <f t="shared" si="24"/>
        <v>0</v>
      </c>
      <c r="AH44" s="62">
        <f t="shared" si="25"/>
        <v>6493.37</v>
      </c>
      <c r="AI44" s="145"/>
      <c r="AJ44" s="146"/>
      <c r="AK44" s="123"/>
      <c r="AL44" s="64">
        <v>2659973974</v>
      </c>
      <c r="AM44" s="69" t="s">
        <v>295</v>
      </c>
    </row>
    <row r="45" spans="1:193">
      <c r="A45" s="64" t="s">
        <v>68</v>
      </c>
      <c r="B45" s="50" t="s">
        <v>266</v>
      </c>
      <c r="C45" s="50" t="s">
        <v>209</v>
      </c>
      <c r="D45" s="50" t="s">
        <v>132</v>
      </c>
      <c r="E45" s="50" t="s">
        <v>70</v>
      </c>
      <c r="F45" s="133">
        <v>42296</v>
      </c>
      <c r="G45" s="51"/>
      <c r="H45" s="51"/>
      <c r="I45" s="52">
        <v>513.33000000000004</v>
      </c>
      <c r="J45" s="151">
        <v>653.33000000000004</v>
      </c>
      <c r="K45" s="68">
        <f t="shared" si="26"/>
        <v>1166.6600000000001</v>
      </c>
      <c r="L45" s="52">
        <v>538.41999999999996</v>
      </c>
      <c r="M45" s="52"/>
      <c r="N45" s="53"/>
      <c r="O45" s="53"/>
      <c r="P45" s="54"/>
      <c r="Q45" s="55">
        <f t="shared" ref="Q45:Q78" si="27">SUM(K45:O45)-P45</f>
        <v>1705.08</v>
      </c>
      <c r="R45" s="56"/>
      <c r="S45" s="57"/>
      <c r="T45" s="57">
        <v>0</v>
      </c>
      <c r="U45" s="57"/>
      <c r="V45" s="57"/>
      <c r="W45" s="57"/>
      <c r="X45" s="58"/>
      <c r="Y45" s="58"/>
      <c r="Z45" s="59"/>
      <c r="AA45" s="65">
        <v>208.6</v>
      </c>
      <c r="AB45" s="55">
        <f t="shared" ref="AB45:AB78" si="28">+Q45-SUM(R45:AA45)</f>
        <v>1496.48</v>
      </c>
      <c r="AC45" s="60">
        <f t="shared" si="7"/>
        <v>0</v>
      </c>
      <c r="AD45" s="55">
        <f t="shared" ref="AD45:AD76" si="29">+AB45-AC45</f>
        <v>1496.48</v>
      </c>
      <c r="AE45" s="61">
        <f t="shared" si="8"/>
        <v>170.50800000000001</v>
      </c>
      <c r="AF45" s="60">
        <v>10.23</v>
      </c>
      <c r="AG45" s="60">
        <f t="shared" ref="AG45:AG76" si="30">+U45</f>
        <v>0</v>
      </c>
      <c r="AH45" s="62">
        <f t="shared" ref="AH45:AH76" si="31">+Q45+AE45+AF45+AG45</f>
        <v>1885.818</v>
      </c>
      <c r="AI45" s="137"/>
      <c r="AJ45" s="138"/>
      <c r="AK45" s="123">
        <f t="shared" si="6"/>
        <v>-1496.48</v>
      </c>
      <c r="AL45" s="64"/>
      <c r="AM45" s="64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</row>
    <row r="46" spans="1:193">
      <c r="A46" s="64" t="s">
        <v>67</v>
      </c>
      <c r="B46" s="50" t="s">
        <v>77</v>
      </c>
      <c r="C46" s="64" t="s">
        <v>234</v>
      </c>
      <c r="D46" s="50" t="s">
        <v>107</v>
      </c>
      <c r="E46" s="50" t="s">
        <v>152</v>
      </c>
      <c r="F46" s="133">
        <v>42199</v>
      </c>
      <c r="G46" s="51"/>
      <c r="H46" s="51"/>
      <c r="I46" s="52">
        <v>513.33000000000004</v>
      </c>
      <c r="J46" s="151">
        <v>653.33000000000004</v>
      </c>
      <c r="K46" s="68">
        <f t="shared" si="26"/>
        <v>1166.6600000000001</v>
      </c>
      <c r="L46" s="52">
        <v>0</v>
      </c>
      <c r="M46" s="52"/>
      <c r="N46" s="53"/>
      <c r="O46" s="53"/>
      <c r="P46" s="54"/>
      <c r="Q46" s="55">
        <f t="shared" si="27"/>
        <v>1166.6600000000001</v>
      </c>
      <c r="R46" s="56"/>
      <c r="S46" s="57">
        <v>58.91</v>
      </c>
      <c r="T46" s="57">
        <v>0</v>
      </c>
      <c r="U46" s="57"/>
      <c r="V46" s="57"/>
      <c r="W46" s="57"/>
      <c r="X46" s="58"/>
      <c r="Y46" s="58"/>
      <c r="Z46" s="59"/>
      <c r="AA46" s="59">
        <v>0</v>
      </c>
      <c r="AB46" s="55">
        <f t="shared" si="28"/>
        <v>1107.75</v>
      </c>
      <c r="AC46" s="60">
        <f t="shared" si="7"/>
        <v>0</v>
      </c>
      <c r="AD46" s="55">
        <f t="shared" si="29"/>
        <v>1107.75</v>
      </c>
      <c r="AE46" s="61">
        <f t="shared" si="8"/>
        <v>116.66600000000001</v>
      </c>
      <c r="AF46" s="60">
        <v>10.23</v>
      </c>
      <c r="AG46" s="60">
        <f t="shared" si="30"/>
        <v>0</v>
      </c>
      <c r="AH46" s="62">
        <f t="shared" si="31"/>
        <v>1293.556</v>
      </c>
      <c r="AI46" s="137"/>
      <c r="AJ46" s="138"/>
      <c r="AK46" s="123">
        <f t="shared" si="6"/>
        <v>-1107.75</v>
      </c>
      <c r="AL46" s="64"/>
      <c r="AM46" s="64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</row>
    <row r="47" spans="1:193">
      <c r="A47" s="64" t="s">
        <v>68</v>
      </c>
      <c r="B47" s="50" t="s">
        <v>210</v>
      </c>
      <c r="C47" s="50" t="s">
        <v>209</v>
      </c>
      <c r="D47" s="50" t="s">
        <v>133</v>
      </c>
      <c r="E47" s="50" t="s">
        <v>70</v>
      </c>
      <c r="F47" s="133">
        <v>42304</v>
      </c>
      <c r="G47" s="51"/>
      <c r="H47" s="51"/>
      <c r="I47" s="52">
        <v>513.33000000000004</v>
      </c>
      <c r="J47" s="151">
        <v>653.33000000000004</v>
      </c>
      <c r="K47" s="68">
        <f t="shared" si="26"/>
        <v>1166.6600000000001</v>
      </c>
      <c r="L47" s="52">
        <v>0</v>
      </c>
      <c r="M47" s="52"/>
      <c r="N47" s="53"/>
      <c r="O47" s="53"/>
      <c r="P47" s="54"/>
      <c r="Q47" s="55">
        <f t="shared" si="27"/>
        <v>1166.6600000000001</v>
      </c>
      <c r="R47" s="56"/>
      <c r="S47" s="57"/>
      <c r="T47" s="57">
        <v>0</v>
      </c>
      <c r="U47" s="57"/>
      <c r="V47" s="57"/>
      <c r="W47" s="57"/>
      <c r="X47" s="58"/>
      <c r="Y47" s="58"/>
      <c r="Z47" s="59"/>
      <c r="AA47" s="59">
        <v>0</v>
      </c>
      <c r="AB47" s="55">
        <f t="shared" si="28"/>
        <v>1166.6600000000001</v>
      </c>
      <c r="AC47" s="60">
        <f t="shared" si="7"/>
        <v>0</v>
      </c>
      <c r="AD47" s="55">
        <f t="shared" si="29"/>
        <v>1166.6600000000001</v>
      </c>
      <c r="AE47" s="61">
        <f t="shared" si="8"/>
        <v>116.66600000000001</v>
      </c>
      <c r="AF47" s="60">
        <v>10.23</v>
      </c>
      <c r="AG47" s="60">
        <f t="shared" si="30"/>
        <v>0</v>
      </c>
      <c r="AH47" s="62">
        <f t="shared" si="31"/>
        <v>1293.556</v>
      </c>
      <c r="AI47" s="127"/>
      <c r="AJ47" s="127"/>
      <c r="AK47" s="127"/>
      <c r="AL47" s="64"/>
      <c r="AM47" s="64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</row>
    <row r="48" spans="1:193" s="29" customFormat="1">
      <c r="A48" s="64" t="s">
        <v>68</v>
      </c>
      <c r="B48" s="50" t="s">
        <v>214</v>
      </c>
      <c r="C48" s="50"/>
      <c r="D48" s="50" t="s">
        <v>135</v>
      </c>
      <c r="E48" s="50" t="s">
        <v>70</v>
      </c>
      <c r="F48" s="133">
        <v>42164</v>
      </c>
      <c r="G48" s="51"/>
      <c r="H48" s="51"/>
      <c r="I48" s="52">
        <v>513.33000000000004</v>
      </c>
      <c r="J48" s="151">
        <v>653.33000000000004</v>
      </c>
      <c r="K48" s="68">
        <f t="shared" si="26"/>
        <v>1166.6600000000001</v>
      </c>
      <c r="L48" s="52">
        <v>0</v>
      </c>
      <c r="M48" s="52"/>
      <c r="N48" s="53"/>
      <c r="O48" s="53"/>
      <c r="P48" s="54"/>
      <c r="Q48" s="55">
        <f t="shared" si="27"/>
        <v>1166.6600000000001</v>
      </c>
      <c r="R48" s="56"/>
      <c r="S48" s="57"/>
      <c r="T48" s="57">
        <v>0</v>
      </c>
      <c r="U48" s="57"/>
      <c r="V48" s="57"/>
      <c r="W48" s="57"/>
      <c r="X48" s="58"/>
      <c r="Y48" s="58"/>
      <c r="Z48" s="59"/>
      <c r="AA48" s="59">
        <v>0</v>
      </c>
      <c r="AB48" s="55">
        <f t="shared" si="28"/>
        <v>1166.6600000000001</v>
      </c>
      <c r="AC48" s="60">
        <f t="shared" si="7"/>
        <v>0</v>
      </c>
      <c r="AD48" s="55">
        <f t="shared" si="29"/>
        <v>1166.6600000000001</v>
      </c>
      <c r="AE48" s="61">
        <f t="shared" si="8"/>
        <v>116.66600000000001</v>
      </c>
      <c r="AF48" s="60">
        <v>10.23</v>
      </c>
      <c r="AG48" s="60">
        <f t="shared" si="30"/>
        <v>0</v>
      </c>
      <c r="AH48" s="62">
        <f t="shared" si="31"/>
        <v>1293.556</v>
      </c>
      <c r="AI48" s="137"/>
      <c r="AJ48" s="140"/>
      <c r="AK48" s="123">
        <f t="shared" si="6"/>
        <v>-1166.6600000000001</v>
      </c>
      <c r="AL48" s="64"/>
      <c r="AM48" s="64"/>
    </row>
    <row r="49" spans="1:193">
      <c r="A49" s="64" t="s">
        <v>84</v>
      </c>
      <c r="B49" s="50" t="s">
        <v>165</v>
      </c>
      <c r="C49" s="50"/>
      <c r="D49" s="50" t="s">
        <v>116</v>
      </c>
      <c r="E49" s="50" t="s">
        <v>153</v>
      </c>
      <c r="F49" s="133">
        <v>41981</v>
      </c>
      <c r="G49" s="51"/>
      <c r="H49" s="51"/>
      <c r="I49" s="52">
        <v>556.78</v>
      </c>
      <c r="J49" s="152"/>
      <c r="K49" s="68">
        <f t="shared" si="26"/>
        <v>556.78</v>
      </c>
      <c r="L49" s="52">
        <v>295.66000000000003</v>
      </c>
      <c r="M49" s="52"/>
      <c r="N49" s="53"/>
      <c r="O49" s="53"/>
      <c r="P49" s="54"/>
      <c r="Q49" s="55">
        <f t="shared" si="27"/>
        <v>852.44</v>
      </c>
      <c r="R49" s="56"/>
      <c r="S49" s="57"/>
      <c r="T49" s="66">
        <v>100</v>
      </c>
      <c r="U49" s="66">
        <f>Q49*4.9%</f>
        <v>41.769560000000006</v>
      </c>
      <c r="V49" s="66">
        <f>Q49*1%</f>
        <v>8.5244</v>
      </c>
      <c r="W49" s="57"/>
      <c r="X49" s="58"/>
      <c r="Y49" s="58"/>
      <c r="Z49" s="59"/>
      <c r="AA49" s="59">
        <v>0</v>
      </c>
      <c r="AB49" s="55">
        <f t="shared" si="28"/>
        <v>702.14604000000008</v>
      </c>
      <c r="AC49" s="60">
        <f t="shared" si="7"/>
        <v>0</v>
      </c>
      <c r="AD49" s="55">
        <f t="shared" si="29"/>
        <v>702.14604000000008</v>
      </c>
      <c r="AE49" s="61">
        <f t="shared" si="8"/>
        <v>85.244000000000014</v>
      </c>
      <c r="AF49" s="60">
        <v>10.23</v>
      </c>
      <c r="AG49" s="60">
        <f t="shared" si="30"/>
        <v>41.769560000000006</v>
      </c>
      <c r="AH49" s="62">
        <f t="shared" si="31"/>
        <v>989.68356000000006</v>
      </c>
      <c r="AI49" s="137"/>
      <c r="AJ49" s="137"/>
      <c r="AK49" s="123">
        <f t="shared" si="6"/>
        <v>-702.14604000000008</v>
      </c>
      <c r="AL49" s="64"/>
      <c r="AM49" s="64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</row>
    <row r="50" spans="1:193" s="29" customFormat="1">
      <c r="A50" s="64" t="s">
        <v>84</v>
      </c>
      <c r="B50" s="64" t="s">
        <v>216</v>
      </c>
      <c r="C50" s="64"/>
      <c r="D50" s="64" t="s">
        <v>217</v>
      </c>
      <c r="E50" s="50" t="s">
        <v>158</v>
      </c>
      <c r="F50" s="132">
        <v>41284</v>
      </c>
      <c r="G50" s="64"/>
      <c r="H50" s="64"/>
      <c r="I50" s="68">
        <v>608.16</v>
      </c>
      <c r="J50" s="151"/>
      <c r="K50" s="68">
        <f t="shared" si="26"/>
        <v>608.16</v>
      </c>
      <c r="L50" s="68">
        <f>3516.55+2.599</f>
        <v>3519.1490000000003</v>
      </c>
      <c r="M50" s="68"/>
      <c r="N50" s="68"/>
      <c r="O50" s="68"/>
      <c r="P50" s="54"/>
      <c r="Q50" s="55">
        <f t="shared" si="27"/>
        <v>4127.3090000000002</v>
      </c>
      <c r="R50" s="56"/>
      <c r="S50" s="57"/>
      <c r="T50" s="57">
        <v>0</v>
      </c>
      <c r="U50" s="66">
        <f>Q50*4.9%</f>
        <v>202.23814100000001</v>
      </c>
      <c r="V50" s="66">
        <f>Q50*1%</f>
        <v>41.273090000000003</v>
      </c>
      <c r="W50" s="57"/>
      <c r="X50" s="58"/>
      <c r="Y50" s="58"/>
      <c r="Z50" s="59"/>
      <c r="AA50" s="59">
        <v>0</v>
      </c>
      <c r="AB50" s="55">
        <f t="shared" si="28"/>
        <v>3883.7977690000002</v>
      </c>
      <c r="AC50" s="60">
        <f t="shared" si="7"/>
        <v>412.73090000000002</v>
      </c>
      <c r="AD50" s="55">
        <f t="shared" si="29"/>
        <v>3471.0668690000002</v>
      </c>
      <c r="AE50" s="61">
        <f t="shared" si="8"/>
        <v>0</v>
      </c>
      <c r="AF50" s="60">
        <v>10.23</v>
      </c>
      <c r="AG50" s="60">
        <f t="shared" si="30"/>
        <v>202.23814100000001</v>
      </c>
      <c r="AH50" s="62">
        <f t="shared" si="31"/>
        <v>4339.7771409999996</v>
      </c>
      <c r="AI50" s="137"/>
      <c r="AJ50" s="138"/>
      <c r="AK50" s="123">
        <f t="shared" si="6"/>
        <v>-3471.0668690000002</v>
      </c>
      <c r="AL50" s="64">
        <v>2948910731</v>
      </c>
      <c r="AM50" s="69"/>
    </row>
    <row r="51" spans="1:193">
      <c r="A51" s="64" t="s">
        <v>84</v>
      </c>
      <c r="B51" s="50" t="s">
        <v>167</v>
      </c>
      <c r="C51" s="50"/>
      <c r="D51" s="50" t="s">
        <v>117</v>
      </c>
      <c r="E51" s="50" t="s">
        <v>155</v>
      </c>
      <c r="F51" s="132">
        <v>41227</v>
      </c>
      <c r="G51" s="51"/>
      <c r="H51" s="51"/>
      <c r="I51" s="52">
        <v>608.16</v>
      </c>
      <c r="J51" s="152"/>
      <c r="K51" s="68">
        <f t="shared" si="26"/>
        <v>608.16</v>
      </c>
      <c r="L51" s="52">
        <v>0</v>
      </c>
      <c r="M51" s="52"/>
      <c r="N51" s="53"/>
      <c r="O51" s="53"/>
      <c r="P51" s="54"/>
      <c r="Q51" s="55">
        <f t="shared" si="27"/>
        <v>608.16</v>
      </c>
      <c r="R51" s="56"/>
      <c r="S51" s="57"/>
      <c r="T51" s="57"/>
      <c r="U51" s="66">
        <f>Q51*4.9%</f>
        <v>29.79984</v>
      </c>
      <c r="V51" s="66">
        <f>Q51*1%</f>
        <v>6.0815999999999999</v>
      </c>
      <c r="W51" s="57"/>
      <c r="X51" s="58"/>
      <c r="Y51" s="58"/>
      <c r="Z51" s="59"/>
      <c r="AA51" s="59">
        <v>0</v>
      </c>
      <c r="AB51" s="55">
        <f t="shared" si="28"/>
        <v>572.27855999999997</v>
      </c>
      <c r="AC51" s="60">
        <f t="shared" si="7"/>
        <v>0</v>
      </c>
      <c r="AD51" s="55">
        <f t="shared" si="29"/>
        <v>572.27855999999997</v>
      </c>
      <c r="AE51" s="61">
        <f t="shared" si="8"/>
        <v>60.816000000000003</v>
      </c>
      <c r="AF51" s="60">
        <v>10.23</v>
      </c>
      <c r="AG51" s="60">
        <f t="shared" si="30"/>
        <v>29.79984</v>
      </c>
      <c r="AH51" s="62">
        <f t="shared" si="31"/>
        <v>709.00584000000003</v>
      </c>
      <c r="AI51" s="137"/>
      <c r="AJ51" s="137"/>
      <c r="AK51" s="123">
        <f t="shared" si="6"/>
        <v>-572.27855999999997</v>
      </c>
      <c r="AL51" s="64"/>
      <c r="AM51" s="6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</row>
    <row r="52" spans="1:193">
      <c r="A52" s="64" t="s">
        <v>82</v>
      </c>
      <c r="B52" s="50" t="s">
        <v>195</v>
      </c>
      <c r="C52" s="50"/>
      <c r="D52" s="50" t="s">
        <v>89</v>
      </c>
      <c r="E52" s="50" t="s">
        <v>144</v>
      </c>
      <c r="F52" s="132">
        <v>41493</v>
      </c>
      <c r="G52" s="50"/>
      <c r="H52" s="50"/>
      <c r="I52" s="52">
        <v>633.16</v>
      </c>
      <c r="J52" s="150"/>
      <c r="K52" s="68">
        <f t="shared" si="26"/>
        <v>633.16</v>
      </c>
      <c r="L52" s="52">
        <f>2233.523+13.099</f>
        <v>2246.6220000000003</v>
      </c>
      <c r="M52" s="52"/>
      <c r="N52" s="52"/>
      <c r="O52" s="52"/>
      <c r="P52" s="54"/>
      <c r="Q52" s="55">
        <f t="shared" si="27"/>
        <v>2879.7820000000002</v>
      </c>
      <c r="R52" s="56"/>
      <c r="S52" s="57"/>
      <c r="T52" s="57">
        <v>0</v>
      </c>
      <c r="U52" s="57"/>
      <c r="V52" s="57"/>
      <c r="W52" s="57"/>
      <c r="X52" s="58"/>
      <c r="Y52" s="58"/>
      <c r="Z52" s="59"/>
      <c r="AA52" s="59">
        <v>0</v>
      </c>
      <c r="AB52" s="55">
        <f t="shared" si="28"/>
        <v>2879.7820000000002</v>
      </c>
      <c r="AC52" s="60">
        <f t="shared" si="7"/>
        <v>287.97820000000002</v>
      </c>
      <c r="AD52" s="55">
        <f t="shared" si="29"/>
        <v>2591.8038000000001</v>
      </c>
      <c r="AE52" s="61">
        <f t="shared" si="8"/>
        <v>0</v>
      </c>
      <c r="AF52" s="60">
        <v>10.23</v>
      </c>
      <c r="AG52" s="60">
        <f t="shared" si="30"/>
        <v>0</v>
      </c>
      <c r="AH52" s="62">
        <f t="shared" si="31"/>
        <v>2890.0120000000002</v>
      </c>
      <c r="AI52" s="137"/>
      <c r="AJ52" s="138"/>
      <c r="AK52" s="123">
        <f t="shared" si="6"/>
        <v>-2591.8038000000001</v>
      </c>
      <c r="AL52" s="64"/>
      <c r="AM52" s="141" t="s">
        <v>287</v>
      </c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</row>
    <row r="53" spans="1:193" s="33" customFormat="1">
      <c r="A53" s="64" t="s">
        <v>84</v>
      </c>
      <c r="B53" s="64" t="s">
        <v>270</v>
      </c>
      <c r="C53" s="64"/>
      <c r="D53" s="64"/>
      <c r="E53" s="64" t="s">
        <v>144</v>
      </c>
      <c r="F53" s="134">
        <v>42416</v>
      </c>
      <c r="G53" s="64"/>
      <c r="H53" s="64"/>
      <c r="I53" s="68">
        <v>739.23</v>
      </c>
      <c r="J53" s="151"/>
      <c r="K53" s="68">
        <f t="shared" si="26"/>
        <v>739.23</v>
      </c>
      <c r="L53" s="68">
        <f>1730.636+13.09</f>
        <v>1743.7259999999999</v>
      </c>
      <c r="M53" s="68"/>
      <c r="N53" s="68"/>
      <c r="O53" s="68"/>
      <c r="P53" s="54"/>
      <c r="Q53" s="55">
        <f t="shared" si="27"/>
        <v>2482.9560000000001</v>
      </c>
      <c r="R53" s="56"/>
      <c r="S53" s="57"/>
      <c r="T53" s="57">
        <v>0</v>
      </c>
      <c r="U53" s="57"/>
      <c r="V53" s="66">
        <f>Q53*1%</f>
        <v>24.829560000000001</v>
      </c>
      <c r="W53" s="57"/>
      <c r="X53" s="58"/>
      <c r="Y53" s="58"/>
      <c r="Z53" s="59"/>
      <c r="AA53" s="59">
        <v>0</v>
      </c>
      <c r="AB53" s="55">
        <f t="shared" si="28"/>
        <v>2458.12644</v>
      </c>
      <c r="AC53" s="60">
        <f t="shared" si="7"/>
        <v>248.29560000000004</v>
      </c>
      <c r="AD53" s="55">
        <f t="shared" si="29"/>
        <v>2209.8308400000001</v>
      </c>
      <c r="AE53" s="61">
        <f t="shared" si="8"/>
        <v>0</v>
      </c>
      <c r="AF53" s="60">
        <v>10.23</v>
      </c>
      <c r="AG53" s="60">
        <f t="shared" si="30"/>
        <v>0</v>
      </c>
      <c r="AH53" s="62">
        <f t="shared" si="31"/>
        <v>2493.1860000000001</v>
      </c>
      <c r="AI53" s="137"/>
      <c r="AJ53" s="138"/>
      <c r="AK53" s="123">
        <f t="shared" si="6"/>
        <v>-2209.8308400000001</v>
      </c>
      <c r="AL53" s="64">
        <v>1296641458</v>
      </c>
      <c r="AM53" s="6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</row>
    <row r="54" spans="1:193" s="29" customFormat="1">
      <c r="A54" s="64" t="s">
        <v>82</v>
      </c>
      <c r="B54" s="64" t="s">
        <v>251</v>
      </c>
      <c r="C54" s="64"/>
      <c r="D54" s="64"/>
      <c r="E54" s="64" t="s">
        <v>145</v>
      </c>
      <c r="F54" s="132">
        <v>42471</v>
      </c>
      <c r="G54" s="64"/>
      <c r="H54" s="64"/>
      <c r="I54" s="68">
        <v>739.23</v>
      </c>
      <c r="J54" s="151"/>
      <c r="K54" s="68">
        <f t="shared" si="26"/>
        <v>739.23</v>
      </c>
      <c r="L54" s="68">
        <f>2187.264+7.42</f>
        <v>2194.6840000000002</v>
      </c>
      <c r="M54" s="68"/>
      <c r="N54" s="68"/>
      <c r="O54" s="68"/>
      <c r="P54" s="54"/>
      <c r="Q54" s="55">
        <f t="shared" si="27"/>
        <v>2933.9140000000002</v>
      </c>
      <c r="R54" s="56"/>
      <c r="S54" s="103"/>
      <c r="T54" s="103"/>
      <c r="U54" s="103"/>
      <c r="V54" s="103"/>
      <c r="W54" s="103"/>
      <c r="X54" s="104"/>
      <c r="Y54" s="104"/>
      <c r="Z54" s="88"/>
      <c r="AA54" s="88">
        <v>0</v>
      </c>
      <c r="AB54" s="55">
        <f t="shared" si="28"/>
        <v>2933.9140000000002</v>
      </c>
      <c r="AC54" s="60">
        <f t="shared" ref="AC54" si="32">IF(Q54&gt;2250,Q54*0.1,0)</f>
        <v>293.39140000000003</v>
      </c>
      <c r="AD54" s="55">
        <f t="shared" si="29"/>
        <v>2640.5226000000002</v>
      </c>
      <c r="AE54" s="61">
        <f t="shared" si="8"/>
        <v>0</v>
      </c>
      <c r="AF54" s="60">
        <v>10.23</v>
      </c>
      <c r="AG54" s="60">
        <f t="shared" ref="AG54" si="33">+U54</f>
        <v>0</v>
      </c>
      <c r="AH54" s="62">
        <f t="shared" si="31"/>
        <v>2944.1440000000002</v>
      </c>
      <c r="AI54" s="137"/>
      <c r="AJ54" s="138"/>
      <c r="AK54" s="123">
        <f t="shared" si="6"/>
        <v>-2640.5226000000002</v>
      </c>
      <c r="AL54" s="64">
        <v>2777556799</v>
      </c>
      <c r="AM54" s="69"/>
    </row>
    <row r="55" spans="1:193">
      <c r="A55" s="64" t="s">
        <v>83</v>
      </c>
      <c r="B55" s="64" t="s">
        <v>172</v>
      </c>
      <c r="C55" s="64"/>
      <c r="D55" s="64"/>
      <c r="E55" s="64" t="s">
        <v>151</v>
      </c>
      <c r="F55" s="134">
        <v>42413</v>
      </c>
      <c r="G55" s="64"/>
      <c r="H55" s="64"/>
      <c r="I55" s="68">
        <f>1237.24/15*7</f>
        <v>577.37866666666673</v>
      </c>
      <c r="J55" s="153">
        <v>1047.6199999999999</v>
      </c>
      <c r="K55" s="68">
        <f t="shared" si="26"/>
        <v>1624.9986666666666</v>
      </c>
      <c r="L55" s="68">
        <v>0</v>
      </c>
      <c r="M55" s="68"/>
      <c r="N55" s="68"/>
      <c r="O55" s="68"/>
      <c r="P55" s="54"/>
      <c r="Q55" s="55">
        <f t="shared" si="27"/>
        <v>1624.9986666666666</v>
      </c>
      <c r="R55" s="56"/>
      <c r="S55" s="57"/>
      <c r="T55" s="57">
        <v>0</v>
      </c>
      <c r="U55" s="57"/>
      <c r="V55" s="57"/>
      <c r="W55" s="57"/>
      <c r="X55" s="58"/>
      <c r="Y55" s="58"/>
      <c r="Z55" s="59"/>
      <c r="AA55" s="59">
        <v>0</v>
      </c>
      <c r="AB55" s="55">
        <f t="shared" si="28"/>
        <v>1624.9986666666666</v>
      </c>
      <c r="AC55" s="60">
        <f t="shared" si="7"/>
        <v>0</v>
      </c>
      <c r="AD55" s="55">
        <f t="shared" si="29"/>
        <v>1624.9986666666666</v>
      </c>
      <c r="AE55" s="61">
        <f t="shared" si="8"/>
        <v>162.49986666666666</v>
      </c>
      <c r="AF55" s="60">
        <v>10.23</v>
      </c>
      <c r="AG55" s="60">
        <f t="shared" si="30"/>
        <v>0</v>
      </c>
      <c r="AH55" s="62">
        <f t="shared" si="31"/>
        <v>1797.7285333333334</v>
      </c>
      <c r="AI55" s="137"/>
      <c r="AJ55" s="138"/>
      <c r="AK55" s="123">
        <f t="shared" si="6"/>
        <v>-1624.9986666666666</v>
      </c>
      <c r="AL55" s="64"/>
      <c r="AM55" s="6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</row>
    <row r="56" spans="1:193">
      <c r="A56" s="64" t="s">
        <v>68</v>
      </c>
      <c r="B56" s="50" t="s">
        <v>262</v>
      </c>
      <c r="C56" s="50" t="s">
        <v>209</v>
      </c>
      <c r="D56" s="50" t="s">
        <v>134</v>
      </c>
      <c r="E56" s="50" t="s">
        <v>70</v>
      </c>
      <c r="F56" s="133">
        <v>41622</v>
      </c>
      <c r="G56" s="51"/>
      <c r="H56" s="51"/>
      <c r="I56" s="52">
        <v>513.33000000000004</v>
      </c>
      <c r="J56" s="151">
        <v>653.33000000000004</v>
      </c>
      <c r="K56" s="68">
        <f t="shared" si="26"/>
        <v>1166.6600000000001</v>
      </c>
      <c r="L56" s="52">
        <v>0</v>
      </c>
      <c r="M56" s="52"/>
      <c r="N56" s="53"/>
      <c r="O56" s="53"/>
      <c r="P56" s="54"/>
      <c r="Q56" s="55">
        <f t="shared" si="27"/>
        <v>1166.6600000000001</v>
      </c>
      <c r="R56" s="56"/>
      <c r="S56" s="57">
        <v>58.91</v>
      </c>
      <c r="T56" s="57">
        <v>0</v>
      </c>
      <c r="U56" s="57"/>
      <c r="V56" s="57"/>
      <c r="W56" s="57"/>
      <c r="X56" s="58"/>
      <c r="Y56" s="58"/>
      <c r="Z56" s="59"/>
      <c r="AA56" s="59">
        <v>0</v>
      </c>
      <c r="AB56" s="55">
        <f t="shared" si="28"/>
        <v>1107.75</v>
      </c>
      <c r="AC56" s="60">
        <f t="shared" si="7"/>
        <v>0</v>
      </c>
      <c r="AD56" s="55">
        <f t="shared" si="29"/>
        <v>1107.75</v>
      </c>
      <c r="AE56" s="61">
        <f t="shared" si="8"/>
        <v>116.66600000000001</v>
      </c>
      <c r="AF56" s="60">
        <v>10.23</v>
      </c>
      <c r="AG56" s="60">
        <f t="shared" si="30"/>
        <v>0</v>
      </c>
      <c r="AH56" s="62">
        <f t="shared" si="31"/>
        <v>1293.556</v>
      </c>
      <c r="AI56" s="137"/>
      <c r="AJ56" s="137"/>
      <c r="AK56" s="123">
        <f t="shared" si="6"/>
        <v>-1107.75</v>
      </c>
      <c r="AL56" s="64"/>
      <c r="AM56" s="64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</row>
    <row r="57" spans="1:193">
      <c r="A57" s="64" t="s">
        <v>68</v>
      </c>
      <c r="B57" s="50" t="s">
        <v>271</v>
      </c>
      <c r="C57" s="50" t="s">
        <v>206</v>
      </c>
      <c r="D57" s="50">
        <v>30</v>
      </c>
      <c r="E57" s="50" t="s">
        <v>70</v>
      </c>
      <c r="F57" s="133">
        <v>37834</v>
      </c>
      <c r="G57" s="51"/>
      <c r="H57" s="51"/>
      <c r="I57" s="68">
        <v>513.33000000000004</v>
      </c>
      <c r="J57" s="151">
        <v>653.33000000000004</v>
      </c>
      <c r="K57" s="68">
        <f t="shared" si="26"/>
        <v>1166.6600000000001</v>
      </c>
      <c r="L57" s="52">
        <v>0</v>
      </c>
      <c r="M57" s="52"/>
      <c r="N57" s="53"/>
      <c r="O57" s="53"/>
      <c r="P57" s="54"/>
      <c r="Q57" s="55">
        <f t="shared" si="27"/>
        <v>1166.6600000000001</v>
      </c>
      <c r="R57" s="56"/>
      <c r="S57" s="57"/>
      <c r="T57" s="57">
        <v>0</v>
      </c>
      <c r="U57" s="57"/>
      <c r="V57" s="57"/>
      <c r="W57" s="57"/>
      <c r="X57" s="58"/>
      <c r="Y57" s="58"/>
      <c r="Z57" s="59"/>
      <c r="AA57" s="59">
        <v>0</v>
      </c>
      <c r="AB57" s="55">
        <f t="shared" si="28"/>
        <v>1166.6600000000001</v>
      </c>
      <c r="AC57" s="60">
        <f t="shared" si="7"/>
        <v>0</v>
      </c>
      <c r="AD57" s="55">
        <f t="shared" si="29"/>
        <v>1166.6600000000001</v>
      </c>
      <c r="AE57" s="61">
        <f t="shared" si="8"/>
        <v>116.66600000000001</v>
      </c>
      <c r="AF57" s="60">
        <v>10.23</v>
      </c>
      <c r="AG57" s="60">
        <f t="shared" si="30"/>
        <v>0</v>
      </c>
      <c r="AH57" s="62">
        <f t="shared" si="31"/>
        <v>1293.556</v>
      </c>
      <c r="AI57" s="137"/>
      <c r="AJ57" s="138"/>
      <c r="AK57" s="123">
        <f t="shared" si="6"/>
        <v>-1166.6600000000001</v>
      </c>
      <c r="AL57" s="64"/>
      <c r="AM57" s="64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</row>
    <row r="58" spans="1:193">
      <c r="A58" s="64" t="s">
        <v>68</v>
      </c>
      <c r="B58" s="50" t="s">
        <v>184</v>
      </c>
      <c r="C58" s="50" t="s">
        <v>204</v>
      </c>
      <c r="D58" s="50" t="s">
        <v>136</v>
      </c>
      <c r="E58" s="50" t="s">
        <v>70</v>
      </c>
      <c r="F58" s="133">
        <v>42394</v>
      </c>
      <c r="G58" s="51"/>
      <c r="H58" s="51"/>
      <c r="I58" s="52">
        <v>513.33000000000004</v>
      </c>
      <c r="J58" s="152">
        <v>653.33000000000004</v>
      </c>
      <c r="K58" s="68">
        <f t="shared" si="26"/>
        <v>1166.6600000000001</v>
      </c>
      <c r="L58" s="52">
        <v>0</v>
      </c>
      <c r="M58" s="52"/>
      <c r="N58" s="53"/>
      <c r="O58" s="53"/>
      <c r="P58" s="54"/>
      <c r="Q58" s="55">
        <f t="shared" si="27"/>
        <v>1166.6600000000001</v>
      </c>
      <c r="R58" s="56"/>
      <c r="S58" s="57"/>
      <c r="T58" s="57">
        <v>0</v>
      </c>
      <c r="U58" s="57"/>
      <c r="V58" s="57"/>
      <c r="W58" s="57"/>
      <c r="X58" s="58"/>
      <c r="Y58" s="58"/>
      <c r="Z58" s="70"/>
      <c r="AA58" s="87">
        <v>875.69</v>
      </c>
      <c r="AB58" s="55">
        <f t="shared" si="28"/>
        <v>290.97000000000003</v>
      </c>
      <c r="AC58" s="60">
        <f t="shared" si="7"/>
        <v>0</v>
      </c>
      <c r="AD58" s="55">
        <f t="shared" si="29"/>
        <v>290.97000000000003</v>
      </c>
      <c r="AE58" s="61">
        <f t="shared" si="8"/>
        <v>116.66600000000001</v>
      </c>
      <c r="AF58" s="60">
        <v>10.23</v>
      </c>
      <c r="AG58" s="60">
        <f t="shared" si="30"/>
        <v>0</v>
      </c>
      <c r="AH58" s="62">
        <f t="shared" si="31"/>
        <v>1293.556</v>
      </c>
      <c r="AI58" s="137"/>
      <c r="AJ58" s="138"/>
      <c r="AK58" s="123">
        <f t="shared" si="6"/>
        <v>-290.97000000000003</v>
      </c>
      <c r="AL58" s="64"/>
      <c r="AM58" s="64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</row>
    <row r="59" spans="1:193" s="37" customFormat="1">
      <c r="A59" s="64" t="s">
        <v>67</v>
      </c>
      <c r="B59" s="50" t="s">
        <v>190</v>
      </c>
      <c r="C59" s="64" t="s">
        <v>234</v>
      </c>
      <c r="D59" s="50" t="s">
        <v>108</v>
      </c>
      <c r="E59" s="50" t="s">
        <v>298</v>
      </c>
      <c r="F59" s="133">
        <v>42342</v>
      </c>
      <c r="G59" s="51"/>
      <c r="H59" s="51"/>
      <c r="I59" s="52">
        <v>513.33000000000004</v>
      </c>
      <c r="J59" s="151">
        <v>653.33000000000004</v>
      </c>
      <c r="K59" s="68">
        <f t="shared" si="26"/>
        <v>1166.6600000000001</v>
      </c>
      <c r="L59" s="52">
        <v>0</v>
      </c>
      <c r="M59" s="52"/>
      <c r="N59" s="53"/>
      <c r="O59" s="53"/>
      <c r="P59" s="54"/>
      <c r="Q59" s="55">
        <f t="shared" si="27"/>
        <v>1166.6600000000001</v>
      </c>
      <c r="R59" s="56"/>
      <c r="S59" s="57"/>
      <c r="T59" s="57">
        <v>0</v>
      </c>
      <c r="U59" s="57"/>
      <c r="V59" s="57"/>
      <c r="W59" s="57"/>
      <c r="X59" s="71">
        <v>496.81</v>
      </c>
      <c r="Y59" s="58"/>
      <c r="Z59" s="59"/>
      <c r="AA59" s="59">
        <v>0</v>
      </c>
      <c r="AB59" s="55">
        <f t="shared" si="28"/>
        <v>669.85000000000014</v>
      </c>
      <c r="AC59" s="60">
        <f t="shared" si="7"/>
        <v>0</v>
      </c>
      <c r="AD59" s="55">
        <f t="shared" si="29"/>
        <v>669.85000000000014</v>
      </c>
      <c r="AE59" s="61">
        <f t="shared" si="8"/>
        <v>116.66600000000001</v>
      </c>
      <c r="AF59" s="60">
        <v>10.23</v>
      </c>
      <c r="AG59" s="60">
        <f t="shared" si="30"/>
        <v>0</v>
      </c>
      <c r="AH59" s="62">
        <f t="shared" si="31"/>
        <v>1293.556</v>
      </c>
      <c r="AI59" s="137"/>
      <c r="AJ59" s="137"/>
      <c r="AK59" s="123">
        <f t="shared" si="6"/>
        <v>-669.85000000000014</v>
      </c>
      <c r="AL59" s="64"/>
      <c r="AM59" s="141" t="s">
        <v>297</v>
      </c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</row>
    <row r="60" spans="1:193">
      <c r="A60" s="64" t="s">
        <v>84</v>
      </c>
      <c r="B60" s="64" t="s">
        <v>238</v>
      </c>
      <c r="C60" s="64"/>
      <c r="D60" s="64"/>
      <c r="E60" s="64" t="s">
        <v>153</v>
      </c>
      <c r="F60" s="134">
        <v>42444</v>
      </c>
      <c r="G60" s="64"/>
      <c r="H60" s="64"/>
      <c r="I60" s="68">
        <v>608.16</v>
      </c>
      <c r="J60" s="152"/>
      <c r="K60" s="68">
        <f t="shared" si="26"/>
        <v>608.16</v>
      </c>
      <c r="L60" s="68">
        <v>316.23099999999999</v>
      </c>
      <c r="M60" s="68"/>
      <c r="N60" s="68"/>
      <c r="O60" s="68"/>
      <c r="P60" s="54"/>
      <c r="Q60" s="55">
        <f t="shared" si="27"/>
        <v>924.39099999999996</v>
      </c>
      <c r="R60" s="56"/>
      <c r="S60" s="57"/>
      <c r="T60" s="57"/>
      <c r="U60" s="57"/>
      <c r="V60" s="57"/>
      <c r="W60" s="57"/>
      <c r="X60" s="58"/>
      <c r="Y60" s="58"/>
      <c r="Z60" s="59"/>
      <c r="AA60" s="59">
        <v>0</v>
      </c>
      <c r="AB60" s="55">
        <f t="shared" si="28"/>
        <v>924.39099999999996</v>
      </c>
      <c r="AC60" s="60">
        <f t="shared" si="7"/>
        <v>0</v>
      </c>
      <c r="AD60" s="55">
        <f t="shared" si="29"/>
        <v>924.39099999999996</v>
      </c>
      <c r="AE60" s="61">
        <f t="shared" si="8"/>
        <v>92.439099999999996</v>
      </c>
      <c r="AF60" s="60">
        <v>10.23</v>
      </c>
      <c r="AG60" s="60">
        <f t="shared" si="30"/>
        <v>0</v>
      </c>
      <c r="AH60" s="62">
        <f t="shared" si="31"/>
        <v>1027.0600999999999</v>
      </c>
      <c r="AI60" s="137"/>
      <c r="AJ60" s="137"/>
      <c r="AK60" s="123">
        <f t="shared" si="6"/>
        <v>-924.39099999999996</v>
      </c>
      <c r="AL60" s="86">
        <v>1159718206</v>
      </c>
      <c r="AM60" s="86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</row>
    <row r="61" spans="1:193">
      <c r="A61" s="64" t="s">
        <v>84</v>
      </c>
      <c r="B61" s="64" t="s">
        <v>284</v>
      </c>
      <c r="C61" s="64"/>
      <c r="D61" s="64"/>
      <c r="E61" s="64" t="s">
        <v>221</v>
      </c>
      <c r="F61" s="134">
        <v>42494</v>
      </c>
      <c r="G61" s="64"/>
      <c r="H61" s="64"/>
      <c r="I61" s="28">
        <f>+K61</f>
        <v>942.85</v>
      </c>
      <c r="J61" s="151"/>
      <c r="K61" s="68">
        <v>942.85</v>
      </c>
      <c r="L61" s="68">
        <f>1293.88+5.571</f>
        <v>1299.451</v>
      </c>
      <c r="M61" s="68"/>
      <c r="N61" s="68"/>
      <c r="O61" s="68"/>
      <c r="P61" s="109"/>
      <c r="Q61" s="55">
        <f t="shared" si="27"/>
        <v>2242.3009999999999</v>
      </c>
      <c r="R61" s="56"/>
      <c r="S61" s="57"/>
      <c r="T61" s="57"/>
      <c r="U61" s="57"/>
      <c r="V61" s="57"/>
      <c r="W61" s="57"/>
      <c r="X61" s="58"/>
      <c r="Y61" s="58"/>
      <c r="Z61" s="59"/>
      <c r="AA61" s="59">
        <v>0</v>
      </c>
      <c r="AB61" s="55">
        <f t="shared" si="28"/>
        <v>2242.3009999999999</v>
      </c>
      <c r="AC61" s="60">
        <f t="shared" ref="AC61" si="34">IF(Q61&gt;2250,Q61*0.1,0)</f>
        <v>0</v>
      </c>
      <c r="AD61" s="55">
        <f t="shared" ref="AD61" si="35">+AB61-AC61</f>
        <v>2242.3009999999999</v>
      </c>
      <c r="AE61" s="61">
        <f t="shared" si="8"/>
        <v>224.23009999999999</v>
      </c>
      <c r="AF61" s="60">
        <v>10.23</v>
      </c>
      <c r="AG61" s="60">
        <f t="shared" ref="AG61" si="36">+U61</f>
        <v>0</v>
      </c>
      <c r="AH61" s="62">
        <f t="shared" ref="AH61" si="37">+Q61+AE61+AF61+AG61</f>
        <v>2476.7611000000002</v>
      </c>
      <c r="AI61" s="137"/>
      <c r="AJ61" s="138"/>
      <c r="AK61" s="123">
        <f t="shared" si="6"/>
        <v>-2242.3009999999999</v>
      </c>
      <c r="AL61" s="86">
        <v>2858432805</v>
      </c>
      <c r="AM61" s="141" t="s">
        <v>287</v>
      </c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</row>
    <row r="62" spans="1:193">
      <c r="A62" s="64" t="s">
        <v>83</v>
      </c>
      <c r="B62" s="64" t="s">
        <v>232</v>
      </c>
      <c r="C62" s="64"/>
      <c r="D62" s="64" t="s">
        <v>233</v>
      </c>
      <c r="E62" s="64" t="s">
        <v>151</v>
      </c>
      <c r="F62" s="133">
        <v>40813</v>
      </c>
      <c r="G62" s="64"/>
      <c r="H62" s="64"/>
      <c r="I62" s="68">
        <f>1237.24/15*7</f>
        <v>577.37866666666673</v>
      </c>
      <c r="J62" s="82">
        <v>1047.6199999999999</v>
      </c>
      <c r="K62" s="68">
        <f t="shared" si="26"/>
        <v>1624.9986666666666</v>
      </c>
      <c r="L62" s="68">
        <v>0</v>
      </c>
      <c r="M62" s="68"/>
      <c r="N62" s="68"/>
      <c r="O62" s="68"/>
      <c r="P62" s="54"/>
      <c r="Q62" s="55">
        <f t="shared" si="27"/>
        <v>1624.9986666666666</v>
      </c>
      <c r="R62" s="56"/>
      <c r="S62" s="57"/>
      <c r="T62" s="57"/>
      <c r="U62" s="57"/>
      <c r="V62" s="57"/>
      <c r="W62" s="57"/>
      <c r="X62" s="58"/>
      <c r="Y62" s="58"/>
      <c r="Z62" s="59"/>
      <c r="AA62" s="59">
        <v>0</v>
      </c>
      <c r="AB62" s="55">
        <f t="shared" si="28"/>
        <v>1624.9986666666666</v>
      </c>
      <c r="AC62" s="60">
        <f t="shared" si="7"/>
        <v>0</v>
      </c>
      <c r="AD62" s="55">
        <f t="shared" si="29"/>
        <v>1624.9986666666666</v>
      </c>
      <c r="AE62" s="61">
        <f t="shared" si="8"/>
        <v>162.49986666666666</v>
      </c>
      <c r="AF62" s="60">
        <v>10.23</v>
      </c>
      <c r="AG62" s="60">
        <f t="shared" si="30"/>
        <v>0</v>
      </c>
      <c r="AH62" s="62">
        <f t="shared" si="31"/>
        <v>1797.7285333333334</v>
      </c>
      <c r="AI62" s="137"/>
      <c r="AJ62" s="138"/>
      <c r="AK62" s="123">
        <f t="shared" si="6"/>
        <v>-1624.9986666666666</v>
      </c>
      <c r="AL62" s="64"/>
      <c r="AM62" s="6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</row>
    <row r="63" spans="1:193">
      <c r="A63" s="86" t="s">
        <v>68</v>
      </c>
      <c r="B63" s="50" t="s">
        <v>239</v>
      </c>
      <c r="C63" s="64" t="s">
        <v>234</v>
      </c>
      <c r="D63" s="77" t="s">
        <v>228</v>
      </c>
      <c r="E63" s="64" t="s">
        <v>150</v>
      </c>
      <c r="F63" s="133">
        <v>42282</v>
      </c>
      <c r="G63" s="50"/>
      <c r="H63" s="50"/>
      <c r="I63" s="52">
        <v>513.33000000000004</v>
      </c>
      <c r="J63" s="154">
        <v>486.67</v>
      </c>
      <c r="K63" s="68">
        <f t="shared" si="26"/>
        <v>1000</v>
      </c>
      <c r="L63" s="68">
        <v>0</v>
      </c>
      <c r="M63" s="52"/>
      <c r="N63" s="52"/>
      <c r="O63" s="52"/>
      <c r="P63" s="54"/>
      <c r="Q63" s="55">
        <f t="shared" si="27"/>
        <v>1000</v>
      </c>
      <c r="R63" s="56"/>
      <c r="S63" s="57"/>
      <c r="T63" s="57"/>
      <c r="U63" s="57"/>
      <c r="V63" s="57"/>
      <c r="W63" s="57"/>
      <c r="X63" s="58"/>
      <c r="Y63" s="58"/>
      <c r="Z63" s="59"/>
      <c r="AA63" s="59">
        <v>0</v>
      </c>
      <c r="AB63" s="55">
        <f t="shared" si="28"/>
        <v>1000</v>
      </c>
      <c r="AC63" s="60">
        <f t="shared" si="7"/>
        <v>0</v>
      </c>
      <c r="AD63" s="55">
        <f t="shared" si="29"/>
        <v>1000</v>
      </c>
      <c r="AE63" s="61">
        <f t="shared" si="8"/>
        <v>100</v>
      </c>
      <c r="AF63" s="60">
        <v>10.23</v>
      </c>
      <c r="AG63" s="60">
        <f t="shared" si="30"/>
        <v>0</v>
      </c>
      <c r="AH63" s="62">
        <f t="shared" si="31"/>
        <v>1110.23</v>
      </c>
      <c r="AI63" s="137"/>
      <c r="AJ63" s="138"/>
      <c r="AK63" s="123">
        <f t="shared" si="6"/>
        <v>-1000</v>
      </c>
      <c r="AL63" s="64"/>
      <c r="AM63" s="141" t="s">
        <v>297</v>
      </c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</row>
    <row r="64" spans="1:193">
      <c r="A64" s="64" t="s">
        <v>68</v>
      </c>
      <c r="B64" s="50" t="s">
        <v>215</v>
      </c>
      <c r="C64" s="50" t="s">
        <v>206</v>
      </c>
      <c r="D64" s="50" t="s">
        <v>137</v>
      </c>
      <c r="E64" s="50" t="s">
        <v>70</v>
      </c>
      <c r="F64" s="133">
        <v>42310</v>
      </c>
      <c r="G64" s="51"/>
      <c r="H64" s="51"/>
      <c r="I64" s="52">
        <v>513.33000000000004</v>
      </c>
      <c r="J64" s="151">
        <v>653.33000000000004</v>
      </c>
      <c r="K64" s="68">
        <f t="shared" si="26"/>
        <v>1166.6600000000001</v>
      </c>
      <c r="L64" s="52">
        <v>0</v>
      </c>
      <c r="M64" s="52"/>
      <c r="N64" s="53"/>
      <c r="O64" s="53"/>
      <c r="P64" s="54"/>
      <c r="Q64" s="55">
        <f t="shared" si="27"/>
        <v>1166.6600000000001</v>
      </c>
      <c r="R64" s="56"/>
      <c r="S64" s="57"/>
      <c r="T64" s="57">
        <v>0</v>
      </c>
      <c r="U64" s="57"/>
      <c r="V64" s="57"/>
      <c r="W64" s="57"/>
      <c r="X64" s="71">
        <v>460.45</v>
      </c>
      <c r="Y64" s="58"/>
      <c r="Z64" s="59"/>
      <c r="AA64" s="65">
        <v>517.25</v>
      </c>
      <c r="AB64" s="55">
        <f t="shared" si="28"/>
        <v>188.96000000000004</v>
      </c>
      <c r="AC64" s="60">
        <f t="shared" si="7"/>
        <v>0</v>
      </c>
      <c r="AD64" s="55">
        <f t="shared" si="29"/>
        <v>188.96000000000004</v>
      </c>
      <c r="AE64" s="61">
        <f t="shared" si="8"/>
        <v>116.66600000000001</v>
      </c>
      <c r="AF64" s="60">
        <v>10.23</v>
      </c>
      <c r="AG64" s="60">
        <f t="shared" si="30"/>
        <v>0</v>
      </c>
      <c r="AH64" s="62">
        <f t="shared" si="31"/>
        <v>1293.556</v>
      </c>
      <c r="AI64" s="137"/>
      <c r="AJ64" s="138"/>
      <c r="AK64" s="123">
        <f t="shared" si="6"/>
        <v>-188.96000000000004</v>
      </c>
      <c r="AL64" s="64"/>
      <c r="AM64" s="64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</row>
    <row r="65" spans="1:193">
      <c r="A65" s="64" t="s">
        <v>84</v>
      </c>
      <c r="B65" s="50" t="s">
        <v>200</v>
      </c>
      <c r="C65" s="50"/>
      <c r="D65" s="50" t="s">
        <v>118</v>
      </c>
      <c r="E65" s="50" t="s">
        <v>156</v>
      </c>
      <c r="F65" s="133">
        <v>42242</v>
      </c>
      <c r="G65" s="51"/>
      <c r="H65" s="51"/>
      <c r="I65" s="52">
        <v>1100</v>
      </c>
      <c r="J65" s="152"/>
      <c r="K65" s="68">
        <f t="shared" si="26"/>
        <v>1100</v>
      </c>
      <c r="L65" s="52">
        <v>433.02300000000002</v>
      </c>
      <c r="M65" s="52"/>
      <c r="N65" s="53"/>
      <c r="O65" s="53"/>
      <c r="P65" s="54"/>
      <c r="Q65" s="55">
        <f t="shared" si="27"/>
        <v>1533.0230000000001</v>
      </c>
      <c r="R65" s="56"/>
      <c r="S65" s="57"/>
      <c r="T65" s="66">
        <f>+Q65*1%</f>
        <v>15.330230000000002</v>
      </c>
      <c r="U65" s="66">
        <f>+Q65*4.9%</f>
        <v>75.118127000000015</v>
      </c>
      <c r="V65" s="57"/>
      <c r="W65" s="57"/>
      <c r="X65" s="58"/>
      <c r="Y65" s="58"/>
      <c r="Z65" s="59"/>
      <c r="AA65" s="59">
        <v>0</v>
      </c>
      <c r="AB65" s="55">
        <f t="shared" si="28"/>
        <v>1442.5746430000002</v>
      </c>
      <c r="AC65" s="60">
        <f t="shared" si="7"/>
        <v>0</v>
      </c>
      <c r="AD65" s="55">
        <f t="shared" si="29"/>
        <v>1442.5746430000002</v>
      </c>
      <c r="AE65" s="61">
        <f t="shared" si="8"/>
        <v>153.30230000000003</v>
      </c>
      <c r="AF65" s="60">
        <v>10.23</v>
      </c>
      <c r="AG65" s="60">
        <f t="shared" si="30"/>
        <v>75.118127000000015</v>
      </c>
      <c r="AH65" s="62">
        <f t="shared" si="31"/>
        <v>1771.6734270000002</v>
      </c>
      <c r="AI65" s="137"/>
      <c r="AJ65" s="137"/>
      <c r="AK65" s="123">
        <f t="shared" si="6"/>
        <v>-1442.5746430000002</v>
      </c>
      <c r="AL65" s="64"/>
      <c r="AM65" s="64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</row>
    <row r="66" spans="1:193">
      <c r="A66" s="64" t="s">
        <v>82</v>
      </c>
      <c r="B66" s="50" t="s">
        <v>258</v>
      </c>
      <c r="C66" s="50"/>
      <c r="D66" s="50" t="s">
        <v>90</v>
      </c>
      <c r="E66" s="50" t="s">
        <v>144</v>
      </c>
      <c r="F66" s="133">
        <v>42170</v>
      </c>
      <c r="G66" s="50"/>
      <c r="H66" s="50"/>
      <c r="I66" s="28">
        <f>+K66</f>
        <v>633.62</v>
      </c>
      <c r="J66" s="150"/>
      <c r="K66" s="68">
        <v>633.62</v>
      </c>
      <c r="L66" s="52">
        <f>2075.061+13.099</f>
        <v>2088.1600000000003</v>
      </c>
      <c r="M66" s="52"/>
      <c r="N66" s="52"/>
      <c r="O66" s="52"/>
      <c r="P66" s="54"/>
      <c r="Q66" s="55">
        <f t="shared" si="27"/>
        <v>2721.78</v>
      </c>
      <c r="R66" s="56"/>
      <c r="S66" s="57"/>
      <c r="T66" s="57">
        <v>0</v>
      </c>
      <c r="U66" s="57"/>
      <c r="V66" s="57"/>
      <c r="W66" s="57"/>
      <c r="X66" s="58"/>
      <c r="Y66" s="58"/>
      <c r="Z66" s="59"/>
      <c r="AA66" s="59">
        <v>0</v>
      </c>
      <c r="AB66" s="55">
        <f t="shared" si="28"/>
        <v>2721.78</v>
      </c>
      <c r="AC66" s="60">
        <f t="shared" si="7"/>
        <v>272.17800000000005</v>
      </c>
      <c r="AD66" s="55">
        <f t="shared" si="29"/>
        <v>2449.6020000000003</v>
      </c>
      <c r="AE66" s="61">
        <f t="shared" si="8"/>
        <v>0</v>
      </c>
      <c r="AF66" s="60">
        <v>10.23</v>
      </c>
      <c r="AG66" s="60">
        <f t="shared" si="30"/>
        <v>0</v>
      </c>
      <c r="AH66" s="62">
        <f t="shared" si="31"/>
        <v>2732.01</v>
      </c>
      <c r="AI66" s="137"/>
      <c r="AJ66" s="138"/>
      <c r="AK66" s="123">
        <f t="shared" si="6"/>
        <v>-2449.6020000000003</v>
      </c>
      <c r="AL66" s="64"/>
      <c r="AM66" s="141" t="s">
        <v>287</v>
      </c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</row>
    <row r="67" spans="1:193">
      <c r="A67" s="64" t="s">
        <v>84</v>
      </c>
      <c r="B67" s="50" t="s">
        <v>177</v>
      </c>
      <c r="C67" s="50"/>
      <c r="D67" s="50" t="s">
        <v>119</v>
      </c>
      <c r="E67" s="50" t="s">
        <v>157</v>
      </c>
      <c r="F67" s="133">
        <v>36868</v>
      </c>
      <c r="G67" s="51"/>
      <c r="H67" s="51"/>
      <c r="I67" s="52">
        <v>623.36</v>
      </c>
      <c r="J67" s="152"/>
      <c r="K67" s="68">
        <f t="shared" si="26"/>
        <v>623.36</v>
      </c>
      <c r="L67" s="52">
        <v>989.95699999999999</v>
      </c>
      <c r="M67" s="52"/>
      <c r="N67" s="53"/>
      <c r="O67" s="53"/>
      <c r="P67" s="54"/>
      <c r="Q67" s="55">
        <f t="shared" si="27"/>
        <v>1613.317</v>
      </c>
      <c r="R67" s="56"/>
      <c r="S67" s="57"/>
      <c r="T67" s="57"/>
      <c r="U67" s="66">
        <f>Q67*4.9%</f>
        <v>79.052532999999997</v>
      </c>
      <c r="V67" s="66">
        <f>Q67*1%</f>
        <v>16.13317</v>
      </c>
      <c r="W67" s="57"/>
      <c r="X67" s="58"/>
      <c r="Y67" s="58"/>
      <c r="Z67" s="59"/>
      <c r="AA67" s="59">
        <v>0</v>
      </c>
      <c r="AB67" s="55">
        <f t="shared" si="28"/>
        <v>1518.1312969999999</v>
      </c>
      <c r="AC67" s="60">
        <f t="shared" si="7"/>
        <v>0</v>
      </c>
      <c r="AD67" s="55">
        <f t="shared" si="29"/>
        <v>1518.1312969999999</v>
      </c>
      <c r="AE67" s="61">
        <f t="shared" si="8"/>
        <v>161.33170000000001</v>
      </c>
      <c r="AF67" s="60">
        <v>10.23</v>
      </c>
      <c r="AG67" s="60">
        <f t="shared" si="30"/>
        <v>79.052532999999997</v>
      </c>
      <c r="AH67" s="62">
        <f t="shared" si="31"/>
        <v>1863.931233</v>
      </c>
      <c r="AI67" s="137"/>
      <c r="AJ67" s="137"/>
      <c r="AK67" s="123">
        <f t="shared" si="6"/>
        <v>-1518.1312969999999</v>
      </c>
      <c r="AL67" s="64"/>
      <c r="AM67" s="64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</row>
    <row r="68" spans="1:193" s="29" customFormat="1">
      <c r="A68" s="64" t="s">
        <v>84</v>
      </c>
      <c r="B68" s="50" t="s">
        <v>171</v>
      </c>
      <c r="C68" s="50"/>
      <c r="D68" s="50" t="s">
        <v>120</v>
      </c>
      <c r="E68" s="50" t="s">
        <v>221</v>
      </c>
      <c r="F68" s="133">
        <v>41949</v>
      </c>
      <c r="G68" s="51"/>
      <c r="H68" s="51"/>
      <c r="I68" s="52">
        <v>511.28</v>
      </c>
      <c r="J68" s="152"/>
      <c r="K68" s="68">
        <f t="shared" si="26"/>
        <v>511.28</v>
      </c>
      <c r="L68" s="52">
        <f>2242.8+7.428</f>
        <v>2250.2280000000001</v>
      </c>
      <c r="M68" s="52"/>
      <c r="N68" s="53"/>
      <c r="O68" s="53"/>
      <c r="P68" s="54"/>
      <c r="Q68" s="55">
        <f t="shared" si="27"/>
        <v>2761.5079999999998</v>
      </c>
      <c r="R68" s="56"/>
      <c r="S68" s="57"/>
      <c r="T68" s="66">
        <v>100</v>
      </c>
      <c r="U68" s="66">
        <f>Q68*4.9%</f>
        <v>135.31389200000001</v>
      </c>
      <c r="V68" s="66">
        <f>Q68*1%</f>
        <v>27.615079999999999</v>
      </c>
      <c r="W68" s="57"/>
      <c r="X68" s="58"/>
      <c r="Y68" s="58"/>
      <c r="Z68" s="59"/>
      <c r="AA68" s="59">
        <v>0</v>
      </c>
      <c r="AB68" s="55">
        <f t="shared" si="28"/>
        <v>2498.5790279999997</v>
      </c>
      <c r="AC68" s="60">
        <f t="shared" si="7"/>
        <v>276.1508</v>
      </c>
      <c r="AD68" s="55">
        <f t="shared" si="29"/>
        <v>2222.4282279999998</v>
      </c>
      <c r="AE68" s="61">
        <f t="shared" si="8"/>
        <v>0</v>
      </c>
      <c r="AF68" s="60">
        <v>10.23</v>
      </c>
      <c r="AG68" s="60">
        <f t="shared" si="30"/>
        <v>135.31389200000001</v>
      </c>
      <c r="AH68" s="62">
        <f t="shared" si="31"/>
        <v>2907.051892</v>
      </c>
      <c r="AI68" s="137"/>
      <c r="AJ68" s="138"/>
      <c r="AK68" s="123">
        <f t="shared" si="6"/>
        <v>-2222.4282279999998</v>
      </c>
      <c r="AL68" s="64"/>
      <c r="AM68" s="64"/>
    </row>
    <row r="69" spans="1:193" s="29" customFormat="1">
      <c r="A69" s="64" t="s">
        <v>82</v>
      </c>
      <c r="B69" s="64" t="s">
        <v>273</v>
      </c>
      <c r="C69" s="64"/>
      <c r="D69" s="64"/>
      <c r="E69" s="64" t="s">
        <v>221</v>
      </c>
      <c r="F69" s="134">
        <v>42493</v>
      </c>
      <c r="G69" s="64"/>
      <c r="H69" s="64"/>
      <c r="I69" s="68">
        <v>739.23</v>
      </c>
      <c r="J69" s="151"/>
      <c r="K69" s="68">
        <f t="shared" si="26"/>
        <v>739.23</v>
      </c>
      <c r="L69" s="68">
        <f>932.364+2.97</f>
        <v>935.33400000000006</v>
      </c>
      <c r="M69" s="68"/>
      <c r="N69" s="68"/>
      <c r="O69" s="68"/>
      <c r="P69" s="109"/>
      <c r="Q69" s="55">
        <f t="shared" si="27"/>
        <v>1674.5640000000001</v>
      </c>
      <c r="R69" s="56"/>
      <c r="S69" s="57"/>
      <c r="T69" s="103"/>
      <c r="U69" s="103"/>
      <c r="V69" s="103"/>
      <c r="W69" s="103"/>
      <c r="X69" s="104"/>
      <c r="Y69" s="104"/>
      <c r="Z69" s="88"/>
      <c r="AA69" s="88">
        <v>0</v>
      </c>
      <c r="AB69" s="55">
        <f t="shared" si="28"/>
        <v>1674.5640000000001</v>
      </c>
      <c r="AC69" s="60">
        <f t="shared" ref="AC69" si="38">IF(Q69&gt;2250,Q69*0.1,0)</f>
        <v>0</v>
      </c>
      <c r="AD69" s="55">
        <f t="shared" ref="AD69" si="39">+AB69-AC69</f>
        <v>1674.5640000000001</v>
      </c>
      <c r="AE69" s="61">
        <f t="shared" si="8"/>
        <v>167.45640000000003</v>
      </c>
      <c r="AF69" s="60">
        <v>10.23</v>
      </c>
      <c r="AG69" s="60">
        <f t="shared" ref="AG69" si="40">+U69</f>
        <v>0</v>
      </c>
      <c r="AH69" s="62">
        <f t="shared" ref="AH69" si="41">+Q69+AE69+AF69+AG69</f>
        <v>1852.2504000000001</v>
      </c>
      <c r="AI69" s="137"/>
      <c r="AJ69" s="137"/>
      <c r="AK69" s="123">
        <f t="shared" si="6"/>
        <v>-1674.5640000000001</v>
      </c>
      <c r="AL69" s="64">
        <v>2999103732</v>
      </c>
      <c r="AM69" s="69"/>
    </row>
    <row r="70" spans="1:193">
      <c r="A70" s="64" t="s">
        <v>68</v>
      </c>
      <c r="B70" s="50" t="s">
        <v>226</v>
      </c>
      <c r="C70" s="50" t="s">
        <v>209</v>
      </c>
      <c r="D70" s="50" t="s">
        <v>138</v>
      </c>
      <c r="E70" s="50" t="s">
        <v>70</v>
      </c>
      <c r="F70" s="133">
        <v>42251</v>
      </c>
      <c r="G70" s="51"/>
      <c r="H70" s="51"/>
      <c r="I70" s="52">
        <v>513.33000000000004</v>
      </c>
      <c r="J70" s="151">
        <v>653.33000000000004</v>
      </c>
      <c r="K70" s="68">
        <f t="shared" si="26"/>
        <v>1166.6600000000001</v>
      </c>
      <c r="L70" s="52">
        <v>534.91999999999996</v>
      </c>
      <c r="M70" s="52"/>
      <c r="N70" s="53"/>
      <c r="O70" s="53"/>
      <c r="P70" s="54"/>
      <c r="Q70" s="55">
        <f>SUM(K70:O70)-P70</f>
        <v>1701.58</v>
      </c>
      <c r="R70" s="56"/>
      <c r="S70" s="57"/>
      <c r="T70" s="57">
        <v>0</v>
      </c>
      <c r="U70" s="57"/>
      <c r="V70" s="57"/>
      <c r="W70" s="57"/>
      <c r="X70" s="58"/>
      <c r="Y70" s="58"/>
      <c r="Z70" s="59"/>
      <c r="AA70" s="59">
        <v>0</v>
      </c>
      <c r="AB70" s="55">
        <f>+Q70-SUM(R70:AA70)</f>
        <v>1701.58</v>
      </c>
      <c r="AC70" s="60">
        <f>IF(Q70&gt;2250,Q70*0.1,0)</f>
        <v>0</v>
      </c>
      <c r="AD70" s="55">
        <f t="shared" si="29"/>
        <v>1701.58</v>
      </c>
      <c r="AE70" s="61">
        <f t="shared" si="8"/>
        <v>170.15800000000002</v>
      </c>
      <c r="AF70" s="60">
        <v>10.23</v>
      </c>
      <c r="AG70" s="60">
        <f t="shared" si="30"/>
        <v>0</v>
      </c>
      <c r="AH70" s="62">
        <f>+Q70+AE70+AF70+AG70</f>
        <v>1881.9679999999998</v>
      </c>
      <c r="AI70" s="137"/>
      <c r="AJ70" s="138"/>
      <c r="AK70" s="123">
        <f t="shared" si="6"/>
        <v>-1701.58</v>
      </c>
      <c r="AL70" s="64"/>
      <c r="AM70" s="64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</row>
    <row r="71" spans="1:193">
      <c r="A71" s="64"/>
      <c r="B71" s="64" t="s">
        <v>280</v>
      </c>
      <c r="C71" s="64"/>
      <c r="D71" s="64"/>
      <c r="E71" s="64" t="s">
        <v>69</v>
      </c>
      <c r="F71" s="134">
        <v>42506</v>
      </c>
      <c r="G71" s="64"/>
      <c r="H71" s="64"/>
      <c r="I71" s="68">
        <v>1166.6600000000001</v>
      </c>
      <c r="J71" s="151"/>
      <c r="K71" s="68">
        <f t="shared" si="26"/>
        <v>1166.6600000000001</v>
      </c>
      <c r="L71" s="68">
        <v>906.13</v>
      </c>
      <c r="M71" s="68"/>
      <c r="N71" s="68"/>
      <c r="O71" s="68"/>
      <c r="P71" s="109"/>
      <c r="Q71" s="55">
        <f>SUM(K71:O71)-P71</f>
        <v>2072.79</v>
      </c>
      <c r="R71" s="56"/>
      <c r="S71" s="57"/>
      <c r="T71" s="57">
        <v>0</v>
      </c>
      <c r="U71" s="57"/>
      <c r="V71" s="57"/>
      <c r="W71" s="57"/>
      <c r="X71" s="58"/>
      <c r="Y71" s="58"/>
      <c r="Z71" s="59"/>
      <c r="AA71" s="59">
        <v>0</v>
      </c>
      <c r="AB71" s="55">
        <f>+Q71-SUM(R71:AA71)</f>
        <v>2072.79</v>
      </c>
      <c r="AC71" s="60">
        <f>IF(Q71&gt;2250,Q71*0.1,0)</f>
        <v>0</v>
      </c>
      <c r="AD71" s="55">
        <f t="shared" ref="AD71" si="42">+AB71-AC71</f>
        <v>2072.79</v>
      </c>
      <c r="AE71" s="61">
        <f t="shared" si="8"/>
        <v>207.279</v>
      </c>
      <c r="AF71" s="60">
        <v>10.23</v>
      </c>
      <c r="AG71" s="60">
        <f t="shared" ref="AG71" si="43">+U71</f>
        <v>0</v>
      </c>
      <c r="AH71" s="62">
        <f>+Q71+AE71+AF71+AG71</f>
        <v>2290.299</v>
      </c>
      <c r="AI71" s="137"/>
      <c r="AJ71" s="137"/>
      <c r="AK71" s="123">
        <f t="shared" si="6"/>
        <v>-2072.79</v>
      </c>
      <c r="AL71" s="129">
        <v>2928860106</v>
      </c>
      <c r="AM71" s="6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</row>
    <row r="72" spans="1:193" s="37" customFormat="1">
      <c r="A72" s="64" t="s">
        <v>82</v>
      </c>
      <c r="B72" s="50" t="s">
        <v>74</v>
      </c>
      <c r="C72" s="50"/>
      <c r="D72" s="50" t="s">
        <v>91</v>
      </c>
      <c r="E72" s="50" t="s">
        <v>145</v>
      </c>
      <c r="F72" s="133">
        <v>42129</v>
      </c>
      <c r="G72" s="50"/>
      <c r="H72" s="51"/>
      <c r="I72" s="52">
        <v>739.23</v>
      </c>
      <c r="J72" s="152"/>
      <c r="K72" s="68">
        <f t="shared" si="26"/>
        <v>739.23</v>
      </c>
      <c r="L72" s="52">
        <f>4040.77+13.099</f>
        <v>4053.8690000000001</v>
      </c>
      <c r="M72" s="52"/>
      <c r="N72" s="73"/>
      <c r="O72" s="53"/>
      <c r="P72" s="54"/>
      <c r="Q72" s="55">
        <f t="shared" si="27"/>
        <v>4793.0990000000002</v>
      </c>
      <c r="R72" s="56"/>
      <c r="S72" s="57"/>
      <c r="T72" s="57">
        <v>0</v>
      </c>
      <c r="U72" s="57"/>
      <c r="V72" s="57"/>
      <c r="W72" s="57"/>
      <c r="X72" s="58"/>
      <c r="Y72" s="58"/>
      <c r="Z72" s="59"/>
      <c r="AA72" s="59">
        <v>0</v>
      </c>
      <c r="AB72" s="55">
        <f t="shared" si="28"/>
        <v>4793.0990000000002</v>
      </c>
      <c r="AC72" s="60">
        <f t="shared" si="7"/>
        <v>479.30990000000003</v>
      </c>
      <c r="AD72" s="55">
        <f t="shared" si="29"/>
        <v>4313.7891</v>
      </c>
      <c r="AE72" s="61">
        <f t="shared" si="8"/>
        <v>0</v>
      </c>
      <c r="AF72" s="60">
        <v>10.23</v>
      </c>
      <c r="AG72" s="60">
        <f t="shared" si="30"/>
        <v>0</v>
      </c>
      <c r="AH72" s="62">
        <f t="shared" si="31"/>
        <v>4803.3289999999997</v>
      </c>
      <c r="AI72" s="137"/>
      <c r="AJ72" s="138"/>
      <c r="AK72" s="123">
        <f t="shared" si="6"/>
        <v>-4313.7891</v>
      </c>
      <c r="AL72" s="64"/>
      <c r="AM72" s="6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</row>
    <row r="73" spans="1:193" s="29" customFormat="1">
      <c r="A73" s="64" t="s">
        <v>81</v>
      </c>
      <c r="B73" s="64" t="s">
        <v>250</v>
      </c>
      <c r="C73" s="64"/>
      <c r="D73" s="64"/>
      <c r="E73" s="64" t="s">
        <v>69</v>
      </c>
      <c r="F73" s="134">
        <v>42472</v>
      </c>
      <c r="G73" s="64"/>
      <c r="H73" s="64"/>
      <c r="I73" s="68">
        <v>1166.26</v>
      </c>
      <c r="J73" s="151"/>
      <c r="K73" s="68">
        <f t="shared" si="26"/>
        <v>1166.26</v>
      </c>
      <c r="L73" s="68">
        <v>1093.5999999999999</v>
      </c>
      <c r="M73" s="68"/>
      <c r="N73" s="74"/>
      <c r="O73" s="68"/>
      <c r="P73" s="54"/>
      <c r="Q73" s="55">
        <f t="shared" si="27"/>
        <v>2259.8599999999997</v>
      </c>
      <c r="R73" s="56">
        <v>250</v>
      </c>
      <c r="S73" s="103"/>
      <c r="T73" s="103"/>
      <c r="U73" s="103"/>
      <c r="V73" s="103"/>
      <c r="W73" s="103"/>
      <c r="X73" s="104"/>
      <c r="Y73" s="104"/>
      <c r="Z73" s="88"/>
      <c r="AA73" s="88">
        <v>0</v>
      </c>
      <c r="AB73" s="55">
        <f t="shared" si="28"/>
        <v>2009.8599999999997</v>
      </c>
      <c r="AC73" s="60">
        <f t="shared" ref="AC73" si="44">IF(Q73&gt;2250,Q73*0.1,0)</f>
        <v>225.98599999999999</v>
      </c>
      <c r="AD73" s="55">
        <f t="shared" ref="AD73" si="45">+AB73-AC73</f>
        <v>1783.8739999999998</v>
      </c>
      <c r="AE73" s="61">
        <f t="shared" ref="AE73:AE103" si="46">IF(Q73&lt;2250,Q73*0.1,0)</f>
        <v>0</v>
      </c>
      <c r="AF73" s="60">
        <v>10.23</v>
      </c>
      <c r="AG73" s="60">
        <f t="shared" ref="AG73" si="47">+U73</f>
        <v>0</v>
      </c>
      <c r="AH73" s="62">
        <f t="shared" si="31"/>
        <v>2270.0899999999997</v>
      </c>
      <c r="AI73" s="137"/>
      <c r="AJ73" s="138"/>
      <c r="AK73" s="123">
        <f t="shared" si="6"/>
        <v>-1783.8739999999998</v>
      </c>
      <c r="AL73" s="144">
        <v>1123036669</v>
      </c>
      <c r="AM73" s="69"/>
    </row>
    <row r="74" spans="1:193">
      <c r="A74" s="64" t="s">
        <v>82</v>
      </c>
      <c r="B74" s="50" t="s">
        <v>194</v>
      </c>
      <c r="C74" s="50"/>
      <c r="D74" s="50" t="s">
        <v>92</v>
      </c>
      <c r="E74" s="50" t="s">
        <v>144</v>
      </c>
      <c r="F74" s="134">
        <v>42377</v>
      </c>
      <c r="G74" s="50"/>
      <c r="H74" s="51"/>
      <c r="I74" s="52">
        <v>739.23</v>
      </c>
      <c r="J74" s="152"/>
      <c r="K74" s="68">
        <f t="shared" si="26"/>
        <v>739.23</v>
      </c>
      <c r="L74" s="52">
        <v>2182.4479999999999</v>
      </c>
      <c r="M74" s="52"/>
      <c r="N74" s="53"/>
      <c r="O74" s="53"/>
      <c r="P74" s="54"/>
      <c r="Q74" s="55">
        <f t="shared" si="27"/>
        <v>2921.6779999999999</v>
      </c>
      <c r="R74" s="56"/>
      <c r="S74" s="57"/>
      <c r="T74" s="57">
        <v>0</v>
      </c>
      <c r="U74" s="57"/>
      <c r="V74" s="57"/>
      <c r="W74" s="57"/>
      <c r="X74" s="58"/>
      <c r="Y74" s="58"/>
      <c r="Z74" s="59"/>
      <c r="AA74" s="59">
        <v>0</v>
      </c>
      <c r="AB74" s="55">
        <f t="shared" si="28"/>
        <v>2921.6779999999999</v>
      </c>
      <c r="AC74" s="60">
        <f t="shared" si="7"/>
        <v>292.1678</v>
      </c>
      <c r="AD74" s="55">
        <f t="shared" si="29"/>
        <v>2629.5101999999997</v>
      </c>
      <c r="AE74" s="61">
        <f t="shared" si="46"/>
        <v>0</v>
      </c>
      <c r="AF74" s="60">
        <v>10.23</v>
      </c>
      <c r="AG74" s="60">
        <f t="shared" si="30"/>
        <v>0</v>
      </c>
      <c r="AH74" s="62">
        <f t="shared" si="31"/>
        <v>2931.9079999999999</v>
      </c>
      <c r="AI74" s="137"/>
      <c r="AJ74" s="138"/>
      <c r="AK74" s="123">
        <f t="shared" si="6"/>
        <v>-2629.5101999999997</v>
      </c>
      <c r="AL74" s="64"/>
      <c r="AM74" s="6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</row>
    <row r="75" spans="1:193">
      <c r="A75" s="64" t="s">
        <v>82</v>
      </c>
      <c r="B75" s="64" t="s">
        <v>223</v>
      </c>
      <c r="C75" s="64"/>
      <c r="D75" s="64"/>
      <c r="E75" s="64" t="s">
        <v>144</v>
      </c>
      <c r="F75" s="134">
        <v>42422</v>
      </c>
      <c r="G75" s="64"/>
      <c r="H75" s="64"/>
      <c r="I75" s="52">
        <v>739.23</v>
      </c>
      <c r="J75" s="152"/>
      <c r="K75" s="68">
        <f t="shared" si="26"/>
        <v>739.23</v>
      </c>
      <c r="L75" s="52">
        <f>4014.57+13.099</f>
        <v>4027.6690000000003</v>
      </c>
      <c r="M75" s="52"/>
      <c r="N75" s="53"/>
      <c r="O75" s="53"/>
      <c r="P75" s="54"/>
      <c r="Q75" s="55">
        <f t="shared" si="27"/>
        <v>4766.8990000000003</v>
      </c>
      <c r="R75" s="56"/>
      <c r="S75" s="57"/>
      <c r="T75" s="57">
        <v>0</v>
      </c>
      <c r="U75" s="57"/>
      <c r="V75" s="57"/>
      <c r="W75" s="57"/>
      <c r="X75" s="58"/>
      <c r="Y75" s="58"/>
      <c r="Z75" s="59"/>
      <c r="AA75" s="59">
        <v>0</v>
      </c>
      <c r="AB75" s="55">
        <f t="shared" si="28"/>
        <v>4766.8990000000003</v>
      </c>
      <c r="AC75" s="60">
        <f t="shared" si="7"/>
        <v>476.68990000000008</v>
      </c>
      <c r="AD75" s="55">
        <f t="shared" si="29"/>
        <v>4290.2091</v>
      </c>
      <c r="AE75" s="61">
        <f t="shared" si="46"/>
        <v>0</v>
      </c>
      <c r="AF75" s="60">
        <v>10.23</v>
      </c>
      <c r="AG75" s="60">
        <f t="shared" si="30"/>
        <v>0</v>
      </c>
      <c r="AH75" s="62">
        <f t="shared" si="31"/>
        <v>4777.1289999999999</v>
      </c>
      <c r="AI75" s="137"/>
      <c r="AJ75" s="138"/>
      <c r="AK75" s="123">
        <f t="shared" si="6"/>
        <v>-4290.2091</v>
      </c>
      <c r="AL75" s="64"/>
      <c r="AM75" s="6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</row>
    <row r="76" spans="1:193">
      <c r="A76" s="64" t="s">
        <v>84</v>
      </c>
      <c r="B76" s="50" t="s">
        <v>261</v>
      </c>
      <c r="C76" s="50"/>
      <c r="D76" s="50" t="s">
        <v>121</v>
      </c>
      <c r="E76" s="50" t="s">
        <v>158</v>
      </c>
      <c r="F76" s="133">
        <v>41227</v>
      </c>
      <c r="G76" s="51"/>
      <c r="H76" s="51"/>
      <c r="I76" s="28">
        <f>+K76</f>
        <v>534.29999999999995</v>
      </c>
      <c r="J76" s="152"/>
      <c r="K76" s="68">
        <v>534.29999999999995</v>
      </c>
      <c r="L76" s="52">
        <f>4020.615+5.571</f>
        <v>4026.1859999999997</v>
      </c>
      <c r="M76" s="52"/>
      <c r="N76" s="53"/>
      <c r="O76" s="53"/>
      <c r="P76" s="54"/>
      <c r="Q76" s="55">
        <f t="shared" si="27"/>
        <v>4560.4859999999999</v>
      </c>
      <c r="R76" s="56"/>
      <c r="S76" s="57"/>
      <c r="T76" s="66">
        <v>200</v>
      </c>
      <c r="U76" s="66">
        <f>Q76*4.9%</f>
        <v>223.46381400000001</v>
      </c>
      <c r="V76" s="66">
        <f>Q76*1%</f>
        <v>45.604860000000002</v>
      </c>
      <c r="W76" s="66">
        <v>321.74</v>
      </c>
      <c r="X76" s="58"/>
      <c r="Y76" s="58"/>
      <c r="Z76" s="59"/>
      <c r="AA76" s="59">
        <v>0</v>
      </c>
      <c r="AB76" s="55">
        <f t="shared" si="28"/>
        <v>3769.677326</v>
      </c>
      <c r="AC76" s="60">
        <f t="shared" si="7"/>
        <v>456.04860000000002</v>
      </c>
      <c r="AD76" s="55">
        <f t="shared" si="29"/>
        <v>3313.6287259999999</v>
      </c>
      <c r="AE76" s="61">
        <f t="shared" si="46"/>
        <v>0</v>
      </c>
      <c r="AF76" s="60">
        <v>10.23</v>
      </c>
      <c r="AG76" s="60">
        <f t="shared" si="30"/>
        <v>223.46381400000001</v>
      </c>
      <c r="AH76" s="62">
        <f t="shared" si="31"/>
        <v>4794.1798139999992</v>
      </c>
      <c r="AI76" s="137"/>
      <c r="AJ76" s="137"/>
      <c r="AK76" s="123">
        <f t="shared" ref="AK76:AK104" si="48">+AI76+AJ76-AD76</f>
        <v>-3313.6287259999999</v>
      </c>
      <c r="AL76" s="64"/>
      <c r="AM76" s="141" t="s">
        <v>287</v>
      </c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</row>
    <row r="77" spans="1:193">
      <c r="A77" s="64" t="s">
        <v>68</v>
      </c>
      <c r="B77" s="50" t="s">
        <v>301</v>
      </c>
      <c r="C77" s="50"/>
      <c r="D77" s="50"/>
      <c r="E77" s="64" t="s">
        <v>70</v>
      </c>
      <c r="F77" s="133">
        <v>42522</v>
      </c>
      <c r="G77" s="51"/>
      <c r="H77" s="51"/>
      <c r="I77" s="149">
        <v>513.33000000000004</v>
      </c>
      <c r="J77" s="152"/>
      <c r="K77" s="68">
        <v>534.29999999999995</v>
      </c>
      <c r="L77" s="52">
        <v>0</v>
      </c>
      <c r="M77" s="52"/>
      <c r="N77" s="53"/>
      <c r="O77" s="53"/>
      <c r="P77" s="54"/>
      <c r="Q77" s="55">
        <f t="shared" si="27"/>
        <v>534.29999999999995</v>
      </c>
      <c r="R77" s="56"/>
      <c r="S77" s="57"/>
      <c r="T77" s="66"/>
      <c r="U77" s="66"/>
      <c r="V77" s="66"/>
      <c r="W77" s="66"/>
      <c r="X77" s="58"/>
      <c r="Y77" s="58"/>
      <c r="Z77" s="59"/>
      <c r="AA77" s="59">
        <v>0</v>
      </c>
      <c r="AB77" s="55">
        <f t="shared" ref="AB77" si="49">+Q77-SUM(R77:AA77)</f>
        <v>534.29999999999995</v>
      </c>
      <c r="AC77" s="60">
        <f t="shared" ref="AC77" si="50">IF(Q77&gt;2250,Q77*0.1,0)</f>
        <v>0</v>
      </c>
      <c r="AD77" s="55">
        <f t="shared" ref="AD77" si="51">+AB77-AC77</f>
        <v>534.29999999999995</v>
      </c>
      <c r="AE77" s="61">
        <f t="shared" ref="AE77" si="52">IF(Q77&lt;2250,Q77*0.1,0)</f>
        <v>53.43</v>
      </c>
      <c r="AF77" s="60">
        <v>10.23</v>
      </c>
      <c r="AG77" s="60">
        <f t="shared" ref="AG77" si="53">+U77</f>
        <v>0</v>
      </c>
      <c r="AH77" s="62">
        <f t="shared" ref="AH77" si="54">+Q77+AE77+AF77+AG77</f>
        <v>597.95999999999992</v>
      </c>
      <c r="AI77" s="137"/>
      <c r="AJ77" s="137"/>
      <c r="AK77" s="123"/>
      <c r="AL77" s="64"/>
      <c r="AM77" s="141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</row>
    <row r="78" spans="1:193" s="29" customFormat="1">
      <c r="A78" s="64" t="s">
        <v>68</v>
      </c>
      <c r="B78" s="64" t="s">
        <v>185</v>
      </c>
      <c r="C78" s="64" t="s">
        <v>206</v>
      </c>
      <c r="D78" s="76" t="s">
        <v>186</v>
      </c>
      <c r="E78" s="64" t="s">
        <v>70</v>
      </c>
      <c r="F78" s="133">
        <v>42396</v>
      </c>
      <c r="G78" s="64"/>
      <c r="H78" s="64"/>
      <c r="I78" s="68">
        <v>513.33000000000004</v>
      </c>
      <c r="J78" s="151">
        <v>653.33000000000004</v>
      </c>
      <c r="K78" s="68">
        <f t="shared" si="26"/>
        <v>1166.6600000000001</v>
      </c>
      <c r="L78" s="68">
        <v>3407.23</v>
      </c>
      <c r="M78" s="68"/>
      <c r="N78" s="68"/>
      <c r="O78" s="68"/>
      <c r="P78" s="54"/>
      <c r="Q78" s="55">
        <f t="shared" si="27"/>
        <v>4573.8900000000003</v>
      </c>
      <c r="R78" s="56"/>
      <c r="S78" s="57"/>
      <c r="T78" s="103"/>
      <c r="U78" s="103"/>
      <c r="V78" s="103"/>
      <c r="W78" s="103"/>
      <c r="X78" s="71">
        <v>966.45</v>
      </c>
      <c r="Y78" s="104"/>
      <c r="Z78" s="88"/>
      <c r="AA78" s="65">
        <v>291.5</v>
      </c>
      <c r="AB78" s="55">
        <f t="shared" si="28"/>
        <v>3315.9400000000005</v>
      </c>
      <c r="AC78" s="60">
        <f t="shared" ref="AC78" si="55">IF(Q78&gt;2250,Q78*0.1,0)</f>
        <v>457.38900000000007</v>
      </c>
      <c r="AD78" s="55">
        <f t="shared" ref="AD78" si="56">+AB78-AC78</f>
        <v>2858.5510000000004</v>
      </c>
      <c r="AE78" s="61">
        <f t="shared" si="46"/>
        <v>0</v>
      </c>
      <c r="AF78" s="60">
        <v>10.23</v>
      </c>
      <c r="AG78" s="60">
        <f t="shared" ref="AG78" si="57">+U78</f>
        <v>0</v>
      </c>
      <c r="AH78" s="62">
        <f t="shared" ref="AH78" si="58">+Q78+AE78+AF78+AG78</f>
        <v>4584.12</v>
      </c>
      <c r="AI78" s="137"/>
      <c r="AJ78" s="137"/>
      <c r="AK78" s="123">
        <f t="shared" si="48"/>
        <v>-2858.5510000000004</v>
      </c>
      <c r="AL78" s="64"/>
      <c r="AM78" s="69"/>
    </row>
    <row r="79" spans="1:193">
      <c r="A79" s="64" t="s">
        <v>84</v>
      </c>
      <c r="B79" s="50" t="s">
        <v>168</v>
      </c>
      <c r="C79" s="50"/>
      <c r="D79" s="50" t="s">
        <v>123</v>
      </c>
      <c r="E79" s="50" t="s">
        <v>153</v>
      </c>
      <c r="F79" s="133">
        <v>41732</v>
      </c>
      <c r="G79" s="51"/>
      <c r="H79" s="51"/>
      <c r="I79" s="52">
        <v>556.78</v>
      </c>
      <c r="J79" s="152"/>
      <c r="K79" s="68">
        <f t="shared" ref="K79:K103" si="59">+I79+J79</f>
        <v>556.78</v>
      </c>
      <c r="L79" s="52">
        <v>476.28500000000003</v>
      </c>
      <c r="M79" s="52"/>
      <c r="N79" s="53"/>
      <c r="O79" s="53"/>
      <c r="P79" s="54"/>
      <c r="Q79" s="55">
        <f t="shared" ref="Q79:Q104" si="60">SUM(K79:O79)-P79</f>
        <v>1033.0650000000001</v>
      </c>
      <c r="R79" s="56"/>
      <c r="S79" s="57"/>
      <c r="T79" s="57">
        <v>0</v>
      </c>
      <c r="U79" s="66">
        <f>Q79*4.9%</f>
        <v>50.620185000000006</v>
      </c>
      <c r="V79" s="66">
        <f>Q79*1%</f>
        <v>10.33065</v>
      </c>
      <c r="W79" s="57"/>
      <c r="X79" s="58"/>
      <c r="Y79" s="58"/>
      <c r="Z79" s="59"/>
      <c r="AA79" s="59">
        <v>0</v>
      </c>
      <c r="AB79" s="55">
        <f t="shared" ref="AB79:AB103" si="61">+Q79-SUM(R79:AA79)</f>
        <v>972.11416500000007</v>
      </c>
      <c r="AC79" s="60">
        <f t="shared" ref="AC79:AC104" si="62">IF(Q79&gt;2250,Q79*0.1,0)</f>
        <v>0</v>
      </c>
      <c r="AD79" s="55">
        <f t="shared" ref="AD79:AD103" si="63">+AB79-AC79</f>
        <v>972.11416500000007</v>
      </c>
      <c r="AE79" s="61">
        <f t="shared" si="46"/>
        <v>103.30650000000001</v>
      </c>
      <c r="AF79" s="60">
        <v>10.23</v>
      </c>
      <c r="AG79" s="60">
        <f t="shared" ref="AG79:AG104" si="64">+U79</f>
        <v>50.620185000000006</v>
      </c>
      <c r="AH79" s="62">
        <f t="shared" ref="AH79:AH104" si="65">+Q79+AE79+AF79+AG79</f>
        <v>1197.221685</v>
      </c>
      <c r="AI79" s="137"/>
      <c r="AJ79" s="137"/>
      <c r="AK79" s="123">
        <f t="shared" si="48"/>
        <v>-972.11416500000007</v>
      </c>
      <c r="AL79" s="64"/>
      <c r="AM79" s="64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</row>
    <row r="80" spans="1:193">
      <c r="A80" s="64" t="s">
        <v>68</v>
      </c>
      <c r="B80" s="50" t="s">
        <v>237</v>
      </c>
      <c r="C80" s="50"/>
      <c r="D80" s="50"/>
      <c r="E80" s="50" t="s">
        <v>70</v>
      </c>
      <c r="F80" s="134">
        <v>42443</v>
      </c>
      <c r="G80" s="51"/>
      <c r="H80" s="51"/>
      <c r="I80" s="52">
        <v>513.33000000000004</v>
      </c>
      <c r="J80" s="151">
        <v>653.33000000000004</v>
      </c>
      <c r="K80" s="68">
        <f t="shared" si="59"/>
        <v>1166.6600000000001</v>
      </c>
      <c r="L80" s="52">
        <v>0</v>
      </c>
      <c r="M80" s="52"/>
      <c r="N80" s="53"/>
      <c r="O80" s="53"/>
      <c r="P80" s="54"/>
      <c r="Q80" s="55">
        <f t="shared" si="60"/>
        <v>1166.6600000000001</v>
      </c>
      <c r="R80" s="56"/>
      <c r="S80" s="57"/>
      <c r="T80" s="57"/>
      <c r="U80" s="66"/>
      <c r="V80" s="66"/>
      <c r="W80" s="57"/>
      <c r="X80" s="58"/>
      <c r="Y80" s="58"/>
      <c r="Z80" s="59"/>
      <c r="AA80" s="65">
        <v>1155.6199999999999</v>
      </c>
      <c r="AB80" s="55">
        <f t="shared" si="61"/>
        <v>11.040000000000191</v>
      </c>
      <c r="AC80" s="60">
        <f t="shared" si="62"/>
        <v>0</v>
      </c>
      <c r="AD80" s="55">
        <f t="shared" si="63"/>
        <v>11.040000000000191</v>
      </c>
      <c r="AE80" s="61">
        <f t="shared" si="46"/>
        <v>116.66600000000001</v>
      </c>
      <c r="AF80" s="60">
        <v>10.23</v>
      </c>
      <c r="AG80" s="60">
        <f t="shared" si="64"/>
        <v>0</v>
      </c>
      <c r="AH80" s="62">
        <f t="shared" si="65"/>
        <v>1293.556</v>
      </c>
      <c r="AI80" s="137"/>
      <c r="AJ80" s="137"/>
      <c r="AK80" s="123">
        <f t="shared" si="48"/>
        <v>-11.040000000000191</v>
      </c>
      <c r="AL80" s="64">
        <v>2713019144</v>
      </c>
      <c r="AM80" s="86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</row>
    <row r="81" spans="1:193" s="29" customFormat="1">
      <c r="A81" s="64" t="s">
        <v>81</v>
      </c>
      <c r="B81" s="64" t="s">
        <v>201</v>
      </c>
      <c r="C81" s="64"/>
      <c r="D81" s="64" t="s">
        <v>102</v>
      </c>
      <c r="E81" s="64" t="s">
        <v>151</v>
      </c>
      <c r="F81" s="133">
        <v>42321</v>
      </c>
      <c r="G81" s="64"/>
      <c r="H81" s="64"/>
      <c r="I81" s="52">
        <v>577.38</v>
      </c>
      <c r="J81" s="150">
        <v>1047.6199999999999</v>
      </c>
      <c r="K81" s="68">
        <f t="shared" si="59"/>
        <v>1625</v>
      </c>
      <c r="L81" s="68">
        <v>0</v>
      </c>
      <c r="M81" s="68"/>
      <c r="N81" s="68"/>
      <c r="O81" s="68"/>
      <c r="P81" s="109"/>
      <c r="Q81" s="55">
        <f t="shared" si="60"/>
        <v>1625</v>
      </c>
      <c r="R81" s="56"/>
      <c r="S81" s="103"/>
      <c r="T81" s="103">
        <v>0</v>
      </c>
      <c r="U81" s="103"/>
      <c r="V81" s="103"/>
      <c r="W81" s="103"/>
      <c r="X81" s="104"/>
      <c r="Y81" s="104"/>
      <c r="Z81" s="88"/>
      <c r="AA81" s="88">
        <v>0</v>
      </c>
      <c r="AB81" s="55">
        <f t="shared" ref="AB81" si="66">+Q81-SUM(R81:AA81)</f>
        <v>1625</v>
      </c>
      <c r="AC81" s="60">
        <f t="shared" ref="AC81" si="67">IF(Q81&gt;2250,Q81*0.1,0)</f>
        <v>0</v>
      </c>
      <c r="AD81" s="55">
        <f t="shared" ref="AD81" si="68">+AB81-AC81</f>
        <v>1625</v>
      </c>
      <c r="AE81" s="61">
        <f t="shared" si="46"/>
        <v>162.5</v>
      </c>
      <c r="AF81" s="60">
        <v>10.23</v>
      </c>
      <c r="AG81" s="60">
        <f t="shared" ref="AG81" si="69">+U81</f>
        <v>0</v>
      </c>
      <c r="AH81" s="62">
        <f t="shared" ref="AH81" si="70">+Q81+AE81+AF81+AG81</f>
        <v>1797.73</v>
      </c>
      <c r="AI81" s="137"/>
      <c r="AJ81" s="138"/>
      <c r="AK81" s="123">
        <f t="shared" si="48"/>
        <v>-1625</v>
      </c>
      <c r="AL81" s="64"/>
      <c r="AM81" s="69"/>
    </row>
    <row r="82" spans="1:193">
      <c r="A82" s="64" t="s">
        <v>82</v>
      </c>
      <c r="B82" s="64" t="s">
        <v>256</v>
      </c>
      <c r="C82" s="64"/>
      <c r="D82" s="64"/>
      <c r="E82" s="64" t="s">
        <v>144</v>
      </c>
      <c r="F82" s="134">
        <v>42416</v>
      </c>
      <c r="G82" s="64"/>
      <c r="H82" s="64"/>
      <c r="I82" s="28">
        <f>+K82</f>
        <v>633.62</v>
      </c>
      <c r="J82" s="151"/>
      <c r="K82" s="68">
        <v>633.62</v>
      </c>
      <c r="L82" s="68">
        <f>1420.74+7.428</f>
        <v>1428.1680000000001</v>
      </c>
      <c r="M82" s="68"/>
      <c r="N82" s="68"/>
      <c r="O82" s="68"/>
      <c r="P82" s="54"/>
      <c r="Q82" s="55">
        <f t="shared" si="60"/>
        <v>2061.788</v>
      </c>
      <c r="R82" s="56"/>
      <c r="S82" s="57"/>
      <c r="T82" s="57">
        <v>0</v>
      </c>
      <c r="U82" s="57"/>
      <c r="V82" s="57"/>
      <c r="W82" s="57"/>
      <c r="X82" s="58"/>
      <c r="Y82" s="58"/>
      <c r="Z82" s="59"/>
      <c r="AA82" s="59">
        <v>0</v>
      </c>
      <c r="AB82" s="55">
        <f t="shared" si="61"/>
        <v>2061.788</v>
      </c>
      <c r="AC82" s="60">
        <f t="shared" si="62"/>
        <v>0</v>
      </c>
      <c r="AD82" s="55">
        <f t="shared" si="63"/>
        <v>2061.788</v>
      </c>
      <c r="AE82" s="61">
        <f t="shared" si="46"/>
        <v>206.17880000000002</v>
      </c>
      <c r="AF82" s="60">
        <v>10.23</v>
      </c>
      <c r="AG82" s="60">
        <f t="shared" si="64"/>
        <v>0</v>
      </c>
      <c r="AH82" s="62">
        <f t="shared" si="65"/>
        <v>2278.1968000000002</v>
      </c>
      <c r="AI82" s="137"/>
      <c r="AJ82" s="138"/>
      <c r="AK82" s="123">
        <f t="shared" si="48"/>
        <v>-2061.788</v>
      </c>
      <c r="AL82" s="64"/>
      <c r="AM82" s="141" t="s">
        <v>287</v>
      </c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</row>
    <row r="83" spans="1:193">
      <c r="A83" s="64" t="s">
        <v>84</v>
      </c>
      <c r="B83" s="50" t="s">
        <v>183</v>
      </c>
      <c r="C83" s="50"/>
      <c r="D83" s="50" t="s">
        <v>122</v>
      </c>
      <c r="E83" s="50" t="s">
        <v>159</v>
      </c>
      <c r="F83" s="133">
        <v>42228</v>
      </c>
      <c r="G83" s="51"/>
      <c r="H83" s="51"/>
      <c r="I83" s="52">
        <v>511.28</v>
      </c>
      <c r="J83" s="152"/>
      <c r="K83" s="68">
        <f t="shared" si="59"/>
        <v>511.28</v>
      </c>
      <c r="L83" s="52">
        <f>1121.4+5.571</f>
        <v>1126.971</v>
      </c>
      <c r="M83" s="52"/>
      <c r="N83" s="53"/>
      <c r="O83" s="53"/>
      <c r="P83" s="54"/>
      <c r="Q83" s="55">
        <f t="shared" si="60"/>
        <v>1638.251</v>
      </c>
      <c r="R83" s="56"/>
      <c r="S83" s="57"/>
      <c r="T83" s="66">
        <v>300</v>
      </c>
      <c r="U83" s="57"/>
      <c r="V83" s="57"/>
      <c r="W83" s="57"/>
      <c r="X83" s="58"/>
      <c r="Y83" s="58"/>
      <c r="Z83" s="59"/>
      <c r="AA83" s="65">
        <v>845</v>
      </c>
      <c r="AB83" s="55">
        <f t="shared" si="61"/>
        <v>493.25099999999998</v>
      </c>
      <c r="AC83" s="60">
        <f t="shared" si="62"/>
        <v>0</v>
      </c>
      <c r="AD83" s="55">
        <f t="shared" si="63"/>
        <v>493.25099999999998</v>
      </c>
      <c r="AE83" s="61">
        <f t="shared" si="46"/>
        <v>163.82510000000002</v>
      </c>
      <c r="AF83" s="60">
        <v>10.23</v>
      </c>
      <c r="AG83" s="60">
        <f t="shared" si="64"/>
        <v>0</v>
      </c>
      <c r="AH83" s="62">
        <f t="shared" si="65"/>
        <v>1812.3061</v>
      </c>
      <c r="AI83" s="137"/>
      <c r="AJ83" s="137"/>
      <c r="AK83" s="123">
        <f t="shared" si="48"/>
        <v>-493.25099999999998</v>
      </c>
      <c r="AL83" s="64"/>
      <c r="AM83" s="64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</row>
    <row r="84" spans="1:193">
      <c r="A84" s="64" t="s">
        <v>81</v>
      </c>
      <c r="B84" s="50" t="s">
        <v>197</v>
      </c>
      <c r="C84" s="50"/>
      <c r="D84" s="50" t="s">
        <v>86</v>
      </c>
      <c r="E84" s="50" t="s">
        <v>69</v>
      </c>
      <c r="F84" s="133">
        <v>42065</v>
      </c>
      <c r="G84" s="50"/>
      <c r="H84" s="50"/>
      <c r="I84" s="52">
        <v>1166.26</v>
      </c>
      <c r="J84" s="150"/>
      <c r="K84" s="68">
        <f t="shared" si="59"/>
        <v>1166.26</v>
      </c>
      <c r="L84" s="52">
        <v>4241.87</v>
      </c>
      <c r="M84" s="52"/>
      <c r="N84" s="52"/>
      <c r="O84" s="52"/>
      <c r="P84" s="54"/>
      <c r="Q84" s="55">
        <f t="shared" si="60"/>
        <v>5408.13</v>
      </c>
      <c r="R84" s="56"/>
      <c r="S84" s="57"/>
      <c r="T84" s="57">
        <v>0</v>
      </c>
      <c r="U84" s="57"/>
      <c r="V84" s="57"/>
      <c r="W84" s="57"/>
      <c r="X84" s="58"/>
      <c r="Y84" s="58"/>
      <c r="Z84" s="59"/>
      <c r="AA84" s="59">
        <v>0</v>
      </c>
      <c r="AB84" s="55">
        <f t="shared" si="61"/>
        <v>5408.13</v>
      </c>
      <c r="AC84" s="60">
        <f t="shared" si="62"/>
        <v>540.81299999999999</v>
      </c>
      <c r="AD84" s="55">
        <f t="shared" si="63"/>
        <v>4867.317</v>
      </c>
      <c r="AE84" s="61">
        <f t="shared" si="46"/>
        <v>0</v>
      </c>
      <c r="AF84" s="60">
        <v>10.23</v>
      </c>
      <c r="AG84" s="60">
        <f t="shared" si="64"/>
        <v>0</v>
      </c>
      <c r="AH84" s="62">
        <f t="shared" si="65"/>
        <v>5418.36</v>
      </c>
      <c r="AI84" s="137"/>
      <c r="AJ84" s="138"/>
      <c r="AK84" s="123">
        <f t="shared" si="48"/>
        <v>-4867.317</v>
      </c>
      <c r="AL84" s="64"/>
      <c r="AM84" s="64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</row>
    <row r="85" spans="1:193">
      <c r="A85" s="64" t="s">
        <v>83</v>
      </c>
      <c r="B85" s="50" t="s">
        <v>253</v>
      </c>
      <c r="C85" s="50" t="s">
        <v>259</v>
      </c>
      <c r="D85" s="50" t="s">
        <v>103</v>
      </c>
      <c r="E85" s="50" t="s">
        <v>149</v>
      </c>
      <c r="F85" s="133">
        <v>42392</v>
      </c>
      <c r="G85" s="50"/>
      <c r="H85" s="50"/>
      <c r="I85" s="52">
        <v>1100</v>
      </c>
      <c r="J85" s="150"/>
      <c r="K85" s="68">
        <f t="shared" si="59"/>
        <v>1100</v>
      </c>
      <c r="L85" s="52">
        <v>0</v>
      </c>
      <c r="M85" s="52"/>
      <c r="N85" s="52"/>
      <c r="O85" s="52"/>
      <c r="P85" s="54"/>
      <c r="Q85" s="55">
        <f t="shared" si="60"/>
        <v>1100</v>
      </c>
      <c r="R85" s="56"/>
      <c r="S85" s="57"/>
      <c r="T85" s="57">
        <v>0</v>
      </c>
      <c r="U85" s="57"/>
      <c r="V85" s="57"/>
      <c r="W85" s="57"/>
      <c r="X85" s="58"/>
      <c r="Y85" s="58"/>
      <c r="Z85" s="59"/>
      <c r="AA85" s="59">
        <v>0</v>
      </c>
      <c r="AB85" s="55">
        <f t="shared" si="61"/>
        <v>1100</v>
      </c>
      <c r="AC85" s="60">
        <f t="shared" si="62"/>
        <v>0</v>
      </c>
      <c r="AD85" s="55">
        <f t="shared" si="63"/>
        <v>1100</v>
      </c>
      <c r="AE85" s="61">
        <f t="shared" si="46"/>
        <v>110</v>
      </c>
      <c r="AF85" s="60">
        <v>10.23</v>
      </c>
      <c r="AG85" s="60">
        <f t="shared" si="64"/>
        <v>0</v>
      </c>
      <c r="AH85" s="62">
        <f t="shared" si="65"/>
        <v>1220.23</v>
      </c>
      <c r="AI85" s="137"/>
      <c r="AJ85" s="137"/>
      <c r="AK85" s="123">
        <f t="shared" si="48"/>
        <v>-1100</v>
      </c>
      <c r="AL85" s="64"/>
      <c r="AM85" s="6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</row>
    <row r="86" spans="1:193">
      <c r="A86" s="64" t="s">
        <v>68</v>
      </c>
      <c r="B86" s="50" t="s">
        <v>79</v>
      </c>
      <c r="C86" s="50" t="s">
        <v>204</v>
      </c>
      <c r="D86" s="50" t="s">
        <v>139</v>
      </c>
      <c r="E86" s="50" t="s">
        <v>70</v>
      </c>
      <c r="F86" s="133">
        <v>41218</v>
      </c>
      <c r="G86" s="51"/>
      <c r="H86" s="51"/>
      <c r="I86" s="52">
        <v>513.33000000000004</v>
      </c>
      <c r="J86" s="151">
        <v>653.33000000000004</v>
      </c>
      <c r="K86" s="68">
        <f t="shared" si="59"/>
        <v>1166.6600000000001</v>
      </c>
      <c r="L86" s="52">
        <v>0</v>
      </c>
      <c r="M86" s="52"/>
      <c r="N86" s="53"/>
      <c r="O86" s="53"/>
      <c r="P86" s="54"/>
      <c r="Q86" s="55">
        <f t="shared" si="60"/>
        <v>1166.6600000000001</v>
      </c>
      <c r="R86" s="56"/>
      <c r="S86" s="57">
        <v>58.91</v>
      </c>
      <c r="T86" s="57">
        <v>0</v>
      </c>
      <c r="U86" s="57"/>
      <c r="V86" s="57"/>
      <c r="W86" s="57"/>
      <c r="X86" s="58"/>
      <c r="Y86" s="58"/>
      <c r="Z86" s="59"/>
      <c r="AA86" s="59">
        <v>0</v>
      </c>
      <c r="AB86" s="55">
        <f t="shared" si="61"/>
        <v>1107.75</v>
      </c>
      <c r="AC86" s="60">
        <f t="shared" si="62"/>
        <v>0</v>
      </c>
      <c r="AD86" s="55">
        <f t="shared" si="63"/>
        <v>1107.75</v>
      </c>
      <c r="AE86" s="61">
        <f t="shared" si="46"/>
        <v>116.66600000000001</v>
      </c>
      <c r="AF86" s="60">
        <v>10.23</v>
      </c>
      <c r="AG86" s="60">
        <f t="shared" si="64"/>
        <v>0</v>
      </c>
      <c r="AH86" s="62">
        <f t="shared" si="65"/>
        <v>1293.556</v>
      </c>
      <c r="AI86" s="137"/>
      <c r="AJ86" s="138"/>
      <c r="AK86" s="123">
        <f t="shared" si="48"/>
        <v>-1107.75</v>
      </c>
      <c r="AL86" s="64"/>
      <c r="AM86" s="64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</row>
    <row r="87" spans="1:193" s="33" customFormat="1">
      <c r="A87" s="64" t="s">
        <v>84</v>
      </c>
      <c r="B87" s="50" t="s">
        <v>263</v>
      </c>
      <c r="C87" s="50"/>
      <c r="D87" s="50" t="s">
        <v>124</v>
      </c>
      <c r="E87" s="50" t="s">
        <v>160</v>
      </c>
      <c r="F87" s="133">
        <v>41703</v>
      </c>
      <c r="G87" s="51"/>
      <c r="H87" s="51"/>
      <c r="I87" s="52">
        <v>556.78</v>
      </c>
      <c r="J87" s="152"/>
      <c r="K87" s="68">
        <f t="shared" si="59"/>
        <v>556.78</v>
      </c>
      <c r="L87" s="52">
        <v>916.23</v>
      </c>
      <c r="M87" s="52"/>
      <c r="N87" s="53"/>
      <c r="O87" s="53"/>
      <c r="P87" s="54"/>
      <c r="Q87" s="55">
        <f t="shared" si="60"/>
        <v>1473.01</v>
      </c>
      <c r="R87" s="56"/>
      <c r="S87" s="57"/>
      <c r="T87" s="57">
        <v>0</v>
      </c>
      <c r="U87" s="66">
        <f>Q87*4.9%</f>
        <v>72.177490000000006</v>
      </c>
      <c r="V87" s="66">
        <f>Q87*1%</f>
        <v>14.7301</v>
      </c>
      <c r="W87" s="57"/>
      <c r="X87" s="58"/>
      <c r="Y87" s="58"/>
      <c r="Z87" s="59"/>
      <c r="AA87" s="59">
        <v>0</v>
      </c>
      <c r="AB87" s="55">
        <f t="shared" si="61"/>
        <v>1386.10241</v>
      </c>
      <c r="AC87" s="60">
        <f t="shared" si="62"/>
        <v>0</v>
      </c>
      <c r="AD87" s="55">
        <f t="shared" si="63"/>
        <v>1386.10241</v>
      </c>
      <c r="AE87" s="61">
        <f t="shared" si="46"/>
        <v>147.30100000000002</v>
      </c>
      <c r="AF87" s="60">
        <v>10.23</v>
      </c>
      <c r="AG87" s="60">
        <f t="shared" si="64"/>
        <v>72.177490000000006</v>
      </c>
      <c r="AH87" s="62">
        <f t="shared" si="65"/>
        <v>1702.71849</v>
      </c>
      <c r="AI87" s="137"/>
      <c r="AJ87" s="137"/>
      <c r="AK87" s="123">
        <f t="shared" si="48"/>
        <v>-1386.10241</v>
      </c>
      <c r="AL87" s="64"/>
      <c r="AM87" s="64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</row>
    <row r="88" spans="1:193">
      <c r="A88" s="64" t="s">
        <v>84</v>
      </c>
      <c r="B88" s="50" t="s">
        <v>166</v>
      </c>
      <c r="C88" s="50"/>
      <c r="D88" s="50" t="s">
        <v>125</v>
      </c>
      <c r="E88" s="50" t="s">
        <v>158</v>
      </c>
      <c r="F88" s="133">
        <v>41291</v>
      </c>
      <c r="G88" s="51"/>
      <c r="H88" s="51"/>
      <c r="I88" s="52">
        <v>623.36</v>
      </c>
      <c r="J88" s="152"/>
      <c r="K88" s="68">
        <f t="shared" si="59"/>
        <v>623.36</v>
      </c>
      <c r="L88" s="52">
        <v>1443.84</v>
      </c>
      <c r="M88" s="52"/>
      <c r="N88" s="53"/>
      <c r="O88" s="53"/>
      <c r="P88" s="54"/>
      <c r="Q88" s="55">
        <f t="shared" si="60"/>
        <v>2067.1999999999998</v>
      </c>
      <c r="R88" s="56"/>
      <c r="S88" s="57"/>
      <c r="T88" s="66">
        <v>200</v>
      </c>
      <c r="U88" s="66">
        <f>Q88*4.9%</f>
        <v>101.2928</v>
      </c>
      <c r="V88" s="66">
        <f>Q88*1%</f>
        <v>20.671999999999997</v>
      </c>
      <c r="W88" s="66">
        <v>257.64</v>
      </c>
      <c r="X88" s="58"/>
      <c r="Y88" s="58"/>
      <c r="Z88" s="65">
        <v>201.24</v>
      </c>
      <c r="AA88" s="59">
        <v>0</v>
      </c>
      <c r="AB88" s="55">
        <f t="shared" si="61"/>
        <v>1286.3552</v>
      </c>
      <c r="AC88" s="60">
        <f t="shared" si="62"/>
        <v>0</v>
      </c>
      <c r="AD88" s="55">
        <f t="shared" si="63"/>
        <v>1286.3552</v>
      </c>
      <c r="AE88" s="61">
        <f t="shared" si="46"/>
        <v>206.72</v>
      </c>
      <c r="AF88" s="60">
        <v>10.23</v>
      </c>
      <c r="AG88" s="60">
        <f t="shared" si="64"/>
        <v>101.2928</v>
      </c>
      <c r="AH88" s="62">
        <f t="shared" si="65"/>
        <v>2385.4427999999998</v>
      </c>
      <c r="AI88" s="137"/>
      <c r="AJ88" s="137"/>
      <c r="AK88" s="123">
        <f t="shared" si="48"/>
        <v>-1286.3552</v>
      </c>
      <c r="AL88" s="64"/>
      <c r="AM88" s="6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</row>
    <row r="89" spans="1:193">
      <c r="A89" s="64" t="s">
        <v>68</v>
      </c>
      <c r="B89" s="64" t="s">
        <v>289</v>
      </c>
      <c r="C89" s="64"/>
      <c r="D89" s="64"/>
      <c r="E89" s="64" t="s">
        <v>70</v>
      </c>
      <c r="F89" s="134">
        <v>42520</v>
      </c>
      <c r="G89" s="64"/>
      <c r="H89" s="64"/>
      <c r="I89" s="28">
        <v>513.33000000000004</v>
      </c>
      <c r="J89" s="151"/>
      <c r="K89" s="68">
        <v>513.33000000000004</v>
      </c>
      <c r="L89" s="68">
        <v>0</v>
      </c>
      <c r="M89" s="68"/>
      <c r="N89" s="68"/>
      <c r="O89" s="68"/>
      <c r="P89" s="109"/>
      <c r="Q89" s="55">
        <f t="shared" si="60"/>
        <v>513.33000000000004</v>
      </c>
      <c r="R89" s="56"/>
      <c r="S89" s="57"/>
      <c r="T89" s="103"/>
      <c r="U89" s="103"/>
      <c r="V89" s="103"/>
      <c r="W89" s="103"/>
      <c r="X89" s="104"/>
      <c r="Y89" s="104"/>
      <c r="Z89" s="88"/>
      <c r="AA89" s="88">
        <v>0</v>
      </c>
      <c r="AB89" s="55">
        <f t="shared" ref="AB89" si="71">+Q89-SUM(R89:AA89)</f>
        <v>513.33000000000004</v>
      </c>
      <c r="AC89" s="60">
        <f t="shared" ref="AC89" si="72">IF(Q89&gt;2250,Q89*0.1,0)</f>
        <v>0</v>
      </c>
      <c r="AD89" s="55">
        <f t="shared" ref="AD89" si="73">+AB89-AC89</f>
        <v>513.33000000000004</v>
      </c>
      <c r="AE89" s="61">
        <f t="shared" ref="AE89" si="74">IF(Q89&lt;2250,Q89*0.1,0)</f>
        <v>51.333000000000006</v>
      </c>
      <c r="AF89" s="60">
        <v>11.23</v>
      </c>
      <c r="AG89" s="60">
        <f t="shared" ref="AG89" si="75">+U89</f>
        <v>0</v>
      </c>
      <c r="AH89" s="62">
        <f t="shared" ref="AH89" si="76">+Q89+AE89+AF89+AG89</f>
        <v>575.89300000000003</v>
      </c>
      <c r="AI89" s="142"/>
      <c r="AJ89" s="142"/>
      <c r="AK89" s="126"/>
      <c r="AL89" s="65">
        <v>189347992</v>
      </c>
      <c r="AM89" s="143" t="s">
        <v>290</v>
      </c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</row>
    <row r="90" spans="1:193">
      <c r="A90" s="64" t="s">
        <v>82</v>
      </c>
      <c r="B90" s="50" t="s">
        <v>180</v>
      </c>
      <c r="C90" s="50"/>
      <c r="D90" s="50" t="s">
        <v>94</v>
      </c>
      <c r="E90" s="50" t="s">
        <v>146</v>
      </c>
      <c r="F90" s="133">
        <v>41666</v>
      </c>
      <c r="G90" s="50"/>
      <c r="H90" s="50"/>
      <c r="I90" s="52">
        <v>739.23</v>
      </c>
      <c r="J90" s="150"/>
      <c r="K90" s="68">
        <f t="shared" si="59"/>
        <v>739.23</v>
      </c>
      <c r="L90" s="52">
        <f>1511.75+7.42</f>
        <v>1519.17</v>
      </c>
      <c r="M90" s="52"/>
      <c r="N90" s="53"/>
      <c r="O90" s="53"/>
      <c r="P90" s="54"/>
      <c r="Q90" s="55">
        <f t="shared" si="60"/>
        <v>2258.4</v>
      </c>
      <c r="R90" s="56"/>
      <c r="S90" s="57"/>
      <c r="T90" s="66">
        <v>150</v>
      </c>
      <c r="U90" s="57"/>
      <c r="V90" s="57"/>
      <c r="W90" s="57"/>
      <c r="X90" s="58"/>
      <c r="Y90" s="58"/>
      <c r="Z90" s="59"/>
      <c r="AA90" s="59">
        <v>0</v>
      </c>
      <c r="AB90" s="55">
        <f t="shared" si="61"/>
        <v>2108.4</v>
      </c>
      <c r="AC90" s="60">
        <f t="shared" si="62"/>
        <v>225.84000000000003</v>
      </c>
      <c r="AD90" s="55">
        <f t="shared" si="63"/>
        <v>1882.56</v>
      </c>
      <c r="AE90" s="61">
        <f t="shared" si="46"/>
        <v>0</v>
      </c>
      <c r="AF90" s="60">
        <v>10.23</v>
      </c>
      <c r="AG90" s="60">
        <f t="shared" si="64"/>
        <v>0</v>
      </c>
      <c r="AH90" s="62">
        <f t="shared" si="65"/>
        <v>2268.63</v>
      </c>
      <c r="AI90" s="137"/>
      <c r="AJ90" s="138"/>
      <c r="AK90" s="123">
        <f t="shared" si="48"/>
        <v>-1882.56</v>
      </c>
      <c r="AL90" s="64"/>
      <c r="AM90" s="64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</row>
    <row r="91" spans="1:193">
      <c r="A91" s="64" t="s">
        <v>84</v>
      </c>
      <c r="B91" s="64" t="s">
        <v>275</v>
      </c>
      <c r="C91" s="64"/>
      <c r="D91" s="64"/>
      <c r="E91" s="64" t="s">
        <v>153</v>
      </c>
      <c r="F91" s="134">
        <v>42493</v>
      </c>
      <c r="G91" s="64"/>
      <c r="H91" s="64"/>
      <c r="I91" s="68">
        <v>511.28</v>
      </c>
      <c r="J91" s="151"/>
      <c r="K91" s="68">
        <f t="shared" si="59"/>
        <v>511.28</v>
      </c>
      <c r="L91" s="68">
        <v>646.59</v>
      </c>
      <c r="M91" s="68"/>
      <c r="N91" s="68"/>
      <c r="O91" s="68"/>
      <c r="P91" s="109"/>
      <c r="Q91" s="55">
        <f t="shared" si="60"/>
        <v>1157.8699999999999</v>
      </c>
      <c r="R91" s="56"/>
      <c r="S91" s="57"/>
      <c r="T91" s="103"/>
      <c r="U91" s="103"/>
      <c r="V91" s="103"/>
      <c r="W91" s="103"/>
      <c r="X91" s="104"/>
      <c r="Y91" s="104"/>
      <c r="Z91" s="88"/>
      <c r="AA91" s="88">
        <v>0</v>
      </c>
      <c r="AB91" s="55">
        <f t="shared" si="61"/>
        <v>1157.8699999999999</v>
      </c>
      <c r="AC91" s="60">
        <f t="shared" ref="AC91" si="77">IF(Q91&gt;2250,Q91*0.1,0)</f>
        <v>0</v>
      </c>
      <c r="AD91" s="55">
        <f t="shared" ref="AD91" si="78">+AB91-AC91</f>
        <v>1157.8699999999999</v>
      </c>
      <c r="AE91" s="61">
        <f t="shared" si="46"/>
        <v>115.78699999999999</v>
      </c>
      <c r="AF91" s="60">
        <v>10.23</v>
      </c>
      <c r="AG91" s="60">
        <f t="shared" ref="AG91" si="79">+U91</f>
        <v>0</v>
      </c>
      <c r="AH91" s="62">
        <f t="shared" ref="AH91" si="80">+Q91+AE91+AF91+AG91</f>
        <v>1283.8869999999999</v>
      </c>
      <c r="AI91" s="137"/>
      <c r="AJ91" s="137"/>
      <c r="AK91" s="123">
        <f t="shared" si="48"/>
        <v>-1157.8699999999999</v>
      </c>
      <c r="AL91" s="64"/>
      <c r="AM91" s="6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</row>
    <row r="92" spans="1:193">
      <c r="A92" s="64" t="s">
        <v>83</v>
      </c>
      <c r="B92" s="50" t="s">
        <v>236</v>
      </c>
      <c r="C92" s="50"/>
      <c r="D92" s="50" t="s">
        <v>104</v>
      </c>
      <c r="E92" s="50" t="s">
        <v>151</v>
      </c>
      <c r="F92" s="133">
        <v>42333</v>
      </c>
      <c r="G92" s="51"/>
      <c r="H92" s="51"/>
      <c r="I92" s="52">
        <v>577.38</v>
      </c>
      <c r="J92" s="150">
        <v>1047.6199999999999</v>
      </c>
      <c r="K92" s="68">
        <f t="shared" si="59"/>
        <v>1625</v>
      </c>
      <c r="L92" s="80">
        <v>0</v>
      </c>
      <c r="M92" s="52"/>
      <c r="N92" s="53"/>
      <c r="O92" s="53"/>
      <c r="P92" s="54"/>
      <c r="Q92" s="55">
        <f t="shared" si="60"/>
        <v>1625</v>
      </c>
      <c r="R92" s="56"/>
      <c r="S92" s="57"/>
      <c r="T92" s="57">
        <v>0</v>
      </c>
      <c r="U92" s="57"/>
      <c r="V92" s="57"/>
      <c r="W92" s="57"/>
      <c r="X92" s="58"/>
      <c r="Y92" s="58"/>
      <c r="Z92" s="59"/>
      <c r="AA92" s="65">
        <v>351.55</v>
      </c>
      <c r="AB92" s="55">
        <f t="shared" si="61"/>
        <v>1273.45</v>
      </c>
      <c r="AC92" s="60">
        <f t="shared" si="62"/>
        <v>0</v>
      </c>
      <c r="AD92" s="55">
        <f t="shared" si="63"/>
        <v>1273.45</v>
      </c>
      <c r="AE92" s="61">
        <f t="shared" si="46"/>
        <v>162.5</v>
      </c>
      <c r="AF92" s="60">
        <v>10.23</v>
      </c>
      <c r="AG92" s="60">
        <f t="shared" si="64"/>
        <v>0</v>
      </c>
      <c r="AH92" s="62">
        <f t="shared" si="65"/>
        <v>1797.73</v>
      </c>
      <c r="AI92" s="137"/>
      <c r="AJ92" s="138"/>
      <c r="AK92" s="123">
        <f t="shared" si="48"/>
        <v>-1273.45</v>
      </c>
      <c r="AL92" s="64"/>
      <c r="AM92" s="64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</row>
    <row r="93" spans="1:193" s="29" customFormat="1">
      <c r="A93" s="64" t="s">
        <v>68</v>
      </c>
      <c r="B93" s="64" t="s">
        <v>246</v>
      </c>
      <c r="C93" s="64"/>
      <c r="D93" s="64"/>
      <c r="E93" s="64" t="s">
        <v>70</v>
      </c>
      <c r="F93" s="134">
        <v>42459</v>
      </c>
      <c r="G93" s="64"/>
      <c r="H93" s="64"/>
      <c r="I93" s="68">
        <v>513.33000000000004</v>
      </c>
      <c r="J93" s="151">
        <v>653.33000000000004</v>
      </c>
      <c r="K93" s="68">
        <f t="shared" si="59"/>
        <v>1166.6600000000001</v>
      </c>
      <c r="L93" s="68">
        <v>0</v>
      </c>
      <c r="M93" s="68"/>
      <c r="N93" s="68"/>
      <c r="O93" s="68"/>
      <c r="P93" s="54"/>
      <c r="Q93" s="55">
        <f t="shared" si="60"/>
        <v>1166.6600000000001</v>
      </c>
      <c r="R93" s="56"/>
      <c r="S93" s="103"/>
      <c r="T93" s="103"/>
      <c r="U93" s="103"/>
      <c r="V93" s="103"/>
      <c r="W93" s="103"/>
      <c r="X93" s="104"/>
      <c r="Y93" s="104"/>
      <c r="Z93" s="88"/>
      <c r="AA93" s="88"/>
      <c r="AB93" s="55">
        <f t="shared" si="61"/>
        <v>1166.6600000000001</v>
      </c>
      <c r="AC93" s="60">
        <f>IF(Q93&gt;2250,Q93*0.1,0)</f>
        <v>0</v>
      </c>
      <c r="AD93" s="55">
        <f>+AB93-AC93</f>
        <v>1166.6600000000001</v>
      </c>
      <c r="AE93" s="61">
        <f t="shared" si="46"/>
        <v>116.66600000000001</v>
      </c>
      <c r="AF93" s="60">
        <v>10.23</v>
      </c>
      <c r="AG93" s="60">
        <f>+U93</f>
        <v>0</v>
      </c>
      <c r="AH93" s="62">
        <f t="shared" si="65"/>
        <v>1293.556</v>
      </c>
      <c r="AI93" s="139"/>
      <c r="AJ93" s="138"/>
      <c r="AK93" s="123">
        <f t="shared" si="48"/>
        <v>-1166.6600000000001</v>
      </c>
      <c r="AL93" s="64"/>
      <c r="AM93" s="69"/>
    </row>
    <row r="94" spans="1:193">
      <c r="A94" s="64" t="s">
        <v>82</v>
      </c>
      <c r="B94" s="50" t="s">
        <v>222</v>
      </c>
      <c r="C94" s="50"/>
      <c r="D94" s="50" t="s">
        <v>93</v>
      </c>
      <c r="E94" s="50" t="s">
        <v>144</v>
      </c>
      <c r="F94" s="134">
        <v>42346</v>
      </c>
      <c r="G94" s="50"/>
      <c r="H94" s="50"/>
      <c r="I94" s="28">
        <f>+K94</f>
        <v>633.62</v>
      </c>
      <c r="J94" s="150"/>
      <c r="K94" s="68">
        <v>633.62</v>
      </c>
      <c r="L94" s="52">
        <f>1340.87+5.571</f>
        <v>1346.4409999999998</v>
      </c>
      <c r="M94" s="52"/>
      <c r="N94" s="53"/>
      <c r="O94" s="53"/>
      <c r="P94" s="54"/>
      <c r="Q94" s="55">
        <f t="shared" si="60"/>
        <v>1980.0609999999997</v>
      </c>
      <c r="R94" s="56"/>
      <c r="S94" s="57"/>
      <c r="T94" s="57">
        <v>0</v>
      </c>
      <c r="U94" s="57"/>
      <c r="V94" s="57"/>
      <c r="W94" s="57"/>
      <c r="X94" s="58"/>
      <c r="Y94" s="58"/>
      <c r="Z94" s="59"/>
      <c r="AA94" s="59">
        <v>0</v>
      </c>
      <c r="AB94" s="55">
        <f t="shared" si="61"/>
        <v>1980.0609999999997</v>
      </c>
      <c r="AC94" s="60">
        <f t="shared" si="62"/>
        <v>0</v>
      </c>
      <c r="AD94" s="55">
        <f t="shared" si="63"/>
        <v>1980.0609999999997</v>
      </c>
      <c r="AE94" s="61">
        <f t="shared" si="46"/>
        <v>198.00609999999998</v>
      </c>
      <c r="AF94" s="60">
        <v>10.23</v>
      </c>
      <c r="AG94" s="60">
        <f t="shared" si="64"/>
        <v>0</v>
      </c>
      <c r="AH94" s="62">
        <f t="shared" si="65"/>
        <v>2188.2970999999998</v>
      </c>
      <c r="AI94" s="137"/>
      <c r="AJ94" s="138"/>
      <c r="AK94" s="123">
        <f t="shared" si="48"/>
        <v>-1980.0609999999997</v>
      </c>
      <c r="AL94" s="64"/>
      <c r="AM94" s="141" t="s">
        <v>287</v>
      </c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</row>
    <row r="95" spans="1:193">
      <c r="A95" s="64" t="s">
        <v>82</v>
      </c>
      <c r="B95" s="50" t="s">
        <v>75</v>
      </c>
      <c r="C95" s="50"/>
      <c r="D95" s="50" t="s">
        <v>95</v>
      </c>
      <c r="E95" s="50" t="s">
        <v>147</v>
      </c>
      <c r="F95" s="133">
        <v>42100</v>
      </c>
      <c r="G95" s="50"/>
      <c r="H95" s="50"/>
      <c r="I95" s="28">
        <f>+K95</f>
        <v>633.62</v>
      </c>
      <c r="J95" s="150"/>
      <c r="K95" s="68">
        <v>633.62</v>
      </c>
      <c r="L95" s="52">
        <f>1690.03+7.42</f>
        <v>1697.45</v>
      </c>
      <c r="M95" s="52"/>
      <c r="N95" s="52"/>
      <c r="O95" s="52"/>
      <c r="P95" s="54"/>
      <c r="Q95" s="55">
        <f t="shared" si="60"/>
        <v>2331.0700000000002</v>
      </c>
      <c r="R95" s="56"/>
      <c r="S95" s="57"/>
      <c r="T95" s="57">
        <v>0</v>
      </c>
      <c r="U95" s="57"/>
      <c r="V95" s="57"/>
      <c r="W95" s="57"/>
      <c r="X95" s="58"/>
      <c r="Y95" s="58"/>
      <c r="Z95" s="59"/>
      <c r="AA95" s="59">
        <v>0</v>
      </c>
      <c r="AB95" s="55">
        <f t="shared" si="61"/>
        <v>2331.0700000000002</v>
      </c>
      <c r="AC95" s="60">
        <f t="shared" si="62"/>
        <v>233.10700000000003</v>
      </c>
      <c r="AD95" s="55">
        <f t="shared" si="63"/>
        <v>2097.9630000000002</v>
      </c>
      <c r="AE95" s="61">
        <f t="shared" si="46"/>
        <v>0</v>
      </c>
      <c r="AF95" s="60">
        <v>10.23</v>
      </c>
      <c r="AG95" s="60">
        <f t="shared" si="64"/>
        <v>0</v>
      </c>
      <c r="AH95" s="62">
        <f t="shared" si="65"/>
        <v>2341.3000000000002</v>
      </c>
      <c r="AI95" s="137"/>
      <c r="AJ95" s="138"/>
      <c r="AK95" s="123">
        <f t="shared" si="48"/>
        <v>-2097.9630000000002</v>
      </c>
      <c r="AL95" s="64"/>
      <c r="AM95" s="141" t="s">
        <v>287</v>
      </c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</row>
    <row r="96" spans="1:193">
      <c r="A96" s="64" t="s">
        <v>81</v>
      </c>
      <c r="B96" s="64" t="s">
        <v>198</v>
      </c>
      <c r="C96" s="64"/>
      <c r="D96" s="75"/>
      <c r="E96" s="50" t="s">
        <v>199</v>
      </c>
      <c r="F96" s="133">
        <v>42328</v>
      </c>
      <c r="G96" s="51"/>
      <c r="H96" s="51"/>
      <c r="I96" s="28">
        <f>+K96</f>
        <v>999.65</v>
      </c>
      <c r="J96" s="152"/>
      <c r="K96" s="68">
        <v>999.65</v>
      </c>
      <c r="L96" s="52">
        <v>1555.53</v>
      </c>
      <c r="M96" s="52"/>
      <c r="N96" s="53"/>
      <c r="O96" s="53"/>
      <c r="P96" s="54"/>
      <c r="Q96" s="55">
        <f t="shared" si="60"/>
        <v>2555.1799999999998</v>
      </c>
      <c r="R96" s="56"/>
      <c r="S96" s="57"/>
      <c r="T96" s="57"/>
      <c r="U96" s="57"/>
      <c r="V96" s="57"/>
      <c r="W96" s="57"/>
      <c r="X96" s="58"/>
      <c r="Y96" s="58"/>
      <c r="Z96" s="59"/>
      <c r="AA96" s="59">
        <v>0</v>
      </c>
      <c r="AB96" s="55">
        <f t="shared" si="61"/>
        <v>2555.1799999999998</v>
      </c>
      <c r="AC96" s="60">
        <f t="shared" si="62"/>
        <v>255.518</v>
      </c>
      <c r="AD96" s="55">
        <f t="shared" si="63"/>
        <v>2299.6619999999998</v>
      </c>
      <c r="AE96" s="61">
        <f t="shared" si="46"/>
        <v>0</v>
      </c>
      <c r="AF96" s="60">
        <v>10.23</v>
      </c>
      <c r="AG96" s="60">
        <f t="shared" si="64"/>
        <v>0</v>
      </c>
      <c r="AH96" s="62">
        <f t="shared" si="65"/>
        <v>2565.41</v>
      </c>
      <c r="AI96" s="137"/>
      <c r="AJ96" s="138"/>
      <c r="AK96" s="123">
        <f t="shared" si="48"/>
        <v>-2299.6619999999998</v>
      </c>
      <c r="AL96" s="64"/>
      <c r="AM96" s="141" t="s">
        <v>287</v>
      </c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</row>
    <row r="97" spans="1:193" s="29" customFormat="1">
      <c r="A97" s="64" t="s">
        <v>68</v>
      </c>
      <c r="B97" s="64" t="s">
        <v>255</v>
      </c>
      <c r="C97" s="64" t="s">
        <v>206</v>
      </c>
      <c r="D97" s="64" t="s">
        <v>140</v>
      </c>
      <c r="E97" s="64" t="s">
        <v>70</v>
      </c>
      <c r="F97" s="133">
        <v>42327</v>
      </c>
      <c r="G97" s="64"/>
      <c r="H97" s="64"/>
      <c r="I97" s="68">
        <v>513.33000000000004</v>
      </c>
      <c r="J97" s="151">
        <v>653.33000000000004</v>
      </c>
      <c r="K97" s="68">
        <f t="shared" si="59"/>
        <v>1166.6600000000001</v>
      </c>
      <c r="L97" s="68">
        <v>0</v>
      </c>
      <c r="M97" s="68"/>
      <c r="N97" s="68"/>
      <c r="O97" s="68"/>
      <c r="P97" s="54"/>
      <c r="Q97" s="55">
        <f t="shared" si="60"/>
        <v>1166.6600000000001</v>
      </c>
      <c r="R97" s="56">
        <v>187.5</v>
      </c>
      <c r="S97" s="103"/>
      <c r="T97" s="103">
        <v>0</v>
      </c>
      <c r="U97" s="103"/>
      <c r="V97" s="103"/>
      <c r="W97" s="103"/>
      <c r="X97" s="71">
        <v>537.87</v>
      </c>
      <c r="Y97" s="104"/>
      <c r="Z97" s="88"/>
      <c r="AA97" s="107">
        <v>499.12</v>
      </c>
      <c r="AB97" s="55">
        <f t="shared" si="61"/>
        <v>-57.829999999999927</v>
      </c>
      <c r="AC97" s="60">
        <f t="shared" si="62"/>
        <v>0</v>
      </c>
      <c r="AD97" s="55">
        <f t="shared" si="63"/>
        <v>-57.829999999999927</v>
      </c>
      <c r="AE97" s="61">
        <f t="shared" si="46"/>
        <v>116.66600000000001</v>
      </c>
      <c r="AF97" s="60">
        <v>10.23</v>
      </c>
      <c r="AG97" s="60">
        <f t="shared" si="64"/>
        <v>0</v>
      </c>
      <c r="AH97" s="62">
        <f t="shared" si="65"/>
        <v>1293.556</v>
      </c>
      <c r="AI97" s="137"/>
      <c r="AJ97" s="138"/>
      <c r="AK97" s="123">
        <f t="shared" si="48"/>
        <v>57.829999999999927</v>
      </c>
      <c r="AL97" s="64"/>
      <c r="AM97" s="69"/>
    </row>
    <row r="98" spans="1:193" s="29" customFormat="1">
      <c r="A98" s="64"/>
      <c r="B98" s="64" t="s">
        <v>279</v>
      </c>
      <c r="C98" s="64" t="s">
        <v>204</v>
      </c>
      <c r="D98" s="64"/>
      <c r="E98" s="64" t="s">
        <v>70</v>
      </c>
      <c r="F98" s="134">
        <v>42506</v>
      </c>
      <c r="G98" s="64"/>
      <c r="H98" s="64"/>
      <c r="I98" s="68">
        <v>1166.6600000000001</v>
      </c>
      <c r="J98" s="151"/>
      <c r="K98" s="52">
        <f t="shared" si="59"/>
        <v>1166.6600000000001</v>
      </c>
      <c r="L98" s="68">
        <v>0</v>
      </c>
      <c r="M98" s="68"/>
      <c r="N98" s="68"/>
      <c r="O98" s="68"/>
      <c r="P98" s="109"/>
      <c r="Q98" s="55">
        <f t="shared" si="60"/>
        <v>1166.6600000000001</v>
      </c>
      <c r="R98" s="56"/>
      <c r="S98" s="103"/>
      <c r="T98" s="103"/>
      <c r="U98" s="103"/>
      <c r="V98" s="103"/>
      <c r="W98" s="103"/>
      <c r="X98" s="104"/>
      <c r="Y98" s="104"/>
      <c r="Z98" s="88"/>
      <c r="AA98" s="131">
        <v>0</v>
      </c>
      <c r="AB98" s="55">
        <f t="shared" si="61"/>
        <v>1166.6600000000001</v>
      </c>
      <c r="AC98" s="60">
        <f t="shared" ref="AC98" si="81">IF(Q98&gt;2250,Q98*0.1,0)</f>
        <v>0</v>
      </c>
      <c r="AD98" s="55">
        <f t="shared" ref="AD98" si="82">+AB98-AC98</f>
        <v>1166.6600000000001</v>
      </c>
      <c r="AE98" s="61">
        <f t="shared" si="46"/>
        <v>116.66600000000001</v>
      </c>
      <c r="AF98" s="60">
        <v>10.23</v>
      </c>
      <c r="AG98" s="60">
        <f t="shared" ref="AG98" si="83">+U98</f>
        <v>0</v>
      </c>
      <c r="AH98" s="62">
        <f t="shared" si="65"/>
        <v>1293.556</v>
      </c>
      <c r="AI98" s="139"/>
      <c r="AJ98" s="139"/>
      <c r="AK98" s="126">
        <f t="shared" si="48"/>
        <v>-1166.6600000000001</v>
      </c>
      <c r="AL98" s="129">
        <v>1179675078</v>
      </c>
      <c r="AM98" s="69"/>
    </row>
    <row r="99" spans="1:193">
      <c r="A99" s="64" t="s">
        <v>67</v>
      </c>
      <c r="B99" s="50" t="s">
        <v>224</v>
      </c>
      <c r="C99" s="50" t="s">
        <v>207</v>
      </c>
      <c r="D99" s="50" t="s">
        <v>109</v>
      </c>
      <c r="E99" s="50" t="s">
        <v>235</v>
      </c>
      <c r="F99" s="133">
        <v>42173</v>
      </c>
      <c r="G99" s="51"/>
      <c r="H99" s="51"/>
      <c r="I99" s="52">
        <v>1633.33</v>
      </c>
      <c r="J99" s="152">
        <v>1500</v>
      </c>
      <c r="K99" s="52">
        <f t="shared" si="59"/>
        <v>3133.33</v>
      </c>
      <c r="L99" s="52">
        <v>0</v>
      </c>
      <c r="M99" s="52"/>
      <c r="N99" s="53"/>
      <c r="O99" s="53"/>
      <c r="P99" s="54"/>
      <c r="Q99" s="55">
        <f t="shared" si="60"/>
        <v>3133.33</v>
      </c>
      <c r="R99" s="56"/>
      <c r="S99" s="57">
        <v>58.91</v>
      </c>
      <c r="T99" s="57">
        <v>0</v>
      </c>
      <c r="U99" s="57"/>
      <c r="V99" s="57"/>
      <c r="W99" s="57"/>
      <c r="X99" s="58"/>
      <c r="Y99" s="58"/>
      <c r="Z99" s="59"/>
      <c r="AA99" s="59">
        <v>0</v>
      </c>
      <c r="AB99" s="55">
        <f t="shared" si="61"/>
        <v>3074.42</v>
      </c>
      <c r="AC99" s="60">
        <f t="shared" si="62"/>
        <v>313.33300000000003</v>
      </c>
      <c r="AD99" s="55">
        <f t="shared" si="63"/>
        <v>2761.087</v>
      </c>
      <c r="AE99" s="61">
        <f t="shared" si="46"/>
        <v>0</v>
      </c>
      <c r="AF99" s="60">
        <v>10.23</v>
      </c>
      <c r="AG99" s="60">
        <f t="shared" si="64"/>
        <v>0</v>
      </c>
      <c r="AH99" s="62">
        <f t="shared" si="65"/>
        <v>3143.56</v>
      </c>
      <c r="AI99" s="139"/>
      <c r="AJ99" s="140"/>
      <c r="AK99" s="123">
        <f t="shared" si="48"/>
        <v>-2761.087</v>
      </c>
      <c r="AL99" s="64"/>
      <c r="AM99" s="64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</row>
    <row r="100" spans="1:193">
      <c r="A100" s="64" t="s">
        <v>84</v>
      </c>
      <c r="B100" s="50" t="s">
        <v>260</v>
      </c>
      <c r="C100" s="50"/>
      <c r="D100" s="50" t="s">
        <v>126</v>
      </c>
      <c r="E100" s="50" t="s">
        <v>157</v>
      </c>
      <c r="F100" s="133">
        <v>41227</v>
      </c>
      <c r="G100" s="51"/>
      <c r="H100" s="51"/>
      <c r="I100" s="52">
        <v>623.36</v>
      </c>
      <c r="J100" s="152"/>
      <c r="K100" s="52">
        <f t="shared" si="59"/>
        <v>623.36</v>
      </c>
      <c r="L100" s="52">
        <f>3724.15+3.714</f>
        <v>3727.864</v>
      </c>
      <c r="M100" s="52"/>
      <c r="N100" s="53"/>
      <c r="O100" s="53"/>
      <c r="P100" s="54"/>
      <c r="Q100" s="55">
        <f t="shared" si="60"/>
        <v>4351.2240000000002</v>
      </c>
      <c r="R100" s="56"/>
      <c r="S100" s="57"/>
      <c r="T100" s="66">
        <v>200</v>
      </c>
      <c r="U100" s="66">
        <f>Q100*4.9%</f>
        <v>213.20997600000001</v>
      </c>
      <c r="V100" s="66">
        <f>Q100*1%</f>
        <v>43.512240000000006</v>
      </c>
      <c r="W100" s="57"/>
      <c r="X100" s="58"/>
      <c r="Y100" s="58"/>
      <c r="Z100" s="59"/>
      <c r="AA100" s="59">
        <v>0</v>
      </c>
      <c r="AB100" s="55">
        <f t="shared" si="61"/>
        <v>3894.501784</v>
      </c>
      <c r="AC100" s="60">
        <f t="shared" si="62"/>
        <v>435.12240000000003</v>
      </c>
      <c r="AD100" s="55">
        <f t="shared" si="63"/>
        <v>3459.3793839999998</v>
      </c>
      <c r="AE100" s="61">
        <f t="shared" si="46"/>
        <v>0</v>
      </c>
      <c r="AF100" s="60">
        <v>10.23</v>
      </c>
      <c r="AG100" s="60">
        <f t="shared" si="64"/>
        <v>213.20997600000001</v>
      </c>
      <c r="AH100" s="62">
        <f t="shared" si="65"/>
        <v>4574.6639759999998</v>
      </c>
      <c r="AI100" s="137"/>
      <c r="AJ100" s="138"/>
      <c r="AK100" s="123">
        <f t="shared" si="48"/>
        <v>-3459.3793839999998</v>
      </c>
      <c r="AL100" s="64"/>
      <c r="AM100" s="64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</row>
    <row r="101" spans="1:193" s="29" customFormat="1">
      <c r="A101" s="64" t="s">
        <v>68</v>
      </c>
      <c r="B101" s="64" t="s">
        <v>80</v>
      </c>
      <c r="C101" s="64" t="s">
        <v>209</v>
      </c>
      <c r="D101" s="64" t="s">
        <v>141</v>
      </c>
      <c r="E101" s="64" t="s">
        <v>70</v>
      </c>
      <c r="F101" s="133">
        <v>42333</v>
      </c>
      <c r="G101" s="64"/>
      <c r="H101" s="64"/>
      <c r="I101" s="68">
        <v>513.33000000000004</v>
      </c>
      <c r="J101" s="151">
        <v>653.33000000000004</v>
      </c>
      <c r="K101" s="68">
        <f t="shared" si="59"/>
        <v>1166.6600000000001</v>
      </c>
      <c r="L101" s="68">
        <v>800.06</v>
      </c>
      <c r="M101" s="68"/>
      <c r="N101" s="68"/>
      <c r="O101" s="68"/>
      <c r="P101" s="54"/>
      <c r="Q101" s="55">
        <f t="shared" si="60"/>
        <v>1966.72</v>
      </c>
      <c r="R101" s="56">
        <v>250</v>
      </c>
      <c r="S101" s="103"/>
      <c r="T101" s="103">
        <v>0</v>
      </c>
      <c r="U101" s="103"/>
      <c r="V101" s="103"/>
      <c r="W101" s="103"/>
      <c r="X101" s="104"/>
      <c r="Y101" s="104"/>
      <c r="Z101" s="88"/>
      <c r="AA101" s="88">
        <v>0</v>
      </c>
      <c r="AB101" s="55">
        <f t="shared" si="61"/>
        <v>1716.72</v>
      </c>
      <c r="AC101" s="60">
        <f t="shared" si="62"/>
        <v>0</v>
      </c>
      <c r="AD101" s="55">
        <f t="shared" si="63"/>
        <v>1716.72</v>
      </c>
      <c r="AE101" s="61">
        <f t="shared" si="46"/>
        <v>196.67200000000003</v>
      </c>
      <c r="AF101" s="60">
        <v>10.23</v>
      </c>
      <c r="AG101" s="60">
        <f t="shared" si="64"/>
        <v>0</v>
      </c>
      <c r="AH101" s="62">
        <f t="shared" si="65"/>
        <v>2173.6219999999998</v>
      </c>
      <c r="AI101" s="137"/>
      <c r="AJ101" s="140"/>
      <c r="AK101" s="123">
        <f t="shared" si="48"/>
        <v>-1716.72</v>
      </c>
      <c r="AL101" s="64"/>
      <c r="AM101" s="64"/>
    </row>
    <row r="102" spans="1:193" s="29" customFormat="1">
      <c r="A102" s="64" t="s">
        <v>81</v>
      </c>
      <c r="B102" s="50" t="s">
        <v>76</v>
      </c>
      <c r="C102" s="50"/>
      <c r="D102" s="50" t="s">
        <v>97</v>
      </c>
      <c r="E102" s="50" t="s">
        <v>149</v>
      </c>
      <c r="F102" s="133">
        <v>42361</v>
      </c>
      <c r="G102" s="50"/>
      <c r="H102" s="50"/>
      <c r="I102" s="52">
        <v>739.23</v>
      </c>
      <c r="J102" s="150"/>
      <c r="K102" s="52">
        <f t="shared" si="59"/>
        <v>739.23</v>
      </c>
      <c r="L102" s="52">
        <f>1594.524+7.428</f>
        <v>1601.952</v>
      </c>
      <c r="M102" s="52"/>
      <c r="N102" s="52"/>
      <c r="O102" s="52"/>
      <c r="P102" s="54"/>
      <c r="Q102" s="55">
        <f t="shared" si="60"/>
        <v>2341.1819999999998</v>
      </c>
      <c r="R102" s="56"/>
      <c r="S102" s="57"/>
      <c r="T102" s="57">
        <v>0</v>
      </c>
      <c r="U102" s="57"/>
      <c r="V102" s="57"/>
      <c r="W102" s="57"/>
      <c r="X102" s="58"/>
      <c r="Y102" s="58"/>
      <c r="Z102" s="59"/>
      <c r="AA102" s="59">
        <v>0</v>
      </c>
      <c r="AB102" s="55">
        <f t="shared" si="61"/>
        <v>2341.1819999999998</v>
      </c>
      <c r="AC102" s="60">
        <f t="shared" si="62"/>
        <v>234.1182</v>
      </c>
      <c r="AD102" s="55">
        <f t="shared" si="63"/>
        <v>2107.0637999999999</v>
      </c>
      <c r="AE102" s="61">
        <f t="shared" si="46"/>
        <v>0</v>
      </c>
      <c r="AF102" s="60">
        <v>10.23</v>
      </c>
      <c r="AG102" s="60">
        <f t="shared" si="64"/>
        <v>0</v>
      </c>
      <c r="AH102" s="62">
        <f t="shared" si="65"/>
        <v>2351.4119999999998</v>
      </c>
      <c r="AI102" s="137"/>
      <c r="AJ102" s="139"/>
      <c r="AK102" s="123">
        <f t="shared" si="48"/>
        <v>-2107.0637999999999</v>
      </c>
      <c r="AL102" s="64"/>
      <c r="AM102" s="64"/>
    </row>
    <row r="103" spans="1:193">
      <c r="A103" s="64" t="s">
        <v>82</v>
      </c>
      <c r="B103" s="50" t="s">
        <v>179</v>
      </c>
      <c r="C103" s="50"/>
      <c r="D103" s="50" t="s">
        <v>96</v>
      </c>
      <c r="E103" s="50" t="s">
        <v>147</v>
      </c>
      <c r="F103" s="133">
        <v>41549</v>
      </c>
      <c r="G103" s="50"/>
      <c r="H103" s="50"/>
      <c r="I103" s="52">
        <v>739.23</v>
      </c>
      <c r="J103" s="150"/>
      <c r="K103" s="52">
        <f t="shared" si="59"/>
        <v>739.23</v>
      </c>
      <c r="L103" s="52">
        <f>2966.89+13.099</f>
        <v>2979.989</v>
      </c>
      <c r="M103" s="52"/>
      <c r="N103" s="52"/>
      <c r="O103" s="52"/>
      <c r="P103" s="54"/>
      <c r="Q103" s="55">
        <f t="shared" si="60"/>
        <v>3719.2190000000001</v>
      </c>
      <c r="R103" s="56"/>
      <c r="S103" s="57"/>
      <c r="T103" s="103"/>
      <c r="U103" s="57"/>
      <c r="V103" s="57"/>
      <c r="W103" s="57"/>
      <c r="X103" s="58"/>
      <c r="Y103" s="58"/>
      <c r="Z103" s="59"/>
      <c r="AA103" s="59">
        <v>0</v>
      </c>
      <c r="AB103" s="55">
        <f t="shared" si="61"/>
        <v>3719.2190000000001</v>
      </c>
      <c r="AC103" s="60">
        <f t="shared" si="62"/>
        <v>371.92190000000005</v>
      </c>
      <c r="AD103" s="55">
        <f t="shared" si="63"/>
        <v>3347.2970999999998</v>
      </c>
      <c r="AE103" s="61">
        <f t="shared" si="46"/>
        <v>0</v>
      </c>
      <c r="AF103" s="60">
        <v>10.23</v>
      </c>
      <c r="AG103" s="60">
        <f t="shared" si="64"/>
        <v>0</v>
      </c>
      <c r="AH103" s="62">
        <f t="shared" si="65"/>
        <v>3729.4490000000001</v>
      </c>
      <c r="AI103" s="137"/>
      <c r="AJ103" s="138"/>
      <c r="AK103" s="123">
        <f t="shared" si="48"/>
        <v>-3347.2970999999998</v>
      </c>
      <c r="AL103" s="64"/>
      <c r="AM103" s="64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</row>
    <row r="104" spans="1:193">
      <c r="A104" s="69"/>
      <c r="B104" s="50"/>
      <c r="C104" s="50"/>
      <c r="D104" s="51"/>
      <c r="E104" s="50"/>
      <c r="F104" s="50"/>
      <c r="G104" s="50"/>
      <c r="H104" s="50"/>
      <c r="I104" s="52"/>
      <c r="J104" s="150"/>
      <c r="K104" s="52"/>
      <c r="L104" s="52"/>
      <c r="M104" s="52"/>
      <c r="N104" s="52"/>
      <c r="O104" s="52"/>
      <c r="P104" s="54"/>
      <c r="Q104" s="55">
        <f t="shared" si="60"/>
        <v>0</v>
      </c>
      <c r="R104" s="56"/>
      <c r="S104" s="57"/>
      <c r="T104" s="57"/>
      <c r="U104" s="57"/>
      <c r="V104" s="57"/>
      <c r="W104" s="57"/>
      <c r="X104" s="58"/>
      <c r="Y104" s="58"/>
      <c r="Z104" s="58"/>
      <c r="AA104" s="58"/>
      <c r="AB104" s="55"/>
      <c r="AC104" s="60">
        <f t="shared" si="62"/>
        <v>0</v>
      </c>
      <c r="AD104" s="55"/>
      <c r="AE104" s="61">
        <f t="shared" ref="AE104" si="84">IF(Q104&lt;3500,Q104*0.1,0)</f>
        <v>0</v>
      </c>
      <c r="AF104" s="60"/>
      <c r="AG104" s="60">
        <f t="shared" si="64"/>
        <v>0</v>
      </c>
      <c r="AH104" s="62">
        <f t="shared" si="65"/>
        <v>0</v>
      </c>
      <c r="AI104" s="68"/>
      <c r="AJ104" s="68"/>
      <c r="AK104" s="123">
        <f t="shared" si="48"/>
        <v>0</v>
      </c>
      <c r="AL104" s="64"/>
      <c r="AM104" s="64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</row>
    <row r="105" spans="1:193" s="29" customFormat="1">
      <c r="A105" s="46"/>
      <c r="B105" s="47"/>
      <c r="C105" s="47"/>
      <c r="D105" s="47"/>
      <c r="E105" s="47"/>
      <c r="F105" s="47"/>
      <c r="G105" s="47"/>
      <c r="H105" s="47"/>
      <c r="I105" s="48"/>
      <c r="J105" s="119"/>
      <c r="K105" s="48"/>
      <c r="L105" s="48"/>
      <c r="M105" s="48"/>
      <c r="N105" s="48"/>
      <c r="O105" s="48"/>
      <c r="P105" s="48"/>
      <c r="Q105" s="49"/>
      <c r="R105" s="48"/>
      <c r="S105" s="48"/>
      <c r="T105" s="48"/>
      <c r="U105" s="48"/>
      <c r="V105" s="48"/>
      <c r="W105" s="48"/>
      <c r="X105" s="78"/>
      <c r="Y105" s="78"/>
      <c r="Z105" s="78"/>
      <c r="AA105" s="78"/>
      <c r="AB105" s="49"/>
      <c r="AC105" s="78"/>
      <c r="AD105" s="49"/>
      <c r="AE105" s="78"/>
      <c r="AF105" s="78"/>
      <c r="AG105" s="78"/>
      <c r="AH105" s="49"/>
      <c r="AI105" s="99"/>
      <c r="AJ105" s="99"/>
      <c r="AK105" s="41"/>
    </row>
    <row r="106" spans="1:193">
      <c r="B106" s="79" t="s">
        <v>17</v>
      </c>
      <c r="C106" s="79"/>
      <c r="D106" s="79"/>
      <c r="E106" s="79"/>
      <c r="F106" s="79"/>
      <c r="G106" s="79"/>
      <c r="H106" s="79"/>
      <c r="I106" s="52"/>
      <c r="J106" s="120"/>
      <c r="K106" s="80">
        <f>SUM(K7:K105)</f>
        <v>94696.627333333381</v>
      </c>
      <c r="L106" s="80">
        <f>SUM(L7:L105)</f>
        <v>118143.99</v>
      </c>
      <c r="M106" s="80"/>
      <c r="N106" s="80">
        <f>SUM(N7:N105)</f>
        <v>0</v>
      </c>
      <c r="O106" s="80">
        <f>SUM(O7:O105)</f>
        <v>0</v>
      </c>
      <c r="P106" s="80">
        <f>SUM(P7:P105)</f>
        <v>0</v>
      </c>
      <c r="Q106" s="80">
        <f>SUM(Q7:Q105)</f>
        <v>212840.61733333339</v>
      </c>
      <c r="R106" s="80">
        <f>SUM(R7:R105)</f>
        <v>1900</v>
      </c>
      <c r="S106" s="80"/>
      <c r="T106" s="81">
        <f t="shared" ref="T106:AK106" si="85">SUM(T7:T105)</f>
        <v>3633.08023</v>
      </c>
      <c r="U106" s="81">
        <f t="shared" si="85"/>
        <v>2159.6506959999997</v>
      </c>
      <c r="V106" s="81">
        <f t="shared" si="85"/>
        <v>432.49437</v>
      </c>
      <c r="W106" s="81">
        <f t="shared" si="85"/>
        <v>879.38</v>
      </c>
      <c r="X106" s="80">
        <f t="shared" si="85"/>
        <v>2576.4</v>
      </c>
      <c r="Y106" s="80">
        <f t="shared" si="85"/>
        <v>335.5</v>
      </c>
      <c r="Z106" s="80">
        <f t="shared" si="85"/>
        <v>406.94</v>
      </c>
      <c r="AA106" s="80">
        <f t="shared" si="85"/>
        <v>6968.67</v>
      </c>
      <c r="AB106" s="80">
        <f t="shared" si="85"/>
        <v>192683.56203733335</v>
      </c>
      <c r="AC106" s="80">
        <f t="shared" si="85"/>
        <v>12532.853700000001</v>
      </c>
      <c r="AD106" s="80">
        <f t="shared" si="85"/>
        <v>180150.70833733337</v>
      </c>
      <c r="AE106" s="80">
        <f t="shared" si="85"/>
        <v>8751.2080333333342</v>
      </c>
      <c r="AF106" s="80">
        <f t="shared" si="85"/>
        <v>1059.3100000000011</v>
      </c>
      <c r="AG106" s="80">
        <f t="shared" si="85"/>
        <v>2159.6506959999997</v>
      </c>
      <c r="AH106" s="80">
        <f t="shared" si="85"/>
        <v>224810.78606266665</v>
      </c>
      <c r="AI106" s="100">
        <f t="shared" si="85"/>
        <v>0</v>
      </c>
      <c r="AJ106" s="100">
        <f t="shared" si="85"/>
        <v>0</v>
      </c>
      <c r="AK106" s="82">
        <f t="shared" si="85"/>
        <v>-170265.30233733336</v>
      </c>
      <c r="AL106" s="50"/>
      <c r="AM106" s="50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</row>
    <row r="107" spans="1:193">
      <c r="AH107" s="24">
        <f>AH106*0.16</f>
        <v>35969.725770026664</v>
      </c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</row>
    <row r="108" spans="1:193">
      <c r="A108" s="174" t="s">
        <v>229</v>
      </c>
      <c r="B108" s="174"/>
      <c r="C108" s="83"/>
      <c r="D108" s="50"/>
      <c r="E108" s="50"/>
      <c r="F108" s="50"/>
      <c r="G108" s="50"/>
      <c r="H108" s="50"/>
      <c r="I108" s="52"/>
      <c r="J108" s="118"/>
      <c r="K108" s="52"/>
      <c r="L108" s="52"/>
      <c r="M108" s="52"/>
      <c r="N108" s="52"/>
      <c r="O108" s="52"/>
      <c r="P108" s="52"/>
      <c r="Q108" s="80"/>
      <c r="R108" s="52"/>
      <c r="S108" s="52"/>
      <c r="T108" s="68"/>
      <c r="U108" s="68"/>
      <c r="V108" s="68"/>
      <c r="W108" s="68"/>
      <c r="X108" s="52"/>
      <c r="Y108" s="52"/>
      <c r="Z108" s="52"/>
      <c r="AA108" s="52"/>
      <c r="AB108" s="80"/>
      <c r="AC108" s="52"/>
      <c r="AD108" s="80"/>
      <c r="AE108" s="52"/>
      <c r="AF108" s="52"/>
      <c r="AG108" s="52"/>
      <c r="AH108" s="80">
        <f>+AH106+AH107</f>
        <v>260780.5118326933</v>
      </c>
      <c r="AI108" s="100"/>
      <c r="AJ108" s="100"/>
      <c r="AK108" s="82"/>
      <c r="AL108" s="50"/>
      <c r="AM108" s="50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</row>
    <row r="109" spans="1:193">
      <c r="A109" s="64" t="s">
        <v>84</v>
      </c>
      <c r="B109" s="50" t="s">
        <v>230</v>
      </c>
      <c r="C109" s="50"/>
      <c r="D109" s="51"/>
      <c r="E109" s="50" t="s">
        <v>300</v>
      </c>
      <c r="F109" s="135">
        <v>41142</v>
      </c>
      <c r="G109" s="50"/>
      <c r="H109" s="50"/>
      <c r="I109" s="52"/>
      <c r="J109" s="118"/>
      <c r="K109" s="68">
        <v>623.36</v>
      </c>
      <c r="L109" s="52">
        <f>1637.47+5.571</f>
        <v>1643.0409999999999</v>
      </c>
      <c r="M109" s="52"/>
      <c r="N109" s="52"/>
      <c r="O109" s="52"/>
      <c r="P109" s="52"/>
      <c r="Q109" s="55">
        <f>SUM(K109:P109)</f>
        <v>2266.4009999999998</v>
      </c>
      <c r="R109" s="56"/>
      <c r="S109" s="56"/>
      <c r="T109" s="68"/>
      <c r="U109" s="66">
        <f>Q109*4.9%</f>
        <v>111.05364899999999</v>
      </c>
      <c r="V109" s="66">
        <f>Q109*1%</f>
        <v>22.664009999999998</v>
      </c>
      <c r="W109" s="68"/>
      <c r="X109" s="84"/>
      <c r="Y109" s="84"/>
      <c r="Z109" s="84"/>
      <c r="AA109" s="84"/>
      <c r="AB109" s="55">
        <f t="shared" ref="AB109:AB110" si="86">+Q109-SUM(R109:AA109)</f>
        <v>2132.6833409999999</v>
      </c>
      <c r="AC109" s="60">
        <f>+AB109*0.05</f>
        <v>106.63416705</v>
      </c>
      <c r="AD109" s="55">
        <f>+AB109-X109-AA109</f>
        <v>2132.6833409999999</v>
      </c>
      <c r="AE109" s="61">
        <f>IF(AB109&lt;3000,AB109*0.1,0)</f>
        <v>213.2683341</v>
      </c>
      <c r="AF109" s="60">
        <v>0</v>
      </c>
      <c r="AG109" s="60"/>
      <c r="AH109" s="55">
        <f>+AB109+AE109+AF109</f>
        <v>2345.9516751000001</v>
      </c>
      <c r="AI109" s="101"/>
      <c r="AJ109" s="101"/>
      <c r="AK109" s="85"/>
      <c r="AL109" s="50"/>
      <c r="AM109" s="6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</row>
    <row r="110" spans="1:193">
      <c r="A110" s="64" t="s">
        <v>84</v>
      </c>
      <c r="B110" s="51" t="s">
        <v>249</v>
      </c>
      <c r="C110" s="51"/>
      <c r="D110" s="51"/>
      <c r="E110" s="51"/>
      <c r="F110" s="136">
        <v>40824</v>
      </c>
      <c r="G110" s="51"/>
      <c r="H110" s="51"/>
      <c r="I110" s="53"/>
      <c r="J110" s="115"/>
      <c r="K110" s="68">
        <v>1166.6600000000001</v>
      </c>
      <c r="L110" s="68">
        <v>4722.1400000000003</v>
      </c>
      <c r="M110" s="53"/>
      <c r="N110" s="53"/>
      <c r="O110" s="53"/>
      <c r="P110" s="53"/>
      <c r="Q110" s="55">
        <f>SUM(K110:P110)</f>
        <v>5888.8</v>
      </c>
      <c r="R110" s="56"/>
      <c r="S110" s="56"/>
      <c r="T110" s="68"/>
      <c r="U110" s="68"/>
      <c r="V110" s="68"/>
      <c r="W110" s="68"/>
      <c r="X110" s="84"/>
      <c r="Y110" s="84"/>
      <c r="Z110" s="71">
        <v>364.96</v>
      </c>
      <c r="AA110" s="84"/>
      <c r="AB110" s="55">
        <f t="shared" si="86"/>
        <v>5523.84</v>
      </c>
      <c r="AC110" s="60">
        <f>+AB110*0.05</f>
        <v>276.19200000000001</v>
      </c>
      <c r="AD110" s="55">
        <f>+AB110-X110-AA110</f>
        <v>5523.84</v>
      </c>
      <c r="AE110" s="61">
        <f>IF(AB110&lt;3000,AB110*0.1,0)</f>
        <v>0</v>
      </c>
      <c r="AF110" s="60">
        <v>0</v>
      </c>
      <c r="AG110" s="60"/>
      <c r="AH110" s="55">
        <f>+AB110+AE110+AF110</f>
        <v>5523.84</v>
      </c>
      <c r="AI110" s="101"/>
      <c r="AJ110" s="101"/>
      <c r="AK110" s="85"/>
      <c r="AL110" s="50"/>
      <c r="AM110" s="141" t="s">
        <v>287</v>
      </c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</row>
    <row r="111" spans="1:193">
      <c r="AH111" s="24">
        <f>SUM(AH109:AH110)</f>
        <v>7869.7916751000002</v>
      </c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</row>
    <row r="112" spans="1:193">
      <c r="B112" s="32"/>
      <c r="C112" s="32"/>
      <c r="D112" s="32"/>
      <c r="AH112" s="24">
        <f>+AH111*0.16</f>
        <v>1259.1666680160001</v>
      </c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</row>
    <row r="113" spans="1:193">
      <c r="A113" s="172" t="s">
        <v>248</v>
      </c>
      <c r="B113" s="172"/>
      <c r="C113" s="32"/>
      <c r="D113" s="32"/>
      <c r="AH113" s="24">
        <f>+AH111+AH112</f>
        <v>9128.9583431160008</v>
      </c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</row>
    <row r="114" spans="1:193" s="29" customFormat="1">
      <c r="A114" s="64" t="s">
        <v>68</v>
      </c>
      <c r="B114" s="64" t="s">
        <v>205</v>
      </c>
      <c r="C114" s="64" t="s">
        <v>204</v>
      </c>
      <c r="D114" s="76"/>
      <c r="E114" s="64" t="s">
        <v>70</v>
      </c>
      <c r="F114" s="67">
        <v>42240</v>
      </c>
      <c r="G114" s="64"/>
      <c r="H114" s="64"/>
      <c r="I114" s="68"/>
      <c r="J114" s="116"/>
      <c r="K114" s="68">
        <f t="shared" ref="K114" si="87">+I114+J114</f>
        <v>0</v>
      </c>
      <c r="L114" s="68"/>
      <c r="M114" s="68"/>
      <c r="N114" s="68"/>
      <c r="O114" s="68"/>
      <c r="P114" s="109"/>
      <c r="Q114" s="122">
        <f t="shared" ref="Q114" si="88">SUM(K114:O114)-P114</f>
        <v>0</v>
      </c>
      <c r="R114" s="68"/>
      <c r="S114" s="68">
        <v>58.91</v>
      </c>
      <c r="T114" s="68"/>
      <c r="U114" s="68"/>
      <c r="V114" s="68"/>
      <c r="W114" s="68"/>
      <c r="X114" s="60"/>
      <c r="Y114" s="60"/>
      <c r="Z114" s="64"/>
      <c r="AA114" s="64">
        <v>0</v>
      </c>
      <c r="AB114" s="122">
        <f t="shared" ref="AB114" si="89">+Q114-SUM(R114:AA114)</f>
        <v>-58.91</v>
      </c>
      <c r="AC114" s="60">
        <f t="shared" ref="AC114" si="90">IF(Q114&gt;2250,Q114*0.1,0)</f>
        <v>0</v>
      </c>
      <c r="AD114" s="122">
        <f>+AB114-AC114</f>
        <v>-58.91</v>
      </c>
      <c r="AE114" s="60">
        <f>IF(Q114&lt;3500,Q114*0.1,0)</f>
        <v>0</v>
      </c>
      <c r="AF114" s="60">
        <v>10.23</v>
      </c>
      <c r="AG114" s="60">
        <f t="shared" ref="AG114" si="91">+U114</f>
        <v>0</v>
      </c>
      <c r="AH114" s="122">
        <f t="shared" ref="AH114" si="92">+Q114+AE114+AF114+AG114</f>
        <v>10.23</v>
      </c>
      <c r="AI114" s="102"/>
      <c r="AJ114" s="105"/>
      <c r="AK114" s="63">
        <f t="shared" ref="AK114" si="93">+AI114+AJ114-AD114</f>
        <v>58.91</v>
      </c>
      <c r="AL114" s="64"/>
      <c r="AM114" s="108" t="s">
        <v>247</v>
      </c>
    </row>
    <row r="115" spans="1:193"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</row>
    <row r="116" spans="1:193"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</row>
    <row r="117" spans="1:193"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</row>
    <row r="118" spans="1:193"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</row>
    <row r="119" spans="1:193"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</row>
    <row r="120" spans="1:193"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</row>
    <row r="121" spans="1:193">
      <c r="A121" s="31" t="s">
        <v>54</v>
      </c>
      <c r="B121" s="23"/>
      <c r="C121" s="23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</row>
    <row r="122" spans="1:193">
      <c r="A122" s="31" t="s">
        <v>55</v>
      </c>
      <c r="B122" s="23"/>
      <c r="C122" s="23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</row>
    <row r="123" spans="1:193">
      <c r="A123" s="31" t="s">
        <v>56</v>
      </c>
      <c r="B123" s="23"/>
      <c r="C123" s="23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</row>
    <row r="124" spans="1:193">
      <c r="A124" s="31" t="s">
        <v>57</v>
      </c>
      <c r="B124" s="23"/>
      <c r="C124" s="23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</row>
    <row r="125" spans="1:193">
      <c r="A125" s="31" t="s">
        <v>58</v>
      </c>
      <c r="B125" s="23"/>
      <c r="C125" s="23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</row>
    <row r="126" spans="1:193">
      <c r="A126" s="31" t="s">
        <v>59</v>
      </c>
      <c r="B126" s="23"/>
      <c r="C126" s="23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</row>
    <row r="127" spans="1:193"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</row>
    <row r="128" spans="1:193"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</row>
    <row r="130" spans="2:3">
      <c r="B130" s="27"/>
      <c r="C130" s="36"/>
    </row>
    <row r="131" spans="2:3">
      <c r="B131" s="27"/>
      <c r="C131" s="36"/>
    </row>
    <row r="132" spans="2:3">
      <c r="B132" s="27"/>
      <c r="C132" s="36"/>
    </row>
  </sheetData>
  <sheetProtection selectLockedCells="1" selectUnlockedCells="1"/>
  <autoFilter ref="A5:AM104">
    <filterColumn colId="34" showButton="0"/>
    <sortState ref="A8:AN94">
      <sortCondition ref="B5:B94"/>
    </sortState>
  </autoFilter>
  <mergeCells count="37">
    <mergeCell ref="A113:B113"/>
    <mergeCell ref="AM5:AM6"/>
    <mergeCell ref="A108:B108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31" customWidth="1"/>
    <col min="2" max="2" width="39.140625" style="31" customWidth="1"/>
    <col min="3" max="3" width="8.140625" style="31" bestFit="1" customWidth="1"/>
    <col min="4" max="4" width="8.85546875" style="31" customWidth="1"/>
    <col min="5" max="5" width="31.5703125" style="31" customWidth="1"/>
    <col min="6" max="6" width="20.140625" style="31" bestFit="1" customWidth="1"/>
    <col min="7" max="7" width="13" style="31" bestFit="1" customWidth="1"/>
    <col min="8" max="8" width="11.7109375" style="31" customWidth="1"/>
    <col min="9" max="9" width="17.140625" style="23" customWidth="1"/>
    <col min="10" max="10" width="11.7109375" style="3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31" hidden="1" customWidth="1"/>
    <col min="39" max="39" width="13.85546875" style="31" customWidth="1"/>
    <col min="40" max="40" width="38.28515625" style="31" bestFit="1" customWidth="1"/>
    <col min="41" max="54" width="11.5703125" style="29"/>
    <col min="55" max="16384" width="11.5703125" style="31"/>
  </cols>
  <sheetData>
    <row r="1" spans="1:19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40"/>
      <c r="AJ1" s="40"/>
      <c r="AK1" s="4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40"/>
      <c r="AJ2" s="40"/>
      <c r="AK2" s="4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241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40"/>
      <c r="AJ3" s="40"/>
      <c r="AK3" s="4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240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62" t="s">
        <v>36</v>
      </c>
      <c r="B5" s="164" t="s">
        <v>37</v>
      </c>
      <c r="C5" s="162"/>
      <c r="D5" s="164" t="s">
        <v>38</v>
      </c>
      <c r="E5" s="164" t="s">
        <v>0</v>
      </c>
      <c r="F5" s="162" t="s">
        <v>203</v>
      </c>
      <c r="G5" s="166" t="s">
        <v>64</v>
      </c>
      <c r="H5" s="166" t="s">
        <v>62</v>
      </c>
      <c r="I5" s="168" t="s">
        <v>63</v>
      </c>
      <c r="J5" s="160" t="s">
        <v>65</v>
      </c>
      <c r="K5" s="166" t="s">
        <v>31</v>
      </c>
      <c r="L5" s="160" t="s">
        <v>72</v>
      </c>
      <c r="M5" s="93"/>
      <c r="N5" s="166" t="s">
        <v>32</v>
      </c>
      <c r="O5" s="166" t="s">
        <v>33</v>
      </c>
      <c r="P5" s="166" t="s">
        <v>60</v>
      </c>
      <c r="Q5" s="166" t="s">
        <v>34</v>
      </c>
      <c r="R5" s="166" t="s">
        <v>35</v>
      </c>
      <c r="S5" s="92"/>
      <c r="T5" s="170" t="s">
        <v>161</v>
      </c>
      <c r="U5" s="170" t="s">
        <v>182</v>
      </c>
      <c r="V5" s="170" t="s">
        <v>181</v>
      </c>
      <c r="W5" s="170" t="s">
        <v>162</v>
      </c>
      <c r="X5" s="166" t="s">
        <v>28</v>
      </c>
      <c r="Y5" s="166" t="s">
        <v>53</v>
      </c>
      <c r="Z5" s="166" t="s">
        <v>52</v>
      </c>
      <c r="AA5" s="166" t="s">
        <v>30</v>
      </c>
      <c r="AB5" s="166" t="s">
        <v>61</v>
      </c>
      <c r="AC5" s="166" t="s">
        <v>25</v>
      </c>
      <c r="AD5" s="166" t="s">
        <v>29</v>
      </c>
      <c r="AE5" s="166" t="s">
        <v>24</v>
      </c>
      <c r="AF5" s="166" t="s">
        <v>26</v>
      </c>
      <c r="AG5" s="91"/>
      <c r="AH5" s="166" t="s">
        <v>27</v>
      </c>
      <c r="AI5" s="178" t="s">
        <v>163</v>
      </c>
      <c r="AJ5" s="179"/>
      <c r="AK5" s="177" t="s">
        <v>164</v>
      </c>
      <c r="AL5" s="173" t="s">
        <v>211</v>
      </c>
      <c r="AM5" s="89"/>
      <c r="AN5" s="173" t="s">
        <v>212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35" customFormat="1" ht="39" customHeight="1">
      <c r="A6" s="163"/>
      <c r="B6" s="165"/>
      <c r="C6" s="163"/>
      <c r="D6" s="165"/>
      <c r="E6" s="165"/>
      <c r="F6" s="163"/>
      <c r="G6" s="167"/>
      <c r="H6" s="167"/>
      <c r="I6" s="169"/>
      <c r="J6" s="161"/>
      <c r="K6" s="167"/>
      <c r="L6" s="161"/>
      <c r="M6" s="94" t="s">
        <v>227</v>
      </c>
      <c r="N6" s="167"/>
      <c r="O6" s="167"/>
      <c r="P6" s="167"/>
      <c r="Q6" s="167"/>
      <c r="R6" s="167"/>
      <c r="S6" s="44" t="s">
        <v>225</v>
      </c>
      <c r="T6" s="171"/>
      <c r="U6" s="171"/>
      <c r="V6" s="171"/>
      <c r="W6" s="171"/>
      <c r="X6" s="167"/>
      <c r="Y6" s="167"/>
      <c r="Z6" s="167"/>
      <c r="AA6" s="167"/>
      <c r="AB6" s="167"/>
      <c r="AC6" s="167"/>
      <c r="AD6" s="167"/>
      <c r="AE6" s="167"/>
      <c r="AF6" s="167"/>
      <c r="AG6" s="92"/>
      <c r="AH6" s="167"/>
      <c r="AI6" s="45" t="s">
        <v>63</v>
      </c>
      <c r="AJ6" s="45" t="s">
        <v>65</v>
      </c>
      <c r="AK6" s="177"/>
      <c r="AL6" s="173"/>
      <c r="AM6" s="89" t="s">
        <v>242</v>
      </c>
      <c r="AN6" s="173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</row>
    <row r="7" spans="1:194">
      <c r="AH7" s="24" t="e">
        <f>#REF!*0.16</f>
        <v>#REF!</v>
      </c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</row>
    <row r="8" spans="1:194">
      <c r="A8" s="174" t="s">
        <v>229</v>
      </c>
      <c r="B8" s="174"/>
      <c r="C8" s="90"/>
      <c r="D8" s="50"/>
      <c r="E8" s="50"/>
      <c r="F8" s="50"/>
      <c r="G8" s="50"/>
      <c r="H8" s="50"/>
      <c r="I8" s="52"/>
      <c r="J8" s="50"/>
      <c r="K8" s="52"/>
      <c r="L8" s="52"/>
      <c r="M8" s="52"/>
      <c r="N8" s="52"/>
      <c r="O8" s="52"/>
      <c r="P8" s="52"/>
      <c r="Q8" s="80"/>
      <c r="R8" s="52"/>
      <c r="S8" s="52"/>
      <c r="T8" s="68"/>
      <c r="U8" s="68"/>
      <c r="V8" s="68"/>
      <c r="W8" s="68"/>
      <c r="X8" s="52"/>
      <c r="Y8" s="52"/>
      <c r="Z8" s="52"/>
      <c r="AA8" s="52"/>
      <c r="AB8" s="80"/>
      <c r="AC8" s="52"/>
      <c r="AD8" s="80"/>
      <c r="AE8" s="52"/>
      <c r="AF8" s="52"/>
      <c r="AG8" s="52"/>
      <c r="AH8" s="80" t="e">
        <f>+#REF!+AH7</f>
        <v>#REF!</v>
      </c>
      <c r="AI8" s="82"/>
      <c r="AJ8" s="82"/>
      <c r="AK8" s="82"/>
      <c r="AL8" s="50"/>
      <c r="AM8" s="50"/>
      <c r="AN8" s="50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</row>
    <row r="9" spans="1:194" hidden="1">
      <c r="A9" s="69"/>
      <c r="B9" s="50" t="s">
        <v>230</v>
      </c>
      <c r="C9" s="50"/>
      <c r="D9" s="51"/>
      <c r="E9" s="50"/>
      <c r="F9" s="50"/>
      <c r="G9" s="50"/>
      <c r="H9" s="50"/>
      <c r="I9" s="52"/>
      <c r="J9" s="50"/>
      <c r="K9" s="52"/>
      <c r="L9" s="95">
        <v>533.29999999999995</v>
      </c>
      <c r="M9" s="52"/>
      <c r="N9" s="52"/>
      <c r="O9" s="52"/>
      <c r="P9" s="52"/>
      <c r="Q9" s="55">
        <f>SUM(K9:P9)</f>
        <v>533.29999999999995</v>
      </c>
      <c r="R9" s="56"/>
      <c r="S9" s="56"/>
      <c r="T9" s="68"/>
      <c r="U9" s="66">
        <f>Q9*4.9%</f>
        <v>26.131699999999999</v>
      </c>
      <c r="V9" s="66">
        <f>Q9*1%</f>
        <v>5.3329999999999993</v>
      </c>
      <c r="W9" s="68"/>
      <c r="X9" s="84"/>
      <c r="Y9" s="84"/>
      <c r="Z9" s="84"/>
      <c r="AA9" s="84"/>
      <c r="AB9" s="55">
        <f>+Q9-R9</f>
        <v>533.29999999999995</v>
      </c>
      <c r="AC9" s="60">
        <f>+AB9*0.05</f>
        <v>26.664999999999999</v>
      </c>
      <c r="AD9" s="55">
        <f>+AB9-X9-AA9</f>
        <v>533.29999999999995</v>
      </c>
      <c r="AE9" s="61">
        <f>IF(AB9&lt;3000,AB9*0.1,0)</f>
        <v>53.33</v>
      </c>
      <c r="AF9" s="60">
        <v>0</v>
      </c>
      <c r="AG9" s="60"/>
      <c r="AH9" s="55">
        <f>+AB9+AE9+AF9</f>
        <v>586.63</v>
      </c>
      <c r="AI9" s="85"/>
      <c r="AJ9" s="85"/>
      <c r="AK9" s="85"/>
      <c r="AL9" s="50"/>
      <c r="AM9" s="50"/>
      <c r="AN9" s="50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</row>
    <row r="10" spans="1:194">
      <c r="AH10" s="24">
        <f>SUM(AH9:AH9)</f>
        <v>586.63</v>
      </c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</row>
    <row r="11" spans="1:194">
      <c r="B11" s="32"/>
      <c r="C11" s="32"/>
      <c r="D11" s="32"/>
      <c r="AH11" s="24">
        <f>+AH10*0.16</f>
        <v>93.860799999999998</v>
      </c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</row>
    <row r="12" spans="1:194">
      <c r="B12" s="32"/>
      <c r="C12" s="32"/>
      <c r="D12" s="32"/>
      <c r="AH12" s="24">
        <f>+AH10+AH11</f>
        <v>680.49080000000004</v>
      </c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</row>
    <row r="13" spans="1:194">
      <c r="B13" s="32"/>
      <c r="C13" s="32"/>
      <c r="D13" s="3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</row>
    <row r="14" spans="1:194">
      <c r="B14" s="32"/>
      <c r="C14" s="32"/>
      <c r="D14" s="32"/>
      <c r="AH14" s="24" t="e">
        <f>+AH8+AH12</f>
        <v>#REF!</v>
      </c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</row>
    <row r="15" spans="1:194"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</row>
    <row r="16" spans="1:194"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</row>
    <row r="17" spans="55:194"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</row>
    <row r="18" spans="55:194"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</row>
    <row r="19" spans="55:194"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AH5:AH6"/>
    <mergeCell ref="AI5:AJ5"/>
    <mergeCell ref="AK5:AK6"/>
    <mergeCell ref="AL5:AL6"/>
    <mergeCell ref="AN5:AN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E5:AE6"/>
    <mergeCell ref="AF5:AF6"/>
    <mergeCell ref="U5:U6"/>
    <mergeCell ref="V5:V6"/>
    <mergeCell ref="W5:W6"/>
    <mergeCell ref="X5:X6"/>
    <mergeCell ref="Y5:Y6"/>
    <mergeCell ref="Z5:Z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ljimenez</cp:lastModifiedBy>
  <cp:lastPrinted>2016-02-12T20:59:22Z</cp:lastPrinted>
  <dcterms:created xsi:type="dcterms:W3CDTF">2015-07-23T15:19:36Z</dcterms:created>
  <dcterms:modified xsi:type="dcterms:W3CDTF">2016-06-18T17:27:19Z</dcterms:modified>
</cp:coreProperties>
</file>