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COM'!$A$5:$AM$104</definedName>
  </definedNames>
  <calcPr calcId="124519"/>
</workbook>
</file>

<file path=xl/calcChain.xml><?xml version="1.0" encoding="utf-8"?>
<calcChain xmlns="http://schemas.openxmlformats.org/spreadsheetml/2006/main">
  <c r="AK98" i="4"/>
  <c r="AK84"/>
  <c r="AK70"/>
  <c r="AK91"/>
  <c r="AK72"/>
  <c r="AK40"/>
  <c r="AK41"/>
  <c r="AK33"/>
  <c r="AK19"/>
  <c r="L48" l="1"/>
  <c r="L19"/>
  <c r="L110"/>
  <c r="AB82"/>
  <c r="AD82" s="1"/>
  <c r="AC82"/>
  <c r="AE82"/>
  <c r="AG82"/>
  <c r="AH82"/>
  <c r="Q82"/>
  <c r="AG41" l="1"/>
  <c r="Q41"/>
  <c r="AE41" s="1"/>
  <c r="AH41" s="1"/>
  <c r="AB41" l="1"/>
  <c r="AC41"/>
  <c r="AG40"/>
  <c r="Q40"/>
  <c r="AB40" s="1"/>
  <c r="AG72"/>
  <c r="Q72"/>
  <c r="AE72" s="1"/>
  <c r="AG98"/>
  <c r="Q98"/>
  <c r="AE98" s="1"/>
  <c r="AG33"/>
  <c r="AE33"/>
  <c r="Q33"/>
  <c r="AG19"/>
  <c r="Q19"/>
  <c r="AE19" s="1"/>
  <c r="L79"/>
  <c r="AC40" l="1"/>
  <c r="AD40" s="1"/>
  <c r="AB19"/>
  <c r="AD19" s="1"/>
  <c r="AH33"/>
  <c r="AH98"/>
  <c r="AH72"/>
  <c r="AB72"/>
  <c r="AE40"/>
  <c r="AH40" s="1"/>
  <c r="AC19"/>
  <c r="AC72"/>
  <c r="AB33"/>
  <c r="AC98"/>
  <c r="AD41"/>
  <c r="AC33"/>
  <c r="AD33" s="1"/>
  <c r="AB98"/>
  <c r="AD98" s="1"/>
  <c r="AH19"/>
  <c r="AD72" l="1"/>
  <c r="L15"/>
  <c r="L47"/>
  <c r="L70"/>
  <c r="L67"/>
  <c r="L73"/>
  <c r="L62"/>
  <c r="L55"/>
  <c r="L76"/>
  <c r="L27"/>
  <c r="L53"/>
  <c r="L77"/>
  <c r="L37"/>
  <c r="L103"/>
  <c r="L25"/>
  <c r="L94"/>
  <c r="L90"/>
  <c r="L95"/>
  <c r="L75"/>
  <c r="L31"/>
  <c r="L43"/>
  <c r="L12"/>
  <c r="L78"/>
  <c r="L83"/>
  <c r="L54"/>
  <c r="L34"/>
  <c r="L69"/>
  <c r="L84"/>
  <c r="L20"/>
  <c r="L100"/>
  <c r="L68"/>
  <c r="L9"/>
  <c r="L52"/>
  <c r="L89"/>
  <c r="L51"/>
  <c r="L109"/>
  <c r="L85"/>
  <c r="AG91"/>
  <c r="AG92"/>
  <c r="K91"/>
  <c r="Q91" s="1"/>
  <c r="AG62"/>
  <c r="AG47"/>
  <c r="K47"/>
  <c r="Q47" s="1"/>
  <c r="AG37"/>
  <c r="K37"/>
  <c r="K89"/>
  <c r="K78"/>
  <c r="K73"/>
  <c r="K68"/>
  <c r="K36"/>
  <c r="K25"/>
  <c r="I56"/>
  <c r="K56"/>
  <c r="AG70"/>
  <c r="K70"/>
  <c r="Q70" s="1"/>
  <c r="AG32"/>
  <c r="K32"/>
  <c r="Q32" s="1"/>
  <c r="K77"/>
  <c r="K15"/>
  <c r="Q37" l="1"/>
  <c r="AB37" s="1"/>
  <c r="AB91"/>
  <c r="AC91"/>
  <c r="AE91"/>
  <c r="AH91" s="1"/>
  <c r="AE47"/>
  <c r="AH47" s="1"/>
  <c r="AB47"/>
  <c r="AD47" s="1"/>
  <c r="Q62"/>
  <c r="AE62" s="1"/>
  <c r="AH62" s="1"/>
  <c r="AC47"/>
  <c r="AE37"/>
  <c r="AH37" s="1"/>
  <c r="AC37"/>
  <c r="AE32"/>
  <c r="AH32" s="1"/>
  <c r="AC32"/>
  <c r="AB32"/>
  <c r="AC70"/>
  <c r="AB70"/>
  <c r="AE70"/>
  <c r="AH70" s="1"/>
  <c r="AB62" l="1"/>
  <c r="AC62"/>
  <c r="AD62" s="1"/>
  <c r="AK62" s="1"/>
  <c r="AD91"/>
  <c r="AD37"/>
  <c r="AK37" s="1"/>
  <c r="AD70"/>
  <c r="AD32"/>
  <c r="AK32" s="1"/>
  <c r="K67" l="1"/>
  <c r="K54"/>
  <c r="K12"/>
  <c r="AG30" l="1"/>
  <c r="K30"/>
  <c r="Q30" s="1"/>
  <c r="AB30" s="1"/>
  <c r="AE30" l="1"/>
  <c r="AH30" s="1"/>
  <c r="AC30"/>
  <c r="K86"/>
  <c r="AD30" l="1"/>
  <c r="I63"/>
  <c r="K63" s="1"/>
  <c r="AK30" l="1"/>
  <c r="AG16" l="1"/>
  <c r="AG79"/>
  <c r="K16" l="1"/>
  <c r="Q16" s="1"/>
  <c r="AG55"/>
  <c r="K55"/>
  <c r="Q55" s="1"/>
  <c r="AG74"/>
  <c r="K74"/>
  <c r="Q74" s="1"/>
  <c r="AB74" l="1"/>
  <c r="AE74"/>
  <c r="AH74" s="1"/>
  <c r="AE16"/>
  <c r="AH16" s="1"/>
  <c r="AB16"/>
  <c r="AC16"/>
  <c r="AE55"/>
  <c r="AH55" s="1"/>
  <c r="AB55"/>
  <c r="AC74"/>
  <c r="AC55"/>
  <c r="AG114"/>
  <c r="K114"/>
  <c r="Q114" s="1"/>
  <c r="AD55" l="1"/>
  <c r="AK55" s="1"/>
  <c r="AD16"/>
  <c r="AK16" s="1"/>
  <c r="AD74"/>
  <c r="AK74" s="1"/>
  <c r="AE114"/>
  <c r="AH114" s="1"/>
  <c r="AB114"/>
  <c r="AC114"/>
  <c r="AD114" l="1"/>
  <c r="AK114" s="1"/>
  <c r="K42"/>
  <c r="AG93" l="1"/>
  <c r="K93"/>
  <c r="Q93" s="1"/>
  <c r="Q42"/>
  <c r="AE42" s="1"/>
  <c r="AB93" l="1"/>
  <c r="AE93"/>
  <c r="AH93" s="1"/>
  <c r="AC93"/>
  <c r="AB42"/>
  <c r="AD93" l="1"/>
  <c r="AK93" s="1"/>
  <c r="AK104" l="1"/>
  <c r="Q9" i="5" l="1"/>
  <c r="V9" s="1"/>
  <c r="AG36" i="4"/>
  <c r="Q36"/>
  <c r="AE36" l="1"/>
  <c r="AH36" s="1"/>
  <c r="AB36"/>
  <c r="U9" i="5"/>
  <c r="AB9"/>
  <c r="AC36" i="4"/>
  <c r="AD36" l="1"/>
  <c r="AK36" s="1"/>
  <c r="AE9" i="5"/>
  <c r="AH9" s="1"/>
  <c r="AH10" s="1"/>
  <c r="AC9"/>
  <c r="AD9"/>
  <c r="AH11" l="1"/>
  <c r="AH12" s="1"/>
  <c r="AH7" l="1"/>
  <c r="AH8" s="1"/>
  <c r="AH14" s="1"/>
  <c r="Q104" i="4" l="1"/>
  <c r="AC104" s="1"/>
  <c r="K61"/>
  <c r="Q61" s="1"/>
  <c r="K81"/>
  <c r="Q81" s="1"/>
  <c r="AC81" s="1"/>
  <c r="AG81"/>
  <c r="AG61"/>
  <c r="AB61" l="1"/>
  <c r="AC61"/>
  <c r="AE61"/>
  <c r="AH61" s="1"/>
  <c r="AE81"/>
  <c r="AH81" s="1"/>
  <c r="AB81"/>
  <c r="AD61" l="1"/>
  <c r="AK61" s="1"/>
  <c r="AD81"/>
  <c r="AK81" s="1"/>
  <c r="AG24"/>
  <c r="AG63" l="1"/>
  <c r="Q63"/>
  <c r="AC63" s="1"/>
  <c r="AE63" l="1"/>
  <c r="AH63" s="1"/>
  <c r="AB63"/>
  <c r="Q78"/>
  <c r="AC78" s="1"/>
  <c r="AD63" l="1"/>
  <c r="AK63" s="1"/>
  <c r="K24"/>
  <c r="Q24" s="1"/>
  <c r="AC24" s="1"/>
  <c r="AG104"/>
  <c r="AG64"/>
  <c r="AG42"/>
  <c r="AH42" s="1"/>
  <c r="AG96"/>
  <c r="AG103"/>
  <c r="AG101"/>
  <c r="AG102"/>
  <c r="AG99"/>
  <c r="AG97"/>
  <c r="AG95"/>
  <c r="AG94"/>
  <c r="AG90"/>
  <c r="AG87"/>
  <c r="AG86"/>
  <c r="AG85"/>
  <c r="AG84"/>
  <c r="AG83"/>
  <c r="AG76"/>
  <c r="AG75"/>
  <c r="AG73"/>
  <c r="AG71"/>
  <c r="AG67"/>
  <c r="AG65"/>
  <c r="AG60"/>
  <c r="AG59"/>
  <c r="AG58"/>
  <c r="AG57"/>
  <c r="AG54"/>
  <c r="AG53"/>
  <c r="AG56"/>
  <c r="AG49"/>
  <c r="AG48"/>
  <c r="AG46"/>
  <c r="AG45"/>
  <c r="AG44"/>
  <c r="AG43"/>
  <c r="AG39"/>
  <c r="AG38"/>
  <c r="AG35"/>
  <c r="AG29"/>
  <c r="AG28"/>
  <c r="AG27"/>
  <c r="AG26"/>
  <c r="AG25"/>
  <c r="AG23"/>
  <c r="AG21"/>
  <c r="AG18"/>
  <c r="AG17"/>
  <c r="AG13"/>
  <c r="AG14"/>
  <c r="AG12"/>
  <c r="AG11"/>
  <c r="AG10"/>
  <c r="AG8"/>
  <c r="AG7"/>
  <c r="AE24" l="1"/>
  <c r="AH24" s="1"/>
  <c r="AB24"/>
  <c r="U78"/>
  <c r="AG78" s="1"/>
  <c r="AE78"/>
  <c r="V78"/>
  <c r="K64"/>
  <c r="Q64" s="1"/>
  <c r="AC64" s="1"/>
  <c r="AD24" l="1"/>
  <c r="AK24" s="1"/>
  <c r="AH78"/>
  <c r="AB78"/>
  <c r="AD78" s="1"/>
  <c r="AK78" s="1"/>
  <c r="AE64"/>
  <c r="AH64" s="1"/>
  <c r="AB64"/>
  <c r="AE104"/>
  <c r="AH104" s="1"/>
  <c r="K76"/>
  <c r="Q76" s="1"/>
  <c r="AC76" s="1"/>
  <c r="AD64" l="1"/>
  <c r="AK64" s="1"/>
  <c r="AE76"/>
  <c r="AH76" s="1"/>
  <c r="AF106"/>
  <c r="AB76"/>
  <c r="Q110"/>
  <c r="Q109"/>
  <c r="AJ106"/>
  <c r="AI106"/>
  <c r="X106"/>
  <c r="W106"/>
  <c r="R106"/>
  <c r="P106"/>
  <c r="O106"/>
  <c r="N106"/>
  <c r="AC42"/>
  <c r="AD42" s="1"/>
  <c r="K96"/>
  <c r="Q96" s="1"/>
  <c r="AC96" s="1"/>
  <c r="K79"/>
  <c r="Q79" s="1"/>
  <c r="AB79" s="1"/>
  <c r="K103"/>
  <c r="Q103" s="1"/>
  <c r="AC103" s="1"/>
  <c r="K101"/>
  <c r="K102"/>
  <c r="Q102" s="1"/>
  <c r="AC102" s="1"/>
  <c r="K100"/>
  <c r="Q100" s="1"/>
  <c r="AC100" s="1"/>
  <c r="K99"/>
  <c r="Q99" s="1"/>
  <c r="AC99" s="1"/>
  <c r="K97"/>
  <c r="Q95"/>
  <c r="AC95" s="1"/>
  <c r="Q94"/>
  <c r="AC94" s="1"/>
  <c r="K92"/>
  <c r="Q92" s="1"/>
  <c r="K90"/>
  <c r="Q90" s="1"/>
  <c r="AC90" s="1"/>
  <c r="Q89"/>
  <c r="AC89" s="1"/>
  <c r="K88"/>
  <c r="Q88" s="1"/>
  <c r="AC88" s="1"/>
  <c r="K87"/>
  <c r="Q87" s="1"/>
  <c r="AC87" s="1"/>
  <c r="Q86"/>
  <c r="AC86" s="1"/>
  <c r="K85"/>
  <c r="Q85" s="1"/>
  <c r="AC85" s="1"/>
  <c r="K84"/>
  <c r="Q84" s="1"/>
  <c r="AC84" s="1"/>
  <c r="Q83"/>
  <c r="AC83" s="1"/>
  <c r="K80"/>
  <c r="Q80" s="1"/>
  <c r="AC80" s="1"/>
  <c r="Q77"/>
  <c r="AC77" s="1"/>
  <c r="K75"/>
  <c r="Q75" s="1"/>
  <c r="AC75" s="1"/>
  <c r="Q73"/>
  <c r="AC73" s="1"/>
  <c r="K71"/>
  <c r="Q71" s="1"/>
  <c r="AC71" s="1"/>
  <c r="K69"/>
  <c r="Q69" s="1"/>
  <c r="AC69" s="1"/>
  <c r="Q68"/>
  <c r="AC68" s="1"/>
  <c r="Q67"/>
  <c r="AC67" s="1"/>
  <c r="K66"/>
  <c r="Q66" s="1"/>
  <c r="AC66" s="1"/>
  <c r="K65"/>
  <c r="Q65" s="1"/>
  <c r="AC65" s="1"/>
  <c r="K60"/>
  <c r="Q60" s="1"/>
  <c r="AC60" s="1"/>
  <c r="K59"/>
  <c r="Q59" s="1"/>
  <c r="AC59" s="1"/>
  <c r="K58"/>
  <c r="Q58" s="1"/>
  <c r="AC58" s="1"/>
  <c r="K57"/>
  <c r="Q57" s="1"/>
  <c r="AC57" s="1"/>
  <c r="Q54"/>
  <c r="K53"/>
  <c r="Q53" s="1"/>
  <c r="AC53" s="1"/>
  <c r="K52"/>
  <c r="Q52" s="1"/>
  <c r="AC52" s="1"/>
  <c r="K51"/>
  <c r="Q51" s="1"/>
  <c r="AC51" s="1"/>
  <c r="K50"/>
  <c r="Q50" s="1"/>
  <c r="AC50" s="1"/>
  <c r="Q56"/>
  <c r="AC56" s="1"/>
  <c r="K49"/>
  <c r="Q49" s="1"/>
  <c r="AC49" s="1"/>
  <c r="K48"/>
  <c r="Q48" s="1"/>
  <c r="AC48" s="1"/>
  <c r="K46"/>
  <c r="Q46" s="1"/>
  <c r="AC46" s="1"/>
  <c r="K45"/>
  <c r="Q45" s="1"/>
  <c r="AC45" s="1"/>
  <c r="K44"/>
  <c r="Q44" s="1"/>
  <c r="AC44" s="1"/>
  <c r="K43"/>
  <c r="Q43" s="1"/>
  <c r="AC43" s="1"/>
  <c r="K39"/>
  <c r="K38"/>
  <c r="Q38" s="1"/>
  <c r="AC38" s="1"/>
  <c r="K35"/>
  <c r="Q35" s="1"/>
  <c r="AC35" s="1"/>
  <c r="K34"/>
  <c r="Q34" s="1"/>
  <c r="AC34" s="1"/>
  <c r="K31"/>
  <c r="Q31" s="1"/>
  <c r="AC31" s="1"/>
  <c r="K29"/>
  <c r="K28"/>
  <c r="Q28" s="1"/>
  <c r="AC28" s="1"/>
  <c r="Q27"/>
  <c r="AC27" s="1"/>
  <c r="K26"/>
  <c r="Q26" s="1"/>
  <c r="AC26" s="1"/>
  <c r="Q25"/>
  <c r="AC25" s="1"/>
  <c r="K23"/>
  <c r="Q23" s="1"/>
  <c r="AC23" s="1"/>
  <c r="K22"/>
  <c r="Q22" s="1"/>
  <c r="AC22" s="1"/>
  <c r="K21"/>
  <c r="Q21" s="1"/>
  <c r="AC21" s="1"/>
  <c r="K20"/>
  <c r="Q20" s="1"/>
  <c r="AC20" s="1"/>
  <c r="K18"/>
  <c r="K17"/>
  <c r="Q17" s="1"/>
  <c r="AC17" s="1"/>
  <c r="Q15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C92" l="1"/>
  <c r="AB110"/>
  <c r="AE110" s="1"/>
  <c r="AC79"/>
  <c r="AE79"/>
  <c r="AH79" s="1"/>
  <c r="Q18"/>
  <c r="Q39"/>
  <c r="AC39" s="1"/>
  <c r="Q97"/>
  <c r="AC97" s="1"/>
  <c r="Q101"/>
  <c r="AC101" s="1"/>
  <c r="Q13"/>
  <c r="AE13" s="1"/>
  <c r="AH13" s="1"/>
  <c r="AC54"/>
  <c r="V109"/>
  <c r="U109"/>
  <c r="Y106"/>
  <c r="Q29"/>
  <c r="AC29" s="1"/>
  <c r="AD76"/>
  <c r="AK76" s="1"/>
  <c r="V51"/>
  <c r="U51"/>
  <c r="AG51" s="1"/>
  <c r="AE10"/>
  <c r="AH10" s="1"/>
  <c r="AE14"/>
  <c r="AH14" s="1"/>
  <c r="AE17"/>
  <c r="AH17" s="1"/>
  <c r="AE21"/>
  <c r="AH21" s="1"/>
  <c r="AE28"/>
  <c r="AH28" s="1"/>
  <c r="AE35"/>
  <c r="AH35" s="1"/>
  <c r="AE46"/>
  <c r="AH46" s="1"/>
  <c r="AE56"/>
  <c r="AH56" s="1"/>
  <c r="AE53"/>
  <c r="AH53" s="1"/>
  <c r="AE59"/>
  <c r="AH59" s="1"/>
  <c r="AE66"/>
  <c r="AE71"/>
  <c r="AH71" s="1"/>
  <c r="AE92"/>
  <c r="AH92" s="1"/>
  <c r="AE95"/>
  <c r="AH95" s="1"/>
  <c r="AE102"/>
  <c r="AH102" s="1"/>
  <c r="AE96"/>
  <c r="AH96" s="1"/>
  <c r="AE22"/>
  <c r="AE25"/>
  <c r="AH25" s="1"/>
  <c r="AE43"/>
  <c r="AH43" s="1"/>
  <c r="AE50"/>
  <c r="AE54"/>
  <c r="AH54" s="1"/>
  <c r="AE60"/>
  <c r="AH60" s="1"/>
  <c r="AE67"/>
  <c r="AH67" s="1"/>
  <c r="AB73"/>
  <c r="AE73"/>
  <c r="AH73" s="1"/>
  <c r="AE80"/>
  <c r="AE88"/>
  <c r="AE8"/>
  <c r="AH8" s="1"/>
  <c r="AE11"/>
  <c r="AH11" s="1"/>
  <c r="AE15"/>
  <c r="AE26"/>
  <c r="AH26" s="1"/>
  <c r="U31"/>
  <c r="AG31" s="1"/>
  <c r="AE31"/>
  <c r="AE38"/>
  <c r="AH38" s="1"/>
  <c r="AE51"/>
  <c r="AE57"/>
  <c r="AH57" s="1"/>
  <c r="AE68"/>
  <c r="AE75"/>
  <c r="AH75" s="1"/>
  <c r="AE85"/>
  <c r="AH85" s="1"/>
  <c r="V89"/>
  <c r="AE89"/>
  <c r="AE99"/>
  <c r="AH99" s="1"/>
  <c r="AE103"/>
  <c r="AH103" s="1"/>
  <c r="AE9"/>
  <c r="AE12"/>
  <c r="AH12" s="1"/>
  <c r="AE20"/>
  <c r="AE27"/>
  <c r="AH27" s="1"/>
  <c r="AE34"/>
  <c r="V52"/>
  <c r="AE52"/>
  <c r="AE65"/>
  <c r="AH65" s="1"/>
  <c r="AE69"/>
  <c r="AE77"/>
  <c r="AE83"/>
  <c r="AH83" s="1"/>
  <c r="AE86"/>
  <c r="AH86" s="1"/>
  <c r="AE90"/>
  <c r="AH90" s="1"/>
  <c r="AE94"/>
  <c r="AH94" s="1"/>
  <c r="AE100"/>
  <c r="Z106"/>
  <c r="AB12"/>
  <c r="AB56"/>
  <c r="AD56" s="1"/>
  <c r="AK56" s="1"/>
  <c r="AB83"/>
  <c r="U20"/>
  <c r="AG20" s="1"/>
  <c r="AB59"/>
  <c r="V20"/>
  <c r="AB67"/>
  <c r="AK42"/>
  <c r="AB11"/>
  <c r="V50"/>
  <c r="AB60"/>
  <c r="AB90"/>
  <c r="AB99"/>
  <c r="AD99" s="1"/>
  <c r="AK99" s="1"/>
  <c r="AB21"/>
  <c r="U52"/>
  <c r="AG52" s="1"/>
  <c r="AB102"/>
  <c r="AD102" s="1"/>
  <c r="AK102" s="1"/>
  <c r="L106"/>
  <c r="U50"/>
  <c r="AG50" s="1"/>
  <c r="AB10"/>
  <c r="AD10" s="1"/>
  <c r="AK10" s="1"/>
  <c r="AB8"/>
  <c r="AB17"/>
  <c r="AD17" s="1"/>
  <c r="AK17" s="1"/>
  <c r="AB43"/>
  <c r="AB53"/>
  <c r="AD53" s="1"/>
  <c r="AK53" s="1"/>
  <c r="K106"/>
  <c r="Q7"/>
  <c r="AC7" s="1"/>
  <c r="V9"/>
  <c r="V15"/>
  <c r="U15"/>
  <c r="AG15" s="1"/>
  <c r="AB26"/>
  <c r="U34"/>
  <c r="AG34" s="1"/>
  <c r="V34"/>
  <c r="T66"/>
  <c r="U66"/>
  <c r="AG66" s="1"/>
  <c r="U77"/>
  <c r="AG77" s="1"/>
  <c r="V77"/>
  <c r="U80"/>
  <c r="AG80" s="1"/>
  <c r="V80"/>
  <c r="AB94"/>
  <c r="AB96"/>
  <c r="U9"/>
  <c r="AG9" s="1"/>
  <c r="AB14"/>
  <c r="AD14" s="1"/>
  <c r="AK14" s="1"/>
  <c r="AB25"/>
  <c r="AD25" s="1"/>
  <c r="AK25" s="1"/>
  <c r="AB95"/>
  <c r="U22"/>
  <c r="AG22" s="1"/>
  <c r="T22"/>
  <c r="AB65"/>
  <c r="AD65" s="1"/>
  <c r="AK65" s="1"/>
  <c r="AK82"/>
  <c r="V68"/>
  <c r="AB27"/>
  <c r="AB35"/>
  <c r="AB57"/>
  <c r="U68"/>
  <c r="AG68" s="1"/>
  <c r="V69"/>
  <c r="U69"/>
  <c r="AG69" s="1"/>
  <c r="AB86"/>
  <c r="U100"/>
  <c r="AG100" s="1"/>
  <c r="AB28"/>
  <c r="AD28" s="1"/>
  <c r="AK28" s="1"/>
  <c r="V31"/>
  <c r="AB38"/>
  <c r="AB46"/>
  <c r="AD46" s="1"/>
  <c r="AK46" s="1"/>
  <c r="V54"/>
  <c r="AB54" s="1"/>
  <c r="AB75"/>
  <c r="AB85"/>
  <c r="U88"/>
  <c r="AG88" s="1"/>
  <c r="V88"/>
  <c r="U89"/>
  <c r="AG89" s="1"/>
  <c r="V100"/>
  <c r="AB71"/>
  <c r="AD71" s="1"/>
  <c r="AK71" s="1"/>
  <c r="AB92"/>
  <c r="AB103"/>
  <c r="AD103" s="1"/>
  <c r="AK103" s="1"/>
  <c r="AC18" l="1"/>
  <c r="AB18"/>
  <c r="AB109"/>
  <c r="AC109" s="1"/>
  <c r="AC110"/>
  <c r="AD110"/>
  <c r="AD79"/>
  <c r="AK79" s="1"/>
  <c r="AB13"/>
  <c r="AC13"/>
  <c r="AB97"/>
  <c r="AD97" s="1"/>
  <c r="AK97" s="1"/>
  <c r="AE97"/>
  <c r="AH97" s="1"/>
  <c r="AE18"/>
  <c r="AH18" s="1"/>
  <c r="AB101"/>
  <c r="AD101" s="1"/>
  <c r="AK101" s="1"/>
  <c r="AE101"/>
  <c r="AH101" s="1"/>
  <c r="AB39"/>
  <c r="AD39" s="1"/>
  <c r="AK39" s="1"/>
  <c r="AE39"/>
  <c r="AH39" s="1"/>
  <c r="AB29"/>
  <c r="AD29" s="1"/>
  <c r="AK29" s="1"/>
  <c r="AD96"/>
  <c r="AK96" s="1"/>
  <c r="AD54"/>
  <c r="AK54" s="1"/>
  <c r="AD43"/>
  <c r="AK43" s="1"/>
  <c r="AD67"/>
  <c r="AK67" s="1"/>
  <c r="AE29"/>
  <c r="AH29" s="1"/>
  <c r="AD38"/>
  <c r="AK38" s="1"/>
  <c r="AD86"/>
  <c r="AK86" s="1"/>
  <c r="AD57"/>
  <c r="AK57" s="1"/>
  <c r="AD60"/>
  <c r="AK60" s="1"/>
  <c r="AD75"/>
  <c r="AK75" s="1"/>
  <c r="AD21"/>
  <c r="AK21" s="1"/>
  <c r="AD8"/>
  <c r="AK8" s="1"/>
  <c r="AD73"/>
  <c r="AK73" s="1"/>
  <c r="AD26"/>
  <c r="AK26" s="1"/>
  <c r="AD94"/>
  <c r="AK94" s="1"/>
  <c r="AD59"/>
  <c r="AK59" s="1"/>
  <c r="AD27"/>
  <c r="AK27" s="1"/>
  <c r="AD90"/>
  <c r="AK90" s="1"/>
  <c r="AD95"/>
  <c r="AK95" s="1"/>
  <c r="AD83"/>
  <c r="AK83" s="1"/>
  <c r="AD85"/>
  <c r="AK85" s="1"/>
  <c r="AD11"/>
  <c r="AK11" s="1"/>
  <c r="AD35"/>
  <c r="AK35" s="1"/>
  <c r="AD12"/>
  <c r="AK12" s="1"/>
  <c r="AD92"/>
  <c r="AK92" s="1"/>
  <c r="AH34"/>
  <c r="AH100"/>
  <c r="AH77"/>
  <c r="AH89"/>
  <c r="AH51"/>
  <c r="AH50"/>
  <c r="AH66"/>
  <c r="AH52"/>
  <c r="AH80"/>
  <c r="AH20"/>
  <c r="AH9"/>
  <c r="AH68"/>
  <c r="AH22"/>
  <c r="AH31"/>
  <c r="AH15"/>
  <c r="AH69"/>
  <c r="AH88"/>
  <c r="AG106"/>
  <c r="AB51"/>
  <c r="AD51" s="1"/>
  <c r="AK51" s="1"/>
  <c r="AB52"/>
  <c r="AD52" s="1"/>
  <c r="AK52" s="1"/>
  <c r="AB89"/>
  <c r="AD89" s="1"/>
  <c r="AK89" s="1"/>
  <c r="AE44"/>
  <c r="AH44" s="1"/>
  <c r="AD18"/>
  <c r="AK18" s="1"/>
  <c r="AB31"/>
  <c r="AD31" s="1"/>
  <c r="AK31" s="1"/>
  <c r="AB45"/>
  <c r="AE45"/>
  <c r="AH45" s="1"/>
  <c r="AE23"/>
  <c r="AH23" s="1"/>
  <c r="AE87"/>
  <c r="AH87" s="1"/>
  <c r="AB49"/>
  <c r="AE49"/>
  <c r="AH49" s="1"/>
  <c r="AB48"/>
  <c r="AE48"/>
  <c r="AH48" s="1"/>
  <c r="AE7"/>
  <c r="AH7" s="1"/>
  <c r="AB58"/>
  <c r="AE58"/>
  <c r="AH58" s="1"/>
  <c r="AB84"/>
  <c r="AE84"/>
  <c r="AH84" s="1"/>
  <c r="AB20"/>
  <c r="AD20" s="1"/>
  <c r="AK20" s="1"/>
  <c r="AB23"/>
  <c r="AB68"/>
  <c r="AD68" s="1"/>
  <c r="AK68" s="1"/>
  <c r="AB69"/>
  <c r="AD69" s="1"/>
  <c r="AK69" s="1"/>
  <c r="AB50"/>
  <c r="AD50" s="1"/>
  <c r="AK50" s="1"/>
  <c r="AB34"/>
  <c r="AD34" s="1"/>
  <c r="AK34" s="1"/>
  <c r="AB15"/>
  <c r="AD15" s="1"/>
  <c r="AK15" s="1"/>
  <c r="T106"/>
  <c r="AB66"/>
  <c r="AD66" s="1"/>
  <c r="AK66" s="1"/>
  <c r="AB80"/>
  <c r="AD80" s="1"/>
  <c r="AK80" s="1"/>
  <c r="AB100"/>
  <c r="AD100" s="1"/>
  <c r="AK100" s="1"/>
  <c r="AB77"/>
  <c r="AD77" s="1"/>
  <c r="AK77" s="1"/>
  <c r="U106"/>
  <c r="V106"/>
  <c r="AB7"/>
  <c r="Q106"/>
  <c r="AB87"/>
  <c r="AB44"/>
  <c r="AB22"/>
  <c r="AD22" s="1"/>
  <c r="AK22" s="1"/>
  <c r="AB9"/>
  <c r="AD9" s="1"/>
  <c r="AK9" s="1"/>
  <c r="AH110"/>
  <c r="AB88"/>
  <c r="AD88" s="1"/>
  <c r="AK88" s="1"/>
  <c r="AD109" l="1"/>
  <c r="AE109"/>
  <c r="AH109" s="1"/>
  <c r="AH111" s="1"/>
  <c r="AH112" s="1"/>
  <c r="AH113" s="1"/>
  <c r="AD13"/>
  <c r="AK13" s="1"/>
  <c r="AD44"/>
  <c r="AK44" s="1"/>
  <c r="AD23"/>
  <c r="AK23" s="1"/>
  <c r="AD48"/>
  <c r="AD45"/>
  <c r="AK45" s="1"/>
  <c r="AD87"/>
  <c r="AK87" s="1"/>
  <c r="AD49"/>
  <c r="AK49" s="1"/>
  <c r="AD58"/>
  <c r="AK58" s="1"/>
  <c r="AD84"/>
  <c r="AA106"/>
  <c r="AB106"/>
  <c r="AD7"/>
  <c r="AK7" s="1"/>
  <c r="AC106"/>
  <c r="AH106"/>
  <c r="AE106"/>
  <c r="AK106" l="1"/>
  <c r="AH107"/>
  <c r="AH108" s="1"/>
  <c r="AD106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<sst xmlns="http://schemas.openxmlformats.org/spreadsheetml/2006/main" count="970" uniqueCount="366">
  <si>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</si>
  <si>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</si>
  <si>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</si>
  <si>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</si>
  <si>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</si>
  <si>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</si>
  <si>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</si>
  <si>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</si>
  <si>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</si>
  <si>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</si>
  <si>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</si>
  <si>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</si>
  <si>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</si>
  <si>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</si>
  <si>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</si>
  <si>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</si>
  <si>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</si>
  <si>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</si>
  <si>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</si>
  <si>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</si>
  <si>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</si>
  <si>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</si>
  <si>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</si>
  <si>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</si>
  <si>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</si>
  <si>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</si>
  <si>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</si>
  <si>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</si>
  <si>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</si>
  <si>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</si>
  <si>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</si>
  <si>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</si>
  <si>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</si>
  <si>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</si>
  <si>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</si>
  <si>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</si>
  <si>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</si>
  <si>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</si>
  <si>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</si>
  <si>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</si>
  <si>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</si>
  <si>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</si>
  <si>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</si>
  <si>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</si>
  <si>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</si>
  <si>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</si>
  <si>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</si>
  <si>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</si>
  <si>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</si>
  <si>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</si>
  <si>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</si>
  <si>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</si>
  <si>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</si>
  <si>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</si>
  <si>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</si>
  <si>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</si>
  <si>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</si>
  <si>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</si>
  <si>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</si>
  <si>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</si>
  <si>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</si>
  <si>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</si>
  <si>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</si>
  <si>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</si>
  <si>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</si>
  <si>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</si>
  <si>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</si>
  <si>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</si>
  <si>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</si>
  <si>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</si>
  <si>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</si>
  <si>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</si>
  <si>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</si>
  <si>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</si>
  <si>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</si>
  <si>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</si>
  <si>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</si>
  <si>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</si>
  <si>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</si>
  <si>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</si>
  <si>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</si>
  <si>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</si>
  <si>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</si>
  <si>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</si>
  <si>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</si>
  <si>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</si>
  <si>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</si>
  <si>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</si>
  <si>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</si>
  <si>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</si>
  <si>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</si>
  <si>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</si>
  <si>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</si>
  <si>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</si>
  <si>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</si>
  <si>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</si>
  <si>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</si>
  <si>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</si>
  <si>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</si>
  <si>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</si>
  <si>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</si>
  <si>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</si>
  <si>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</si>
  <si>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</si>
  <si>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</si>
  <si>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</si>
  <si>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</si>
  <si>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</si>
  <si>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</si>
  <si>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</si>
  <si>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</si>
  <si>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</si>
  <si>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</si>
  <si>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</si>
  <si>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</si>
  <si>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</si>
  <si>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</si>
  <si>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</si>
  <si>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</si>
  <si>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</si>
  <si>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</si>
  <si>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</si>
  <si>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</si>
  <si>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</si>
  <si>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</si>
  <si>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</si>
  <si>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</si>
  <si>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</si>
  <si>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</si>
  <si>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</si>
  <si>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</si>
  <si>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</si>
  <si>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</si>
  <si>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</si>
  <si>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</si>
  <si>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</si>
  <si>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</si>
  <si>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</si>
  <si>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</si>
  <si>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</si>
  <si>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</si>
  <si>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</si>
  <si>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</si>
  <si>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</si>
  <si>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</si>
  <si>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</si>
  <si>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</si>
  <si>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</si>
  <si>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</si>
  <si>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</si>
  <si>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</si>
  <si>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</si>
  <si>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</si>
  <si>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</si>
  <si>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</si>
  <si>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</si>
  <si>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</si>
  <si>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</si>
  <si>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</si>
  <si>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</si>
  <si>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</si>
  <si>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</si>
  <si>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</si>
  <si>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</si>
  <si>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</si>
  <si>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</si>
  <si>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</si>
  <si>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</si>
  <si>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</si>
  <si>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</si>
  <si>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</si>
  <si>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</si>
  <si>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</si>
  <si>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</si>
  <si>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</si>
  <si>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</si>
  <si>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</si>
  <si>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</si>
  <si>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</si>
  <si>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</si>
  <si>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</si>
  <si>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</si>
  <si>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</si>
  <si>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</si>
  <si>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</si>
  <si>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</si>
  <si>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</si>
  <si>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</si>
  <si>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</si>
  <si>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</si>
  <si>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</si>
  <si>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</si>
  <si>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</si>
  <si>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</si>
  <si>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</si>
  <si>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</si>
  <si>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</si>
  <si>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</si>
  <si>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</si>
  <si>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</si>
  <si>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</si>
  <si>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</si>
  <si>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</si>
  <si>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</si>
  <si>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</si>
  <si>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</si>
  <si>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</si>
  <si>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</si>
  <si>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</si>
  <si>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</si>
  <si>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</si>
  <si>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</si>
  <si>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</si>
  <si>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</si>
  <si>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</si>
  <si>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</si>
  <si>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</si>
  <si>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</si>
  <si>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</si>
  <si>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</si>
  <si>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</si>
  <si>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</si>
  <si>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</si>
  <si>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</si>
  <si>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</si>
  <si>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</si>
  <si>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</si>
  <si>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</si>
  <si>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</si>
  <si>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</si>
  <si>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</si>
  <si>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</si>
  <si>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</si>
  <si>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</si>
  <si>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</si>
  <si>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</si>
  <si>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</si>
  <si>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</si>
  <si>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</si>
  <si>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</si>
  <si>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</si>
  <si>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</si>
  <si>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</si>
  <si>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</si>
  <si>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</si>
  <si>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</si>
  <si>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</si>
  <si>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</si>
  <si>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</si>
  <si>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</si>
  <si>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</si>
  <si>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</si>
  <si>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</si>
  <si>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</si>
  <si>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</si>
  <si>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</si>
  <si>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</si>
  <si>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</si>
  <si>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</si>
  <si>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</si>
  <si>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</si>
  <si>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</si>
  <si>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</si>
  <si>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</si>
  <si>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</si>
  <si>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</si>
  <si>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</si>
  <si>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</si>
  <si>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</si>
  <si>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</si>
  <si>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</si>
  <si>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</si>
  <si>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</si>
  <si>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</si>
  <si>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</si>
  <si>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</si>
  <si>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</si>
  <si>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</si>
  <si>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</si>
  <si>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</si>
  <si>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</si>
  <si>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</si>
  <si>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</si>
  <si>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</si>
  <si>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</si>
  <si>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</si>
  <si>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</si>
  <si>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</si>
  <si>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</si>
  <si>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</si>
  <si>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</si>
  <si>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</si>
  <si>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</si>
  <si>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</si>
  <si>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</si>
  <si>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</si>
  <si>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</si>
  <si>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</si>
  <si>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</si>
  <si>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</si>
  <si>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</si>
  <si>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</si>
  <si>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</si>
  <si>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</si>
  <si>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</si>
  <si>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</si>
  <si>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</si>
  <si>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</si>
  <si>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</si>
  <si>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</si>
  <si>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RESENDIZ CRESPO JOSE DAVID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</si>
  <si>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</si>
  <si>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</si>
  <si>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</si>
  <si>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</si>
  <si>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</si>
  <si>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</si>
  <si>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</si>
  <si>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</si>
  <si>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</si>
  <si>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</si>
  <si>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</si>
  <si>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</si>
  <si>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</si>
  <si>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</si>
  <si>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</si>
  <si>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</si>
  <si>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</si>
  <si>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</si>
  <si>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</si>
  <si>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</si>
  <si>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</si>
  <si>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</si>
  <si>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</si>
  <si>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</si>
  <si>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</si>
  <si>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</si>
  <si>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ESCOBEDO MARTINEZ DENIS JOSUE</t>
  </si>
  <si>
    <t>OLVERA TAPIA SERGIO ANIRAK</t>
  </si>
  <si>
    <t>ENRIQUEZ RUBIO FERNANDO</t>
  </si>
  <si>
    <t>LEDEZMA MARQUES FERMIN</t>
  </si>
  <si>
    <t>CTA BANAMEX  TARJETA 5256781832775097 CLIENTE 80199478997</t>
  </si>
  <si>
    <t>SANTIAGO MATILDE URIEL</t>
  </si>
  <si>
    <t>GAYTAN DIONICIO JUAN</t>
  </si>
  <si>
    <t>MORALES ROSALES ISRAEL</t>
  </si>
  <si>
    <t>11/05/2016 AL 17/05/2016</t>
  </si>
  <si>
    <t>Periodo Semana 20</t>
  </si>
  <si>
    <t>BLANCO SALOMON RACIEL</t>
  </si>
  <si>
    <t>AYUDANTE DE HyP</t>
  </si>
  <si>
    <t>Nuevo Ingreso, se le pagan 2 dìas laborados, ya aplicado.</t>
  </si>
  <si>
    <t>FEREGRINO RAMIREZ JUAN MANUEL</t>
  </si>
  <si>
    <t>Nuevo Ingreso, se le paga 1 dìa laborado, ya aplicado.</t>
  </si>
  <si>
    <t>TRONCOSO PEÑA GERARDO</t>
  </si>
  <si>
    <t>Nuevo Ingreso, se le paga 1 dìa laborado, ya aplicado</t>
  </si>
  <si>
    <t>PATIÑO NAVARRO OSCAR MARTIN</t>
  </si>
  <si>
    <t>HEREDIA HERNANDEZ ANDREA</t>
  </si>
  <si>
    <t>EJECUTIVO DE TELEMARKETING</t>
  </si>
  <si>
    <t>HERNANDEZ ARREOLA RODOLFO MAYOLO</t>
  </si>
  <si>
    <t>ENCARGADO DE MTTO.</t>
  </si>
  <si>
    <t>Cambio de nòmina de quincenal a semanal , se le pagan dos dìas, ya aplicado.</t>
  </si>
  <si>
    <t>Se le descuentan dos dìas de Falta, ya aplicado.</t>
  </si>
  <si>
    <t>Se le descuenta 1 dìa de falta, ya aplicado.</t>
  </si>
  <si>
    <t>Se le descuentan 3 dìas de Falta, ya aplicado</t>
  </si>
  <si>
    <t>Se le descuenta 1 dìa de falta, ya aplicado</t>
  </si>
  <si>
    <t>Se le descuentan 2 dìas de falta, ya aplicado</t>
  </si>
  <si>
    <t>Se le pagan su semana completa, màs 1 dìa no pagado de la semana 19, ya aplicado.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</si>
</sst>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5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43" fontId="18" fillId="0" borderId="9" xfId="2" applyFont="1" applyFill="1" applyBorder="1"/>
    <xf numFmtId="43" fontId="18" fillId="14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0" fontId="18" fillId="16" borderId="0" xfId="0" applyFont="1" applyFill="1"/>
    <xf numFmtId="43" fontId="18" fillId="12" borderId="9" xfId="2" applyFont="1" applyFill="1" applyBorder="1"/>
    <xf numFmtId="43" fontId="18" fillId="11" borderId="9" xfId="2" applyFont="1" applyFill="1" applyBorder="1"/>
    <xf numFmtId="0" fontId="19" fillId="11" borderId="9" xfId="0" applyFont="1" applyFill="1" applyBorder="1" applyAlignment="1">
      <alignment horizontal="right" wrapText="1"/>
    </xf>
    <xf numFmtId="0" fontId="19" fillId="14" borderId="9" xfId="0" applyFont="1" applyFill="1" applyBorder="1"/>
    <xf numFmtId="0" fontId="19" fillId="19" borderId="9" xfId="0" applyFont="1" applyFill="1" applyBorder="1" applyAlignment="1">
      <alignment horizontal="right" wrapText="1"/>
    </xf>
    <xf numFmtId="0" fontId="19" fillId="0" borderId="9" xfId="0" applyFont="1" applyBorder="1"/>
    <xf numFmtId="4" fontId="19" fillId="18" borderId="9" xfId="0" applyNumberFormat="1" applyFont="1" applyFill="1" applyBorder="1" applyAlignment="1">
      <alignment horizontal="right" wrapText="1"/>
    </xf>
    <xf numFmtId="0" fontId="19" fillId="18" borderId="9" xfId="0" applyFont="1" applyFill="1" applyBorder="1" applyAlignment="1">
      <alignment horizontal="right" wrapText="1"/>
    </xf>
    <xf numFmtId="4" fontId="19" fillId="0" borderId="9" xfId="0" applyNumberFormat="1" applyFont="1" applyBorder="1"/>
    <xf numFmtId="4" fontId="19" fillId="19" borderId="9" xfId="0" applyNumberFormat="1" applyFont="1" applyFill="1" applyBorder="1" applyAlignment="1">
      <alignment horizontal="right" wrapText="1"/>
    </xf>
    <xf numFmtId="14" fontId="11" fillId="12" borderId="9" xfId="0" applyNumberFormat="1" applyFont="1" applyFill="1" applyBorder="1"/>
    <xf numFmtId="2" fontId="11" fillId="12" borderId="9" xfId="0" applyNumberFormat="1" applyFont="1" applyFill="1" applyBorder="1" applyAlignment="1">
      <alignment horizontal="center" vertical="center"/>
    </xf>
    <xf numFmtId="43" fontId="9" fillId="12" borderId="9" xfId="2" applyFont="1" applyFill="1" applyBorder="1"/>
    <xf numFmtId="43" fontId="12" fillId="12" borderId="9" xfId="2" applyFont="1" applyFill="1" applyBorder="1"/>
    <xf numFmtId="0" fontId="19" fillId="12" borderId="9" xfId="0" applyFont="1" applyFill="1" applyBorder="1"/>
    <xf numFmtId="0" fontId="19" fillId="12" borderId="9" xfId="0" applyFont="1" applyFill="1" applyBorder="1" applyAlignment="1">
      <alignment horizontal="right" wrapText="1"/>
    </xf>
    <xf numFmtId="0" fontId="12" fillId="12" borderId="9" xfId="0" applyFont="1" applyFill="1" applyBorder="1"/>
    <xf numFmtId="0" fontId="0" fillId="12" borderId="0" xfId="0" applyFill="1"/>
    <xf numFmtId="0" fontId="11" fillId="12" borderId="9" xfId="0" applyFont="1" applyFill="1" applyBorder="1" applyAlignment="1">
      <alignment horizontal="center" vertical="center"/>
    </xf>
    <xf numFmtId="4" fontId="11" fillId="12" borderId="9" xfId="0" applyNumberFormat="1" applyFont="1" applyFill="1" applyBorder="1" applyAlignment="1">
      <alignment horizontal="center" vertical="center"/>
    </xf>
    <xf numFmtId="14" fontId="11" fillId="12" borderId="9" xfId="0" applyNumberFormat="1" applyFont="1" applyFill="1" applyBorder="1" applyAlignment="1">
      <alignment horizontal="right"/>
    </xf>
    <xf numFmtId="43" fontId="11" fillId="15" borderId="9" xfId="2" applyFont="1" applyFill="1" applyBorder="1"/>
    <xf numFmtId="0" fontId="12" fillId="15" borderId="9" xfId="0" applyFont="1" applyFill="1" applyBorder="1"/>
    <xf numFmtId="0" fontId="20" fillId="15" borderId="9" xfId="0" applyFont="1" applyFill="1" applyBorder="1"/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3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5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9" customWidth="1"/>
    <col min="36" max="36" width="12.7109375" style="159" customWidth="1"/>
    <col min="37" max="37" width="11.5703125" style="4" customWidth="1"/>
    <col min="38" max="38" width="58.7109375" style="41" bestFit="1" customWidth="1"/>
    <col min="39" max="39" width="101.710937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2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8"/>
      <c r="AJ1" s="158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3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8"/>
      <c r="AJ2" s="158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346</v>
      </c>
      <c r="B3" s="20"/>
      <c r="C3" s="20"/>
      <c r="D3" s="20"/>
      <c r="E3" s="21"/>
      <c r="F3" s="21"/>
      <c r="G3" s="21"/>
      <c r="H3" s="21"/>
      <c r="I3" s="14"/>
      <c r="J3" s="174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8"/>
      <c r="AJ3" s="158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345</v>
      </c>
      <c r="I4" s="23"/>
      <c r="J4" s="175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9"/>
      <c r="AJ4" s="159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38" t="s">
        <v>39</v>
      </c>
      <c r="B5" s="240" t="s">
        <v>40</v>
      </c>
      <c r="C5" s="238" t="s">
        <v>252</v>
      </c>
      <c r="D5" s="240" t="s">
        <v>41</v>
      </c>
      <c r="E5" s="240" t="s">
        <v>0</v>
      </c>
      <c r="F5" s="238" t="s">
        <v>246</v>
      </c>
      <c r="G5" s="229" t="s">
        <v>67</v>
      </c>
      <c r="H5" s="229" t="s">
        <v>65</v>
      </c>
      <c r="I5" s="242" t="s">
        <v>66</v>
      </c>
      <c r="J5" s="236" t="s">
        <v>68</v>
      </c>
      <c r="K5" s="229" t="s">
        <v>336</v>
      </c>
      <c r="L5" s="236" t="s">
        <v>75</v>
      </c>
      <c r="M5" s="99"/>
      <c r="N5" s="229" t="s">
        <v>35</v>
      </c>
      <c r="O5" s="229" t="s">
        <v>36</v>
      </c>
      <c r="P5" s="229" t="s">
        <v>63</v>
      </c>
      <c r="Q5" s="229" t="s">
        <v>37</v>
      </c>
      <c r="R5" s="229" t="s">
        <v>38</v>
      </c>
      <c r="S5" s="88"/>
      <c r="T5" s="234" t="s">
        <v>186</v>
      </c>
      <c r="U5" s="234" t="s">
        <v>213</v>
      </c>
      <c r="V5" s="234" t="s">
        <v>212</v>
      </c>
      <c r="W5" s="234" t="s">
        <v>187</v>
      </c>
      <c r="X5" s="229" t="s">
        <v>30</v>
      </c>
      <c r="Y5" s="229" t="s">
        <v>56</v>
      </c>
      <c r="Z5" s="229" t="s">
        <v>55</v>
      </c>
      <c r="AA5" s="229" t="s">
        <v>32</v>
      </c>
      <c r="AB5" s="229" t="s">
        <v>64</v>
      </c>
      <c r="AC5" s="229" t="s">
        <v>27</v>
      </c>
      <c r="AD5" s="229" t="s">
        <v>31</v>
      </c>
      <c r="AE5" s="229" t="s">
        <v>26</v>
      </c>
      <c r="AF5" s="229" t="s">
        <v>28</v>
      </c>
      <c r="AG5" s="102"/>
      <c r="AH5" s="229" t="s">
        <v>29</v>
      </c>
      <c r="AI5" s="231" t="s">
        <v>308</v>
      </c>
      <c r="AJ5" s="232"/>
      <c r="AK5" s="233" t="s">
        <v>191</v>
      </c>
      <c r="AL5" s="227" t="s">
        <v>257</v>
      </c>
      <c r="AM5" s="227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39"/>
      <c r="B6" s="241"/>
      <c r="C6" s="239"/>
      <c r="D6" s="241"/>
      <c r="E6" s="241"/>
      <c r="F6" s="239"/>
      <c r="G6" s="230"/>
      <c r="H6" s="230"/>
      <c r="I6" s="243"/>
      <c r="J6" s="237"/>
      <c r="K6" s="230"/>
      <c r="L6" s="237"/>
      <c r="M6" s="103" t="s">
        <v>288</v>
      </c>
      <c r="N6" s="230"/>
      <c r="O6" s="230"/>
      <c r="P6" s="230"/>
      <c r="Q6" s="230"/>
      <c r="R6" s="230"/>
      <c r="S6" s="104" t="s">
        <v>276</v>
      </c>
      <c r="T6" s="235"/>
      <c r="U6" s="235"/>
      <c r="V6" s="235"/>
      <c r="W6" s="235"/>
      <c r="X6" s="230"/>
      <c r="Y6" s="230"/>
      <c r="Z6" s="230"/>
      <c r="AA6" s="230"/>
      <c r="AB6" s="230"/>
      <c r="AC6" s="230"/>
      <c r="AD6" s="230"/>
      <c r="AE6" s="230"/>
      <c r="AF6" s="230"/>
      <c r="AG6" s="88"/>
      <c r="AH6" s="230"/>
      <c r="AI6" s="157" t="s">
        <v>66</v>
      </c>
      <c r="AJ6" s="157" t="s">
        <v>68</v>
      </c>
      <c r="AK6" s="233"/>
      <c r="AL6" s="227"/>
      <c r="AM6" s="227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32">
        <v>42062</v>
      </c>
      <c r="G7" s="111"/>
      <c r="H7" s="111"/>
      <c r="I7" s="112">
        <v>1166.26</v>
      </c>
      <c r="J7" s="176"/>
      <c r="K7" s="112">
        <f t="shared" ref="K7:K42" si="0">+I7+J7</f>
        <v>1166.26</v>
      </c>
      <c r="L7" s="112">
        <v>722</v>
      </c>
      <c r="M7" s="112"/>
      <c r="N7" s="113"/>
      <c r="O7" s="113"/>
      <c r="P7" s="114"/>
      <c r="Q7" s="115">
        <f t="shared" ref="Q7:Q42" si="1">SUM(K7:O7)-P7</f>
        <v>1888.26</v>
      </c>
      <c r="R7" s="116"/>
      <c r="S7" s="164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42" si="2">+Q7-SUM(R7:AA7)</f>
        <v>1888.26</v>
      </c>
      <c r="AC7" s="120">
        <f>IF(Q7&gt;2250,Q7*0.1,0)</f>
        <v>0</v>
      </c>
      <c r="AD7" s="115">
        <f t="shared" ref="AD7:AD39" si="3">+AB7-AC7</f>
        <v>1888.26</v>
      </c>
      <c r="AE7" s="121">
        <f t="shared" ref="AE7:AE39" si="4">IF(Q7&lt;3500,Q7*0.1,0)</f>
        <v>188.82600000000002</v>
      </c>
      <c r="AF7" s="120">
        <v>10.23</v>
      </c>
      <c r="AG7" s="120">
        <f t="shared" ref="AG7:AG42" si="5">+U7</f>
        <v>0</v>
      </c>
      <c r="AH7" s="122">
        <f t="shared" ref="AH7:AH42" si="6">+Q7+AE7+AF7+AG7</f>
        <v>2087.3160000000003</v>
      </c>
      <c r="AI7" s="209">
        <v>577.35</v>
      </c>
      <c r="AJ7" s="208">
        <v>1310.91</v>
      </c>
      <c r="AK7" s="194">
        <f t="shared" ref="AK7:AK77" si="7">+AI7+AJ7-AD7</f>
        <v>0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10"/>
      <c r="G8" s="111"/>
      <c r="H8" s="111"/>
      <c r="I8" s="112">
        <v>1633.33</v>
      </c>
      <c r="J8" s="177"/>
      <c r="K8" s="112">
        <f t="shared" si="0"/>
        <v>1633.33</v>
      </c>
      <c r="L8" s="112">
        <v>6239.32</v>
      </c>
      <c r="M8" s="112"/>
      <c r="N8" s="113"/>
      <c r="O8" s="113"/>
      <c r="P8" s="114"/>
      <c r="Q8" s="115">
        <f t="shared" si="1"/>
        <v>7872.65</v>
      </c>
      <c r="R8" s="116"/>
      <c r="S8" s="201">
        <v>334.75</v>
      </c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7537.9</v>
      </c>
      <c r="AC8" s="120">
        <f t="shared" ref="AC8:AC78" si="8">IF(Q8&gt;2250,Q8*0.1,0)</f>
        <v>787.26499999999999</v>
      </c>
      <c r="AD8" s="115">
        <f t="shared" si="3"/>
        <v>6750.6349999999993</v>
      </c>
      <c r="AE8" s="121">
        <f t="shared" si="4"/>
        <v>0</v>
      </c>
      <c r="AF8" s="120">
        <v>10.23</v>
      </c>
      <c r="AG8" s="120">
        <f t="shared" si="5"/>
        <v>0</v>
      </c>
      <c r="AH8" s="122">
        <f t="shared" si="6"/>
        <v>7882.8799999999992</v>
      </c>
      <c r="AI8" s="206">
        <v>577.35</v>
      </c>
      <c r="AJ8" s="211">
        <v>6173.29</v>
      </c>
      <c r="AK8" s="194">
        <f t="shared" si="7"/>
        <v>5.0000000010186341E-3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10"/>
      <c r="G9" s="111"/>
      <c r="H9" s="111"/>
      <c r="I9" s="112">
        <v>608.16</v>
      </c>
      <c r="J9" s="177"/>
      <c r="K9" s="112">
        <f t="shared" si="0"/>
        <v>608.16</v>
      </c>
      <c r="L9" s="112">
        <f>5373.13+2.59</f>
        <v>5375.72</v>
      </c>
      <c r="M9" s="112"/>
      <c r="N9" s="113"/>
      <c r="O9" s="113"/>
      <c r="P9" s="114"/>
      <c r="Q9" s="115">
        <f t="shared" si="1"/>
        <v>5983.88</v>
      </c>
      <c r="R9" s="116"/>
      <c r="S9" s="117"/>
      <c r="T9" s="117"/>
      <c r="U9" s="126">
        <f>Q9*4.9%</f>
        <v>293.21012000000002</v>
      </c>
      <c r="V9" s="126">
        <f>Q9*1%</f>
        <v>59.838799999999999</v>
      </c>
      <c r="W9" s="117"/>
      <c r="X9" s="118"/>
      <c r="Y9" s="118"/>
      <c r="Z9" s="119"/>
      <c r="AA9" s="119">
        <v>0</v>
      </c>
      <c r="AB9" s="115">
        <f t="shared" si="2"/>
        <v>5630.8310799999999</v>
      </c>
      <c r="AC9" s="120">
        <f t="shared" si="8"/>
        <v>598.38800000000003</v>
      </c>
      <c r="AD9" s="115">
        <f t="shared" si="3"/>
        <v>5032.44308</v>
      </c>
      <c r="AE9" s="121">
        <f t="shared" si="4"/>
        <v>0</v>
      </c>
      <c r="AF9" s="120">
        <v>10.23</v>
      </c>
      <c r="AG9" s="120">
        <f t="shared" si="5"/>
        <v>293.21012000000002</v>
      </c>
      <c r="AH9" s="122">
        <f t="shared" si="6"/>
        <v>6287.3201199999994</v>
      </c>
      <c r="AI9" s="209">
        <v>577.35</v>
      </c>
      <c r="AJ9" s="208">
        <v>4455.09</v>
      </c>
      <c r="AK9" s="194">
        <f t="shared" si="7"/>
        <v>-3.0799999994997052E-3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10"/>
      <c r="G10" s="111"/>
      <c r="H10" s="111"/>
      <c r="I10" s="112"/>
      <c r="J10" s="177"/>
      <c r="K10" s="223">
        <v>528.02</v>
      </c>
      <c r="L10" s="112"/>
      <c r="M10" s="112"/>
      <c r="N10" s="113"/>
      <c r="O10" s="113"/>
      <c r="P10" s="114"/>
      <c r="Q10" s="115">
        <f t="shared" si="1"/>
        <v>528.02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528.02</v>
      </c>
      <c r="AC10" s="120">
        <f t="shared" si="8"/>
        <v>0</v>
      </c>
      <c r="AD10" s="115">
        <f t="shared" si="3"/>
        <v>528.02</v>
      </c>
      <c r="AE10" s="121">
        <f t="shared" si="4"/>
        <v>52.802</v>
      </c>
      <c r="AF10" s="120">
        <v>10.23</v>
      </c>
      <c r="AG10" s="120">
        <f t="shared" si="5"/>
        <v>0</v>
      </c>
      <c r="AH10" s="122">
        <f t="shared" si="6"/>
        <v>591.05200000000002</v>
      </c>
      <c r="AI10" s="206">
        <v>470.52</v>
      </c>
      <c r="AJ10" s="206">
        <v>57.5</v>
      </c>
      <c r="AK10" s="194">
        <f t="shared" si="7"/>
        <v>0</v>
      </c>
      <c r="AL10" s="124"/>
      <c r="AM10" s="224" t="s">
        <v>360</v>
      </c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10"/>
      <c r="G11" s="111"/>
      <c r="H11" s="111"/>
      <c r="I11" s="112">
        <v>1633.33</v>
      </c>
      <c r="J11" s="177"/>
      <c r="K11" s="112">
        <f t="shared" si="0"/>
        <v>1633.33</v>
      </c>
      <c r="L11" s="112"/>
      <c r="M11" s="112"/>
      <c r="N11" s="113"/>
      <c r="O11" s="113"/>
      <c r="P11" s="114"/>
      <c r="Q11" s="115">
        <f t="shared" si="1"/>
        <v>1633.33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1633.33</v>
      </c>
      <c r="AC11" s="120">
        <f t="shared" si="8"/>
        <v>0</v>
      </c>
      <c r="AD11" s="115">
        <f t="shared" si="3"/>
        <v>1633.33</v>
      </c>
      <c r="AE11" s="121">
        <f t="shared" si="4"/>
        <v>163.333</v>
      </c>
      <c r="AF11" s="120">
        <v>10.23</v>
      </c>
      <c r="AG11" s="120">
        <f t="shared" si="5"/>
        <v>0</v>
      </c>
      <c r="AH11" s="122">
        <f t="shared" si="6"/>
        <v>1806.893</v>
      </c>
      <c r="AI11" s="209">
        <v>577.35</v>
      </c>
      <c r="AJ11" s="208">
        <v>1055.98</v>
      </c>
      <c r="AK11" s="194">
        <f t="shared" si="7"/>
        <v>0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27">
        <v>42422</v>
      </c>
      <c r="G12" s="124"/>
      <c r="H12" s="124"/>
      <c r="I12" s="128">
        <v>608.16</v>
      </c>
      <c r="J12" s="178"/>
      <c r="K12" s="112">
        <f t="shared" si="0"/>
        <v>608.16</v>
      </c>
      <c r="L12" s="128">
        <f>1461.02+7.42</f>
        <v>1468.44</v>
      </c>
      <c r="M12" s="128"/>
      <c r="N12" s="128"/>
      <c r="O12" s="128"/>
      <c r="P12" s="114"/>
      <c r="Q12" s="115">
        <f t="shared" si="1"/>
        <v>2076.6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2076.6</v>
      </c>
      <c r="AC12" s="120">
        <f t="shared" si="8"/>
        <v>0</v>
      </c>
      <c r="AD12" s="115">
        <f t="shared" si="3"/>
        <v>2076.6</v>
      </c>
      <c r="AE12" s="167">
        <f t="shared" si="4"/>
        <v>207.66</v>
      </c>
      <c r="AF12" s="120">
        <v>10.23</v>
      </c>
      <c r="AG12" s="120">
        <f t="shared" si="5"/>
        <v>0</v>
      </c>
      <c r="AH12" s="122">
        <f t="shared" si="6"/>
        <v>2294.4899999999998</v>
      </c>
      <c r="AI12" s="206">
        <v>577.35</v>
      </c>
      <c r="AJ12" s="211">
        <v>1499.25</v>
      </c>
      <c r="AK12" s="194">
        <f t="shared" si="7"/>
        <v>0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27">
        <v>42383</v>
      </c>
      <c r="G13" s="124"/>
      <c r="H13" s="124"/>
      <c r="I13" s="128">
        <v>513.33000000000004</v>
      </c>
      <c r="J13" s="178">
        <v>653.33000000000004</v>
      </c>
      <c r="K13" s="128">
        <f t="shared" si="0"/>
        <v>1166.6600000000001</v>
      </c>
      <c r="L13" s="128">
        <v>13674.8</v>
      </c>
      <c r="M13" s="128"/>
      <c r="N13" s="128"/>
      <c r="O13" s="128"/>
      <c r="P13" s="114"/>
      <c r="Q13" s="115">
        <f t="shared" si="1"/>
        <v>14841.46</v>
      </c>
      <c r="R13" s="116"/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14473.109999999999</v>
      </c>
      <c r="AC13" s="120">
        <f t="shared" si="8"/>
        <v>1484.146</v>
      </c>
      <c r="AD13" s="115">
        <f t="shared" si="3"/>
        <v>12988.963999999998</v>
      </c>
      <c r="AE13" s="167">
        <f t="shared" si="4"/>
        <v>0</v>
      </c>
      <c r="AF13" s="120">
        <v>10.23</v>
      </c>
      <c r="AG13" s="120">
        <f t="shared" si="5"/>
        <v>0</v>
      </c>
      <c r="AH13" s="122">
        <f t="shared" si="6"/>
        <v>14851.689999999999</v>
      </c>
      <c r="AI13" s="207">
        <v>209</v>
      </c>
      <c r="AJ13" s="208">
        <v>12779.96</v>
      </c>
      <c r="AK13" s="194">
        <f t="shared" si="7"/>
        <v>-3.9999999989959178E-3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297</v>
      </c>
      <c r="D14" s="124"/>
      <c r="E14" s="124" t="s">
        <v>173</v>
      </c>
      <c r="F14" s="127">
        <v>42417</v>
      </c>
      <c r="G14" s="124"/>
      <c r="H14" s="124"/>
      <c r="I14" s="128">
        <v>513.33000000000004</v>
      </c>
      <c r="J14" s="178">
        <v>653.33000000000004</v>
      </c>
      <c r="K14" s="128">
        <f t="shared" si="0"/>
        <v>1166.6600000000001</v>
      </c>
      <c r="L14" s="128"/>
      <c r="M14" s="128"/>
      <c r="N14" s="128"/>
      <c r="O14" s="128"/>
      <c r="P14" s="114"/>
      <c r="Q14" s="115">
        <f t="shared" si="1"/>
        <v>1166.6600000000001</v>
      </c>
      <c r="R14" s="116"/>
      <c r="S14" s="117"/>
      <c r="T14" s="117">
        <v>0</v>
      </c>
      <c r="U14" s="117"/>
      <c r="V14" s="117"/>
      <c r="W14" s="117"/>
      <c r="X14" s="131">
        <v>114.82</v>
      </c>
      <c r="Y14" s="118"/>
      <c r="Z14" s="119"/>
      <c r="AA14" s="119">
        <v>0</v>
      </c>
      <c r="AB14" s="115">
        <f t="shared" si="2"/>
        <v>1051.8400000000001</v>
      </c>
      <c r="AC14" s="120">
        <f t="shared" si="8"/>
        <v>0</v>
      </c>
      <c r="AD14" s="115">
        <f t="shared" si="3"/>
        <v>1051.8400000000001</v>
      </c>
      <c r="AE14" s="121">
        <f t="shared" si="4"/>
        <v>116.66600000000001</v>
      </c>
      <c r="AF14" s="120">
        <v>10.23</v>
      </c>
      <c r="AG14" s="120">
        <f t="shared" si="5"/>
        <v>0</v>
      </c>
      <c r="AH14" s="122">
        <f t="shared" si="6"/>
        <v>1293.556</v>
      </c>
      <c r="AI14" s="207">
        <v>462.53</v>
      </c>
      <c r="AJ14" s="206">
        <v>589.30999999999995</v>
      </c>
      <c r="AK14" s="194">
        <f t="shared" si="7"/>
        <v>0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328</v>
      </c>
      <c r="C15" s="124"/>
      <c r="D15" s="110" t="s">
        <v>127</v>
      </c>
      <c r="E15" s="110" t="s">
        <v>174</v>
      </c>
      <c r="F15" s="110"/>
      <c r="G15" s="111"/>
      <c r="H15" s="111"/>
      <c r="I15" s="112">
        <v>623.36</v>
      </c>
      <c r="J15" s="177"/>
      <c r="K15" s="128">
        <f t="shared" si="0"/>
        <v>623.36</v>
      </c>
      <c r="L15" s="112">
        <f>2036.57+5.57</f>
        <v>2042.1399999999999</v>
      </c>
      <c r="M15" s="112"/>
      <c r="N15" s="113"/>
      <c r="O15" s="113"/>
      <c r="P15" s="114"/>
      <c r="Q15" s="115">
        <f t="shared" si="1"/>
        <v>2665.5</v>
      </c>
      <c r="R15" s="116"/>
      <c r="S15" s="117"/>
      <c r="T15" s="126">
        <v>250</v>
      </c>
      <c r="U15" s="126">
        <f>Q15*4.9%</f>
        <v>130.6095</v>
      </c>
      <c r="V15" s="126">
        <f>Q15*1%</f>
        <v>26.655000000000001</v>
      </c>
      <c r="W15" s="117"/>
      <c r="X15" s="118"/>
      <c r="Y15" s="118"/>
      <c r="Z15" s="119"/>
      <c r="AA15" s="119">
        <v>0</v>
      </c>
      <c r="AB15" s="115">
        <f t="shared" si="2"/>
        <v>2258.2354999999998</v>
      </c>
      <c r="AC15" s="120">
        <f t="shared" si="8"/>
        <v>266.55</v>
      </c>
      <c r="AD15" s="115">
        <f t="shared" si="3"/>
        <v>1991.6854999999998</v>
      </c>
      <c r="AE15" s="121">
        <f t="shared" si="4"/>
        <v>266.55</v>
      </c>
      <c r="AF15" s="120">
        <v>10.23</v>
      </c>
      <c r="AG15" s="120">
        <f t="shared" si="5"/>
        <v>130.6095</v>
      </c>
      <c r="AH15" s="122">
        <f t="shared" si="6"/>
        <v>3072.8895000000002</v>
      </c>
      <c r="AI15" s="207">
        <v>577.35</v>
      </c>
      <c r="AJ15" s="208">
        <v>1414.34</v>
      </c>
      <c r="AK15" s="194">
        <f t="shared" si="7"/>
        <v>4.5000000002346496E-3</v>
      </c>
      <c r="AL15" s="124"/>
      <c r="AM15" s="12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316</v>
      </c>
      <c r="C16" s="124"/>
      <c r="D16" s="124"/>
      <c r="E16" s="124" t="s">
        <v>73</v>
      </c>
      <c r="F16" s="127">
        <v>42466</v>
      </c>
      <c r="G16" s="124"/>
      <c r="H16" s="124"/>
      <c r="I16" s="128">
        <v>513.33000000000004</v>
      </c>
      <c r="J16" s="178">
        <v>653.33000000000004</v>
      </c>
      <c r="K16" s="128">
        <f t="shared" si="0"/>
        <v>1166.6600000000001</v>
      </c>
      <c r="L16" s="128"/>
      <c r="M16" s="128"/>
      <c r="N16" s="128"/>
      <c r="O16" s="128"/>
      <c r="P16" s="114"/>
      <c r="Q16" s="115">
        <f t="shared" si="1"/>
        <v>1166.6600000000001</v>
      </c>
      <c r="R16" s="116"/>
      <c r="S16" s="117"/>
      <c r="T16" s="164"/>
      <c r="U16" s="164"/>
      <c r="V16" s="164"/>
      <c r="W16" s="164"/>
      <c r="X16" s="165"/>
      <c r="Y16" s="165"/>
      <c r="Z16" s="149"/>
      <c r="AA16" s="149">
        <v>0</v>
      </c>
      <c r="AB16" s="115">
        <f t="shared" si="2"/>
        <v>1166.6600000000001</v>
      </c>
      <c r="AC16" s="120">
        <f t="shared" si="8"/>
        <v>0</v>
      </c>
      <c r="AD16" s="115">
        <f t="shared" si="3"/>
        <v>1166.6600000000001</v>
      </c>
      <c r="AE16" s="121">
        <f t="shared" ref="AE16" si="9">IF(Q16&lt;3500,Q16*0.1,0)</f>
        <v>116.66600000000001</v>
      </c>
      <c r="AF16" s="120">
        <v>10.23</v>
      </c>
      <c r="AG16" s="120">
        <f t="shared" ref="AG16" si="10">+U16</f>
        <v>0</v>
      </c>
      <c r="AH16" s="122">
        <f t="shared" si="6"/>
        <v>1293.556</v>
      </c>
      <c r="AI16" s="207">
        <v>577.35</v>
      </c>
      <c r="AJ16" s="207">
        <v>589.30999999999995</v>
      </c>
      <c r="AK16" s="194">
        <f t="shared" si="7"/>
        <v>0</v>
      </c>
      <c r="AL16" s="124">
        <v>2899146091</v>
      </c>
      <c r="AM16" s="129"/>
    </row>
    <row r="17" spans="1:193">
      <c r="A17" s="124" t="s">
        <v>69</v>
      </c>
      <c r="B17" s="110" t="s">
        <v>331</v>
      </c>
      <c r="C17" s="110"/>
      <c r="D17" s="110" t="s">
        <v>111</v>
      </c>
      <c r="E17" s="110" t="s">
        <v>169</v>
      </c>
      <c r="F17" s="110"/>
      <c r="G17" s="111"/>
      <c r="H17" s="111"/>
      <c r="I17" s="112">
        <v>933.33</v>
      </c>
      <c r="J17" s="177"/>
      <c r="K17" s="112">
        <f t="shared" si="0"/>
        <v>933.33</v>
      </c>
      <c r="L17" s="112">
        <v>550</v>
      </c>
      <c r="M17" s="112"/>
      <c r="N17" s="113"/>
      <c r="O17" s="113"/>
      <c r="P17" s="114"/>
      <c r="Q17" s="115">
        <f t="shared" si="1"/>
        <v>1483.33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1424.4199999999998</v>
      </c>
      <c r="AC17" s="120">
        <f t="shared" si="8"/>
        <v>0</v>
      </c>
      <c r="AD17" s="115">
        <f t="shared" si="3"/>
        <v>1424.4199999999998</v>
      </c>
      <c r="AE17" s="121">
        <f t="shared" si="4"/>
        <v>148.333</v>
      </c>
      <c r="AF17" s="120">
        <v>10.23</v>
      </c>
      <c r="AG17" s="120">
        <f t="shared" si="5"/>
        <v>0</v>
      </c>
      <c r="AH17" s="122">
        <f t="shared" si="6"/>
        <v>1641.893</v>
      </c>
      <c r="AI17" s="207">
        <v>577.35</v>
      </c>
      <c r="AJ17" s="207">
        <v>847.07</v>
      </c>
      <c r="AK17" s="194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 ht="15" customHeigh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27">
        <v>41831</v>
      </c>
      <c r="G18" s="124"/>
      <c r="H18" s="124"/>
      <c r="I18" s="128">
        <v>513.33000000000004</v>
      </c>
      <c r="J18" s="179">
        <v>653.33000000000004</v>
      </c>
      <c r="K18" s="128">
        <f t="shared" si="0"/>
        <v>1166.6600000000001</v>
      </c>
      <c r="L18" s="128"/>
      <c r="M18" s="128"/>
      <c r="N18" s="128"/>
      <c r="O18" s="128"/>
      <c r="P18" s="114"/>
      <c r="Q18" s="115">
        <f t="shared" si="1"/>
        <v>1166.6600000000001</v>
      </c>
      <c r="R18" s="116"/>
      <c r="S18" s="164">
        <v>58.91</v>
      </c>
      <c r="T18" s="126"/>
      <c r="U18" s="164"/>
      <c r="V18" s="164"/>
      <c r="W18" s="164"/>
      <c r="X18" s="165"/>
      <c r="Y18" s="131">
        <v>167.44</v>
      </c>
      <c r="Z18" s="149"/>
      <c r="AA18" s="168">
        <v>940.31</v>
      </c>
      <c r="AB18" s="115">
        <f t="shared" si="2"/>
        <v>0</v>
      </c>
      <c r="AC18" s="120">
        <f t="shared" si="8"/>
        <v>0</v>
      </c>
      <c r="AD18" s="115">
        <f t="shared" si="3"/>
        <v>0</v>
      </c>
      <c r="AE18" s="121">
        <f t="shared" si="4"/>
        <v>116.66600000000001</v>
      </c>
      <c r="AF18" s="120">
        <v>10.23</v>
      </c>
      <c r="AG18" s="120">
        <f t="shared" si="5"/>
        <v>0</v>
      </c>
      <c r="AH18" s="122">
        <f t="shared" si="6"/>
        <v>1293.556</v>
      </c>
      <c r="AI18" s="207"/>
      <c r="AJ18" s="206"/>
      <c r="AK18" s="194">
        <f t="shared" si="7"/>
        <v>0</v>
      </c>
      <c r="AL18" s="124"/>
      <c r="AM18" s="124"/>
    </row>
    <row r="19" spans="1:193" s="39" customFormat="1" ht="15" customHeight="1">
      <c r="A19" s="125"/>
      <c r="B19" s="125" t="s">
        <v>347</v>
      </c>
      <c r="C19" s="125"/>
      <c r="D19" s="125"/>
      <c r="E19" s="125" t="s">
        <v>348</v>
      </c>
      <c r="F19" s="212">
        <v>42506</v>
      </c>
      <c r="G19" s="125"/>
      <c r="H19" s="125"/>
      <c r="I19" s="126"/>
      <c r="J19" s="213"/>
      <c r="K19" s="126">
        <v>211.2</v>
      </c>
      <c r="L19" s="126">
        <f>1034.35+2.97</f>
        <v>1037.32</v>
      </c>
      <c r="M19" s="126"/>
      <c r="N19" s="126"/>
      <c r="O19" s="126"/>
      <c r="P19" s="214"/>
      <c r="Q19" s="215">
        <f t="shared" si="1"/>
        <v>1248.52</v>
      </c>
      <c r="R19" s="126"/>
      <c r="S19" s="126"/>
      <c r="T19" s="126"/>
      <c r="U19" s="126"/>
      <c r="V19" s="126"/>
      <c r="W19" s="126"/>
      <c r="X19" s="131"/>
      <c r="Y19" s="131"/>
      <c r="Z19" s="125"/>
      <c r="AA19" s="168"/>
      <c r="AB19" s="215">
        <f t="shared" si="2"/>
        <v>1248.52</v>
      </c>
      <c r="AC19" s="131">
        <f t="shared" ref="AC19" si="11">IF(Q19&gt;2250,Q19*0.1,0)</f>
        <v>0</v>
      </c>
      <c r="AD19" s="215">
        <f t="shared" ref="AD19" si="12">+AB19-AC19</f>
        <v>1248.52</v>
      </c>
      <c r="AE19" s="131">
        <f t="shared" ref="AE19" si="13">IF(Q19&lt;3500,Q19*0.1,0)</f>
        <v>124.852</v>
      </c>
      <c r="AF19" s="131">
        <v>10.23</v>
      </c>
      <c r="AG19" s="131">
        <f t="shared" ref="AG19" si="14">+U19</f>
        <v>0</v>
      </c>
      <c r="AH19" s="215">
        <f t="shared" ref="AH19" si="15">+Q19+AE19+AF19+AG19</f>
        <v>1383.6020000000001</v>
      </c>
      <c r="AI19" s="216">
        <v>577.35</v>
      </c>
      <c r="AJ19" s="216">
        <v>671.17</v>
      </c>
      <c r="AK19" s="202">
        <f t="shared" si="7"/>
        <v>0</v>
      </c>
      <c r="AL19" s="219">
        <v>14058709719</v>
      </c>
      <c r="AM19" s="218" t="s">
        <v>349</v>
      </c>
    </row>
    <row r="20" spans="1:193">
      <c r="A20" s="124" t="s">
        <v>94</v>
      </c>
      <c r="B20" s="110" t="s">
        <v>198</v>
      </c>
      <c r="C20" s="110"/>
      <c r="D20" s="110" t="s">
        <v>128</v>
      </c>
      <c r="E20" s="110" t="s">
        <v>162</v>
      </c>
      <c r="F20" s="110"/>
      <c r="G20" s="111"/>
      <c r="H20" s="111"/>
      <c r="I20" s="112">
        <v>511.28</v>
      </c>
      <c r="J20" s="177"/>
      <c r="K20" s="112">
        <f t="shared" si="0"/>
        <v>511.28</v>
      </c>
      <c r="L20" s="112">
        <f>3951.6+7.42</f>
        <v>3959.02</v>
      </c>
      <c r="M20" s="112"/>
      <c r="N20" s="113"/>
      <c r="O20" s="113"/>
      <c r="P20" s="114"/>
      <c r="Q20" s="115">
        <f t="shared" si="1"/>
        <v>4470.3</v>
      </c>
      <c r="R20" s="116"/>
      <c r="S20" s="117"/>
      <c r="T20" s="126">
        <v>700</v>
      </c>
      <c r="U20" s="126">
        <f>Q20*4.9%</f>
        <v>219.04470000000001</v>
      </c>
      <c r="V20" s="126">
        <f>Q20*1%</f>
        <v>44.703000000000003</v>
      </c>
      <c r="W20" s="117"/>
      <c r="X20" s="118"/>
      <c r="Y20" s="118"/>
      <c r="Z20" s="119"/>
      <c r="AA20" s="119">
        <v>0</v>
      </c>
      <c r="AB20" s="115">
        <f t="shared" si="2"/>
        <v>3506.5523000000003</v>
      </c>
      <c r="AC20" s="120">
        <f t="shared" si="8"/>
        <v>447.03000000000003</v>
      </c>
      <c r="AD20" s="115">
        <f t="shared" si="3"/>
        <v>3059.5223000000001</v>
      </c>
      <c r="AE20" s="121">
        <f t="shared" si="4"/>
        <v>0</v>
      </c>
      <c r="AF20" s="120">
        <v>10.23</v>
      </c>
      <c r="AG20" s="120">
        <f t="shared" si="5"/>
        <v>219.04470000000001</v>
      </c>
      <c r="AH20" s="122">
        <f t="shared" si="6"/>
        <v>4699.5747000000001</v>
      </c>
      <c r="AI20" s="209">
        <v>577.35</v>
      </c>
      <c r="AJ20" s="208">
        <v>2482.17</v>
      </c>
      <c r="AK20" s="194">
        <f t="shared" si="7"/>
        <v>-2.3000000001047738E-3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71</v>
      </c>
      <c r="B21" s="110" t="s">
        <v>267</v>
      </c>
      <c r="C21" s="110" t="s">
        <v>252</v>
      </c>
      <c r="D21" s="110">
        <v>18</v>
      </c>
      <c r="E21" s="110" t="s">
        <v>74</v>
      </c>
      <c r="F21" s="110"/>
      <c r="G21" s="111"/>
      <c r="H21" s="111"/>
      <c r="I21" s="112">
        <v>1633.33</v>
      </c>
      <c r="J21" s="177"/>
      <c r="K21" s="112">
        <f t="shared" si="0"/>
        <v>1633.33</v>
      </c>
      <c r="L21" s="112">
        <v>1153.8900000000001</v>
      </c>
      <c r="M21" s="112"/>
      <c r="N21" s="113"/>
      <c r="O21" s="113"/>
      <c r="P21" s="114"/>
      <c r="Q21" s="115">
        <f t="shared" si="1"/>
        <v>2787.2200000000003</v>
      </c>
      <c r="R21" s="116"/>
      <c r="S21" s="117"/>
      <c r="T21" s="126">
        <v>700</v>
      </c>
      <c r="U21" s="117"/>
      <c r="V21" s="117"/>
      <c r="W21" s="117"/>
      <c r="X21" s="118"/>
      <c r="Y21" s="118"/>
      <c r="Z21" s="125">
        <v>205.7</v>
      </c>
      <c r="AA21" s="119">
        <v>0</v>
      </c>
      <c r="AB21" s="115">
        <f t="shared" si="2"/>
        <v>1881.5200000000002</v>
      </c>
      <c r="AC21" s="120">
        <f t="shared" si="8"/>
        <v>278.72200000000004</v>
      </c>
      <c r="AD21" s="115">
        <f t="shared" si="3"/>
        <v>1602.7980000000002</v>
      </c>
      <c r="AE21" s="121">
        <f t="shared" si="4"/>
        <v>278.72200000000004</v>
      </c>
      <c r="AF21" s="120">
        <v>10.23</v>
      </c>
      <c r="AG21" s="120">
        <f t="shared" si="5"/>
        <v>0</v>
      </c>
      <c r="AH21" s="122">
        <f t="shared" si="6"/>
        <v>3076.1720000000005</v>
      </c>
      <c r="AI21" s="206">
        <v>577.35</v>
      </c>
      <c r="AJ21" s="211">
        <v>1025.45</v>
      </c>
      <c r="AK21" s="194">
        <f t="shared" si="7"/>
        <v>1.9999999999527063E-3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94</v>
      </c>
      <c r="B22" s="110" t="s">
        <v>268</v>
      </c>
      <c r="C22" s="110"/>
      <c r="D22" s="110" t="s">
        <v>129</v>
      </c>
      <c r="E22" s="110" t="s">
        <v>175</v>
      </c>
      <c r="F22" s="110"/>
      <c r="G22" s="111"/>
      <c r="H22" s="111"/>
      <c r="I22" s="112">
        <v>1100</v>
      </c>
      <c r="J22" s="177"/>
      <c r="K22" s="112">
        <f t="shared" si="0"/>
        <v>1100</v>
      </c>
      <c r="L22" s="112">
        <v>698.9</v>
      </c>
      <c r="M22" s="112"/>
      <c r="N22" s="113"/>
      <c r="O22" s="113"/>
      <c r="P22" s="114"/>
      <c r="Q22" s="115">
        <f t="shared" si="1"/>
        <v>1798.9</v>
      </c>
      <c r="R22" s="116"/>
      <c r="S22" s="117"/>
      <c r="T22" s="126">
        <f>+Q22*1%</f>
        <v>17.989000000000001</v>
      </c>
      <c r="U22" s="126">
        <f>+Q22*4.9%</f>
        <v>88.146100000000004</v>
      </c>
      <c r="V22" s="117"/>
      <c r="W22" s="117"/>
      <c r="X22" s="118"/>
      <c r="Y22" s="118"/>
      <c r="Z22" s="119"/>
      <c r="AA22" s="119">
        <v>0</v>
      </c>
      <c r="AB22" s="115">
        <f t="shared" si="2"/>
        <v>1692.7649000000001</v>
      </c>
      <c r="AC22" s="120">
        <f t="shared" si="8"/>
        <v>0</v>
      </c>
      <c r="AD22" s="115">
        <f t="shared" si="3"/>
        <v>1692.7649000000001</v>
      </c>
      <c r="AE22" s="121">
        <f t="shared" si="4"/>
        <v>179.89000000000001</v>
      </c>
      <c r="AF22" s="120">
        <v>10.23</v>
      </c>
      <c r="AG22" s="120">
        <f t="shared" si="5"/>
        <v>88.146100000000004</v>
      </c>
      <c r="AH22" s="122">
        <f t="shared" si="6"/>
        <v>2077.1661000000004</v>
      </c>
      <c r="AI22" s="209">
        <v>577.35</v>
      </c>
      <c r="AJ22" s="208">
        <v>1115.4100000000001</v>
      </c>
      <c r="AK22" s="194">
        <f t="shared" si="7"/>
        <v>-4.8999999999068677E-3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70</v>
      </c>
      <c r="B23" s="110" t="s">
        <v>245</v>
      </c>
      <c r="C23" s="124" t="s">
        <v>297</v>
      </c>
      <c r="D23" s="110" t="s">
        <v>122</v>
      </c>
      <c r="E23" s="124" t="s">
        <v>173</v>
      </c>
      <c r="F23" s="132">
        <v>42432</v>
      </c>
      <c r="G23" s="111"/>
      <c r="H23" s="111"/>
      <c r="I23" s="112">
        <v>513.33000000000004</v>
      </c>
      <c r="J23" s="178">
        <v>653.33000000000004</v>
      </c>
      <c r="K23" s="112">
        <f t="shared" si="0"/>
        <v>1166.6600000000001</v>
      </c>
      <c r="L23" s="112">
        <v>254.27</v>
      </c>
      <c r="M23" s="112"/>
      <c r="N23" s="113"/>
      <c r="O23" s="113"/>
      <c r="P23" s="114"/>
      <c r="Q23" s="115">
        <f t="shared" si="1"/>
        <v>1420.93</v>
      </c>
      <c r="R23" s="116"/>
      <c r="S23" s="117"/>
      <c r="T23" s="117">
        <v>0</v>
      </c>
      <c r="U23" s="117"/>
      <c r="V23" s="117"/>
      <c r="W23" s="117"/>
      <c r="X23" s="118"/>
      <c r="Y23" s="118"/>
      <c r="Z23" s="119"/>
      <c r="AA23" s="125">
        <v>566.61</v>
      </c>
      <c r="AB23" s="115">
        <f t="shared" si="2"/>
        <v>854.32</v>
      </c>
      <c r="AC23" s="120">
        <f t="shared" si="8"/>
        <v>0</v>
      </c>
      <c r="AD23" s="115">
        <f t="shared" si="3"/>
        <v>854.32</v>
      </c>
      <c r="AE23" s="121">
        <f t="shared" si="4"/>
        <v>142.09300000000002</v>
      </c>
      <c r="AF23" s="120">
        <v>10.23</v>
      </c>
      <c r="AG23" s="120">
        <f t="shared" si="5"/>
        <v>0</v>
      </c>
      <c r="AH23" s="122">
        <f t="shared" si="6"/>
        <v>1573.2530000000002</v>
      </c>
      <c r="AI23" s="206">
        <v>10.74</v>
      </c>
      <c r="AJ23" s="206">
        <v>843.58</v>
      </c>
      <c r="AK23" s="194">
        <f t="shared" si="7"/>
        <v>0</v>
      </c>
      <c r="AL23" s="124"/>
      <c r="AM23" s="124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71</v>
      </c>
      <c r="B24" s="124" t="s">
        <v>294</v>
      </c>
      <c r="C24" s="124" t="s">
        <v>254</v>
      </c>
      <c r="D24" s="124"/>
      <c r="E24" s="124" t="s">
        <v>73</v>
      </c>
      <c r="F24" s="127">
        <v>42437</v>
      </c>
      <c r="G24" s="124"/>
      <c r="H24" s="124"/>
      <c r="I24" s="112">
        <v>513.33000000000004</v>
      </c>
      <c r="J24" s="177">
        <v>653.33000000000004</v>
      </c>
      <c r="K24" s="128">
        <f t="shared" si="0"/>
        <v>1166.6600000000001</v>
      </c>
      <c r="L24" s="128">
        <v>1322.9</v>
      </c>
      <c r="M24" s="128"/>
      <c r="N24" s="128"/>
      <c r="O24" s="128"/>
      <c r="P24" s="114"/>
      <c r="Q24" s="115">
        <f t="shared" si="1"/>
        <v>2489.5600000000004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2489.5600000000004</v>
      </c>
      <c r="AC24" s="120">
        <f t="shared" si="8"/>
        <v>248.95600000000005</v>
      </c>
      <c r="AD24" s="115">
        <f t="shared" si="3"/>
        <v>2240.6040000000003</v>
      </c>
      <c r="AE24" s="121">
        <f t="shared" si="4"/>
        <v>248.95600000000005</v>
      </c>
      <c r="AF24" s="120">
        <v>10.23</v>
      </c>
      <c r="AG24" s="120">
        <f t="shared" si="5"/>
        <v>0</v>
      </c>
      <c r="AH24" s="122">
        <f t="shared" si="6"/>
        <v>2748.7460000000005</v>
      </c>
      <c r="AI24" s="209">
        <v>577.35</v>
      </c>
      <c r="AJ24" s="208">
        <v>1663.25</v>
      </c>
      <c r="AK24" s="194">
        <f t="shared" si="7"/>
        <v>-4.0000000003601599E-3</v>
      </c>
      <c r="AL24" s="124"/>
      <c r="AM24" s="12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124" t="s">
        <v>92</v>
      </c>
      <c r="B25" s="110" t="s">
        <v>209</v>
      </c>
      <c r="C25" s="110"/>
      <c r="D25" s="110" t="s">
        <v>100</v>
      </c>
      <c r="E25" s="110" t="s">
        <v>161</v>
      </c>
      <c r="F25" s="110"/>
      <c r="G25" s="110"/>
      <c r="H25" s="110"/>
      <c r="I25" s="112">
        <v>739.23</v>
      </c>
      <c r="J25" s="180"/>
      <c r="K25" s="128">
        <f t="shared" si="0"/>
        <v>739.23</v>
      </c>
      <c r="L25" s="112">
        <f>2718.07+13.09</f>
        <v>2731.1600000000003</v>
      </c>
      <c r="M25" s="112"/>
      <c r="N25" s="112"/>
      <c r="O25" s="112"/>
      <c r="P25" s="114"/>
      <c r="Q25" s="115">
        <f t="shared" si="1"/>
        <v>3470.3900000000003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3470.3900000000003</v>
      </c>
      <c r="AC25" s="120">
        <f t="shared" si="8"/>
        <v>347.03900000000004</v>
      </c>
      <c r="AD25" s="115">
        <f t="shared" si="3"/>
        <v>3123.3510000000001</v>
      </c>
      <c r="AE25" s="121">
        <f t="shared" si="4"/>
        <v>347.03900000000004</v>
      </c>
      <c r="AF25" s="120">
        <v>10.23</v>
      </c>
      <c r="AG25" s="120">
        <f t="shared" si="5"/>
        <v>0</v>
      </c>
      <c r="AH25" s="122">
        <f t="shared" si="6"/>
        <v>3827.6590000000006</v>
      </c>
      <c r="AI25" s="206">
        <v>577.35</v>
      </c>
      <c r="AJ25" s="211">
        <v>2546</v>
      </c>
      <c r="AK25" s="194">
        <f t="shared" si="7"/>
        <v>-1.0000000002037268E-3</v>
      </c>
      <c r="AL25" s="124"/>
      <c r="AM25" s="12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40" customFormat="1">
      <c r="A26" s="124" t="s">
        <v>70</v>
      </c>
      <c r="B26" s="110" t="s">
        <v>318</v>
      </c>
      <c r="C26" s="124" t="s">
        <v>297</v>
      </c>
      <c r="D26" s="110" t="s">
        <v>121</v>
      </c>
      <c r="E26" s="110" t="s">
        <v>173</v>
      </c>
      <c r="F26" s="132">
        <v>42304</v>
      </c>
      <c r="G26" s="111"/>
      <c r="H26" s="111"/>
      <c r="I26" s="112">
        <v>513.33000000000004</v>
      </c>
      <c r="J26" s="178">
        <v>653.33000000000004</v>
      </c>
      <c r="K26" s="112">
        <f t="shared" si="0"/>
        <v>1166.6600000000001</v>
      </c>
      <c r="L26" s="128"/>
      <c r="M26" s="112"/>
      <c r="N26" s="113"/>
      <c r="O26" s="113"/>
      <c r="P26" s="114"/>
      <c r="Q26" s="115">
        <f t="shared" si="1"/>
        <v>1166.6600000000001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1166.6600000000001</v>
      </c>
      <c r="AC26" s="120">
        <f t="shared" si="8"/>
        <v>0</v>
      </c>
      <c r="AD26" s="115">
        <f t="shared" si="3"/>
        <v>1166.6600000000001</v>
      </c>
      <c r="AE26" s="121">
        <f t="shared" si="4"/>
        <v>116.66600000000001</v>
      </c>
      <c r="AF26" s="120">
        <v>10.23</v>
      </c>
      <c r="AG26" s="120">
        <f t="shared" si="5"/>
        <v>0</v>
      </c>
      <c r="AH26" s="122">
        <f t="shared" si="6"/>
        <v>1293.556</v>
      </c>
      <c r="AI26" s="209">
        <v>577.35</v>
      </c>
      <c r="AJ26" s="209">
        <v>589.30999999999995</v>
      </c>
      <c r="AK26" s="194">
        <f t="shared" si="7"/>
        <v>0</v>
      </c>
      <c r="AL26" s="124"/>
      <c r="AM26" s="124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39" customFormat="1">
      <c r="A27" s="124" t="s">
        <v>92</v>
      </c>
      <c r="B27" s="110" t="s">
        <v>321</v>
      </c>
      <c r="C27" s="110"/>
      <c r="D27" s="110" t="s">
        <v>114</v>
      </c>
      <c r="E27" s="110" t="s">
        <v>167</v>
      </c>
      <c r="F27" s="110"/>
      <c r="G27" s="110"/>
      <c r="H27" s="110"/>
      <c r="I27" s="112"/>
      <c r="J27" s="180"/>
      <c r="K27" s="223">
        <v>942.85</v>
      </c>
      <c r="L27" s="112">
        <f>1079.74+5.57</f>
        <v>1085.31</v>
      </c>
      <c r="M27" s="112"/>
      <c r="N27" s="112"/>
      <c r="O27" s="112"/>
      <c r="P27" s="114"/>
      <c r="Q27" s="115">
        <f t="shared" si="1"/>
        <v>2028.1599999999999</v>
      </c>
      <c r="R27" s="116"/>
      <c r="S27" s="117"/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2028.1599999999999</v>
      </c>
      <c r="AC27" s="120">
        <f t="shared" si="8"/>
        <v>0</v>
      </c>
      <c r="AD27" s="115">
        <f t="shared" si="3"/>
        <v>2028.1599999999999</v>
      </c>
      <c r="AE27" s="121">
        <f t="shared" si="4"/>
        <v>202.816</v>
      </c>
      <c r="AF27" s="120">
        <v>10.23</v>
      </c>
      <c r="AG27" s="120">
        <f t="shared" si="5"/>
        <v>0</v>
      </c>
      <c r="AH27" s="122">
        <f t="shared" si="6"/>
        <v>2241.2059999999997</v>
      </c>
      <c r="AI27" s="206">
        <v>577.35</v>
      </c>
      <c r="AJ27" s="211">
        <v>1450.81</v>
      </c>
      <c r="AK27" s="194">
        <f t="shared" si="7"/>
        <v>0</v>
      </c>
      <c r="AL27" s="124"/>
      <c r="AM27" s="224" t="s">
        <v>361</v>
      </c>
    </row>
    <row r="28" spans="1:193">
      <c r="A28" s="124" t="s">
        <v>69</v>
      </c>
      <c r="B28" s="110" t="s">
        <v>227</v>
      </c>
      <c r="C28" s="110"/>
      <c r="D28" s="110" t="s">
        <v>112</v>
      </c>
      <c r="E28" s="110" t="s">
        <v>169</v>
      </c>
      <c r="F28" s="110"/>
      <c r="G28" s="110"/>
      <c r="H28" s="110"/>
      <c r="I28" s="112">
        <v>933.33</v>
      </c>
      <c r="J28" s="180"/>
      <c r="K28" s="112">
        <f t="shared" si="0"/>
        <v>933.33</v>
      </c>
      <c r="L28" s="112">
        <v>550</v>
      </c>
      <c r="M28" s="112"/>
      <c r="N28" s="112"/>
      <c r="O28" s="112"/>
      <c r="P28" s="114"/>
      <c r="Q28" s="115">
        <f t="shared" si="1"/>
        <v>1483.33</v>
      </c>
      <c r="R28" s="116"/>
      <c r="S28" s="117">
        <v>58.91</v>
      </c>
      <c r="T28" s="117">
        <v>0</v>
      </c>
      <c r="U28" s="117"/>
      <c r="V28" s="117"/>
      <c r="W28" s="117"/>
      <c r="X28" s="118"/>
      <c r="Y28" s="118"/>
      <c r="Z28" s="119"/>
      <c r="AA28" s="119">
        <v>0</v>
      </c>
      <c r="AB28" s="115">
        <f t="shared" si="2"/>
        <v>1424.4199999999998</v>
      </c>
      <c r="AC28" s="120">
        <f t="shared" si="8"/>
        <v>0</v>
      </c>
      <c r="AD28" s="115">
        <f t="shared" si="3"/>
        <v>1424.4199999999998</v>
      </c>
      <c r="AE28" s="121">
        <f t="shared" si="4"/>
        <v>148.333</v>
      </c>
      <c r="AF28" s="120">
        <v>10.23</v>
      </c>
      <c r="AG28" s="120">
        <f t="shared" si="5"/>
        <v>0</v>
      </c>
      <c r="AH28" s="122">
        <f t="shared" si="6"/>
        <v>1641.893</v>
      </c>
      <c r="AI28" s="209">
        <v>577.35</v>
      </c>
      <c r="AJ28" s="209">
        <v>847.07</v>
      </c>
      <c r="AK28" s="194">
        <f t="shared" si="7"/>
        <v>0</v>
      </c>
      <c r="AL28" s="124"/>
      <c r="AM28" s="124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10" t="s">
        <v>207</v>
      </c>
      <c r="C29" s="110"/>
      <c r="D29" s="110" t="s">
        <v>115</v>
      </c>
      <c r="E29" s="110" t="s">
        <v>171</v>
      </c>
      <c r="F29" s="132">
        <v>42205</v>
      </c>
      <c r="G29" s="110"/>
      <c r="H29" s="133"/>
      <c r="I29" s="112">
        <v>577.38</v>
      </c>
      <c r="J29" s="181">
        <v>1047.6199999999999</v>
      </c>
      <c r="K29" s="112">
        <f t="shared" si="0"/>
        <v>1625</v>
      </c>
      <c r="L29" s="112"/>
      <c r="M29" s="112"/>
      <c r="N29" s="112"/>
      <c r="O29" s="112"/>
      <c r="P29" s="114"/>
      <c r="Q29" s="115">
        <f t="shared" si="1"/>
        <v>1625</v>
      </c>
      <c r="R29" s="116"/>
      <c r="S29" s="117"/>
      <c r="T29" s="126">
        <v>200</v>
      </c>
      <c r="U29" s="117"/>
      <c r="V29" s="117"/>
      <c r="W29" s="117"/>
      <c r="X29" s="118"/>
      <c r="Y29" s="131">
        <v>168.06</v>
      </c>
      <c r="Z29" s="119"/>
      <c r="AA29" s="119">
        <v>0</v>
      </c>
      <c r="AB29" s="115">
        <f t="shared" si="2"/>
        <v>1256.94</v>
      </c>
      <c r="AC29" s="120">
        <f t="shared" si="8"/>
        <v>0</v>
      </c>
      <c r="AD29" s="115">
        <f t="shared" si="3"/>
        <v>1256.94</v>
      </c>
      <c r="AE29" s="121">
        <f t="shared" si="4"/>
        <v>162.5</v>
      </c>
      <c r="AF29" s="120">
        <v>10.23</v>
      </c>
      <c r="AG29" s="120">
        <f t="shared" si="5"/>
        <v>0</v>
      </c>
      <c r="AH29" s="122">
        <f t="shared" si="6"/>
        <v>1797.73</v>
      </c>
      <c r="AI29" s="206">
        <v>409.29</v>
      </c>
      <c r="AJ29" s="206">
        <v>847.65</v>
      </c>
      <c r="AK29" s="194">
        <f t="shared" si="7"/>
        <v>0</v>
      </c>
      <c r="AL29" s="124"/>
      <c r="AM29" s="124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124" t="s">
        <v>253</v>
      </c>
      <c r="B30" s="124" t="s">
        <v>333</v>
      </c>
      <c r="C30" s="124"/>
      <c r="D30" s="124"/>
      <c r="E30" s="124" t="s">
        <v>171</v>
      </c>
      <c r="F30" s="127">
        <v>42476</v>
      </c>
      <c r="G30" s="124"/>
      <c r="H30" s="199"/>
      <c r="I30" s="112">
        <v>577.38</v>
      </c>
      <c r="J30" s="200">
        <v>822.62</v>
      </c>
      <c r="K30" s="112">
        <f t="shared" si="0"/>
        <v>1400</v>
      </c>
      <c r="L30" s="128"/>
      <c r="M30" s="128"/>
      <c r="N30" s="128"/>
      <c r="O30" s="128"/>
      <c r="P30" s="114"/>
      <c r="Q30" s="115">
        <f t="shared" si="1"/>
        <v>1400</v>
      </c>
      <c r="R30" s="116"/>
      <c r="S30" s="117"/>
      <c r="T30" s="164"/>
      <c r="U30" s="164"/>
      <c r="V30" s="164"/>
      <c r="W30" s="164"/>
      <c r="X30" s="165"/>
      <c r="Y30" s="165"/>
      <c r="Z30" s="149"/>
      <c r="AA30" s="149">
        <v>0</v>
      </c>
      <c r="AB30" s="115">
        <f t="shared" si="2"/>
        <v>1400</v>
      </c>
      <c r="AC30" s="120">
        <f t="shared" ref="AC30" si="16">IF(Q30&gt;2250,Q30*0.1,0)</f>
        <v>0</v>
      </c>
      <c r="AD30" s="115">
        <f t="shared" ref="AD30" si="17">+AB30-AC30</f>
        <v>1400</v>
      </c>
      <c r="AE30" s="121">
        <f t="shared" ref="AE30" si="18">IF(Q30&lt;3500,Q30*0.1,0)</f>
        <v>140</v>
      </c>
      <c r="AF30" s="120">
        <v>10.23</v>
      </c>
      <c r="AG30" s="120">
        <f t="shared" ref="AG30" si="19">+U30</f>
        <v>0</v>
      </c>
      <c r="AH30" s="122">
        <f t="shared" ref="AH30" si="20">+Q30+AE30+AF30+AG30</f>
        <v>1550.23</v>
      </c>
      <c r="AI30" s="209">
        <v>577.35</v>
      </c>
      <c r="AJ30" s="209">
        <v>822.65</v>
      </c>
      <c r="AK30" s="194">
        <f t="shared" si="7"/>
        <v>0</v>
      </c>
      <c r="AL30" s="124">
        <v>2919685839</v>
      </c>
      <c r="AM30" s="12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4" t="s">
        <v>94</v>
      </c>
      <c r="B31" s="110" t="s">
        <v>339</v>
      </c>
      <c r="C31" s="110"/>
      <c r="D31" s="110" t="s">
        <v>130</v>
      </c>
      <c r="E31" s="110" t="s">
        <v>181</v>
      </c>
      <c r="F31" s="110"/>
      <c r="G31" s="111"/>
      <c r="H31" s="111"/>
      <c r="I31" s="112">
        <v>608.16</v>
      </c>
      <c r="J31" s="177"/>
      <c r="K31" s="112">
        <f t="shared" si="0"/>
        <v>608.16</v>
      </c>
      <c r="L31" s="112">
        <f>1826.24+2.59</f>
        <v>1828.83</v>
      </c>
      <c r="M31" s="112"/>
      <c r="N31" s="113"/>
      <c r="O31" s="113"/>
      <c r="P31" s="114"/>
      <c r="Q31" s="115">
        <f t="shared" si="1"/>
        <v>2436.9899999999998</v>
      </c>
      <c r="R31" s="116"/>
      <c r="S31" s="117"/>
      <c r="T31" s="126">
        <v>500</v>
      </c>
      <c r="U31" s="126">
        <f>Q31*4.9%</f>
        <v>119.41251</v>
      </c>
      <c r="V31" s="126">
        <f>Q31*1%</f>
        <v>24.369899999999998</v>
      </c>
      <c r="W31" s="117"/>
      <c r="X31" s="118"/>
      <c r="Y31" s="118"/>
      <c r="Z31" s="119"/>
      <c r="AA31" s="119">
        <v>0</v>
      </c>
      <c r="AB31" s="115">
        <f>+Q31-SUM(R31:AA31)</f>
        <v>1793.2075899999998</v>
      </c>
      <c r="AC31" s="120">
        <f t="shared" si="8"/>
        <v>243.69899999999998</v>
      </c>
      <c r="AD31" s="115">
        <f>+AB31-AC31</f>
        <v>1549.5085899999997</v>
      </c>
      <c r="AE31" s="121">
        <f t="shared" si="4"/>
        <v>243.69899999999998</v>
      </c>
      <c r="AF31" s="120">
        <v>10.23</v>
      </c>
      <c r="AG31" s="120">
        <f t="shared" si="5"/>
        <v>119.41251</v>
      </c>
      <c r="AH31" s="122">
        <f t="shared" si="6"/>
        <v>2810.33151</v>
      </c>
      <c r="AI31" s="206">
        <v>577.35</v>
      </c>
      <c r="AJ31" s="206">
        <v>972.16</v>
      </c>
      <c r="AK31" s="194">
        <f t="shared" si="7"/>
        <v>1.4100000003054447E-3</v>
      </c>
      <c r="AL31" s="124"/>
      <c r="AM31" s="124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 t="s">
        <v>91</v>
      </c>
      <c r="B32" s="124" t="s">
        <v>337</v>
      </c>
      <c r="C32" s="124"/>
      <c r="D32" s="124"/>
      <c r="E32" s="124" t="s">
        <v>72</v>
      </c>
      <c r="F32" s="127">
        <v>42493</v>
      </c>
      <c r="G32" s="124"/>
      <c r="H32" s="124"/>
      <c r="I32" s="128">
        <v>1166.26</v>
      </c>
      <c r="J32" s="178"/>
      <c r="K32" s="128">
        <f>+I32+J32</f>
        <v>1166.26</v>
      </c>
      <c r="L32" s="128"/>
      <c r="M32" s="128"/>
      <c r="N32" s="128"/>
      <c r="O32" s="128"/>
      <c r="P32" s="171"/>
      <c r="Q32" s="115">
        <f t="shared" si="1"/>
        <v>1166.26</v>
      </c>
      <c r="R32" s="116"/>
      <c r="S32" s="117"/>
      <c r="T32" s="164"/>
      <c r="U32" s="164"/>
      <c r="V32" s="164"/>
      <c r="W32" s="164"/>
      <c r="X32" s="165"/>
      <c r="Y32" s="165"/>
      <c r="Z32" s="149"/>
      <c r="AA32" s="125">
        <v>332.07</v>
      </c>
      <c r="AB32" s="115">
        <f>+Q32-SUM(R32:AA32)</f>
        <v>834.19</v>
      </c>
      <c r="AC32" s="120">
        <f t="shared" ref="AC32" si="21">IF(Q32&gt;2250,Q32*0.1,0)</f>
        <v>0</v>
      </c>
      <c r="AD32" s="115">
        <f>+AB32-AC32</f>
        <v>834.19</v>
      </c>
      <c r="AE32" s="121">
        <f t="shared" ref="AE32" si="22">IF(Q32&lt;3500,Q32*0.1,0)</f>
        <v>116.626</v>
      </c>
      <c r="AF32" s="120">
        <v>10.23</v>
      </c>
      <c r="AG32" s="120">
        <f t="shared" ref="AG32" si="23">+U32</f>
        <v>0</v>
      </c>
      <c r="AH32" s="122">
        <f t="shared" ref="AH32" si="24">+Q32+AE32+AF32+AG32</f>
        <v>1293.116</v>
      </c>
      <c r="AI32" s="209">
        <v>245.28</v>
      </c>
      <c r="AJ32" s="209">
        <v>588.91</v>
      </c>
      <c r="AK32" s="194">
        <f t="shared" si="7"/>
        <v>0</v>
      </c>
      <c r="AL32" s="124">
        <v>2963469042</v>
      </c>
      <c r="AM32" s="12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5"/>
      <c r="B33" s="125" t="s">
        <v>350</v>
      </c>
      <c r="C33" s="125"/>
      <c r="D33" s="125"/>
      <c r="E33" s="125" t="s">
        <v>72</v>
      </c>
      <c r="F33" s="212">
        <v>42507</v>
      </c>
      <c r="G33" s="125"/>
      <c r="H33" s="125"/>
      <c r="I33" s="126"/>
      <c r="J33" s="220"/>
      <c r="K33" s="126">
        <v>166.6</v>
      </c>
      <c r="L33" s="126"/>
      <c r="M33" s="126"/>
      <c r="N33" s="126"/>
      <c r="O33" s="126"/>
      <c r="P33" s="214"/>
      <c r="Q33" s="215">
        <f t="shared" si="1"/>
        <v>166.6</v>
      </c>
      <c r="R33" s="126"/>
      <c r="S33" s="126"/>
      <c r="T33" s="126"/>
      <c r="U33" s="126"/>
      <c r="V33" s="126"/>
      <c r="W33" s="126"/>
      <c r="X33" s="131"/>
      <c r="Y33" s="131"/>
      <c r="Z33" s="125"/>
      <c r="AA33" s="125"/>
      <c r="AB33" s="215">
        <f>+Q33-SUM(R33:AA33)</f>
        <v>166.6</v>
      </c>
      <c r="AC33" s="131">
        <f t="shared" ref="AC33" si="25">IF(Q33&gt;2250,Q33*0.1,0)</f>
        <v>0</v>
      </c>
      <c r="AD33" s="215">
        <f>+AB33-AC33</f>
        <v>166.6</v>
      </c>
      <c r="AE33" s="131">
        <f t="shared" ref="AE33" si="26">IF(Q33&lt;3500,Q33*0.1,0)</f>
        <v>16.66</v>
      </c>
      <c r="AF33" s="131">
        <v>10.23</v>
      </c>
      <c r="AG33" s="131">
        <f t="shared" ref="AG33" si="27">+U33</f>
        <v>0</v>
      </c>
      <c r="AH33" s="215">
        <f t="shared" ref="AH33" si="28">+Q33+AE33+AF33+AG33</f>
        <v>193.48999999999998</v>
      </c>
      <c r="AI33" s="216">
        <v>166.6</v>
      </c>
      <c r="AJ33" s="216">
        <v>0</v>
      </c>
      <c r="AK33" s="202">
        <f t="shared" si="7"/>
        <v>0</v>
      </c>
      <c r="AL33" s="219">
        <v>2791168061</v>
      </c>
      <c r="AM33" s="218" t="s">
        <v>351</v>
      </c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40" customFormat="1">
      <c r="A34" s="124" t="s">
        <v>94</v>
      </c>
      <c r="B34" s="110" t="s">
        <v>229</v>
      </c>
      <c r="C34" s="110"/>
      <c r="D34" s="110" t="s">
        <v>131</v>
      </c>
      <c r="E34" s="110" t="s">
        <v>181</v>
      </c>
      <c r="F34" s="110"/>
      <c r="G34" s="111"/>
      <c r="H34" s="111"/>
      <c r="I34" s="112">
        <v>608.16</v>
      </c>
      <c r="J34" s="177"/>
      <c r="K34" s="112">
        <f t="shared" si="0"/>
        <v>608.16</v>
      </c>
      <c r="L34" s="112">
        <f>4604.14+2.97</f>
        <v>4607.1100000000006</v>
      </c>
      <c r="M34" s="112"/>
      <c r="N34" s="113"/>
      <c r="O34" s="113"/>
      <c r="P34" s="114"/>
      <c r="Q34" s="115">
        <f t="shared" si="1"/>
        <v>5215.2700000000004</v>
      </c>
      <c r="R34" s="116"/>
      <c r="S34" s="117"/>
      <c r="T34" s="164">
        <v>0</v>
      </c>
      <c r="U34" s="126">
        <f>Q34*4.9%</f>
        <v>255.54823000000002</v>
      </c>
      <c r="V34" s="126">
        <f>Q34*1%</f>
        <v>52.152700000000003</v>
      </c>
      <c r="W34" s="126">
        <v>300</v>
      </c>
      <c r="X34" s="118"/>
      <c r="Y34" s="118"/>
      <c r="Z34" s="130"/>
      <c r="AA34" s="119">
        <v>0</v>
      </c>
      <c r="AB34" s="115">
        <f t="shared" si="2"/>
        <v>4607.5690700000005</v>
      </c>
      <c r="AC34" s="120">
        <f t="shared" si="8"/>
        <v>521.52700000000004</v>
      </c>
      <c r="AD34" s="115">
        <f t="shared" si="3"/>
        <v>4086.0420700000004</v>
      </c>
      <c r="AE34" s="121">
        <f t="shared" si="4"/>
        <v>0</v>
      </c>
      <c r="AF34" s="120">
        <v>10.23</v>
      </c>
      <c r="AG34" s="120">
        <f t="shared" si="5"/>
        <v>255.54823000000002</v>
      </c>
      <c r="AH34" s="122">
        <f t="shared" si="6"/>
        <v>5481.0482300000003</v>
      </c>
      <c r="AI34" s="209">
        <v>577.35</v>
      </c>
      <c r="AJ34" s="211">
        <v>3508.69</v>
      </c>
      <c r="AK34" s="194">
        <f t="shared" si="7"/>
        <v>-2.0700000004580943E-3</v>
      </c>
      <c r="AL34" s="124"/>
      <c r="AM34" s="124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</row>
    <row r="35" spans="1:193" s="40" customFormat="1">
      <c r="A35" s="124" t="s">
        <v>91</v>
      </c>
      <c r="B35" s="110" t="s">
        <v>236</v>
      </c>
      <c r="C35" s="110"/>
      <c r="D35" s="110" t="s">
        <v>98</v>
      </c>
      <c r="E35" s="110" t="s">
        <v>72</v>
      </c>
      <c r="F35" s="132">
        <v>42024</v>
      </c>
      <c r="G35" s="110"/>
      <c r="H35" s="110"/>
      <c r="I35" s="112">
        <v>1166.26</v>
      </c>
      <c r="J35" s="176"/>
      <c r="K35" s="112">
        <f t="shared" si="0"/>
        <v>1166.26</v>
      </c>
      <c r="L35" s="112">
        <v>1343.17</v>
      </c>
      <c r="M35" s="112"/>
      <c r="N35" s="112"/>
      <c r="O35" s="112"/>
      <c r="P35" s="114"/>
      <c r="Q35" s="115">
        <f t="shared" si="1"/>
        <v>2509.4300000000003</v>
      </c>
      <c r="R35" s="116"/>
      <c r="S35" s="164"/>
      <c r="T35" s="117">
        <v>0</v>
      </c>
      <c r="U35" s="117"/>
      <c r="V35" s="117"/>
      <c r="W35" s="117"/>
      <c r="X35" s="118"/>
      <c r="Y35" s="118"/>
      <c r="Z35" s="119"/>
      <c r="AA35" s="119">
        <v>0</v>
      </c>
      <c r="AB35" s="115">
        <f t="shared" si="2"/>
        <v>2509.4300000000003</v>
      </c>
      <c r="AC35" s="120">
        <f t="shared" si="8"/>
        <v>250.94300000000004</v>
      </c>
      <c r="AD35" s="115">
        <f t="shared" si="3"/>
        <v>2258.4870000000001</v>
      </c>
      <c r="AE35" s="121">
        <f t="shared" si="4"/>
        <v>250.94300000000004</v>
      </c>
      <c r="AF35" s="120">
        <v>10.23</v>
      </c>
      <c r="AG35" s="120">
        <f t="shared" si="5"/>
        <v>0</v>
      </c>
      <c r="AH35" s="122">
        <f t="shared" si="6"/>
        <v>2770.6030000000005</v>
      </c>
      <c r="AI35" s="206">
        <v>577.35</v>
      </c>
      <c r="AJ35" s="208">
        <v>1681.14</v>
      </c>
      <c r="AK35" s="194">
        <f t="shared" si="7"/>
        <v>3.0000000001564331E-3</v>
      </c>
      <c r="AL35" s="124"/>
      <c r="AM35" s="124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</row>
    <row r="36" spans="1:193" s="39" customFormat="1">
      <c r="A36" s="124" t="s">
        <v>92</v>
      </c>
      <c r="B36" s="124" t="s">
        <v>306</v>
      </c>
      <c r="C36" s="124"/>
      <c r="D36" s="124"/>
      <c r="E36" s="124" t="s">
        <v>307</v>
      </c>
      <c r="F36" s="127">
        <v>42457</v>
      </c>
      <c r="G36" s="124"/>
      <c r="H36" s="124"/>
      <c r="I36" s="112">
        <v>1100</v>
      </c>
      <c r="J36" s="182"/>
      <c r="K36" s="112">
        <f t="shared" si="0"/>
        <v>1100</v>
      </c>
      <c r="L36" s="128"/>
      <c r="M36" s="128"/>
      <c r="N36" s="128"/>
      <c r="O36" s="128"/>
      <c r="P36" s="114"/>
      <c r="Q36" s="115">
        <f t="shared" si="1"/>
        <v>1100</v>
      </c>
      <c r="R36" s="116"/>
      <c r="S36" s="164"/>
      <c r="T36" s="164">
        <v>0</v>
      </c>
      <c r="U36" s="164"/>
      <c r="V36" s="164"/>
      <c r="W36" s="164"/>
      <c r="X36" s="165"/>
      <c r="Y36" s="165"/>
      <c r="Z36" s="149"/>
      <c r="AA36" s="149">
        <v>0</v>
      </c>
      <c r="AB36" s="115">
        <f t="shared" si="2"/>
        <v>1100</v>
      </c>
      <c r="AC36" s="120">
        <f t="shared" si="8"/>
        <v>0</v>
      </c>
      <c r="AD36" s="115">
        <f t="shared" si="3"/>
        <v>1100</v>
      </c>
      <c r="AE36" s="121">
        <f t="shared" si="4"/>
        <v>110</v>
      </c>
      <c r="AF36" s="120">
        <v>10.23</v>
      </c>
      <c r="AG36" s="120">
        <f>+U36</f>
        <v>0</v>
      </c>
      <c r="AH36" s="122">
        <f>+Q36+AE36+AF36+AG36</f>
        <v>1220.23</v>
      </c>
      <c r="AI36" s="209">
        <v>577.35</v>
      </c>
      <c r="AJ36" s="206">
        <v>522.65</v>
      </c>
      <c r="AK36" s="194">
        <f t="shared" si="7"/>
        <v>0</v>
      </c>
      <c r="AL36" s="124"/>
      <c r="AM36" s="129"/>
    </row>
    <row r="37" spans="1:193" s="39" customFormat="1">
      <c r="A37" s="124" t="s">
        <v>94</v>
      </c>
      <c r="B37" s="124" t="s">
        <v>343</v>
      </c>
      <c r="C37" s="124"/>
      <c r="D37" s="124"/>
      <c r="E37" s="124" t="s">
        <v>166</v>
      </c>
      <c r="F37" s="127">
        <v>42495</v>
      </c>
      <c r="G37" s="124"/>
      <c r="H37" s="124"/>
      <c r="I37" s="128">
        <v>739.23</v>
      </c>
      <c r="J37" s="182"/>
      <c r="K37" s="128">
        <f t="shared" si="0"/>
        <v>739.23</v>
      </c>
      <c r="L37" s="128">
        <f>2162.16+7.42</f>
        <v>2169.58</v>
      </c>
      <c r="M37" s="128"/>
      <c r="N37" s="128"/>
      <c r="O37" s="128"/>
      <c r="P37" s="171"/>
      <c r="Q37" s="115">
        <f t="shared" si="1"/>
        <v>2908.81</v>
      </c>
      <c r="R37" s="116"/>
      <c r="S37" s="164"/>
      <c r="T37" s="164">
        <v>0</v>
      </c>
      <c r="U37" s="164"/>
      <c r="V37" s="164"/>
      <c r="W37" s="164"/>
      <c r="X37" s="165"/>
      <c r="Y37" s="165"/>
      <c r="Z37" s="149"/>
      <c r="AA37" s="125">
        <v>533.07000000000005</v>
      </c>
      <c r="AB37" s="115">
        <f t="shared" si="2"/>
        <v>2375.7399999999998</v>
      </c>
      <c r="AC37" s="120">
        <f t="shared" ref="AC37" si="29">IF(Q37&gt;2250,Q37*0.1,0)</f>
        <v>290.88100000000003</v>
      </c>
      <c r="AD37" s="115">
        <f t="shared" ref="AD37" si="30">+AB37-AC37</f>
        <v>2084.8589999999999</v>
      </c>
      <c r="AE37" s="121">
        <f t="shared" ref="AE37" si="31">IF(Q37&lt;3500,Q37*0.1,0)</f>
        <v>290.88100000000003</v>
      </c>
      <c r="AF37" s="120">
        <v>10.23</v>
      </c>
      <c r="AG37" s="120">
        <f>+U37</f>
        <v>0</v>
      </c>
      <c r="AH37" s="122">
        <f>+Q37+AE37+AF37+AG37</f>
        <v>3209.9209999999998</v>
      </c>
      <c r="AI37" s="206">
        <v>44.28</v>
      </c>
      <c r="AJ37" s="208">
        <v>2040.58</v>
      </c>
      <c r="AK37" s="194">
        <f t="shared" si="7"/>
        <v>1.0000000002037268E-3</v>
      </c>
      <c r="AL37" s="124">
        <v>1182020149</v>
      </c>
      <c r="AM37" s="129"/>
    </row>
    <row r="38" spans="1:193" s="39" customFormat="1">
      <c r="A38" s="124" t="s">
        <v>71</v>
      </c>
      <c r="B38" s="124" t="s">
        <v>332</v>
      </c>
      <c r="C38" s="124" t="s">
        <v>249</v>
      </c>
      <c r="D38" s="124"/>
      <c r="E38" s="124" t="s">
        <v>73</v>
      </c>
      <c r="F38" s="127">
        <v>42415</v>
      </c>
      <c r="G38" s="124"/>
      <c r="H38" s="124"/>
      <c r="I38" s="128">
        <v>513.33000000000004</v>
      </c>
      <c r="J38" s="182">
        <v>653.33000000000004</v>
      </c>
      <c r="K38" s="128">
        <f t="shared" si="0"/>
        <v>1166.6600000000001</v>
      </c>
      <c r="L38" s="128"/>
      <c r="M38" s="128"/>
      <c r="N38" s="128"/>
      <c r="O38" s="128"/>
      <c r="P38" s="114"/>
      <c r="Q38" s="115">
        <f t="shared" si="1"/>
        <v>1166.6600000000001</v>
      </c>
      <c r="R38" s="116"/>
      <c r="S38" s="164"/>
      <c r="T38" s="164">
        <v>0</v>
      </c>
      <c r="U38" s="164"/>
      <c r="V38" s="164"/>
      <c r="W38" s="164"/>
      <c r="X38" s="165"/>
      <c r="Y38" s="165"/>
      <c r="Z38" s="149"/>
      <c r="AA38" s="149">
        <v>0</v>
      </c>
      <c r="AB38" s="115">
        <f t="shared" si="2"/>
        <v>1166.6600000000001</v>
      </c>
      <c r="AC38" s="120">
        <f t="shared" si="8"/>
        <v>0</v>
      </c>
      <c r="AD38" s="115">
        <f t="shared" si="3"/>
        <v>1166.6600000000001</v>
      </c>
      <c r="AE38" s="121">
        <f t="shared" si="4"/>
        <v>116.66600000000001</v>
      </c>
      <c r="AF38" s="120">
        <v>10.23</v>
      </c>
      <c r="AG38" s="120">
        <f t="shared" si="5"/>
        <v>0</v>
      </c>
      <c r="AH38" s="122">
        <f t="shared" si="6"/>
        <v>1293.556</v>
      </c>
      <c r="AI38" s="209">
        <v>577.35</v>
      </c>
      <c r="AJ38" s="206">
        <v>589.30999999999995</v>
      </c>
      <c r="AK38" s="194">
        <f t="shared" si="7"/>
        <v>0</v>
      </c>
      <c r="AL38" s="124"/>
      <c r="AM38" s="124"/>
    </row>
    <row r="39" spans="1:193" s="39" customFormat="1">
      <c r="A39" s="124" t="s">
        <v>71</v>
      </c>
      <c r="B39" s="124" t="s">
        <v>329</v>
      </c>
      <c r="C39" s="124" t="s">
        <v>249</v>
      </c>
      <c r="D39" s="124" t="s">
        <v>148</v>
      </c>
      <c r="E39" s="124" t="s">
        <v>73</v>
      </c>
      <c r="F39" s="127">
        <v>41906</v>
      </c>
      <c r="G39" s="124"/>
      <c r="H39" s="124"/>
      <c r="I39" s="128">
        <v>513.33000000000004</v>
      </c>
      <c r="J39" s="182">
        <v>653.33000000000004</v>
      </c>
      <c r="K39" s="128">
        <f t="shared" si="0"/>
        <v>1166.6600000000001</v>
      </c>
      <c r="L39" s="128">
        <v>13641.39</v>
      </c>
      <c r="M39" s="128"/>
      <c r="N39" s="128"/>
      <c r="O39" s="128"/>
      <c r="P39" s="114"/>
      <c r="Q39" s="115">
        <f t="shared" si="1"/>
        <v>14808.05</v>
      </c>
      <c r="R39" s="116"/>
      <c r="S39" s="164">
        <v>58.91</v>
      </c>
      <c r="T39" s="164">
        <v>0</v>
      </c>
      <c r="U39" s="164"/>
      <c r="V39" s="164"/>
      <c r="W39" s="164"/>
      <c r="X39" s="165"/>
      <c r="Y39" s="165"/>
      <c r="Z39" s="149"/>
      <c r="AA39" s="125">
        <v>349.07</v>
      </c>
      <c r="AB39" s="115">
        <f t="shared" si="2"/>
        <v>14400.07</v>
      </c>
      <c r="AC39" s="120">
        <f t="shared" si="8"/>
        <v>1480.8050000000001</v>
      </c>
      <c r="AD39" s="115">
        <f t="shared" si="3"/>
        <v>12919.264999999999</v>
      </c>
      <c r="AE39" s="121">
        <f t="shared" si="4"/>
        <v>0</v>
      </c>
      <c r="AF39" s="120">
        <v>10.23</v>
      </c>
      <c r="AG39" s="120">
        <f t="shared" si="5"/>
        <v>0</v>
      </c>
      <c r="AH39" s="122">
        <f t="shared" si="6"/>
        <v>14818.279999999999</v>
      </c>
      <c r="AI39" s="207">
        <v>228.28</v>
      </c>
      <c r="AJ39" s="208">
        <v>12690.99</v>
      </c>
      <c r="AK39" s="194">
        <f t="shared" si="7"/>
        <v>5.0000000010186341E-3</v>
      </c>
      <c r="AL39" s="124"/>
      <c r="AM39" s="124"/>
    </row>
    <row r="40" spans="1:193" s="39" customFormat="1">
      <c r="A40" s="125"/>
      <c r="B40" s="125" t="s">
        <v>355</v>
      </c>
      <c r="C40" s="125"/>
      <c r="D40" s="125"/>
      <c r="E40" s="125" t="s">
        <v>356</v>
      </c>
      <c r="F40" s="212">
        <v>42506</v>
      </c>
      <c r="G40" s="125"/>
      <c r="H40" s="125"/>
      <c r="I40" s="126"/>
      <c r="J40" s="221"/>
      <c r="K40" s="126">
        <v>133.33000000000001</v>
      </c>
      <c r="L40" s="126"/>
      <c r="M40" s="126"/>
      <c r="N40" s="126"/>
      <c r="O40" s="126"/>
      <c r="P40" s="214"/>
      <c r="Q40" s="215">
        <f t="shared" si="1"/>
        <v>133.33000000000001</v>
      </c>
      <c r="R40" s="126"/>
      <c r="S40" s="126"/>
      <c r="T40" s="126"/>
      <c r="U40" s="126"/>
      <c r="V40" s="126"/>
      <c r="W40" s="126"/>
      <c r="X40" s="131"/>
      <c r="Y40" s="131"/>
      <c r="Z40" s="125"/>
      <c r="AA40" s="125">
        <v>0</v>
      </c>
      <c r="AB40" s="215">
        <f t="shared" ref="AB40:AB41" si="32">+Q40-SUM(R40:AA40)</f>
        <v>133.33000000000001</v>
      </c>
      <c r="AC40" s="131">
        <f t="shared" ref="AC40:AC41" si="33">IF(Q40&gt;2250,Q40*0.1,0)</f>
        <v>0</v>
      </c>
      <c r="AD40" s="215">
        <f t="shared" ref="AD40" si="34">+AB40-AC40</f>
        <v>133.33000000000001</v>
      </c>
      <c r="AE40" s="131">
        <f t="shared" ref="AE40" si="35">IF(Q40&lt;3500,Q40*0.1,0)</f>
        <v>13.333000000000002</v>
      </c>
      <c r="AF40" s="131">
        <v>10.23</v>
      </c>
      <c r="AG40" s="131">
        <f t="shared" ref="AG40" si="36">+U40</f>
        <v>0</v>
      </c>
      <c r="AH40" s="215">
        <f t="shared" ref="AH40" si="37">+Q40+AE40+AF40+AG40</f>
        <v>156.893</v>
      </c>
      <c r="AI40" s="217">
        <v>93.56</v>
      </c>
      <c r="AJ40" s="217">
        <v>39.770000000000003</v>
      </c>
      <c r="AK40" s="202">
        <f t="shared" si="7"/>
        <v>0</v>
      </c>
      <c r="AL40" s="219">
        <v>1180560405</v>
      </c>
      <c r="AM40" s="218" t="s">
        <v>351</v>
      </c>
    </row>
    <row r="41" spans="1:193" s="39" customFormat="1">
      <c r="A41" s="125" t="s">
        <v>71</v>
      </c>
      <c r="B41" s="125" t="s">
        <v>357</v>
      </c>
      <c r="C41" s="125"/>
      <c r="D41" s="125"/>
      <c r="E41" s="125" t="s">
        <v>358</v>
      </c>
      <c r="F41" s="222">
        <v>42480</v>
      </c>
      <c r="G41" s="125"/>
      <c r="H41" s="125"/>
      <c r="I41" s="126"/>
      <c r="J41" s="221"/>
      <c r="K41" s="126">
        <v>566.66</v>
      </c>
      <c r="L41" s="126">
        <v>850</v>
      </c>
      <c r="M41" s="126"/>
      <c r="N41" s="126"/>
      <c r="O41" s="126"/>
      <c r="P41" s="214"/>
      <c r="Q41" s="215">
        <f t="shared" si="1"/>
        <v>1416.6599999999999</v>
      </c>
      <c r="R41" s="126"/>
      <c r="S41" s="126"/>
      <c r="T41" s="126"/>
      <c r="U41" s="126"/>
      <c r="V41" s="126"/>
      <c r="W41" s="126"/>
      <c r="X41" s="131"/>
      <c r="Y41" s="131"/>
      <c r="Z41" s="125"/>
      <c r="AA41" s="125">
        <v>0</v>
      </c>
      <c r="AB41" s="215">
        <f t="shared" si="32"/>
        <v>1416.6599999999999</v>
      </c>
      <c r="AC41" s="131">
        <f t="shared" si="33"/>
        <v>0</v>
      </c>
      <c r="AD41" s="215">
        <f t="shared" ref="AD41" si="38">+AB41-AC41</f>
        <v>1416.6599999999999</v>
      </c>
      <c r="AE41" s="131">
        <f t="shared" ref="AE41" si="39">IF(Q41&lt;3500,Q41*0.1,0)</f>
        <v>141.666</v>
      </c>
      <c r="AF41" s="131">
        <v>10.23</v>
      </c>
      <c r="AG41" s="131">
        <f t="shared" ref="AG41" si="40">+U41</f>
        <v>0</v>
      </c>
      <c r="AH41" s="215">
        <f t="shared" ref="AH41" si="41">+Q41+AE41+AF41+AG41</f>
        <v>1568.5559999999998</v>
      </c>
      <c r="AI41" s="217">
        <v>577.35</v>
      </c>
      <c r="AJ41" s="217">
        <v>839.31</v>
      </c>
      <c r="AK41" s="202">
        <f t="shared" si="7"/>
        <v>0</v>
      </c>
      <c r="AL41" s="125">
        <v>1116618499</v>
      </c>
      <c r="AM41" s="218" t="s">
        <v>359</v>
      </c>
    </row>
    <row r="42" spans="1:193" s="39" customFormat="1">
      <c r="A42" s="187" t="s">
        <v>71</v>
      </c>
      <c r="B42" s="187" t="s">
        <v>250</v>
      </c>
      <c r="C42" s="187" t="s">
        <v>249</v>
      </c>
      <c r="D42" s="188"/>
      <c r="E42" s="187" t="s">
        <v>73</v>
      </c>
      <c r="F42" s="189">
        <v>42240</v>
      </c>
      <c r="G42" s="187"/>
      <c r="H42" s="187"/>
      <c r="I42" s="190"/>
      <c r="J42" s="191"/>
      <c r="K42" s="190">
        <f t="shared" si="0"/>
        <v>0</v>
      </c>
      <c r="L42" s="190"/>
      <c r="M42" s="190"/>
      <c r="N42" s="190"/>
      <c r="O42" s="190"/>
      <c r="P42" s="192"/>
      <c r="Q42" s="122">
        <f t="shared" si="1"/>
        <v>0</v>
      </c>
      <c r="R42" s="190"/>
      <c r="S42" s="190">
        <v>0</v>
      </c>
      <c r="T42" s="190"/>
      <c r="U42" s="190"/>
      <c r="V42" s="190"/>
      <c r="W42" s="190"/>
      <c r="X42" s="193"/>
      <c r="Y42" s="193"/>
      <c r="Z42" s="187"/>
      <c r="AA42" s="187">
        <v>0</v>
      </c>
      <c r="AB42" s="122">
        <f t="shared" si="2"/>
        <v>0</v>
      </c>
      <c r="AC42" s="193">
        <f t="shared" si="8"/>
        <v>0</v>
      </c>
      <c r="AD42" s="122">
        <f>+AB42-AC42</f>
        <v>0</v>
      </c>
      <c r="AE42" s="193">
        <f>IF(Q42&lt;3500,Q42*0.1,0)</f>
        <v>0</v>
      </c>
      <c r="AF42" s="193">
        <v>0</v>
      </c>
      <c r="AG42" s="193">
        <f t="shared" si="5"/>
        <v>0</v>
      </c>
      <c r="AH42" s="122">
        <f t="shared" si="6"/>
        <v>0</v>
      </c>
      <c r="AI42" s="205"/>
      <c r="AJ42" s="205"/>
      <c r="AK42" s="195">
        <f t="shared" si="7"/>
        <v>0</v>
      </c>
      <c r="AL42" s="187"/>
      <c r="AM42" s="170" t="s">
        <v>311</v>
      </c>
    </row>
    <row r="43" spans="1:193">
      <c r="A43" s="124" t="s">
        <v>92</v>
      </c>
      <c r="B43" s="110" t="s">
        <v>230</v>
      </c>
      <c r="C43" s="110"/>
      <c r="D43" s="110" t="s">
        <v>101</v>
      </c>
      <c r="E43" s="110" t="s">
        <v>162</v>
      </c>
      <c r="F43" s="110"/>
      <c r="G43" s="110"/>
      <c r="H43" s="110"/>
      <c r="I43" s="112">
        <v>739.23</v>
      </c>
      <c r="J43" s="180"/>
      <c r="K43" s="112">
        <f t="shared" ref="K43:K78" si="42">+I43+J43</f>
        <v>739.23</v>
      </c>
      <c r="L43" s="112">
        <f>1582.77+7.42</f>
        <v>1590.19</v>
      </c>
      <c r="M43" s="112"/>
      <c r="N43" s="112"/>
      <c r="O43" s="112"/>
      <c r="P43" s="114"/>
      <c r="Q43" s="115">
        <f t="shared" ref="Q43:Q79" si="43">SUM(K43:O43)-P43</f>
        <v>2329.42</v>
      </c>
      <c r="R43" s="116"/>
      <c r="S43" s="117"/>
      <c r="T43" s="117">
        <v>0</v>
      </c>
      <c r="U43" s="117"/>
      <c r="V43" s="117"/>
      <c r="W43" s="117"/>
      <c r="X43" s="118"/>
      <c r="Y43" s="118"/>
      <c r="Z43" s="119"/>
      <c r="AA43" s="149">
        <v>0</v>
      </c>
      <c r="AB43" s="115">
        <f t="shared" ref="AB43:AB79" si="44">+Q43-SUM(R43:AA43)</f>
        <v>2329.42</v>
      </c>
      <c r="AC43" s="120">
        <f t="shared" si="8"/>
        <v>232.94200000000001</v>
      </c>
      <c r="AD43" s="115">
        <f t="shared" ref="AD43:AD78" si="45">+AB43-AC43</f>
        <v>2096.4780000000001</v>
      </c>
      <c r="AE43" s="121">
        <f t="shared" ref="AE43:AE78" si="46">IF(Q43&lt;3500,Q43*0.1,0)</f>
        <v>232.94200000000001</v>
      </c>
      <c r="AF43" s="120">
        <v>10.23</v>
      </c>
      <c r="AG43" s="120">
        <f t="shared" ref="AG43:AG78" si="47">+U43</f>
        <v>0</v>
      </c>
      <c r="AH43" s="122">
        <f t="shared" ref="AH43:AH78" si="48">+Q43+AE43+AF43+AG43</f>
        <v>2572.5920000000001</v>
      </c>
      <c r="AI43" s="209">
        <v>577.35</v>
      </c>
      <c r="AJ43" s="211">
        <v>1519.13</v>
      </c>
      <c r="AK43" s="194">
        <f t="shared" si="7"/>
        <v>1.9999999999527063E-3</v>
      </c>
      <c r="AL43" s="124"/>
      <c r="AM43" s="124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24" t="s">
        <v>71</v>
      </c>
      <c r="B44" s="110" t="s">
        <v>224</v>
      </c>
      <c r="C44" s="110" t="s">
        <v>251</v>
      </c>
      <c r="D44" s="110" t="s">
        <v>150</v>
      </c>
      <c r="E44" s="110" t="s">
        <v>73</v>
      </c>
      <c r="F44" s="110"/>
      <c r="G44" s="111"/>
      <c r="H44" s="111"/>
      <c r="I44" s="128">
        <v>513.33000000000004</v>
      </c>
      <c r="J44" s="179">
        <v>653.33000000000004</v>
      </c>
      <c r="K44" s="112">
        <f t="shared" si="42"/>
        <v>1166.6600000000001</v>
      </c>
      <c r="L44" s="112">
        <v>1900.86</v>
      </c>
      <c r="M44" s="112"/>
      <c r="N44" s="113"/>
      <c r="O44" s="113"/>
      <c r="P44" s="114"/>
      <c r="Q44" s="115">
        <f t="shared" si="43"/>
        <v>3067.52</v>
      </c>
      <c r="R44" s="116"/>
      <c r="S44" s="117">
        <v>58.91</v>
      </c>
      <c r="T44" s="117">
        <v>0</v>
      </c>
      <c r="U44" s="117"/>
      <c r="V44" s="117"/>
      <c r="W44" s="117"/>
      <c r="X44" s="118"/>
      <c r="Y44" s="118"/>
      <c r="Z44" s="119"/>
      <c r="AA44" s="149">
        <v>0</v>
      </c>
      <c r="AB44" s="115">
        <f t="shared" si="44"/>
        <v>3008.61</v>
      </c>
      <c r="AC44" s="120">
        <f t="shared" si="8"/>
        <v>306.75200000000001</v>
      </c>
      <c r="AD44" s="115">
        <f t="shared" si="45"/>
        <v>2701.8580000000002</v>
      </c>
      <c r="AE44" s="121">
        <f t="shared" si="46"/>
        <v>306.75200000000001</v>
      </c>
      <c r="AF44" s="120">
        <v>10.23</v>
      </c>
      <c r="AG44" s="120">
        <f t="shared" si="47"/>
        <v>0</v>
      </c>
      <c r="AH44" s="122">
        <f t="shared" si="48"/>
        <v>3384.502</v>
      </c>
      <c r="AI44" s="206">
        <v>577.35</v>
      </c>
      <c r="AJ44" s="208">
        <v>2124.5100000000002</v>
      </c>
      <c r="AK44" s="194">
        <f t="shared" si="7"/>
        <v>1.9999999999527063E-3</v>
      </c>
      <c r="AL44" s="124"/>
      <c r="AM44" s="124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>
      <c r="A45" s="124" t="s">
        <v>71</v>
      </c>
      <c r="B45" s="110" t="s">
        <v>330</v>
      </c>
      <c r="C45" s="110" t="s">
        <v>254</v>
      </c>
      <c r="D45" s="110" t="s">
        <v>151</v>
      </c>
      <c r="E45" s="110" t="s">
        <v>73</v>
      </c>
      <c r="F45" s="110"/>
      <c r="G45" s="111"/>
      <c r="H45" s="111"/>
      <c r="I45" s="112">
        <v>513.33000000000004</v>
      </c>
      <c r="J45" s="179">
        <v>653.33000000000004</v>
      </c>
      <c r="K45" s="112">
        <f t="shared" si="42"/>
        <v>1166.6600000000001</v>
      </c>
      <c r="L45" s="112"/>
      <c r="M45" s="112"/>
      <c r="N45" s="113"/>
      <c r="O45" s="113"/>
      <c r="P45" s="114"/>
      <c r="Q45" s="115">
        <f t="shared" si="43"/>
        <v>1166.6600000000001</v>
      </c>
      <c r="R45" s="116"/>
      <c r="S45" s="117"/>
      <c r="T45" s="117">
        <v>0</v>
      </c>
      <c r="U45" s="117"/>
      <c r="V45" s="117"/>
      <c r="W45" s="117"/>
      <c r="X45" s="118"/>
      <c r="Y45" s="118"/>
      <c r="Z45" s="119"/>
      <c r="AA45" s="125">
        <v>208.6</v>
      </c>
      <c r="AB45" s="115">
        <f t="shared" si="44"/>
        <v>958.06000000000006</v>
      </c>
      <c r="AC45" s="120">
        <f t="shared" si="8"/>
        <v>0</v>
      </c>
      <c r="AD45" s="115">
        <f t="shared" si="45"/>
        <v>958.06000000000006</v>
      </c>
      <c r="AE45" s="121">
        <f t="shared" si="46"/>
        <v>116.66600000000001</v>
      </c>
      <c r="AF45" s="120">
        <v>10.23</v>
      </c>
      <c r="AG45" s="120">
        <f t="shared" si="47"/>
        <v>0</v>
      </c>
      <c r="AH45" s="122">
        <f t="shared" si="48"/>
        <v>1293.556</v>
      </c>
      <c r="AI45" s="209">
        <v>368.75</v>
      </c>
      <c r="AJ45" s="206">
        <v>589.30999999999995</v>
      </c>
      <c r="AK45" s="194">
        <f t="shared" si="7"/>
        <v>0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>
      <c r="A46" s="124" t="s">
        <v>70</v>
      </c>
      <c r="B46" s="110" t="s">
        <v>84</v>
      </c>
      <c r="C46" s="124" t="s">
        <v>297</v>
      </c>
      <c r="D46" s="110" t="s">
        <v>123</v>
      </c>
      <c r="E46" s="110" t="s">
        <v>173</v>
      </c>
      <c r="F46" s="110"/>
      <c r="G46" s="111"/>
      <c r="H46" s="111"/>
      <c r="I46" s="112">
        <v>513.33000000000004</v>
      </c>
      <c r="J46" s="178">
        <v>653.33000000000004</v>
      </c>
      <c r="K46" s="112">
        <f t="shared" si="42"/>
        <v>1166.6600000000001</v>
      </c>
      <c r="L46" s="112">
        <v>5018.54</v>
      </c>
      <c r="M46" s="112"/>
      <c r="N46" s="113"/>
      <c r="O46" s="113"/>
      <c r="P46" s="114"/>
      <c r="Q46" s="115">
        <f t="shared" si="43"/>
        <v>6185.2</v>
      </c>
      <c r="R46" s="116"/>
      <c r="S46" s="117">
        <v>58.91</v>
      </c>
      <c r="T46" s="117">
        <v>0</v>
      </c>
      <c r="U46" s="117"/>
      <c r="V46" s="117"/>
      <c r="W46" s="117"/>
      <c r="X46" s="118"/>
      <c r="Y46" s="118"/>
      <c r="Z46" s="119"/>
      <c r="AA46" s="119">
        <v>0</v>
      </c>
      <c r="AB46" s="115">
        <f t="shared" si="44"/>
        <v>6126.29</v>
      </c>
      <c r="AC46" s="120">
        <f t="shared" si="8"/>
        <v>618.52</v>
      </c>
      <c r="AD46" s="115">
        <f t="shared" si="45"/>
        <v>5507.77</v>
      </c>
      <c r="AE46" s="121">
        <f t="shared" si="46"/>
        <v>0</v>
      </c>
      <c r="AF46" s="120">
        <v>10.23</v>
      </c>
      <c r="AG46" s="120">
        <f t="shared" si="47"/>
        <v>0</v>
      </c>
      <c r="AH46" s="122">
        <f t="shared" si="48"/>
        <v>6195.4299999999994</v>
      </c>
      <c r="AI46" s="206">
        <v>577.35</v>
      </c>
      <c r="AJ46" s="208">
        <v>4930.42</v>
      </c>
      <c r="AK46" s="194">
        <f t="shared" si="7"/>
        <v>0</v>
      </c>
      <c r="AL46" s="124"/>
      <c r="AM46" s="124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>
      <c r="A47" s="124" t="s">
        <v>94</v>
      </c>
      <c r="B47" s="124" t="s">
        <v>340</v>
      </c>
      <c r="C47" s="124"/>
      <c r="D47" s="124"/>
      <c r="E47" s="124" t="s">
        <v>163</v>
      </c>
      <c r="F47" s="127">
        <v>42495</v>
      </c>
      <c r="G47" s="124"/>
      <c r="H47" s="124"/>
      <c r="I47" s="128">
        <v>739.23</v>
      </c>
      <c r="J47" s="178"/>
      <c r="K47" s="128">
        <f t="shared" si="42"/>
        <v>739.23</v>
      </c>
      <c r="L47" s="128">
        <f>4575.74+13.09</f>
        <v>4588.83</v>
      </c>
      <c r="M47" s="128"/>
      <c r="N47" s="128"/>
      <c r="O47" s="128"/>
      <c r="P47" s="171"/>
      <c r="Q47" s="115">
        <f t="shared" si="43"/>
        <v>5328.0599999999995</v>
      </c>
      <c r="R47" s="116"/>
      <c r="S47" s="164"/>
      <c r="T47" s="164"/>
      <c r="U47" s="164"/>
      <c r="V47" s="164"/>
      <c r="W47" s="164"/>
      <c r="X47" s="165"/>
      <c r="Y47" s="165"/>
      <c r="Z47" s="149"/>
      <c r="AA47" s="149">
        <v>0</v>
      </c>
      <c r="AB47" s="115">
        <f t="shared" si="44"/>
        <v>5328.0599999999995</v>
      </c>
      <c r="AC47" s="120">
        <f t="shared" ref="AC47" si="49">IF(Q47&gt;2250,Q47*0.1,0)</f>
        <v>532.80599999999993</v>
      </c>
      <c r="AD47" s="115">
        <f t="shared" ref="AD47" si="50">+AB47-AC47</f>
        <v>4795.2539999999999</v>
      </c>
      <c r="AE47" s="121">
        <f t="shared" ref="AE47" si="51">IF(Q47&lt;3500,Q47*0.1,0)</f>
        <v>0</v>
      </c>
      <c r="AF47" s="120">
        <v>10.23</v>
      </c>
      <c r="AG47" s="120">
        <f t="shared" ref="AG47" si="52">+U47</f>
        <v>0</v>
      </c>
      <c r="AH47" s="122">
        <f t="shared" ref="AH47" si="53">+Q47+AE47+AF47+AG47</f>
        <v>5338.2899999999991</v>
      </c>
      <c r="AI47" s="204"/>
      <c r="AJ47" s="204"/>
      <c r="AK47" s="203"/>
      <c r="AL47" s="124" t="s">
        <v>341</v>
      </c>
      <c r="AM47" s="12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>
      <c r="A48" s="124" t="s">
        <v>71</v>
      </c>
      <c r="B48" s="110" t="s">
        <v>256</v>
      </c>
      <c r="C48" s="110" t="s">
        <v>254</v>
      </c>
      <c r="D48" s="110" t="s">
        <v>152</v>
      </c>
      <c r="E48" s="110" t="s">
        <v>73</v>
      </c>
      <c r="F48" s="110"/>
      <c r="G48" s="111"/>
      <c r="H48" s="111"/>
      <c r="I48" s="112">
        <v>513.33000000000004</v>
      </c>
      <c r="J48" s="179">
        <v>653.33000000000004</v>
      </c>
      <c r="K48" s="112">
        <f t="shared" si="42"/>
        <v>1166.6600000000001</v>
      </c>
      <c r="L48" s="112">
        <f>9658.46-6384.36</f>
        <v>3274.0999999999995</v>
      </c>
      <c r="M48" s="112"/>
      <c r="N48" s="113"/>
      <c r="O48" s="113"/>
      <c r="P48" s="114"/>
      <c r="Q48" s="115">
        <f t="shared" si="43"/>
        <v>4440.7599999999993</v>
      </c>
      <c r="R48" s="116"/>
      <c r="S48" s="117"/>
      <c r="T48" s="117">
        <v>0</v>
      </c>
      <c r="U48" s="117"/>
      <c r="V48" s="117"/>
      <c r="W48" s="117"/>
      <c r="X48" s="118"/>
      <c r="Y48" s="118"/>
      <c r="Z48" s="119"/>
      <c r="AA48" s="119">
        <v>0</v>
      </c>
      <c r="AB48" s="115">
        <f t="shared" si="44"/>
        <v>4440.7599999999993</v>
      </c>
      <c r="AC48" s="120">
        <f t="shared" si="8"/>
        <v>444.07599999999996</v>
      </c>
      <c r="AD48" s="115">
        <f t="shared" si="45"/>
        <v>3996.6839999999993</v>
      </c>
      <c r="AE48" s="121">
        <f t="shared" si="46"/>
        <v>0</v>
      </c>
      <c r="AF48" s="120">
        <v>10.23</v>
      </c>
      <c r="AG48" s="120">
        <f t="shared" si="47"/>
        <v>0</v>
      </c>
      <c r="AH48" s="122">
        <f t="shared" si="48"/>
        <v>4450.9899999999989</v>
      </c>
      <c r="AI48" s="203"/>
      <c r="AJ48" s="203"/>
      <c r="AK48" s="203"/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39" customFormat="1">
      <c r="A49" s="124" t="s">
        <v>71</v>
      </c>
      <c r="B49" s="110" t="s">
        <v>262</v>
      </c>
      <c r="C49" s="110"/>
      <c r="D49" s="110" t="s">
        <v>154</v>
      </c>
      <c r="E49" s="110" t="s">
        <v>73</v>
      </c>
      <c r="F49" s="110"/>
      <c r="G49" s="111"/>
      <c r="H49" s="111"/>
      <c r="I49" s="112">
        <v>513.33000000000004</v>
      </c>
      <c r="J49" s="179">
        <v>653.33000000000004</v>
      </c>
      <c r="K49" s="112">
        <f t="shared" si="42"/>
        <v>1166.6600000000001</v>
      </c>
      <c r="L49" s="112">
        <v>16406.939999999999</v>
      </c>
      <c r="M49" s="112"/>
      <c r="N49" s="113"/>
      <c r="O49" s="113"/>
      <c r="P49" s="114"/>
      <c r="Q49" s="115">
        <f t="shared" si="43"/>
        <v>17573.599999999999</v>
      </c>
      <c r="R49" s="116"/>
      <c r="S49" s="117"/>
      <c r="T49" s="117">
        <v>0</v>
      </c>
      <c r="U49" s="117"/>
      <c r="V49" s="117"/>
      <c r="W49" s="117"/>
      <c r="X49" s="118"/>
      <c r="Y49" s="118"/>
      <c r="Z49" s="119"/>
      <c r="AA49" s="119">
        <v>0</v>
      </c>
      <c r="AB49" s="115">
        <f t="shared" si="44"/>
        <v>17573.599999999999</v>
      </c>
      <c r="AC49" s="120">
        <f t="shared" si="8"/>
        <v>1757.36</v>
      </c>
      <c r="AD49" s="115">
        <f t="shared" si="45"/>
        <v>15816.239999999998</v>
      </c>
      <c r="AE49" s="121">
        <f t="shared" si="46"/>
        <v>0</v>
      </c>
      <c r="AF49" s="120">
        <v>10.23</v>
      </c>
      <c r="AG49" s="120">
        <f t="shared" si="47"/>
        <v>0</v>
      </c>
      <c r="AH49" s="122">
        <f t="shared" si="48"/>
        <v>17583.829999999998</v>
      </c>
      <c r="AI49" s="207">
        <v>577.35</v>
      </c>
      <c r="AJ49" s="211">
        <v>15238.89</v>
      </c>
      <c r="AK49" s="194">
        <f t="shared" si="7"/>
        <v>0</v>
      </c>
      <c r="AL49" s="124"/>
      <c r="AM49" s="124"/>
    </row>
    <row r="50" spans="1:193">
      <c r="A50" s="124" t="s">
        <v>94</v>
      </c>
      <c r="B50" s="110" t="s">
        <v>192</v>
      </c>
      <c r="C50" s="110"/>
      <c r="D50" s="110" t="s">
        <v>132</v>
      </c>
      <c r="E50" s="110" t="s">
        <v>174</v>
      </c>
      <c r="F50" s="110"/>
      <c r="G50" s="111"/>
      <c r="H50" s="111"/>
      <c r="I50" s="112">
        <v>543.20000000000005</v>
      </c>
      <c r="J50" s="177"/>
      <c r="K50" s="112">
        <f t="shared" si="42"/>
        <v>543.20000000000005</v>
      </c>
      <c r="L50" s="112">
        <v>241</v>
      </c>
      <c r="M50" s="112"/>
      <c r="N50" s="113"/>
      <c r="O50" s="113"/>
      <c r="P50" s="114"/>
      <c r="Q50" s="115">
        <f t="shared" si="43"/>
        <v>784.2</v>
      </c>
      <c r="R50" s="116"/>
      <c r="S50" s="117"/>
      <c r="T50" s="126">
        <v>100</v>
      </c>
      <c r="U50" s="126">
        <f>Q50*4.9%</f>
        <v>38.425800000000002</v>
      </c>
      <c r="V50" s="126">
        <f>Q50*1%</f>
        <v>7.8420000000000005</v>
      </c>
      <c r="W50" s="117"/>
      <c r="X50" s="118"/>
      <c r="Y50" s="118"/>
      <c r="Z50" s="119"/>
      <c r="AA50" s="119">
        <v>0</v>
      </c>
      <c r="AB50" s="115">
        <f t="shared" si="44"/>
        <v>637.93219999999997</v>
      </c>
      <c r="AC50" s="120">
        <f t="shared" si="8"/>
        <v>0</v>
      </c>
      <c r="AD50" s="115">
        <f t="shared" si="45"/>
        <v>637.93219999999997</v>
      </c>
      <c r="AE50" s="121">
        <f t="shared" si="46"/>
        <v>78.420000000000016</v>
      </c>
      <c r="AF50" s="120">
        <v>10.23</v>
      </c>
      <c r="AG50" s="120">
        <f t="shared" si="47"/>
        <v>38.425800000000002</v>
      </c>
      <c r="AH50" s="122">
        <f t="shared" si="48"/>
        <v>911.27580000000012</v>
      </c>
      <c r="AI50" s="206">
        <v>577.35</v>
      </c>
      <c r="AJ50" s="209">
        <v>60.58</v>
      </c>
      <c r="AK50" s="194">
        <f t="shared" si="7"/>
        <v>-2.1999999999025022E-3</v>
      </c>
      <c r="AL50" s="124"/>
      <c r="AM50" s="124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s="39" customFormat="1">
      <c r="A51" s="124" t="s">
        <v>94</v>
      </c>
      <c r="B51" s="124" t="s">
        <v>264</v>
      </c>
      <c r="C51" s="124"/>
      <c r="D51" s="124" t="s">
        <v>265</v>
      </c>
      <c r="E51" s="110" t="s">
        <v>181</v>
      </c>
      <c r="F51" s="124"/>
      <c r="G51" s="124"/>
      <c r="H51" s="124"/>
      <c r="I51" s="128">
        <v>608.16</v>
      </c>
      <c r="J51" s="178"/>
      <c r="K51" s="128">
        <f t="shared" si="42"/>
        <v>608.16</v>
      </c>
      <c r="L51" s="128">
        <f>2700.21+2.59</f>
        <v>2702.8</v>
      </c>
      <c r="M51" s="128"/>
      <c r="N51" s="128"/>
      <c r="O51" s="128"/>
      <c r="P51" s="114"/>
      <c r="Q51" s="115">
        <f t="shared" si="43"/>
        <v>3310.96</v>
      </c>
      <c r="R51" s="116"/>
      <c r="S51" s="117"/>
      <c r="T51" s="117">
        <v>0</v>
      </c>
      <c r="U51" s="126">
        <f>Q51*4.9%</f>
        <v>162.23704000000001</v>
      </c>
      <c r="V51" s="126">
        <f>Q51*1%</f>
        <v>33.1096</v>
      </c>
      <c r="W51" s="117"/>
      <c r="X51" s="118"/>
      <c r="Y51" s="118"/>
      <c r="Z51" s="119"/>
      <c r="AA51" s="119">
        <v>0</v>
      </c>
      <c r="AB51" s="115">
        <f t="shared" si="44"/>
        <v>3115.6133599999998</v>
      </c>
      <c r="AC51" s="120">
        <f t="shared" si="8"/>
        <v>331.096</v>
      </c>
      <c r="AD51" s="115">
        <f t="shared" si="45"/>
        <v>2784.5173599999998</v>
      </c>
      <c r="AE51" s="121">
        <f t="shared" si="46"/>
        <v>331.096</v>
      </c>
      <c r="AF51" s="120">
        <v>10.23</v>
      </c>
      <c r="AG51" s="120">
        <f t="shared" si="47"/>
        <v>162.23704000000001</v>
      </c>
      <c r="AH51" s="122">
        <f t="shared" si="48"/>
        <v>3814.52304</v>
      </c>
      <c r="AI51" s="209">
        <v>577.35</v>
      </c>
      <c r="AJ51" s="211">
        <v>2207.17</v>
      </c>
      <c r="AK51" s="194">
        <f t="shared" si="7"/>
        <v>2.640000000155851E-3</v>
      </c>
      <c r="AL51" s="124">
        <v>2948910731</v>
      </c>
      <c r="AM51" s="129"/>
    </row>
    <row r="52" spans="1:193">
      <c r="A52" s="124" t="s">
        <v>94</v>
      </c>
      <c r="B52" s="110" t="s">
        <v>194</v>
      </c>
      <c r="C52" s="110"/>
      <c r="D52" s="110" t="s">
        <v>133</v>
      </c>
      <c r="E52" s="110" t="s">
        <v>177</v>
      </c>
      <c r="F52" s="110"/>
      <c r="G52" s="111"/>
      <c r="H52" s="111"/>
      <c r="I52" s="112">
        <v>608.16</v>
      </c>
      <c r="J52" s="177"/>
      <c r="K52" s="112">
        <f t="shared" si="42"/>
        <v>608.16</v>
      </c>
      <c r="L52" s="112">
        <f>1958.71+2.97</f>
        <v>1961.68</v>
      </c>
      <c r="M52" s="112"/>
      <c r="N52" s="113"/>
      <c r="O52" s="113"/>
      <c r="P52" s="114"/>
      <c r="Q52" s="115">
        <f t="shared" si="43"/>
        <v>2569.84</v>
      </c>
      <c r="R52" s="116"/>
      <c r="S52" s="117"/>
      <c r="T52" s="117"/>
      <c r="U52" s="126">
        <f>Q52*4.9%</f>
        <v>125.92216000000001</v>
      </c>
      <c r="V52" s="126">
        <f>Q52*1%</f>
        <v>25.698400000000003</v>
      </c>
      <c r="W52" s="117"/>
      <c r="X52" s="118"/>
      <c r="Y52" s="118"/>
      <c r="Z52" s="119"/>
      <c r="AA52" s="119">
        <v>0</v>
      </c>
      <c r="AB52" s="115">
        <f t="shared" si="44"/>
        <v>2418.2194400000003</v>
      </c>
      <c r="AC52" s="120">
        <f t="shared" si="8"/>
        <v>256.98400000000004</v>
      </c>
      <c r="AD52" s="115">
        <f t="shared" si="45"/>
        <v>2161.2354400000004</v>
      </c>
      <c r="AE52" s="121">
        <f t="shared" si="46"/>
        <v>256.98400000000004</v>
      </c>
      <c r="AF52" s="120">
        <v>10.23</v>
      </c>
      <c r="AG52" s="120">
        <f t="shared" si="47"/>
        <v>125.92216000000001</v>
      </c>
      <c r="AH52" s="122">
        <f t="shared" si="48"/>
        <v>2962.9761600000002</v>
      </c>
      <c r="AI52" s="206">
        <v>577.35</v>
      </c>
      <c r="AJ52" s="208">
        <v>1583.89</v>
      </c>
      <c r="AK52" s="194">
        <f t="shared" si="7"/>
        <v>4.5599999998557905E-3</v>
      </c>
      <c r="AL52" s="124"/>
      <c r="AM52" s="124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4" t="s">
        <v>92</v>
      </c>
      <c r="B53" s="110" t="s">
        <v>233</v>
      </c>
      <c r="C53" s="110"/>
      <c r="D53" s="110" t="s">
        <v>102</v>
      </c>
      <c r="E53" s="110" t="s">
        <v>163</v>
      </c>
      <c r="F53" s="110"/>
      <c r="G53" s="110"/>
      <c r="H53" s="110"/>
      <c r="I53" s="112">
        <v>739.23</v>
      </c>
      <c r="J53" s="180"/>
      <c r="K53" s="112">
        <f t="shared" si="42"/>
        <v>739.23</v>
      </c>
      <c r="L53" s="112">
        <f>2866.06+13.09</f>
        <v>2879.15</v>
      </c>
      <c r="M53" s="112"/>
      <c r="N53" s="112"/>
      <c r="O53" s="112"/>
      <c r="P53" s="114"/>
      <c r="Q53" s="115">
        <f t="shared" si="43"/>
        <v>3618.38</v>
      </c>
      <c r="R53" s="116"/>
      <c r="S53" s="117"/>
      <c r="T53" s="117">
        <v>0</v>
      </c>
      <c r="U53" s="117"/>
      <c r="V53" s="117"/>
      <c r="W53" s="117"/>
      <c r="X53" s="118"/>
      <c r="Y53" s="118"/>
      <c r="Z53" s="119"/>
      <c r="AA53" s="119">
        <v>0</v>
      </c>
      <c r="AB53" s="115">
        <f t="shared" si="44"/>
        <v>3618.38</v>
      </c>
      <c r="AC53" s="120">
        <f t="shared" si="8"/>
        <v>361.83800000000002</v>
      </c>
      <c r="AD53" s="115">
        <f t="shared" si="45"/>
        <v>3256.5419999999999</v>
      </c>
      <c r="AE53" s="121">
        <f t="shared" si="46"/>
        <v>0</v>
      </c>
      <c r="AF53" s="120">
        <v>10.23</v>
      </c>
      <c r="AG53" s="120">
        <f t="shared" si="47"/>
        <v>0</v>
      </c>
      <c r="AH53" s="122">
        <f t="shared" si="48"/>
        <v>3628.61</v>
      </c>
      <c r="AI53" s="209">
        <v>577.35</v>
      </c>
      <c r="AJ53" s="211">
        <v>2679.19</v>
      </c>
      <c r="AK53" s="194">
        <f t="shared" si="7"/>
        <v>-1.9999999999527063E-3</v>
      </c>
      <c r="AL53" s="124"/>
      <c r="AM53" s="124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 s="61" customFormat="1">
      <c r="A54" s="124" t="s">
        <v>94</v>
      </c>
      <c r="B54" s="124" t="s">
        <v>334</v>
      </c>
      <c r="C54" s="124"/>
      <c r="D54" s="124"/>
      <c r="E54" s="124" t="s">
        <v>163</v>
      </c>
      <c r="F54" s="127">
        <v>42416</v>
      </c>
      <c r="G54" s="124"/>
      <c r="H54" s="124"/>
      <c r="I54" s="128">
        <v>739.23</v>
      </c>
      <c r="J54" s="178"/>
      <c r="K54" s="112">
        <f t="shared" si="42"/>
        <v>739.23</v>
      </c>
      <c r="L54" s="128">
        <f>1701.17+7.42</f>
        <v>1708.5900000000001</v>
      </c>
      <c r="M54" s="128"/>
      <c r="N54" s="128"/>
      <c r="O54" s="128"/>
      <c r="P54" s="114"/>
      <c r="Q54" s="115">
        <f t="shared" si="43"/>
        <v>2447.8200000000002</v>
      </c>
      <c r="R54" s="116"/>
      <c r="S54" s="117"/>
      <c r="T54" s="117">
        <v>0</v>
      </c>
      <c r="U54" s="117"/>
      <c r="V54" s="126">
        <f>Q54*1%</f>
        <v>24.478200000000001</v>
      </c>
      <c r="W54" s="117"/>
      <c r="X54" s="118"/>
      <c r="Y54" s="118"/>
      <c r="Z54" s="119"/>
      <c r="AA54" s="119">
        <v>0</v>
      </c>
      <c r="AB54" s="115">
        <f t="shared" si="44"/>
        <v>2423.3418000000001</v>
      </c>
      <c r="AC54" s="120">
        <f t="shared" si="8"/>
        <v>244.78200000000004</v>
      </c>
      <c r="AD54" s="115">
        <f t="shared" si="45"/>
        <v>2178.5598</v>
      </c>
      <c r="AE54" s="121">
        <f t="shared" si="46"/>
        <v>244.78200000000004</v>
      </c>
      <c r="AF54" s="120">
        <v>10.23</v>
      </c>
      <c r="AG54" s="120">
        <f t="shared" si="47"/>
        <v>0</v>
      </c>
      <c r="AH54" s="122">
        <f t="shared" si="48"/>
        <v>2702.8320000000003</v>
      </c>
      <c r="AI54" s="206">
        <v>577.35</v>
      </c>
      <c r="AJ54" s="208">
        <v>1601.21</v>
      </c>
      <c r="AK54" s="194">
        <f t="shared" si="7"/>
        <v>1.9999999994979589E-4</v>
      </c>
      <c r="AL54" s="124">
        <v>1296641458</v>
      </c>
      <c r="AM54" s="12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s="39" customFormat="1">
      <c r="A55" s="124" t="s">
        <v>92</v>
      </c>
      <c r="B55" s="124" t="s">
        <v>315</v>
      </c>
      <c r="C55" s="124"/>
      <c r="D55" s="124"/>
      <c r="E55" s="124" t="s">
        <v>164</v>
      </c>
      <c r="F55" s="127">
        <v>42471</v>
      </c>
      <c r="G55" s="124"/>
      <c r="H55" s="124"/>
      <c r="I55" s="128">
        <v>739.23</v>
      </c>
      <c r="J55" s="178"/>
      <c r="K55" s="128">
        <f t="shared" si="42"/>
        <v>739.23</v>
      </c>
      <c r="L55" s="128">
        <f>2686.55+7.42</f>
        <v>2693.9700000000003</v>
      </c>
      <c r="M55" s="128"/>
      <c r="N55" s="128"/>
      <c r="O55" s="128"/>
      <c r="P55" s="114"/>
      <c r="Q55" s="115">
        <f t="shared" si="43"/>
        <v>3433.2000000000003</v>
      </c>
      <c r="R55" s="116"/>
      <c r="S55" s="164"/>
      <c r="T55" s="164"/>
      <c r="U55" s="164"/>
      <c r="V55" s="164"/>
      <c r="W55" s="164"/>
      <c r="X55" s="165"/>
      <c r="Y55" s="165"/>
      <c r="Z55" s="149"/>
      <c r="AA55" s="149">
        <v>0</v>
      </c>
      <c r="AB55" s="115">
        <f t="shared" si="44"/>
        <v>3433.2000000000003</v>
      </c>
      <c r="AC55" s="120">
        <f t="shared" ref="AC55" si="54">IF(Q55&gt;2250,Q55*0.1,0)</f>
        <v>343.32000000000005</v>
      </c>
      <c r="AD55" s="115">
        <f t="shared" si="45"/>
        <v>3089.88</v>
      </c>
      <c r="AE55" s="121">
        <f t="shared" si="46"/>
        <v>343.32000000000005</v>
      </c>
      <c r="AF55" s="120">
        <v>10.23</v>
      </c>
      <c r="AG55" s="120">
        <f t="shared" ref="AG55" si="55">+U55</f>
        <v>0</v>
      </c>
      <c r="AH55" s="122">
        <f t="shared" si="48"/>
        <v>3786.7500000000005</v>
      </c>
      <c r="AI55" s="209">
        <v>577.35</v>
      </c>
      <c r="AJ55" s="211">
        <v>2512.5300000000002</v>
      </c>
      <c r="AK55" s="194">
        <f t="shared" si="7"/>
        <v>0</v>
      </c>
      <c r="AL55" s="124">
        <v>2777556799</v>
      </c>
      <c r="AM55" s="129"/>
    </row>
    <row r="56" spans="1:193">
      <c r="A56" s="124" t="s">
        <v>93</v>
      </c>
      <c r="B56" s="124" t="s">
        <v>200</v>
      </c>
      <c r="C56" s="124"/>
      <c r="D56" s="124"/>
      <c r="E56" s="124" t="s">
        <v>171</v>
      </c>
      <c r="F56" s="127">
        <v>42413</v>
      </c>
      <c r="G56" s="124"/>
      <c r="H56" s="124"/>
      <c r="I56" s="128">
        <f>1237.24/15*7</f>
        <v>577.37866666666673</v>
      </c>
      <c r="J56" s="198">
        <v>1047.6199999999999</v>
      </c>
      <c r="K56" s="128">
        <f t="shared" si="42"/>
        <v>1624.9986666666666</v>
      </c>
      <c r="L56" s="128"/>
      <c r="M56" s="128"/>
      <c r="N56" s="128"/>
      <c r="O56" s="128"/>
      <c r="P56" s="114"/>
      <c r="Q56" s="115">
        <f t="shared" si="43"/>
        <v>1624.9986666666666</v>
      </c>
      <c r="R56" s="116"/>
      <c r="S56" s="117"/>
      <c r="T56" s="117">
        <v>0</v>
      </c>
      <c r="U56" s="117"/>
      <c r="V56" s="117"/>
      <c r="W56" s="117"/>
      <c r="X56" s="118"/>
      <c r="Y56" s="118"/>
      <c r="Z56" s="119"/>
      <c r="AA56" s="119">
        <v>0</v>
      </c>
      <c r="AB56" s="115">
        <f t="shared" si="44"/>
        <v>1624.9986666666666</v>
      </c>
      <c r="AC56" s="120">
        <f t="shared" si="8"/>
        <v>0</v>
      </c>
      <c r="AD56" s="115">
        <f t="shared" si="45"/>
        <v>1624.9986666666666</v>
      </c>
      <c r="AE56" s="121">
        <f t="shared" si="46"/>
        <v>162.49986666666666</v>
      </c>
      <c r="AF56" s="120">
        <v>10.23</v>
      </c>
      <c r="AG56" s="120">
        <f t="shared" si="47"/>
        <v>0</v>
      </c>
      <c r="AH56" s="122">
        <f t="shared" si="48"/>
        <v>1797.7285333333334</v>
      </c>
      <c r="AI56" s="206">
        <v>577.35</v>
      </c>
      <c r="AJ56" s="208">
        <v>1047.6500000000001</v>
      </c>
      <c r="AK56" s="194">
        <f t="shared" si="7"/>
        <v>1.3333333333775954E-3</v>
      </c>
      <c r="AL56" s="124"/>
      <c r="AM56" s="12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71</v>
      </c>
      <c r="B57" s="110" t="s">
        <v>326</v>
      </c>
      <c r="C57" s="110" t="s">
        <v>254</v>
      </c>
      <c r="D57" s="110" t="s">
        <v>153</v>
      </c>
      <c r="E57" s="110" t="s">
        <v>73</v>
      </c>
      <c r="F57" s="110"/>
      <c r="G57" s="111"/>
      <c r="H57" s="111"/>
      <c r="I57" s="112">
        <v>513.33000000000004</v>
      </c>
      <c r="J57" s="179">
        <v>653.33000000000004</v>
      </c>
      <c r="K57" s="112">
        <f t="shared" si="42"/>
        <v>1166.6600000000001</v>
      </c>
      <c r="L57" s="112">
        <v>2402.31</v>
      </c>
      <c r="M57" s="112"/>
      <c r="N57" s="113"/>
      <c r="O57" s="113"/>
      <c r="P57" s="114"/>
      <c r="Q57" s="115">
        <f t="shared" si="43"/>
        <v>3568.9700000000003</v>
      </c>
      <c r="R57" s="116"/>
      <c r="S57" s="117">
        <v>58.91</v>
      </c>
      <c r="T57" s="117">
        <v>0</v>
      </c>
      <c r="U57" s="117"/>
      <c r="V57" s="117"/>
      <c r="W57" s="117"/>
      <c r="X57" s="118"/>
      <c r="Y57" s="118"/>
      <c r="Z57" s="119"/>
      <c r="AA57" s="119">
        <v>0</v>
      </c>
      <c r="AB57" s="115">
        <f t="shared" si="44"/>
        <v>3510.0600000000004</v>
      </c>
      <c r="AC57" s="120">
        <f t="shared" si="8"/>
        <v>356.89700000000005</v>
      </c>
      <c r="AD57" s="115">
        <f t="shared" si="45"/>
        <v>3153.1630000000005</v>
      </c>
      <c r="AE57" s="121">
        <f t="shared" si="46"/>
        <v>0</v>
      </c>
      <c r="AF57" s="120">
        <v>10.23</v>
      </c>
      <c r="AG57" s="120">
        <f t="shared" si="47"/>
        <v>0</v>
      </c>
      <c r="AH57" s="122">
        <f t="shared" si="48"/>
        <v>3579.2000000000003</v>
      </c>
      <c r="AI57" s="209">
        <v>577.35</v>
      </c>
      <c r="AJ57" s="211">
        <v>2575.81</v>
      </c>
      <c r="AK57" s="194">
        <f t="shared" si="7"/>
        <v>-3.0000000006111804E-3</v>
      </c>
      <c r="AL57" s="124"/>
      <c r="AM57" s="124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4" t="s">
        <v>71</v>
      </c>
      <c r="B58" s="110" t="s">
        <v>335</v>
      </c>
      <c r="C58" s="110" t="s">
        <v>251</v>
      </c>
      <c r="D58" s="110">
        <v>30</v>
      </c>
      <c r="E58" s="110" t="s">
        <v>73</v>
      </c>
      <c r="F58" s="110"/>
      <c r="G58" s="111"/>
      <c r="H58" s="111"/>
      <c r="I58" s="128">
        <v>513.33000000000004</v>
      </c>
      <c r="J58" s="179">
        <v>653.33000000000004</v>
      </c>
      <c r="K58" s="112">
        <f t="shared" si="42"/>
        <v>1166.6600000000001</v>
      </c>
      <c r="L58" s="112">
        <v>3276.06</v>
      </c>
      <c r="M58" s="112"/>
      <c r="N58" s="113"/>
      <c r="O58" s="113"/>
      <c r="P58" s="114"/>
      <c r="Q58" s="115">
        <f t="shared" si="43"/>
        <v>4442.72</v>
      </c>
      <c r="R58" s="116"/>
      <c r="S58" s="117"/>
      <c r="T58" s="117">
        <v>0</v>
      </c>
      <c r="U58" s="117"/>
      <c r="V58" s="117"/>
      <c r="W58" s="117"/>
      <c r="X58" s="118"/>
      <c r="Y58" s="118"/>
      <c r="Z58" s="119"/>
      <c r="AA58" s="119">
        <v>0</v>
      </c>
      <c r="AB58" s="115">
        <f t="shared" si="44"/>
        <v>4442.72</v>
      </c>
      <c r="AC58" s="120">
        <f t="shared" si="8"/>
        <v>444.27200000000005</v>
      </c>
      <c r="AD58" s="115">
        <f t="shared" si="45"/>
        <v>3998.4480000000003</v>
      </c>
      <c r="AE58" s="121">
        <f t="shared" si="46"/>
        <v>0</v>
      </c>
      <c r="AF58" s="120">
        <v>10.23</v>
      </c>
      <c r="AG58" s="120">
        <f t="shared" si="47"/>
        <v>0</v>
      </c>
      <c r="AH58" s="122">
        <f t="shared" si="48"/>
        <v>4452.95</v>
      </c>
      <c r="AI58" s="206">
        <v>577.35</v>
      </c>
      <c r="AJ58" s="208">
        <v>3421.1</v>
      </c>
      <c r="AK58" s="194">
        <f t="shared" si="7"/>
        <v>1.9999999994979589E-3</v>
      </c>
      <c r="AL58" s="124"/>
      <c r="AM58" s="124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24" t="s">
        <v>71</v>
      </c>
      <c r="B59" s="110" t="s">
        <v>216</v>
      </c>
      <c r="C59" s="110" t="s">
        <v>249</v>
      </c>
      <c r="D59" s="110" t="s">
        <v>155</v>
      </c>
      <c r="E59" s="110" t="s">
        <v>73</v>
      </c>
      <c r="F59" s="132">
        <v>42408</v>
      </c>
      <c r="G59" s="111"/>
      <c r="H59" s="111"/>
      <c r="I59" s="112">
        <v>513.33000000000004</v>
      </c>
      <c r="J59" s="177">
        <v>653.33000000000004</v>
      </c>
      <c r="K59" s="112">
        <f t="shared" si="42"/>
        <v>1166.6600000000001</v>
      </c>
      <c r="L59" s="112">
        <v>10969.49</v>
      </c>
      <c r="M59" s="112"/>
      <c r="N59" s="113"/>
      <c r="O59" s="113"/>
      <c r="P59" s="114"/>
      <c r="Q59" s="115">
        <f t="shared" si="43"/>
        <v>12136.15</v>
      </c>
      <c r="R59" s="116"/>
      <c r="S59" s="117"/>
      <c r="T59" s="117">
        <v>0</v>
      </c>
      <c r="U59" s="117"/>
      <c r="V59" s="117"/>
      <c r="W59" s="117"/>
      <c r="X59" s="118"/>
      <c r="Y59" s="118"/>
      <c r="Z59" s="130"/>
      <c r="AA59" s="148">
        <v>875.69</v>
      </c>
      <c r="AB59" s="115">
        <f t="shared" si="44"/>
        <v>11260.46</v>
      </c>
      <c r="AC59" s="120">
        <f t="shared" si="8"/>
        <v>1213.615</v>
      </c>
      <c r="AD59" s="115">
        <f t="shared" si="45"/>
        <v>10046.844999999999</v>
      </c>
      <c r="AE59" s="121">
        <f t="shared" si="46"/>
        <v>0</v>
      </c>
      <c r="AF59" s="120">
        <v>10.23</v>
      </c>
      <c r="AG59" s="120">
        <f t="shared" si="47"/>
        <v>0</v>
      </c>
      <c r="AH59" s="122">
        <f t="shared" si="48"/>
        <v>12146.38</v>
      </c>
      <c r="AI59" s="209">
        <v>577.35</v>
      </c>
      <c r="AJ59" s="210">
        <v>9469.5</v>
      </c>
      <c r="AK59" s="194">
        <f t="shared" si="7"/>
        <v>5.0000000010186341E-3</v>
      </c>
      <c r="AL59" s="124"/>
      <c r="AM59" s="124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 s="84" customFormat="1">
      <c r="A60" s="124" t="s">
        <v>70</v>
      </c>
      <c r="B60" s="110" t="s">
        <v>225</v>
      </c>
      <c r="C60" s="124" t="s">
        <v>297</v>
      </c>
      <c r="D60" s="110" t="s">
        <v>124</v>
      </c>
      <c r="E60" s="110" t="s">
        <v>173</v>
      </c>
      <c r="F60" s="132">
        <v>42352</v>
      </c>
      <c r="G60" s="111"/>
      <c r="H60" s="111"/>
      <c r="I60" s="112">
        <v>513.33000000000004</v>
      </c>
      <c r="J60" s="178">
        <v>653.33000000000004</v>
      </c>
      <c r="K60" s="112">
        <f t="shared" si="42"/>
        <v>1166.6600000000001</v>
      </c>
      <c r="L60" s="112">
        <v>2931.12</v>
      </c>
      <c r="M60" s="112"/>
      <c r="N60" s="113"/>
      <c r="O60" s="113"/>
      <c r="P60" s="114"/>
      <c r="Q60" s="115">
        <f t="shared" si="43"/>
        <v>4097.78</v>
      </c>
      <c r="R60" s="116"/>
      <c r="S60" s="117"/>
      <c r="T60" s="117">
        <v>0</v>
      </c>
      <c r="U60" s="117"/>
      <c r="V60" s="117"/>
      <c r="W60" s="117"/>
      <c r="X60" s="131">
        <v>496.81</v>
      </c>
      <c r="Y60" s="118"/>
      <c r="Z60" s="119"/>
      <c r="AA60" s="119">
        <v>0</v>
      </c>
      <c r="AB60" s="115">
        <f t="shared" si="44"/>
        <v>3600.97</v>
      </c>
      <c r="AC60" s="120">
        <f t="shared" si="8"/>
        <v>409.77800000000002</v>
      </c>
      <c r="AD60" s="115">
        <f t="shared" si="45"/>
        <v>3191.192</v>
      </c>
      <c r="AE60" s="121">
        <f t="shared" si="46"/>
        <v>0</v>
      </c>
      <c r="AF60" s="120">
        <v>10.23</v>
      </c>
      <c r="AG60" s="120">
        <f t="shared" si="47"/>
        <v>0</v>
      </c>
      <c r="AH60" s="122">
        <f t="shared" si="48"/>
        <v>4108.0099999999993</v>
      </c>
      <c r="AI60" s="206">
        <v>80.540000000000006</v>
      </c>
      <c r="AJ60" s="208">
        <v>3110.65</v>
      </c>
      <c r="AK60" s="194">
        <f t="shared" si="7"/>
        <v>-1.9999999999527063E-3</v>
      </c>
      <c r="AL60" s="124"/>
      <c r="AM60" s="124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94</v>
      </c>
      <c r="B61" s="124" t="s">
        <v>301</v>
      </c>
      <c r="C61" s="124"/>
      <c r="D61" s="124"/>
      <c r="E61" s="124" t="s">
        <v>174</v>
      </c>
      <c r="F61" s="127">
        <v>42444</v>
      </c>
      <c r="G61" s="124"/>
      <c r="H61" s="124"/>
      <c r="I61" s="128">
        <v>608.16</v>
      </c>
      <c r="J61" s="177"/>
      <c r="K61" s="128">
        <f t="shared" si="42"/>
        <v>608.16</v>
      </c>
      <c r="L61" s="128">
        <v>645.29999999999995</v>
      </c>
      <c r="M61" s="128"/>
      <c r="N61" s="128"/>
      <c r="O61" s="128"/>
      <c r="P61" s="114"/>
      <c r="Q61" s="115">
        <f t="shared" si="43"/>
        <v>1253.46</v>
      </c>
      <c r="R61" s="116"/>
      <c r="S61" s="117"/>
      <c r="T61" s="117"/>
      <c r="U61" s="117"/>
      <c r="V61" s="117"/>
      <c r="W61" s="117"/>
      <c r="X61" s="118"/>
      <c r="Y61" s="118"/>
      <c r="Z61" s="119"/>
      <c r="AA61" s="119">
        <v>0</v>
      </c>
      <c r="AB61" s="115">
        <f t="shared" si="44"/>
        <v>1253.46</v>
      </c>
      <c r="AC61" s="120">
        <f t="shared" si="8"/>
        <v>0</v>
      </c>
      <c r="AD61" s="115">
        <f t="shared" si="45"/>
        <v>1253.46</v>
      </c>
      <c r="AE61" s="121">
        <f t="shared" si="46"/>
        <v>125.346</v>
      </c>
      <c r="AF61" s="120">
        <v>10.23</v>
      </c>
      <c r="AG61" s="120">
        <f t="shared" si="47"/>
        <v>0</v>
      </c>
      <c r="AH61" s="122">
        <f t="shared" si="48"/>
        <v>1389.0360000000001</v>
      </c>
      <c r="AI61" s="209">
        <v>577.35</v>
      </c>
      <c r="AJ61" s="206">
        <v>676.11</v>
      </c>
      <c r="AK61" s="194">
        <f t="shared" si="7"/>
        <v>0</v>
      </c>
      <c r="AL61" s="147">
        <v>1159718206</v>
      </c>
      <c r="AM61" s="147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94</v>
      </c>
      <c r="B62" s="124" t="s">
        <v>344</v>
      </c>
      <c r="C62" s="124"/>
      <c r="D62" s="124"/>
      <c r="E62" s="124" t="s">
        <v>270</v>
      </c>
      <c r="F62" s="127">
        <v>42494</v>
      </c>
      <c r="G62" s="124"/>
      <c r="H62" s="124"/>
      <c r="I62" s="128"/>
      <c r="J62" s="178"/>
      <c r="K62" s="223">
        <v>942.85</v>
      </c>
      <c r="L62" s="128">
        <f>1575.3+7.42</f>
        <v>1582.72</v>
      </c>
      <c r="M62" s="128"/>
      <c r="N62" s="128"/>
      <c r="O62" s="128"/>
      <c r="P62" s="171"/>
      <c r="Q62" s="115">
        <f t="shared" si="43"/>
        <v>2525.5700000000002</v>
      </c>
      <c r="R62" s="116"/>
      <c r="S62" s="117"/>
      <c r="T62" s="117"/>
      <c r="U62" s="117"/>
      <c r="V62" s="117"/>
      <c r="W62" s="117"/>
      <c r="X62" s="118"/>
      <c r="Y62" s="118"/>
      <c r="Z62" s="119"/>
      <c r="AA62" s="119">
        <v>0</v>
      </c>
      <c r="AB62" s="115">
        <f t="shared" si="44"/>
        <v>2525.5700000000002</v>
      </c>
      <c r="AC62" s="120">
        <f t="shared" ref="AC62" si="56">IF(Q62&gt;2250,Q62*0.1,0)</f>
        <v>252.55700000000002</v>
      </c>
      <c r="AD62" s="115">
        <f t="shared" ref="AD62" si="57">+AB62-AC62</f>
        <v>2273.0129999999999</v>
      </c>
      <c r="AE62" s="121">
        <f t="shared" ref="AE62" si="58">IF(Q62&lt;3500,Q62*0.1,0)</f>
        <v>252.55700000000002</v>
      </c>
      <c r="AF62" s="120">
        <v>10.23</v>
      </c>
      <c r="AG62" s="120">
        <f t="shared" ref="AG62" si="59">+U62</f>
        <v>0</v>
      </c>
      <c r="AH62" s="122">
        <f t="shared" ref="AH62" si="60">+Q62+AE62+AF62+AG62</f>
        <v>2788.3570000000004</v>
      </c>
      <c r="AI62" s="206">
        <v>577.35</v>
      </c>
      <c r="AJ62" s="208">
        <v>1695.66</v>
      </c>
      <c r="AK62" s="194">
        <f t="shared" si="7"/>
        <v>-2.9999999997016857E-3</v>
      </c>
      <c r="AL62" s="147">
        <v>2858432805</v>
      </c>
      <c r="AM62" s="225" t="s">
        <v>363</v>
      </c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93</v>
      </c>
      <c r="B63" s="124" t="s">
        <v>295</v>
      </c>
      <c r="C63" s="124"/>
      <c r="D63" s="124" t="s">
        <v>296</v>
      </c>
      <c r="E63" s="124" t="s">
        <v>171</v>
      </c>
      <c r="F63" s="127"/>
      <c r="G63" s="124"/>
      <c r="H63" s="124"/>
      <c r="I63" s="128">
        <f>1237.24/15*7</f>
        <v>577.37866666666673</v>
      </c>
      <c r="J63" s="196">
        <v>1047.6199999999999</v>
      </c>
      <c r="K63" s="128">
        <f t="shared" si="42"/>
        <v>1624.9986666666666</v>
      </c>
      <c r="L63" s="128"/>
      <c r="M63" s="128"/>
      <c r="N63" s="128"/>
      <c r="O63" s="128"/>
      <c r="P63" s="114"/>
      <c r="Q63" s="115">
        <f t="shared" si="43"/>
        <v>1624.9986666666666</v>
      </c>
      <c r="R63" s="116"/>
      <c r="S63" s="117"/>
      <c r="T63" s="117"/>
      <c r="U63" s="117"/>
      <c r="V63" s="117"/>
      <c r="W63" s="117"/>
      <c r="X63" s="118"/>
      <c r="Y63" s="118"/>
      <c r="Z63" s="119"/>
      <c r="AA63" s="119">
        <v>0</v>
      </c>
      <c r="AB63" s="115">
        <f t="shared" si="44"/>
        <v>1624.9986666666666</v>
      </c>
      <c r="AC63" s="120">
        <f t="shared" si="8"/>
        <v>0</v>
      </c>
      <c r="AD63" s="115">
        <f t="shared" si="45"/>
        <v>1624.9986666666666</v>
      </c>
      <c r="AE63" s="121">
        <f t="shared" si="46"/>
        <v>162.49986666666666</v>
      </c>
      <c r="AF63" s="120">
        <v>10.23</v>
      </c>
      <c r="AG63" s="120">
        <f t="shared" si="47"/>
        <v>0</v>
      </c>
      <c r="AH63" s="122">
        <f t="shared" si="48"/>
        <v>1797.7285333333334</v>
      </c>
      <c r="AI63" s="209">
        <v>577.35</v>
      </c>
      <c r="AJ63" s="211">
        <v>1047.6500000000001</v>
      </c>
      <c r="AK63" s="194">
        <f t="shared" si="7"/>
        <v>1.3333333333775954E-3</v>
      </c>
      <c r="AL63" s="124"/>
      <c r="AM63" s="12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47" t="s">
        <v>71</v>
      </c>
      <c r="B64" s="110" t="s">
        <v>302</v>
      </c>
      <c r="C64" s="124" t="s">
        <v>297</v>
      </c>
      <c r="D64" s="138" t="s">
        <v>291</v>
      </c>
      <c r="E64" s="124" t="s">
        <v>173</v>
      </c>
      <c r="F64" s="110"/>
      <c r="G64" s="110"/>
      <c r="H64" s="110"/>
      <c r="I64" s="112">
        <v>513.33000000000004</v>
      </c>
      <c r="J64" s="197">
        <v>653.33000000000004</v>
      </c>
      <c r="K64" s="112">
        <f t="shared" si="42"/>
        <v>1166.6600000000001</v>
      </c>
      <c r="L64" s="128">
        <v>4000</v>
      </c>
      <c r="M64" s="112"/>
      <c r="N64" s="112"/>
      <c r="O64" s="112"/>
      <c r="P64" s="114"/>
      <c r="Q64" s="115">
        <f t="shared" si="43"/>
        <v>5166.66</v>
      </c>
      <c r="R64" s="116"/>
      <c r="S64" s="117"/>
      <c r="T64" s="117"/>
      <c r="U64" s="117"/>
      <c r="V64" s="117"/>
      <c r="W64" s="117"/>
      <c r="X64" s="118"/>
      <c r="Y64" s="118"/>
      <c r="Z64" s="119"/>
      <c r="AA64" s="119">
        <v>0</v>
      </c>
      <c r="AB64" s="115">
        <f t="shared" si="44"/>
        <v>5166.66</v>
      </c>
      <c r="AC64" s="120">
        <f t="shared" si="8"/>
        <v>516.66600000000005</v>
      </c>
      <c r="AD64" s="115">
        <f t="shared" si="45"/>
        <v>4649.9939999999997</v>
      </c>
      <c r="AE64" s="121">
        <f t="shared" si="46"/>
        <v>0</v>
      </c>
      <c r="AF64" s="120">
        <v>10.23</v>
      </c>
      <c r="AG64" s="120">
        <f t="shared" si="47"/>
        <v>0</v>
      </c>
      <c r="AH64" s="122">
        <f t="shared" si="48"/>
        <v>5176.8899999999994</v>
      </c>
      <c r="AI64" s="206">
        <v>577.35</v>
      </c>
      <c r="AJ64" s="208">
        <v>4072.64</v>
      </c>
      <c r="AK64" s="194">
        <f t="shared" si="7"/>
        <v>-3.9999999999054126E-3</v>
      </c>
      <c r="AL64" s="124"/>
      <c r="AM64" s="124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>
      <c r="A65" s="124" t="s">
        <v>71</v>
      </c>
      <c r="B65" s="110" t="s">
        <v>263</v>
      </c>
      <c r="C65" s="110" t="s">
        <v>251</v>
      </c>
      <c r="D65" s="110" t="s">
        <v>156</v>
      </c>
      <c r="E65" s="110" t="s">
        <v>73</v>
      </c>
      <c r="F65" s="110"/>
      <c r="G65" s="111"/>
      <c r="H65" s="111"/>
      <c r="I65" s="112">
        <v>513.33000000000004</v>
      </c>
      <c r="J65" s="179">
        <v>653.33000000000004</v>
      </c>
      <c r="K65" s="112">
        <f t="shared" si="42"/>
        <v>1166.6600000000001</v>
      </c>
      <c r="L65" s="112"/>
      <c r="M65" s="112"/>
      <c r="N65" s="113"/>
      <c r="O65" s="113"/>
      <c r="P65" s="114"/>
      <c r="Q65" s="115">
        <f t="shared" si="43"/>
        <v>1166.6600000000001</v>
      </c>
      <c r="R65" s="116"/>
      <c r="S65" s="117"/>
      <c r="T65" s="117">
        <v>0</v>
      </c>
      <c r="U65" s="117"/>
      <c r="V65" s="117"/>
      <c r="W65" s="117"/>
      <c r="X65" s="131">
        <v>460.45</v>
      </c>
      <c r="Y65" s="118"/>
      <c r="Z65" s="119"/>
      <c r="AA65" s="125">
        <v>517.25</v>
      </c>
      <c r="AB65" s="115">
        <f t="shared" si="44"/>
        <v>188.96000000000004</v>
      </c>
      <c r="AC65" s="120">
        <f t="shared" si="8"/>
        <v>0</v>
      </c>
      <c r="AD65" s="115">
        <f t="shared" si="45"/>
        <v>188.96000000000004</v>
      </c>
      <c r="AE65" s="121">
        <f t="shared" si="46"/>
        <v>116.66600000000001</v>
      </c>
      <c r="AF65" s="120">
        <v>10.23</v>
      </c>
      <c r="AG65" s="120">
        <f t="shared" si="47"/>
        <v>0</v>
      </c>
      <c r="AH65" s="122">
        <f t="shared" si="48"/>
        <v>1293.556</v>
      </c>
      <c r="AI65" s="209">
        <v>116.9</v>
      </c>
      <c r="AJ65" s="206">
        <v>72.06</v>
      </c>
      <c r="AK65" s="194">
        <f t="shared" si="7"/>
        <v>0</v>
      </c>
      <c r="AL65" s="124"/>
      <c r="AM65" s="124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>
      <c r="A66" s="124" t="s">
        <v>94</v>
      </c>
      <c r="B66" s="110" t="s">
        <v>243</v>
      </c>
      <c r="C66" s="110"/>
      <c r="D66" s="110" t="s">
        <v>134</v>
      </c>
      <c r="E66" s="110" t="s">
        <v>178</v>
      </c>
      <c r="F66" s="110"/>
      <c r="G66" s="111"/>
      <c r="H66" s="111"/>
      <c r="I66" s="112">
        <v>1100</v>
      </c>
      <c r="J66" s="177"/>
      <c r="K66" s="112">
        <f t="shared" si="42"/>
        <v>1100</v>
      </c>
      <c r="L66" s="112">
        <v>393.9</v>
      </c>
      <c r="M66" s="112"/>
      <c r="N66" s="113"/>
      <c r="O66" s="113"/>
      <c r="P66" s="114"/>
      <c r="Q66" s="115">
        <f t="shared" si="43"/>
        <v>1493.9</v>
      </c>
      <c r="R66" s="116"/>
      <c r="S66" s="117"/>
      <c r="T66" s="126">
        <f>+Q66*1%</f>
        <v>14.939000000000002</v>
      </c>
      <c r="U66" s="126">
        <f>+Q66*4.9%</f>
        <v>73.201100000000011</v>
      </c>
      <c r="V66" s="117"/>
      <c r="W66" s="117"/>
      <c r="X66" s="118"/>
      <c r="Y66" s="118"/>
      <c r="Z66" s="119"/>
      <c r="AA66" s="119">
        <v>0</v>
      </c>
      <c r="AB66" s="115">
        <f t="shared" si="44"/>
        <v>1405.7599</v>
      </c>
      <c r="AC66" s="120">
        <f t="shared" si="8"/>
        <v>0</v>
      </c>
      <c r="AD66" s="115">
        <f t="shared" si="45"/>
        <v>1405.7599</v>
      </c>
      <c r="AE66" s="121">
        <f t="shared" si="46"/>
        <v>149.39000000000001</v>
      </c>
      <c r="AF66" s="120">
        <v>10.23</v>
      </c>
      <c r="AG66" s="120">
        <f t="shared" si="47"/>
        <v>73.201100000000011</v>
      </c>
      <c r="AH66" s="122">
        <f t="shared" si="48"/>
        <v>1726.7211000000002</v>
      </c>
      <c r="AI66" s="206">
        <v>577.35</v>
      </c>
      <c r="AJ66" s="209">
        <v>828.41</v>
      </c>
      <c r="AK66" s="194">
        <f t="shared" si="7"/>
        <v>9.9999999974897946E-5</v>
      </c>
      <c r="AL66" s="124"/>
      <c r="AM66" s="124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>
      <c r="A67" s="124" t="s">
        <v>92</v>
      </c>
      <c r="B67" s="110" t="s">
        <v>322</v>
      </c>
      <c r="C67" s="110"/>
      <c r="D67" s="110" t="s">
        <v>103</v>
      </c>
      <c r="E67" s="110" t="s">
        <v>163</v>
      </c>
      <c r="F67" s="110"/>
      <c r="G67" s="110"/>
      <c r="H67" s="110"/>
      <c r="I67" s="112">
        <v>739.23</v>
      </c>
      <c r="J67" s="180"/>
      <c r="K67" s="112">
        <f t="shared" si="42"/>
        <v>739.23</v>
      </c>
      <c r="L67" s="112">
        <f>1957.19+13.09</f>
        <v>1970.28</v>
      </c>
      <c r="M67" s="112"/>
      <c r="N67" s="112"/>
      <c r="O67" s="112"/>
      <c r="P67" s="114"/>
      <c r="Q67" s="115">
        <f t="shared" si="43"/>
        <v>2709.51</v>
      </c>
      <c r="R67" s="116"/>
      <c r="S67" s="117"/>
      <c r="T67" s="117">
        <v>0</v>
      </c>
      <c r="U67" s="117"/>
      <c r="V67" s="117"/>
      <c r="W67" s="117"/>
      <c r="X67" s="118"/>
      <c r="Y67" s="118"/>
      <c r="Z67" s="119"/>
      <c r="AA67" s="119">
        <v>0</v>
      </c>
      <c r="AB67" s="115">
        <f t="shared" si="44"/>
        <v>2709.51</v>
      </c>
      <c r="AC67" s="120">
        <f t="shared" si="8"/>
        <v>270.95100000000002</v>
      </c>
      <c r="AD67" s="115">
        <f t="shared" si="45"/>
        <v>2438.5590000000002</v>
      </c>
      <c r="AE67" s="121">
        <f t="shared" si="46"/>
        <v>270.95100000000002</v>
      </c>
      <c r="AF67" s="120">
        <v>10.23</v>
      </c>
      <c r="AG67" s="120">
        <f t="shared" si="47"/>
        <v>0</v>
      </c>
      <c r="AH67" s="122">
        <f t="shared" si="48"/>
        <v>2990.6910000000003</v>
      </c>
      <c r="AI67" s="209">
        <v>577.35</v>
      </c>
      <c r="AJ67" s="211">
        <v>1861.21</v>
      </c>
      <c r="AK67" s="194">
        <f t="shared" si="7"/>
        <v>9.9999999974897946E-4</v>
      </c>
      <c r="AL67" s="124"/>
      <c r="AM67" s="12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>
      <c r="A68" s="124" t="s">
        <v>94</v>
      </c>
      <c r="B68" s="110" t="s">
        <v>208</v>
      </c>
      <c r="C68" s="110"/>
      <c r="D68" s="110" t="s">
        <v>135</v>
      </c>
      <c r="E68" s="110" t="s">
        <v>179</v>
      </c>
      <c r="F68" s="110"/>
      <c r="G68" s="111"/>
      <c r="H68" s="111"/>
      <c r="I68" s="112">
        <v>623.36</v>
      </c>
      <c r="J68" s="177"/>
      <c r="K68" s="112">
        <f t="shared" si="42"/>
        <v>623.36</v>
      </c>
      <c r="L68" s="112">
        <f>3043.51+13.09</f>
        <v>3056.6000000000004</v>
      </c>
      <c r="M68" s="112"/>
      <c r="N68" s="113"/>
      <c r="O68" s="113"/>
      <c r="P68" s="114"/>
      <c r="Q68" s="115">
        <f t="shared" si="43"/>
        <v>3679.9600000000005</v>
      </c>
      <c r="R68" s="116"/>
      <c r="S68" s="117"/>
      <c r="T68" s="117"/>
      <c r="U68" s="126">
        <f>Q68*4.9%</f>
        <v>180.31804000000002</v>
      </c>
      <c r="V68" s="126">
        <f>Q68*1%</f>
        <v>36.799600000000005</v>
      </c>
      <c r="W68" s="117"/>
      <c r="X68" s="118"/>
      <c r="Y68" s="118"/>
      <c r="Z68" s="119"/>
      <c r="AA68" s="119">
        <v>0</v>
      </c>
      <c r="AB68" s="115">
        <f t="shared" si="44"/>
        <v>3462.8423600000006</v>
      </c>
      <c r="AC68" s="120">
        <f t="shared" si="8"/>
        <v>367.99600000000009</v>
      </c>
      <c r="AD68" s="115">
        <f t="shared" si="45"/>
        <v>3094.8463600000005</v>
      </c>
      <c r="AE68" s="121">
        <f t="shared" si="46"/>
        <v>0</v>
      </c>
      <c r="AF68" s="120">
        <v>10.23</v>
      </c>
      <c r="AG68" s="120">
        <f t="shared" si="47"/>
        <v>180.31804000000002</v>
      </c>
      <c r="AH68" s="122">
        <f t="shared" si="48"/>
        <v>3870.5080400000006</v>
      </c>
      <c r="AI68" s="206">
        <v>577.35</v>
      </c>
      <c r="AJ68" s="208">
        <v>2517.5</v>
      </c>
      <c r="AK68" s="194">
        <f t="shared" si="7"/>
        <v>3.6399999994500831E-3</v>
      </c>
      <c r="AL68" s="124"/>
      <c r="AM68" s="124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 s="39" customFormat="1">
      <c r="A69" s="124" t="s">
        <v>94</v>
      </c>
      <c r="B69" s="110" t="s">
        <v>199</v>
      </c>
      <c r="C69" s="110"/>
      <c r="D69" s="110" t="s">
        <v>136</v>
      </c>
      <c r="E69" s="110" t="s">
        <v>270</v>
      </c>
      <c r="F69" s="110"/>
      <c r="G69" s="111"/>
      <c r="H69" s="111"/>
      <c r="I69" s="112">
        <v>511.28</v>
      </c>
      <c r="J69" s="177"/>
      <c r="K69" s="112">
        <f t="shared" si="42"/>
        <v>511.28</v>
      </c>
      <c r="L69" s="112">
        <f>1922.4+7.42</f>
        <v>1929.8200000000002</v>
      </c>
      <c r="M69" s="112"/>
      <c r="N69" s="113"/>
      <c r="O69" s="113"/>
      <c r="P69" s="114"/>
      <c r="Q69" s="115">
        <f t="shared" si="43"/>
        <v>2441.1000000000004</v>
      </c>
      <c r="R69" s="116"/>
      <c r="S69" s="117"/>
      <c r="T69" s="126">
        <v>100</v>
      </c>
      <c r="U69" s="126">
        <f>Q69*4.9%</f>
        <v>119.61390000000003</v>
      </c>
      <c r="V69" s="126">
        <f>Q69*1%</f>
        <v>24.411000000000005</v>
      </c>
      <c r="W69" s="117"/>
      <c r="X69" s="118"/>
      <c r="Y69" s="118"/>
      <c r="Z69" s="119"/>
      <c r="AA69" s="119">
        <v>0</v>
      </c>
      <c r="AB69" s="115">
        <f t="shared" si="44"/>
        <v>2197.0751000000005</v>
      </c>
      <c r="AC69" s="120">
        <f t="shared" si="8"/>
        <v>244.11000000000004</v>
      </c>
      <c r="AD69" s="115">
        <f t="shared" si="45"/>
        <v>1952.9651000000003</v>
      </c>
      <c r="AE69" s="121">
        <f t="shared" si="46"/>
        <v>244.11000000000004</v>
      </c>
      <c r="AF69" s="120">
        <v>10.23</v>
      </c>
      <c r="AG69" s="120">
        <f t="shared" si="47"/>
        <v>119.61390000000003</v>
      </c>
      <c r="AH69" s="122">
        <f t="shared" si="48"/>
        <v>2815.0539000000003</v>
      </c>
      <c r="AI69" s="209">
        <v>577.35</v>
      </c>
      <c r="AJ69" s="211">
        <v>1375.62</v>
      </c>
      <c r="AK69" s="194">
        <f t="shared" si="7"/>
        <v>4.8999999994521204E-3</v>
      </c>
      <c r="AL69" s="124"/>
      <c r="AM69" s="124"/>
    </row>
    <row r="70" spans="1:193" s="39" customFormat="1">
      <c r="A70" s="124" t="s">
        <v>92</v>
      </c>
      <c r="B70" s="124" t="s">
        <v>338</v>
      </c>
      <c r="C70" s="124"/>
      <c r="D70" s="124"/>
      <c r="E70" s="124" t="s">
        <v>270</v>
      </c>
      <c r="F70" s="127">
        <v>42493</v>
      </c>
      <c r="G70" s="124"/>
      <c r="H70" s="124"/>
      <c r="I70" s="128">
        <v>1100</v>
      </c>
      <c r="J70" s="178"/>
      <c r="K70" s="128">
        <f t="shared" si="42"/>
        <v>1100</v>
      </c>
      <c r="L70" s="128">
        <f>1041.83+2.97</f>
        <v>1044.8</v>
      </c>
      <c r="M70" s="128"/>
      <c r="N70" s="128"/>
      <c r="O70" s="128"/>
      <c r="P70" s="171"/>
      <c r="Q70" s="115">
        <f t="shared" si="43"/>
        <v>2144.8000000000002</v>
      </c>
      <c r="R70" s="116"/>
      <c r="S70" s="117"/>
      <c r="T70" s="164"/>
      <c r="U70" s="164"/>
      <c r="V70" s="164"/>
      <c r="W70" s="164"/>
      <c r="X70" s="165"/>
      <c r="Y70" s="165"/>
      <c r="Z70" s="149"/>
      <c r="AA70" s="149">
        <v>0</v>
      </c>
      <c r="AB70" s="115">
        <f t="shared" si="44"/>
        <v>2144.8000000000002</v>
      </c>
      <c r="AC70" s="120">
        <f t="shared" ref="AC70" si="61">IF(Q70&gt;2250,Q70*0.1,0)</f>
        <v>0</v>
      </c>
      <c r="AD70" s="115">
        <f t="shared" ref="AD70" si="62">+AB70-AC70</f>
        <v>2144.8000000000002</v>
      </c>
      <c r="AE70" s="121">
        <f t="shared" ref="AE70" si="63">IF(Q70&lt;3500,Q70*0.1,0)</f>
        <v>214.48000000000002</v>
      </c>
      <c r="AF70" s="120">
        <v>10.23</v>
      </c>
      <c r="AG70" s="120">
        <f t="shared" ref="AG70" si="64">+U70</f>
        <v>0</v>
      </c>
      <c r="AH70" s="122">
        <f t="shared" ref="AH70" si="65">+Q70+AE70+AF70+AG70</f>
        <v>2369.5100000000002</v>
      </c>
      <c r="AI70" s="206">
        <v>577.35</v>
      </c>
      <c r="AJ70" s="208">
        <v>1567.45</v>
      </c>
      <c r="AK70" s="194">
        <f t="shared" si="7"/>
        <v>0</v>
      </c>
      <c r="AL70" s="124">
        <v>2999103732</v>
      </c>
      <c r="AM70" s="129"/>
    </row>
    <row r="71" spans="1:193">
      <c r="A71" s="124" t="s">
        <v>71</v>
      </c>
      <c r="B71" s="110" t="s">
        <v>287</v>
      </c>
      <c r="C71" s="110" t="s">
        <v>254</v>
      </c>
      <c r="D71" s="110" t="s">
        <v>157</v>
      </c>
      <c r="E71" s="110" t="s">
        <v>73</v>
      </c>
      <c r="F71" s="110"/>
      <c r="G71" s="111"/>
      <c r="H71" s="111"/>
      <c r="I71" s="112">
        <v>513.33000000000004</v>
      </c>
      <c r="J71" s="179">
        <v>653.33000000000004</v>
      </c>
      <c r="K71" s="112">
        <f t="shared" si="42"/>
        <v>1166.6600000000001</v>
      </c>
      <c r="L71" s="112">
        <v>3781.07</v>
      </c>
      <c r="M71" s="112"/>
      <c r="N71" s="113"/>
      <c r="O71" s="113"/>
      <c r="P71" s="114"/>
      <c r="Q71" s="115">
        <f>SUM(K71:O71)-P71</f>
        <v>4947.7300000000005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>+Q71-SUM(R71:AA71)</f>
        <v>4947.7300000000005</v>
      </c>
      <c r="AC71" s="120">
        <f>IF(Q71&gt;2250,Q71*0.1,0)</f>
        <v>494.77300000000008</v>
      </c>
      <c r="AD71" s="115">
        <f t="shared" si="45"/>
        <v>4452.9570000000003</v>
      </c>
      <c r="AE71" s="121">
        <f>IF(Q71&lt;3500,Q71*0.1,0)</f>
        <v>0</v>
      </c>
      <c r="AF71" s="120">
        <v>10.23</v>
      </c>
      <c r="AG71" s="120">
        <f t="shared" si="47"/>
        <v>0</v>
      </c>
      <c r="AH71" s="122">
        <f>+Q71+AE71+AF71+AG71</f>
        <v>4957.96</v>
      </c>
      <c r="AI71" s="209">
        <v>577.35</v>
      </c>
      <c r="AJ71" s="211">
        <v>3875.61</v>
      </c>
      <c r="AK71" s="194">
        <f t="shared" si="7"/>
        <v>2.9999999997016857E-3</v>
      </c>
      <c r="AL71" s="124"/>
      <c r="AM71" s="124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5"/>
      <c r="B72" s="125" t="s">
        <v>354</v>
      </c>
      <c r="C72" s="125"/>
      <c r="D72" s="125"/>
      <c r="E72" s="125" t="s">
        <v>72</v>
      </c>
      <c r="F72" s="212">
        <v>42506</v>
      </c>
      <c r="G72" s="125"/>
      <c r="H72" s="125"/>
      <c r="I72" s="126"/>
      <c r="J72" s="213"/>
      <c r="K72" s="126">
        <v>166.66</v>
      </c>
      <c r="L72" s="126"/>
      <c r="M72" s="126"/>
      <c r="N72" s="126"/>
      <c r="O72" s="126"/>
      <c r="P72" s="214"/>
      <c r="Q72" s="215">
        <f>SUM(K72:O72)-P72</f>
        <v>166.66</v>
      </c>
      <c r="R72" s="126"/>
      <c r="S72" s="126"/>
      <c r="T72" s="126"/>
      <c r="U72" s="126"/>
      <c r="V72" s="126"/>
      <c r="W72" s="126"/>
      <c r="X72" s="131"/>
      <c r="Y72" s="131"/>
      <c r="Z72" s="125"/>
      <c r="AA72" s="125">
        <v>0</v>
      </c>
      <c r="AB72" s="215">
        <f>+Q72-SUM(R72:AA72)</f>
        <v>166.66</v>
      </c>
      <c r="AC72" s="131">
        <f>IF(Q72&gt;2250,Q72*0.1,0)</f>
        <v>0</v>
      </c>
      <c r="AD72" s="215">
        <f t="shared" ref="AD72" si="66">+AB72-AC72</f>
        <v>166.66</v>
      </c>
      <c r="AE72" s="131">
        <f>IF(Q72&lt;3500,Q72*0.1,0)</f>
        <v>16.666</v>
      </c>
      <c r="AF72" s="131">
        <v>10.23</v>
      </c>
      <c r="AG72" s="131">
        <f t="shared" ref="AG72" si="67">+U72</f>
        <v>0</v>
      </c>
      <c r="AH72" s="215">
        <f>+Q72+AE72+AF72+AG72</f>
        <v>193.55599999999998</v>
      </c>
      <c r="AI72" s="216">
        <v>93.56</v>
      </c>
      <c r="AJ72" s="216">
        <v>73.099999999999994</v>
      </c>
      <c r="AK72" s="202">
        <f t="shared" si="7"/>
        <v>0</v>
      </c>
      <c r="AL72" s="219">
        <v>2928860106</v>
      </c>
      <c r="AM72" s="218" t="s">
        <v>353</v>
      </c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84" customFormat="1">
      <c r="A73" s="124" t="s">
        <v>92</v>
      </c>
      <c r="B73" s="110" t="s">
        <v>78</v>
      </c>
      <c r="C73" s="110"/>
      <c r="D73" s="110" t="s">
        <v>104</v>
      </c>
      <c r="E73" s="110" t="s">
        <v>164</v>
      </c>
      <c r="F73" s="110"/>
      <c r="G73" s="110"/>
      <c r="H73" s="111"/>
      <c r="I73" s="112">
        <v>739.23</v>
      </c>
      <c r="J73" s="177"/>
      <c r="K73" s="112">
        <f t="shared" si="42"/>
        <v>739.23</v>
      </c>
      <c r="L73" s="112">
        <f>4782.65+13.09</f>
        <v>4795.74</v>
      </c>
      <c r="M73" s="112"/>
      <c r="N73" s="134"/>
      <c r="O73" s="113"/>
      <c r="P73" s="114"/>
      <c r="Q73" s="115">
        <f t="shared" si="43"/>
        <v>5534.9699999999993</v>
      </c>
      <c r="R73" s="116"/>
      <c r="S73" s="117"/>
      <c r="T73" s="117">
        <v>0</v>
      </c>
      <c r="U73" s="117"/>
      <c r="V73" s="117"/>
      <c r="W73" s="117"/>
      <c r="X73" s="118"/>
      <c r="Y73" s="118"/>
      <c r="Z73" s="119"/>
      <c r="AA73" s="119">
        <v>0</v>
      </c>
      <c r="AB73" s="115">
        <f t="shared" si="44"/>
        <v>5534.9699999999993</v>
      </c>
      <c r="AC73" s="120">
        <f t="shared" si="8"/>
        <v>553.49699999999996</v>
      </c>
      <c r="AD73" s="115">
        <f t="shared" si="45"/>
        <v>4981.472999999999</v>
      </c>
      <c r="AE73" s="121">
        <f t="shared" si="46"/>
        <v>0</v>
      </c>
      <c r="AF73" s="120">
        <v>10.23</v>
      </c>
      <c r="AG73" s="120">
        <f t="shared" si="47"/>
        <v>0</v>
      </c>
      <c r="AH73" s="122">
        <f t="shared" si="48"/>
        <v>5545.1999999999989</v>
      </c>
      <c r="AI73" s="209">
        <v>577.35</v>
      </c>
      <c r="AJ73" s="211">
        <v>4404.12</v>
      </c>
      <c r="AK73" s="194">
        <f t="shared" si="7"/>
        <v>-2.999999998792191E-3</v>
      </c>
      <c r="AL73" s="124"/>
      <c r="AM73" s="12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s="39" customFormat="1">
      <c r="A74" s="124" t="s">
        <v>91</v>
      </c>
      <c r="B74" s="124" t="s">
        <v>314</v>
      </c>
      <c r="C74" s="124"/>
      <c r="D74" s="124"/>
      <c r="E74" s="124" t="s">
        <v>72</v>
      </c>
      <c r="F74" s="127">
        <v>42472</v>
      </c>
      <c r="G74" s="124"/>
      <c r="H74" s="124"/>
      <c r="I74" s="128">
        <v>1166.26</v>
      </c>
      <c r="J74" s="178"/>
      <c r="K74" s="128">
        <f t="shared" si="42"/>
        <v>1166.26</v>
      </c>
      <c r="L74" s="128">
        <v>651.86</v>
      </c>
      <c r="M74" s="128"/>
      <c r="N74" s="135"/>
      <c r="O74" s="128"/>
      <c r="P74" s="114"/>
      <c r="Q74" s="115">
        <f t="shared" si="43"/>
        <v>1818.12</v>
      </c>
      <c r="R74" s="116"/>
      <c r="S74" s="164"/>
      <c r="T74" s="164"/>
      <c r="U74" s="164"/>
      <c r="V74" s="164"/>
      <c r="W74" s="164"/>
      <c r="X74" s="165"/>
      <c r="Y74" s="165"/>
      <c r="Z74" s="149"/>
      <c r="AA74" s="149">
        <v>0</v>
      </c>
      <c r="AB74" s="115">
        <f t="shared" si="44"/>
        <v>1818.12</v>
      </c>
      <c r="AC74" s="120">
        <f t="shared" ref="AC74" si="68">IF(Q74&gt;2250,Q74*0.1,0)</f>
        <v>0</v>
      </c>
      <c r="AD74" s="115">
        <f t="shared" ref="AD74" si="69">+AB74-AC74</f>
        <v>1818.12</v>
      </c>
      <c r="AE74" s="121">
        <f t="shared" ref="AE74" si="70">IF(Q74&lt;3500,Q74*0.1,0)</f>
        <v>181.81200000000001</v>
      </c>
      <c r="AF74" s="120">
        <v>10.23</v>
      </c>
      <c r="AG74" s="120">
        <f t="shared" ref="AG74" si="71">+U74</f>
        <v>0</v>
      </c>
      <c r="AH74" s="122">
        <f t="shared" si="48"/>
        <v>2010.1619999999998</v>
      </c>
      <c r="AI74" s="206">
        <v>577.35</v>
      </c>
      <c r="AJ74" s="208">
        <v>1240.77</v>
      </c>
      <c r="AK74" s="194">
        <f t="shared" si="7"/>
        <v>0</v>
      </c>
      <c r="AL74" s="124">
        <v>1123036669</v>
      </c>
      <c r="AM74" s="129"/>
    </row>
    <row r="75" spans="1:193">
      <c r="A75" s="124" t="s">
        <v>92</v>
      </c>
      <c r="B75" s="110" t="s">
        <v>232</v>
      </c>
      <c r="C75" s="110"/>
      <c r="D75" s="110" t="s">
        <v>105</v>
      </c>
      <c r="E75" s="110" t="s">
        <v>163</v>
      </c>
      <c r="F75" s="110"/>
      <c r="G75" s="110"/>
      <c r="H75" s="111"/>
      <c r="I75" s="112">
        <v>739.23</v>
      </c>
      <c r="J75" s="177"/>
      <c r="K75" s="112">
        <f t="shared" si="42"/>
        <v>739.23</v>
      </c>
      <c r="L75" s="112">
        <f>3400.37+13.09</f>
        <v>3413.46</v>
      </c>
      <c r="M75" s="112"/>
      <c r="N75" s="113"/>
      <c r="O75" s="113"/>
      <c r="P75" s="114"/>
      <c r="Q75" s="115">
        <f t="shared" si="43"/>
        <v>4152.6900000000005</v>
      </c>
      <c r="R75" s="116"/>
      <c r="S75" s="117"/>
      <c r="T75" s="117">
        <v>0</v>
      </c>
      <c r="U75" s="117"/>
      <c r="V75" s="117"/>
      <c r="W75" s="117"/>
      <c r="X75" s="118"/>
      <c r="Y75" s="118"/>
      <c r="Z75" s="119"/>
      <c r="AA75" s="119">
        <v>0</v>
      </c>
      <c r="AB75" s="115">
        <f t="shared" si="44"/>
        <v>4152.6900000000005</v>
      </c>
      <c r="AC75" s="120">
        <f t="shared" si="8"/>
        <v>415.26900000000006</v>
      </c>
      <c r="AD75" s="115">
        <f t="shared" si="45"/>
        <v>3737.4210000000003</v>
      </c>
      <c r="AE75" s="121">
        <f t="shared" si="46"/>
        <v>0</v>
      </c>
      <c r="AF75" s="120">
        <v>10.23</v>
      </c>
      <c r="AG75" s="120">
        <f t="shared" si="47"/>
        <v>0</v>
      </c>
      <c r="AH75" s="122">
        <f t="shared" si="48"/>
        <v>4162.92</v>
      </c>
      <c r="AI75" s="209">
        <v>577.35</v>
      </c>
      <c r="AJ75" s="211">
        <v>3160.07</v>
      </c>
      <c r="AK75" s="194">
        <f t="shared" si="7"/>
        <v>-1.0000000002037268E-3</v>
      </c>
      <c r="AL75" s="124"/>
      <c r="AM75" s="124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92</v>
      </c>
      <c r="B76" s="124" t="s">
        <v>272</v>
      </c>
      <c r="C76" s="124"/>
      <c r="D76" s="124"/>
      <c r="E76" s="124" t="s">
        <v>163</v>
      </c>
      <c r="F76" s="127">
        <v>42422</v>
      </c>
      <c r="G76" s="124"/>
      <c r="H76" s="124"/>
      <c r="I76" s="112">
        <v>739.23</v>
      </c>
      <c r="J76" s="177"/>
      <c r="K76" s="112">
        <f t="shared" si="42"/>
        <v>739.23</v>
      </c>
      <c r="L76" s="112">
        <f>3934.69+13.09</f>
        <v>3947.78</v>
      </c>
      <c r="M76" s="112"/>
      <c r="N76" s="113"/>
      <c r="O76" s="113"/>
      <c r="P76" s="114"/>
      <c r="Q76" s="115">
        <f t="shared" si="43"/>
        <v>4687.01</v>
      </c>
      <c r="R76" s="116"/>
      <c r="S76" s="117"/>
      <c r="T76" s="117">
        <v>0</v>
      </c>
      <c r="U76" s="117"/>
      <c r="V76" s="117"/>
      <c r="W76" s="117"/>
      <c r="X76" s="118"/>
      <c r="Y76" s="118"/>
      <c r="Z76" s="119"/>
      <c r="AA76" s="119">
        <v>0</v>
      </c>
      <c r="AB76" s="115">
        <f t="shared" si="44"/>
        <v>4687.01</v>
      </c>
      <c r="AC76" s="120">
        <f t="shared" si="8"/>
        <v>468.70100000000002</v>
      </c>
      <c r="AD76" s="115">
        <f t="shared" si="45"/>
        <v>4218.3090000000002</v>
      </c>
      <c r="AE76" s="121">
        <f t="shared" si="46"/>
        <v>0</v>
      </c>
      <c r="AF76" s="120">
        <v>10.23</v>
      </c>
      <c r="AG76" s="120">
        <f t="shared" si="47"/>
        <v>0</v>
      </c>
      <c r="AH76" s="122">
        <f t="shared" si="48"/>
        <v>4697.24</v>
      </c>
      <c r="AI76" s="206">
        <v>577.35</v>
      </c>
      <c r="AJ76" s="208">
        <v>3640.96</v>
      </c>
      <c r="AK76" s="194">
        <f t="shared" si="7"/>
        <v>1.0000000002037268E-3</v>
      </c>
      <c r="AL76" s="124"/>
      <c r="AM76" s="12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4" t="s">
        <v>94</v>
      </c>
      <c r="B77" s="110" t="s">
        <v>310</v>
      </c>
      <c r="C77" s="110"/>
      <c r="D77" s="110" t="s">
        <v>137</v>
      </c>
      <c r="E77" s="110" t="s">
        <v>181</v>
      </c>
      <c r="F77" s="110"/>
      <c r="G77" s="111"/>
      <c r="H77" s="111"/>
      <c r="I77" s="112">
        <v>608.16</v>
      </c>
      <c r="J77" s="177"/>
      <c r="K77" s="112">
        <f t="shared" si="42"/>
        <v>608.16</v>
      </c>
      <c r="L77" s="112">
        <f>55.93+2.59</f>
        <v>58.519999999999996</v>
      </c>
      <c r="M77" s="112"/>
      <c r="N77" s="113"/>
      <c r="O77" s="113"/>
      <c r="P77" s="114"/>
      <c r="Q77" s="115">
        <f t="shared" si="43"/>
        <v>666.68</v>
      </c>
      <c r="R77" s="116"/>
      <c r="S77" s="117"/>
      <c r="T77" s="117"/>
      <c r="U77" s="126">
        <f>Q77*4.9%</f>
        <v>32.667319999999997</v>
      </c>
      <c r="V77" s="126">
        <f>Q77*1%</f>
        <v>6.6667999999999994</v>
      </c>
      <c r="W77" s="117"/>
      <c r="X77" s="118"/>
      <c r="Y77" s="118"/>
      <c r="Z77" s="119"/>
      <c r="AA77" s="119">
        <v>0</v>
      </c>
      <c r="AB77" s="115">
        <f t="shared" si="44"/>
        <v>627.34587999999997</v>
      </c>
      <c r="AC77" s="120">
        <f t="shared" si="8"/>
        <v>0</v>
      </c>
      <c r="AD77" s="115">
        <f t="shared" si="45"/>
        <v>627.34587999999997</v>
      </c>
      <c r="AE77" s="121">
        <f t="shared" si="46"/>
        <v>66.667999999999992</v>
      </c>
      <c r="AF77" s="120">
        <v>10.23</v>
      </c>
      <c r="AG77" s="120">
        <f t="shared" si="47"/>
        <v>32.667319999999997</v>
      </c>
      <c r="AH77" s="122">
        <f t="shared" si="48"/>
        <v>776.24531999999999</v>
      </c>
      <c r="AI77" s="209">
        <v>577.35</v>
      </c>
      <c r="AJ77" s="206">
        <v>50</v>
      </c>
      <c r="AK77" s="194">
        <f t="shared" si="7"/>
        <v>4.120000000057189E-3</v>
      </c>
      <c r="AL77" s="124"/>
      <c r="AM77" s="12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4" t="s">
        <v>94</v>
      </c>
      <c r="B78" s="110" t="s">
        <v>325</v>
      </c>
      <c r="C78" s="110"/>
      <c r="D78" s="110" t="s">
        <v>138</v>
      </c>
      <c r="E78" s="110" t="s">
        <v>181</v>
      </c>
      <c r="F78" s="110"/>
      <c r="G78" s="111"/>
      <c r="H78" s="111"/>
      <c r="I78" s="112">
        <v>623.36</v>
      </c>
      <c r="J78" s="177"/>
      <c r="K78" s="112">
        <f t="shared" si="42"/>
        <v>623.36</v>
      </c>
      <c r="L78" s="112">
        <f>3567.02+2.59</f>
        <v>3569.61</v>
      </c>
      <c r="M78" s="112"/>
      <c r="N78" s="113"/>
      <c r="O78" s="113"/>
      <c r="P78" s="114"/>
      <c r="Q78" s="115">
        <f t="shared" si="43"/>
        <v>4192.97</v>
      </c>
      <c r="R78" s="116"/>
      <c r="S78" s="117"/>
      <c r="T78" s="126">
        <v>200</v>
      </c>
      <c r="U78" s="126">
        <f>Q78*4.9%</f>
        <v>205.45553000000001</v>
      </c>
      <c r="V78" s="126">
        <f>Q78*1%</f>
        <v>41.929700000000004</v>
      </c>
      <c r="W78" s="126">
        <v>321.74</v>
      </c>
      <c r="X78" s="118"/>
      <c r="Y78" s="118"/>
      <c r="Z78" s="119"/>
      <c r="AA78" s="119">
        <v>0</v>
      </c>
      <c r="AB78" s="115">
        <f t="shared" si="44"/>
        <v>3423.8447700000002</v>
      </c>
      <c r="AC78" s="120">
        <f t="shared" si="8"/>
        <v>419.29700000000003</v>
      </c>
      <c r="AD78" s="115">
        <f t="shared" si="45"/>
        <v>3004.5477700000001</v>
      </c>
      <c r="AE78" s="121">
        <f t="shared" si="46"/>
        <v>0</v>
      </c>
      <c r="AF78" s="120">
        <v>10.23</v>
      </c>
      <c r="AG78" s="120">
        <f t="shared" si="47"/>
        <v>205.45553000000001</v>
      </c>
      <c r="AH78" s="122">
        <f t="shared" si="48"/>
        <v>4408.65553</v>
      </c>
      <c r="AI78" s="206">
        <v>577.35</v>
      </c>
      <c r="AJ78" s="208">
        <v>2427.1999999999998</v>
      </c>
      <c r="AK78" s="194">
        <f t="shared" ref="AK78:AK104" si="72">+AI78+AJ78-AD78</f>
        <v>2.2299999995993858E-3</v>
      </c>
      <c r="AL78" s="124"/>
      <c r="AM78" s="12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 s="39" customFormat="1">
      <c r="A79" s="124" t="s">
        <v>71</v>
      </c>
      <c r="B79" s="124" t="s">
        <v>217</v>
      </c>
      <c r="C79" s="124" t="s">
        <v>251</v>
      </c>
      <c r="D79" s="137" t="s">
        <v>218</v>
      </c>
      <c r="E79" s="124" t="s">
        <v>73</v>
      </c>
      <c r="F79" s="127">
        <v>42396</v>
      </c>
      <c r="G79" s="124"/>
      <c r="H79" s="124"/>
      <c r="I79" s="128">
        <v>513.33000000000004</v>
      </c>
      <c r="J79" s="179">
        <v>653.33000000000004</v>
      </c>
      <c r="K79" s="128">
        <f t="shared" ref="K79:K103" si="73">+I79+J79</f>
        <v>1166.6600000000001</v>
      </c>
      <c r="L79" s="128">
        <f>16938.04-1000</f>
        <v>15938.04</v>
      </c>
      <c r="M79" s="128"/>
      <c r="N79" s="128"/>
      <c r="O79" s="128"/>
      <c r="P79" s="114"/>
      <c r="Q79" s="115">
        <f t="shared" si="43"/>
        <v>17104.7</v>
      </c>
      <c r="R79" s="116"/>
      <c r="S79" s="117"/>
      <c r="T79" s="164"/>
      <c r="U79" s="164"/>
      <c r="V79" s="164"/>
      <c r="W79" s="164"/>
      <c r="X79" s="131">
        <v>966.45</v>
      </c>
      <c r="Y79" s="165"/>
      <c r="Z79" s="149"/>
      <c r="AA79" s="125">
        <v>291.5</v>
      </c>
      <c r="AB79" s="115">
        <f t="shared" si="44"/>
        <v>15846.75</v>
      </c>
      <c r="AC79" s="120">
        <f t="shared" ref="AC79" si="74">IF(Q79&gt;2250,Q79*0.1,0)</f>
        <v>1710.4700000000003</v>
      </c>
      <c r="AD79" s="115">
        <f t="shared" ref="AD79" si="75">+AB79-AC79</f>
        <v>14136.279999999999</v>
      </c>
      <c r="AE79" s="121">
        <f t="shared" ref="AE79" si="76">IF(Q79&lt;3500,Q79*0.1,0)</f>
        <v>0</v>
      </c>
      <c r="AF79" s="120">
        <v>10.23</v>
      </c>
      <c r="AG79" s="120">
        <f t="shared" ref="AG79" si="77">+U79</f>
        <v>0</v>
      </c>
      <c r="AH79" s="122">
        <f t="shared" ref="AH79" si="78">+Q79+AE79+AF79+AG79</f>
        <v>17114.93</v>
      </c>
      <c r="AI79" s="209">
        <v>285.85000000000002</v>
      </c>
      <c r="AJ79" s="211">
        <v>13850.43</v>
      </c>
      <c r="AK79" s="194">
        <f t="shared" si="72"/>
        <v>0</v>
      </c>
      <c r="AL79" s="124"/>
      <c r="AM79" s="124"/>
    </row>
    <row r="80" spans="1:193">
      <c r="A80" s="124" t="s">
        <v>94</v>
      </c>
      <c r="B80" s="110" t="s">
        <v>195</v>
      </c>
      <c r="C80" s="110"/>
      <c r="D80" s="110" t="s">
        <v>140</v>
      </c>
      <c r="E80" s="110" t="s">
        <v>174</v>
      </c>
      <c r="F80" s="110"/>
      <c r="G80" s="111"/>
      <c r="H80" s="111"/>
      <c r="I80" s="112">
        <v>608.16</v>
      </c>
      <c r="J80" s="177"/>
      <c r="K80" s="112">
        <f t="shared" si="73"/>
        <v>608.16</v>
      </c>
      <c r="L80" s="112">
        <v>256.2</v>
      </c>
      <c r="M80" s="112"/>
      <c r="N80" s="113"/>
      <c r="O80" s="113"/>
      <c r="P80" s="114"/>
      <c r="Q80" s="115">
        <f t="shared" ref="Q80:Q104" si="79">SUM(K80:O80)-P80</f>
        <v>864.3599999999999</v>
      </c>
      <c r="R80" s="116"/>
      <c r="S80" s="117"/>
      <c r="T80" s="117">
        <v>0</v>
      </c>
      <c r="U80" s="126">
        <f>Q80*4.9%</f>
        <v>42.353639999999999</v>
      </c>
      <c r="V80" s="126">
        <f>Q80*1%</f>
        <v>8.6435999999999993</v>
      </c>
      <c r="W80" s="117"/>
      <c r="X80" s="118"/>
      <c r="Y80" s="118"/>
      <c r="Z80" s="119"/>
      <c r="AA80" s="119">
        <v>0</v>
      </c>
      <c r="AB80" s="115">
        <f t="shared" ref="AB80:AB103" si="80">+Q80-SUM(R80:AA80)</f>
        <v>813.36275999999987</v>
      </c>
      <c r="AC80" s="120">
        <f t="shared" ref="AC80:AC104" si="81">IF(Q80&gt;2250,Q80*0.1,0)</f>
        <v>0</v>
      </c>
      <c r="AD80" s="115">
        <f t="shared" ref="AD80:AD103" si="82">+AB80-AC80</f>
        <v>813.36275999999987</v>
      </c>
      <c r="AE80" s="121">
        <f t="shared" ref="AE80:AE104" si="83">IF(Q80&lt;3500,Q80*0.1,0)</f>
        <v>86.435999999999993</v>
      </c>
      <c r="AF80" s="120">
        <v>10.23</v>
      </c>
      <c r="AG80" s="120">
        <f t="shared" ref="AG80:AG104" si="84">+U80</f>
        <v>42.353639999999999</v>
      </c>
      <c r="AH80" s="122">
        <f t="shared" ref="AH80:AH104" si="85">+Q80+AE80+AF80+AG80</f>
        <v>1003.37964</v>
      </c>
      <c r="AI80" s="206">
        <v>577.35</v>
      </c>
      <c r="AJ80" s="209">
        <v>236.01</v>
      </c>
      <c r="AK80" s="194">
        <f t="shared" si="72"/>
        <v>-2.7599999998528801E-3</v>
      </c>
      <c r="AL80" s="124"/>
      <c r="AM80" s="124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71</v>
      </c>
      <c r="B81" s="110" t="s">
        <v>300</v>
      </c>
      <c r="C81" s="110"/>
      <c r="D81" s="110"/>
      <c r="E81" s="110" t="s">
        <v>73</v>
      </c>
      <c r="F81" s="132">
        <v>42443</v>
      </c>
      <c r="G81" s="111"/>
      <c r="H81" s="111"/>
      <c r="I81" s="112">
        <v>513.33000000000004</v>
      </c>
      <c r="J81" s="179">
        <v>653.33000000000004</v>
      </c>
      <c r="K81" s="112">
        <f t="shared" si="73"/>
        <v>1166.6600000000001</v>
      </c>
      <c r="L81" s="112"/>
      <c r="M81" s="112"/>
      <c r="N81" s="113"/>
      <c r="O81" s="113"/>
      <c r="P81" s="114"/>
      <c r="Q81" s="115">
        <f t="shared" si="79"/>
        <v>1166.6600000000001</v>
      </c>
      <c r="R81" s="116"/>
      <c r="S81" s="117"/>
      <c r="T81" s="117"/>
      <c r="U81" s="126"/>
      <c r="V81" s="126"/>
      <c r="W81" s="117"/>
      <c r="X81" s="118"/>
      <c r="Y81" s="118"/>
      <c r="Z81" s="119"/>
      <c r="AA81" s="125">
        <v>1155.6199999999999</v>
      </c>
      <c r="AB81" s="115">
        <f t="shared" si="80"/>
        <v>11.040000000000191</v>
      </c>
      <c r="AC81" s="120">
        <f t="shared" si="81"/>
        <v>0</v>
      </c>
      <c r="AD81" s="115">
        <f t="shared" si="82"/>
        <v>11.040000000000191</v>
      </c>
      <c r="AE81" s="121">
        <f t="shared" si="83"/>
        <v>116.66600000000001</v>
      </c>
      <c r="AF81" s="120">
        <v>10.23</v>
      </c>
      <c r="AG81" s="120">
        <f t="shared" si="84"/>
        <v>0</v>
      </c>
      <c r="AH81" s="122">
        <f t="shared" si="85"/>
        <v>1293.556</v>
      </c>
      <c r="AI81" s="209">
        <v>4.54</v>
      </c>
      <c r="AJ81" s="206">
        <v>6.5</v>
      </c>
      <c r="AK81" s="194">
        <f t="shared" si="72"/>
        <v>-1.9184653865522705E-13</v>
      </c>
      <c r="AL81" s="124">
        <v>2713019144</v>
      </c>
      <c r="AM81" s="147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39" customFormat="1">
      <c r="A82" s="124" t="s">
        <v>91</v>
      </c>
      <c r="B82" s="124" t="s">
        <v>244</v>
      </c>
      <c r="C82" s="124"/>
      <c r="D82" s="124" t="s">
        <v>117</v>
      </c>
      <c r="E82" s="124" t="s">
        <v>171</v>
      </c>
      <c r="F82" s="127">
        <v>42321</v>
      </c>
      <c r="G82" s="124"/>
      <c r="H82" s="124"/>
      <c r="I82" s="128"/>
      <c r="J82" s="200"/>
      <c r="K82" s="223">
        <v>1857.14</v>
      </c>
      <c r="L82" s="128"/>
      <c r="M82" s="128"/>
      <c r="N82" s="128"/>
      <c r="O82" s="128"/>
      <c r="P82" s="171"/>
      <c r="Q82" s="115">
        <f t="shared" si="79"/>
        <v>1857.14</v>
      </c>
      <c r="R82" s="116"/>
      <c r="S82" s="164"/>
      <c r="T82" s="164">
        <v>0</v>
      </c>
      <c r="U82" s="164"/>
      <c r="V82" s="164"/>
      <c r="W82" s="164"/>
      <c r="X82" s="165"/>
      <c r="Y82" s="165"/>
      <c r="Z82" s="149"/>
      <c r="AA82" s="149">
        <v>0</v>
      </c>
      <c r="AB82" s="115">
        <f t="shared" ref="AB82" si="86">+Q82-SUM(R82:AA82)</f>
        <v>1857.14</v>
      </c>
      <c r="AC82" s="120">
        <f t="shared" ref="AC82" si="87">IF(Q82&gt;2250,Q82*0.1,0)</f>
        <v>0</v>
      </c>
      <c r="AD82" s="115">
        <f t="shared" ref="AD82" si="88">+AB82-AC82</f>
        <v>1857.14</v>
      </c>
      <c r="AE82" s="121">
        <f t="shared" ref="AE82" si="89">IF(Q82&lt;3500,Q82*0.1,0)</f>
        <v>185.71400000000003</v>
      </c>
      <c r="AF82" s="120">
        <v>10.23</v>
      </c>
      <c r="AG82" s="120">
        <f t="shared" ref="AG82" si="90">+U82</f>
        <v>0</v>
      </c>
      <c r="AH82" s="122">
        <f t="shared" ref="AH82" si="91">+Q82+AE82+AF82+AG82</f>
        <v>2053.0839999999998</v>
      </c>
      <c r="AI82" s="207">
        <v>577.35</v>
      </c>
      <c r="AJ82" s="208">
        <v>1279.79</v>
      </c>
      <c r="AK82" s="194">
        <f t="shared" si="72"/>
        <v>0</v>
      </c>
      <c r="AL82" s="124"/>
      <c r="AM82" s="224" t="s">
        <v>365</v>
      </c>
    </row>
    <row r="83" spans="1:193">
      <c r="A83" s="124" t="s">
        <v>92</v>
      </c>
      <c r="B83" s="124" t="s">
        <v>320</v>
      </c>
      <c r="C83" s="124"/>
      <c r="D83" s="124"/>
      <c r="E83" s="124" t="s">
        <v>163</v>
      </c>
      <c r="F83" s="127">
        <v>42416</v>
      </c>
      <c r="G83" s="124"/>
      <c r="H83" s="124"/>
      <c r="I83" s="112"/>
      <c r="J83" s="178"/>
      <c r="K83" s="223">
        <v>422.41</v>
      </c>
      <c r="L83" s="128">
        <f>1166.25+5.57</f>
        <v>1171.82</v>
      </c>
      <c r="M83" s="128"/>
      <c r="N83" s="128"/>
      <c r="O83" s="128"/>
      <c r="P83" s="114"/>
      <c r="Q83" s="115">
        <f t="shared" si="79"/>
        <v>1594.23</v>
      </c>
      <c r="R83" s="116"/>
      <c r="S83" s="117"/>
      <c r="T83" s="117">
        <v>0</v>
      </c>
      <c r="U83" s="117"/>
      <c r="V83" s="117"/>
      <c r="W83" s="117"/>
      <c r="X83" s="118"/>
      <c r="Y83" s="118"/>
      <c r="Z83" s="119"/>
      <c r="AA83" s="119">
        <v>0</v>
      </c>
      <c r="AB83" s="115">
        <f t="shared" si="80"/>
        <v>1594.23</v>
      </c>
      <c r="AC83" s="120">
        <f t="shared" si="81"/>
        <v>0</v>
      </c>
      <c r="AD83" s="115">
        <f t="shared" si="82"/>
        <v>1594.23</v>
      </c>
      <c r="AE83" s="121">
        <f t="shared" si="83"/>
        <v>159.423</v>
      </c>
      <c r="AF83" s="120">
        <v>10.23</v>
      </c>
      <c r="AG83" s="120">
        <f t="shared" si="84"/>
        <v>0</v>
      </c>
      <c r="AH83" s="122">
        <f t="shared" si="85"/>
        <v>1763.883</v>
      </c>
      <c r="AI83" s="207">
        <v>577.35</v>
      </c>
      <c r="AJ83" s="211">
        <v>1016.88</v>
      </c>
      <c r="AK83" s="194">
        <f t="shared" si="72"/>
        <v>0</v>
      </c>
      <c r="AL83" s="124"/>
      <c r="AM83" s="224" t="s">
        <v>362</v>
      </c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94</v>
      </c>
      <c r="B84" s="110" t="s">
        <v>214</v>
      </c>
      <c r="C84" s="110"/>
      <c r="D84" s="110" t="s">
        <v>139</v>
      </c>
      <c r="E84" s="110" t="s">
        <v>182</v>
      </c>
      <c r="F84" s="110"/>
      <c r="G84" s="111"/>
      <c r="H84" s="111"/>
      <c r="I84" s="112">
        <v>511.28</v>
      </c>
      <c r="J84" s="177"/>
      <c r="K84" s="112">
        <f t="shared" si="73"/>
        <v>511.28</v>
      </c>
      <c r="L84" s="112">
        <f>427.2+2.97</f>
        <v>430.17</v>
      </c>
      <c r="M84" s="112"/>
      <c r="N84" s="113"/>
      <c r="O84" s="113"/>
      <c r="P84" s="114"/>
      <c r="Q84" s="115">
        <f t="shared" si="79"/>
        <v>941.45</v>
      </c>
      <c r="R84" s="116"/>
      <c r="S84" s="117"/>
      <c r="T84" s="126">
        <v>300</v>
      </c>
      <c r="U84" s="117"/>
      <c r="V84" s="117"/>
      <c r="W84" s="117"/>
      <c r="X84" s="118"/>
      <c r="Y84" s="118"/>
      <c r="Z84" s="119"/>
      <c r="AA84" s="125">
        <v>845</v>
      </c>
      <c r="AB84" s="115">
        <f t="shared" si="80"/>
        <v>-203.54999999999995</v>
      </c>
      <c r="AC84" s="120">
        <f t="shared" si="81"/>
        <v>0</v>
      </c>
      <c r="AD84" s="115">
        <f t="shared" si="82"/>
        <v>-203.54999999999995</v>
      </c>
      <c r="AE84" s="121">
        <f t="shared" si="83"/>
        <v>94.14500000000001</v>
      </c>
      <c r="AF84" s="120">
        <v>10.23</v>
      </c>
      <c r="AG84" s="120">
        <f t="shared" si="84"/>
        <v>0</v>
      </c>
      <c r="AH84" s="122">
        <f t="shared" si="85"/>
        <v>1045.825</v>
      </c>
      <c r="AI84" s="207">
        <v>1.8</v>
      </c>
      <c r="AJ84" s="207">
        <v>76.319999999999993</v>
      </c>
      <c r="AK84" s="194">
        <f t="shared" si="72"/>
        <v>281.66999999999996</v>
      </c>
      <c r="AL84" s="124"/>
      <c r="AM84" s="124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91</v>
      </c>
      <c r="B85" s="110" t="s">
        <v>239</v>
      </c>
      <c r="C85" s="110"/>
      <c r="D85" s="110" t="s">
        <v>99</v>
      </c>
      <c r="E85" s="110" t="s">
        <v>72</v>
      </c>
      <c r="F85" s="132">
        <v>42065</v>
      </c>
      <c r="G85" s="110"/>
      <c r="H85" s="110"/>
      <c r="I85" s="112">
        <v>1166.26</v>
      </c>
      <c r="J85" s="176"/>
      <c r="K85" s="112">
        <f t="shared" si="73"/>
        <v>1166.26</v>
      </c>
      <c r="L85" s="112">
        <f>5080.63-3327.5</f>
        <v>1753.13</v>
      </c>
      <c r="M85" s="112"/>
      <c r="N85" s="112"/>
      <c r="O85" s="112"/>
      <c r="P85" s="114"/>
      <c r="Q85" s="115">
        <f t="shared" si="79"/>
        <v>2919.3900000000003</v>
      </c>
      <c r="R85" s="116"/>
      <c r="S85" s="117"/>
      <c r="T85" s="117">
        <v>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80"/>
        <v>2919.3900000000003</v>
      </c>
      <c r="AC85" s="120">
        <f t="shared" si="81"/>
        <v>291.93900000000002</v>
      </c>
      <c r="AD85" s="115">
        <f t="shared" si="82"/>
        <v>2627.4510000000005</v>
      </c>
      <c r="AE85" s="121">
        <f t="shared" si="83"/>
        <v>291.93900000000002</v>
      </c>
      <c r="AF85" s="120">
        <v>10.23</v>
      </c>
      <c r="AG85" s="120">
        <f t="shared" si="84"/>
        <v>0</v>
      </c>
      <c r="AH85" s="122">
        <f t="shared" si="85"/>
        <v>3221.5590000000002</v>
      </c>
      <c r="AI85" s="207">
        <v>577.35</v>
      </c>
      <c r="AJ85" s="211">
        <v>2050.1</v>
      </c>
      <c r="AK85" s="194">
        <f t="shared" si="72"/>
        <v>-1.0000000006584742E-3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4" t="s">
        <v>93</v>
      </c>
      <c r="B86" s="110" t="s">
        <v>317</v>
      </c>
      <c r="C86" s="110" t="s">
        <v>323</v>
      </c>
      <c r="D86" s="110" t="s">
        <v>119</v>
      </c>
      <c r="E86" s="110" t="s">
        <v>168</v>
      </c>
      <c r="F86" s="132">
        <v>42392</v>
      </c>
      <c r="G86" s="110"/>
      <c r="H86" s="110"/>
      <c r="I86" s="112">
        <v>1100</v>
      </c>
      <c r="J86" s="180"/>
      <c r="K86" s="112">
        <f t="shared" si="73"/>
        <v>1100</v>
      </c>
      <c r="L86" s="112"/>
      <c r="M86" s="112"/>
      <c r="N86" s="112"/>
      <c r="O86" s="112"/>
      <c r="P86" s="114"/>
      <c r="Q86" s="115">
        <f t="shared" si="79"/>
        <v>1100</v>
      </c>
      <c r="R86" s="116"/>
      <c r="S86" s="117"/>
      <c r="T86" s="117">
        <v>0</v>
      </c>
      <c r="U86" s="117"/>
      <c r="V86" s="117"/>
      <c r="W86" s="117"/>
      <c r="X86" s="118"/>
      <c r="Y86" s="118"/>
      <c r="Z86" s="119"/>
      <c r="AA86" s="119">
        <v>0</v>
      </c>
      <c r="AB86" s="115">
        <f t="shared" si="80"/>
        <v>1100</v>
      </c>
      <c r="AC86" s="120">
        <f t="shared" si="81"/>
        <v>0</v>
      </c>
      <c r="AD86" s="115">
        <f t="shared" si="82"/>
        <v>1100</v>
      </c>
      <c r="AE86" s="121">
        <f t="shared" si="83"/>
        <v>110</v>
      </c>
      <c r="AF86" s="120">
        <v>10.23</v>
      </c>
      <c r="AG86" s="120">
        <f t="shared" si="84"/>
        <v>0</v>
      </c>
      <c r="AH86" s="122">
        <f t="shared" si="85"/>
        <v>1220.23</v>
      </c>
      <c r="AI86" s="207">
        <v>577.35</v>
      </c>
      <c r="AJ86" s="209">
        <v>522.65</v>
      </c>
      <c r="AK86" s="194">
        <f t="shared" si="72"/>
        <v>0</v>
      </c>
      <c r="AL86" s="124"/>
      <c r="AM86" s="12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124" t="s">
        <v>71</v>
      </c>
      <c r="B87" s="110" t="s">
        <v>89</v>
      </c>
      <c r="C87" s="110" t="s">
        <v>249</v>
      </c>
      <c r="D87" s="110" t="s">
        <v>158</v>
      </c>
      <c r="E87" s="110" t="s">
        <v>73</v>
      </c>
      <c r="F87" s="110"/>
      <c r="G87" s="111"/>
      <c r="H87" s="111"/>
      <c r="I87" s="112">
        <v>513.33000000000004</v>
      </c>
      <c r="J87" s="179">
        <v>653.33000000000004</v>
      </c>
      <c r="K87" s="112">
        <f t="shared" si="73"/>
        <v>1166.6600000000001</v>
      </c>
      <c r="L87" s="112">
        <v>904.84</v>
      </c>
      <c r="M87" s="112"/>
      <c r="N87" s="113"/>
      <c r="O87" s="113"/>
      <c r="P87" s="114"/>
      <c r="Q87" s="115">
        <f t="shared" si="79"/>
        <v>2071.5</v>
      </c>
      <c r="R87" s="116"/>
      <c r="S87" s="117">
        <v>58.91</v>
      </c>
      <c r="T87" s="117">
        <v>0</v>
      </c>
      <c r="U87" s="117"/>
      <c r="V87" s="117"/>
      <c r="W87" s="117"/>
      <c r="X87" s="118"/>
      <c r="Y87" s="118"/>
      <c r="Z87" s="119"/>
      <c r="AA87" s="119">
        <v>0</v>
      </c>
      <c r="AB87" s="115">
        <f t="shared" si="80"/>
        <v>2012.59</v>
      </c>
      <c r="AC87" s="120">
        <f t="shared" si="81"/>
        <v>0</v>
      </c>
      <c r="AD87" s="115">
        <f t="shared" si="82"/>
        <v>2012.59</v>
      </c>
      <c r="AE87" s="121">
        <f t="shared" si="83"/>
        <v>207.15</v>
      </c>
      <c r="AF87" s="120">
        <v>10.23</v>
      </c>
      <c r="AG87" s="120">
        <f t="shared" si="84"/>
        <v>0</v>
      </c>
      <c r="AH87" s="122">
        <f t="shared" si="85"/>
        <v>2288.88</v>
      </c>
      <c r="AI87" s="207">
        <v>577.35</v>
      </c>
      <c r="AJ87" s="211">
        <v>1435.24</v>
      </c>
      <c r="AK87" s="194">
        <f t="shared" si="72"/>
        <v>0</v>
      </c>
      <c r="AL87" s="124"/>
      <c r="AM87" s="124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 s="61" customFormat="1">
      <c r="A88" s="124" t="s">
        <v>94</v>
      </c>
      <c r="B88" s="110" t="s">
        <v>327</v>
      </c>
      <c r="C88" s="110"/>
      <c r="D88" s="110" t="s">
        <v>141</v>
      </c>
      <c r="E88" s="110" t="s">
        <v>183</v>
      </c>
      <c r="F88" s="110"/>
      <c r="G88" s="111"/>
      <c r="H88" s="111"/>
      <c r="I88" s="112">
        <v>543.20000000000005</v>
      </c>
      <c r="J88" s="177"/>
      <c r="K88" s="112">
        <f t="shared" si="73"/>
        <v>543.20000000000005</v>
      </c>
      <c r="L88" s="112">
        <v>1148.7</v>
      </c>
      <c r="M88" s="112"/>
      <c r="N88" s="113"/>
      <c r="O88" s="113"/>
      <c r="P88" s="114"/>
      <c r="Q88" s="115">
        <f t="shared" si="79"/>
        <v>1691.9</v>
      </c>
      <c r="R88" s="116"/>
      <c r="S88" s="117"/>
      <c r="T88" s="117">
        <v>0</v>
      </c>
      <c r="U88" s="126">
        <f>Q88*4.9%</f>
        <v>82.903100000000009</v>
      </c>
      <c r="V88" s="126">
        <f>Q88*1%</f>
        <v>16.919</v>
      </c>
      <c r="W88" s="117"/>
      <c r="X88" s="118"/>
      <c r="Y88" s="118"/>
      <c r="Z88" s="119"/>
      <c r="AA88" s="119">
        <v>0</v>
      </c>
      <c r="AB88" s="115">
        <f t="shared" si="80"/>
        <v>1592.0779</v>
      </c>
      <c r="AC88" s="120">
        <f t="shared" si="81"/>
        <v>0</v>
      </c>
      <c r="AD88" s="115">
        <f t="shared" si="82"/>
        <v>1592.0779</v>
      </c>
      <c r="AE88" s="121">
        <f t="shared" si="83"/>
        <v>169.19000000000003</v>
      </c>
      <c r="AF88" s="120">
        <v>10.23</v>
      </c>
      <c r="AG88" s="120">
        <f t="shared" si="84"/>
        <v>82.903100000000009</v>
      </c>
      <c r="AH88" s="122">
        <f t="shared" si="85"/>
        <v>1954.2231000000002</v>
      </c>
      <c r="AI88" s="207">
        <v>577.35</v>
      </c>
      <c r="AJ88" s="208">
        <v>1014.73</v>
      </c>
      <c r="AK88" s="194">
        <f t="shared" si="72"/>
        <v>2.0999999999276042E-3</v>
      </c>
      <c r="AL88" s="124"/>
      <c r="AM88" s="124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94</v>
      </c>
      <c r="B89" s="110" t="s">
        <v>193</v>
      </c>
      <c r="C89" s="110"/>
      <c r="D89" s="110" t="s">
        <v>142</v>
      </c>
      <c r="E89" s="110" t="s">
        <v>181</v>
      </c>
      <c r="F89" s="110"/>
      <c r="G89" s="111"/>
      <c r="H89" s="111"/>
      <c r="I89" s="112">
        <v>623.36</v>
      </c>
      <c r="J89" s="177"/>
      <c r="K89" s="112">
        <f t="shared" si="73"/>
        <v>623.36</v>
      </c>
      <c r="L89" s="112">
        <f>2564.62+2.59</f>
        <v>2567.21</v>
      </c>
      <c r="M89" s="112"/>
      <c r="N89" s="113"/>
      <c r="O89" s="113"/>
      <c r="P89" s="114"/>
      <c r="Q89" s="115">
        <f t="shared" si="79"/>
        <v>3190.57</v>
      </c>
      <c r="R89" s="116"/>
      <c r="S89" s="117"/>
      <c r="T89" s="126">
        <v>200</v>
      </c>
      <c r="U89" s="126">
        <f>Q89*4.9%</f>
        <v>156.33793</v>
      </c>
      <c r="V89" s="126">
        <f>Q89*1%</f>
        <v>31.905700000000003</v>
      </c>
      <c r="W89" s="126">
        <v>257.64</v>
      </c>
      <c r="X89" s="118"/>
      <c r="Y89" s="118"/>
      <c r="Z89" s="125">
        <v>201.24</v>
      </c>
      <c r="AA89" s="119">
        <v>0</v>
      </c>
      <c r="AB89" s="115">
        <f t="shared" si="80"/>
        <v>2343.4463700000001</v>
      </c>
      <c r="AC89" s="120">
        <f t="shared" si="81"/>
        <v>319.05700000000002</v>
      </c>
      <c r="AD89" s="115">
        <f t="shared" si="82"/>
        <v>2024.3893700000001</v>
      </c>
      <c r="AE89" s="121">
        <f t="shared" si="83"/>
        <v>319.05700000000002</v>
      </c>
      <c r="AF89" s="120">
        <v>10.23</v>
      </c>
      <c r="AG89" s="120">
        <f t="shared" si="84"/>
        <v>156.33793</v>
      </c>
      <c r="AH89" s="122">
        <f t="shared" si="85"/>
        <v>3676.1949300000006</v>
      </c>
      <c r="AI89" s="207">
        <v>577.35</v>
      </c>
      <c r="AJ89" s="211">
        <v>1447.04</v>
      </c>
      <c r="AK89" s="194">
        <f t="shared" si="72"/>
        <v>6.2999999977364496E-4</v>
      </c>
      <c r="AL89" s="124"/>
      <c r="AM89" s="12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4" t="s">
        <v>92</v>
      </c>
      <c r="B90" s="110" t="s">
        <v>211</v>
      </c>
      <c r="C90" s="110"/>
      <c r="D90" s="110" t="s">
        <v>107</v>
      </c>
      <c r="E90" s="110" t="s">
        <v>165</v>
      </c>
      <c r="F90" s="110"/>
      <c r="G90" s="110"/>
      <c r="H90" s="110"/>
      <c r="I90" s="112">
        <v>739.23</v>
      </c>
      <c r="J90" s="180"/>
      <c r="K90" s="112">
        <f t="shared" si="73"/>
        <v>739.23</v>
      </c>
      <c r="L90" s="112">
        <f>1951.77+7.42</f>
        <v>1959.19</v>
      </c>
      <c r="M90" s="112"/>
      <c r="N90" s="113"/>
      <c r="O90" s="113"/>
      <c r="P90" s="114"/>
      <c r="Q90" s="115">
        <f t="shared" si="79"/>
        <v>2698.42</v>
      </c>
      <c r="R90" s="116"/>
      <c r="S90" s="117"/>
      <c r="T90" s="126">
        <v>150</v>
      </c>
      <c r="U90" s="117"/>
      <c r="V90" s="117"/>
      <c r="W90" s="117"/>
      <c r="X90" s="118"/>
      <c r="Y90" s="118"/>
      <c r="Z90" s="119"/>
      <c r="AA90" s="119">
        <v>0</v>
      </c>
      <c r="AB90" s="115">
        <f t="shared" si="80"/>
        <v>2548.42</v>
      </c>
      <c r="AC90" s="120">
        <f t="shared" si="81"/>
        <v>269.84200000000004</v>
      </c>
      <c r="AD90" s="115">
        <f t="shared" si="82"/>
        <v>2278.578</v>
      </c>
      <c r="AE90" s="121">
        <f t="shared" si="83"/>
        <v>269.84200000000004</v>
      </c>
      <c r="AF90" s="120">
        <v>10.23</v>
      </c>
      <c r="AG90" s="120">
        <f t="shared" si="84"/>
        <v>0</v>
      </c>
      <c r="AH90" s="122">
        <f t="shared" si="85"/>
        <v>2978.4920000000002</v>
      </c>
      <c r="AI90" s="207">
        <v>577.35</v>
      </c>
      <c r="AJ90" s="208">
        <v>1701.23</v>
      </c>
      <c r="AK90" s="194">
        <f t="shared" si="72"/>
        <v>1.9999999999527063E-3</v>
      </c>
      <c r="AL90" s="124"/>
      <c r="AM90" s="124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124" t="s">
        <v>94</v>
      </c>
      <c r="B91" s="124" t="s">
        <v>342</v>
      </c>
      <c r="C91" s="124"/>
      <c r="D91" s="124"/>
      <c r="E91" s="124" t="s">
        <v>174</v>
      </c>
      <c r="F91" s="127">
        <v>42493</v>
      </c>
      <c r="G91" s="124"/>
      <c r="H91" s="124"/>
      <c r="I91" s="128">
        <v>511.28</v>
      </c>
      <c r="J91" s="178"/>
      <c r="K91" s="128">
        <f t="shared" si="73"/>
        <v>511.28</v>
      </c>
      <c r="L91" s="128">
        <v>539.4</v>
      </c>
      <c r="M91" s="128"/>
      <c r="N91" s="128"/>
      <c r="O91" s="128"/>
      <c r="P91" s="171"/>
      <c r="Q91" s="115">
        <f t="shared" si="79"/>
        <v>1050.6799999999998</v>
      </c>
      <c r="R91" s="116"/>
      <c r="S91" s="117"/>
      <c r="T91" s="164"/>
      <c r="U91" s="164"/>
      <c r="V91" s="164"/>
      <c r="W91" s="164"/>
      <c r="X91" s="165"/>
      <c r="Y91" s="165"/>
      <c r="Z91" s="149"/>
      <c r="AA91" s="149">
        <v>0</v>
      </c>
      <c r="AB91" s="115">
        <f t="shared" si="80"/>
        <v>1050.6799999999998</v>
      </c>
      <c r="AC91" s="120">
        <f t="shared" ref="AC91" si="92">IF(Q91&gt;2250,Q91*0.1,0)</f>
        <v>0</v>
      </c>
      <c r="AD91" s="115">
        <f t="shared" ref="AD91" si="93">+AB91-AC91</f>
        <v>1050.6799999999998</v>
      </c>
      <c r="AE91" s="121">
        <f t="shared" ref="AE91" si="94">IF(Q91&lt;3500,Q91*0.1,0)</f>
        <v>105.06799999999998</v>
      </c>
      <c r="AF91" s="120">
        <v>10.23</v>
      </c>
      <c r="AG91" s="120">
        <f t="shared" ref="AG91" si="95">+U91</f>
        <v>0</v>
      </c>
      <c r="AH91" s="122">
        <f t="shared" ref="AH91" si="96">+Q91+AE91+AF91+AG91</f>
        <v>1165.9779999999998</v>
      </c>
      <c r="AI91" s="207">
        <v>577.35</v>
      </c>
      <c r="AJ91" s="207">
        <v>473.33</v>
      </c>
      <c r="AK91" s="194">
        <f t="shared" si="72"/>
        <v>0</v>
      </c>
      <c r="AL91" s="124"/>
      <c r="AM91" s="12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124" t="s">
        <v>93</v>
      </c>
      <c r="B92" s="110" t="s">
        <v>299</v>
      </c>
      <c r="C92" s="110"/>
      <c r="D92" s="110" t="s">
        <v>120</v>
      </c>
      <c r="E92" s="110" t="s">
        <v>171</v>
      </c>
      <c r="F92" s="132">
        <v>42333</v>
      </c>
      <c r="G92" s="111"/>
      <c r="H92" s="111"/>
      <c r="I92" s="112">
        <v>577.38</v>
      </c>
      <c r="J92" s="181">
        <v>1047.6199999999999</v>
      </c>
      <c r="K92" s="112">
        <f t="shared" si="73"/>
        <v>1625</v>
      </c>
      <c r="L92" s="112"/>
      <c r="M92" s="112"/>
      <c r="N92" s="113"/>
      <c r="O92" s="113"/>
      <c r="P92" s="114"/>
      <c r="Q92" s="115">
        <f t="shared" si="79"/>
        <v>1625</v>
      </c>
      <c r="R92" s="116"/>
      <c r="S92" s="117"/>
      <c r="T92" s="117">
        <v>0</v>
      </c>
      <c r="U92" s="117"/>
      <c r="V92" s="117"/>
      <c r="W92" s="117"/>
      <c r="X92" s="118"/>
      <c r="Y92" s="118"/>
      <c r="Z92" s="119"/>
      <c r="AA92" s="125">
        <v>351.55</v>
      </c>
      <c r="AB92" s="115">
        <f t="shared" si="80"/>
        <v>1273.45</v>
      </c>
      <c r="AC92" s="120">
        <f t="shared" si="81"/>
        <v>0</v>
      </c>
      <c r="AD92" s="115">
        <f t="shared" si="82"/>
        <v>1273.45</v>
      </c>
      <c r="AE92" s="121">
        <f t="shared" si="83"/>
        <v>162.5</v>
      </c>
      <c r="AF92" s="120">
        <v>10.23</v>
      </c>
      <c r="AG92" s="120">
        <f t="shared" si="84"/>
        <v>0</v>
      </c>
      <c r="AH92" s="122">
        <f t="shared" si="85"/>
        <v>1797.73</v>
      </c>
      <c r="AI92" s="209">
        <v>225.8</v>
      </c>
      <c r="AJ92" s="211">
        <v>1047.6500000000001</v>
      </c>
      <c r="AK92" s="194">
        <f t="shared" si="72"/>
        <v>0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s="39" customFormat="1">
      <c r="A93" s="124" t="s">
        <v>71</v>
      </c>
      <c r="B93" s="124" t="s">
        <v>309</v>
      </c>
      <c r="C93" s="124"/>
      <c r="D93" s="124"/>
      <c r="E93" s="124" t="s">
        <v>73</v>
      </c>
      <c r="F93" s="127">
        <v>42459</v>
      </c>
      <c r="G93" s="124"/>
      <c r="H93" s="124"/>
      <c r="I93" s="128">
        <v>513.33000000000004</v>
      </c>
      <c r="J93" s="179">
        <v>653.33000000000004</v>
      </c>
      <c r="K93" s="128">
        <f t="shared" si="73"/>
        <v>1166.6600000000001</v>
      </c>
      <c r="L93" s="128">
        <v>2334.48</v>
      </c>
      <c r="M93" s="128"/>
      <c r="N93" s="128"/>
      <c r="O93" s="128"/>
      <c r="P93" s="114"/>
      <c r="Q93" s="115">
        <f t="shared" si="79"/>
        <v>3501.1400000000003</v>
      </c>
      <c r="R93" s="116"/>
      <c r="S93" s="164"/>
      <c r="T93" s="164"/>
      <c r="U93" s="164"/>
      <c r="V93" s="164"/>
      <c r="W93" s="164"/>
      <c r="X93" s="165"/>
      <c r="Y93" s="165"/>
      <c r="Z93" s="149"/>
      <c r="AA93" s="149"/>
      <c r="AB93" s="115">
        <f t="shared" si="80"/>
        <v>3501.1400000000003</v>
      </c>
      <c r="AC93" s="120">
        <f>IF(Q93&gt;2250,Q93*0.1,0)</f>
        <v>350.11400000000003</v>
      </c>
      <c r="AD93" s="115">
        <f>+AB93-AC93</f>
        <v>3151.0260000000003</v>
      </c>
      <c r="AE93" s="121">
        <f>IF(Q93&lt;3500,Q93*0.1,0)</f>
        <v>0</v>
      </c>
      <c r="AF93" s="120">
        <v>10.23</v>
      </c>
      <c r="AG93" s="120">
        <f>+U93</f>
        <v>0</v>
      </c>
      <c r="AH93" s="122">
        <f t="shared" si="85"/>
        <v>3511.3700000000003</v>
      </c>
      <c r="AI93" s="206">
        <v>577.35</v>
      </c>
      <c r="AJ93" s="208">
        <v>2573.6799999999998</v>
      </c>
      <c r="AK93" s="194">
        <f t="shared" si="72"/>
        <v>3.9999999994506652E-3</v>
      </c>
      <c r="AL93" s="124"/>
      <c r="AM93" s="129"/>
    </row>
    <row r="94" spans="1:193">
      <c r="A94" s="124" t="s">
        <v>92</v>
      </c>
      <c r="B94" s="110" t="s">
        <v>271</v>
      </c>
      <c r="C94" s="110"/>
      <c r="D94" s="110" t="s">
        <v>106</v>
      </c>
      <c r="E94" s="110" t="s">
        <v>163</v>
      </c>
      <c r="F94" s="110"/>
      <c r="G94" s="110"/>
      <c r="H94" s="110"/>
      <c r="I94" s="112">
        <v>0</v>
      </c>
      <c r="J94" s="180"/>
      <c r="K94" s="223">
        <v>633.62</v>
      </c>
      <c r="L94" s="112">
        <f>1057.85+2.97</f>
        <v>1060.82</v>
      </c>
      <c r="M94" s="112"/>
      <c r="N94" s="113"/>
      <c r="O94" s="113"/>
      <c r="P94" s="114"/>
      <c r="Q94" s="115">
        <f t="shared" si="79"/>
        <v>1694.44</v>
      </c>
      <c r="R94" s="116"/>
      <c r="S94" s="117"/>
      <c r="T94" s="117">
        <v>0</v>
      </c>
      <c r="U94" s="117"/>
      <c r="V94" s="117"/>
      <c r="W94" s="117"/>
      <c r="X94" s="118"/>
      <c r="Y94" s="118"/>
      <c r="Z94" s="119"/>
      <c r="AA94" s="119">
        <v>0</v>
      </c>
      <c r="AB94" s="115">
        <f t="shared" si="80"/>
        <v>1694.44</v>
      </c>
      <c r="AC94" s="120">
        <f t="shared" si="81"/>
        <v>0</v>
      </c>
      <c r="AD94" s="115">
        <f t="shared" si="82"/>
        <v>1694.44</v>
      </c>
      <c r="AE94" s="121">
        <f t="shared" si="83"/>
        <v>169.44400000000002</v>
      </c>
      <c r="AF94" s="120">
        <v>10.23</v>
      </c>
      <c r="AG94" s="120">
        <f t="shared" si="84"/>
        <v>0</v>
      </c>
      <c r="AH94" s="122">
        <f t="shared" si="85"/>
        <v>1874.114</v>
      </c>
      <c r="AI94" s="209">
        <v>577.35</v>
      </c>
      <c r="AJ94" s="211">
        <v>1117.0899999999999</v>
      </c>
      <c r="AK94" s="194">
        <f t="shared" si="72"/>
        <v>0</v>
      </c>
      <c r="AL94" s="124"/>
      <c r="AM94" s="224" t="s">
        <v>363</v>
      </c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>
      <c r="A95" s="124" t="s">
        <v>92</v>
      </c>
      <c r="B95" s="110" t="s">
        <v>79</v>
      </c>
      <c r="C95" s="110"/>
      <c r="D95" s="110" t="s">
        <v>108</v>
      </c>
      <c r="E95" s="110" t="s">
        <v>166</v>
      </c>
      <c r="F95" s="110"/>
      <c r="G95" s="110"/>
      <c r="H95" s="110"/>
      <c r="I95" s="112"/>
      <c r="J95" s="180"/>
      <c r="K95" s="223">
        <v>528.02</v>
      </c>
      <c r="L95" s="112">
        <f>1248.04+3.71</f>
        <v>1251.75</v>
      </c>
      <c r="M95" s="112"/>
      <c r="N95" s="112"/>
      <c r="O95" s="112"/>
      <c r="P95" s="114"/>
      <c r="Q95" s="115">
        <f t="shared" si="79"/>
        <v>1779.77</v>
      </c>
      <c r="R95" s="116"/>
      <c r="S95" s="117"/>
      <c r="T95" s="117">
        <v>0</v>
      </c>
      <c r="U95" s="117"/>
      <c r="V95" s="117"/>
      <c r="W95" s="117"/>
      <c r="X95" s="118"/>
      <c r="Y95" s="118"/>
      <c r="Z95" s="119"/>
      <c r="AA95" s="119">
        <v>0</v>
      </c>
      <c r="AB95" s="115">
        <f t="shared" si="80"/>
        <v>1779.77</v>
      </c>
      <c r="AC95" s="120">
        <f t="shared" si="81"/>
        <v>0</v>
      </c>
      <c r="AD95" s="115">
        <f t="shared" si="82"/>
        <v>1779.77</v>
      </c>
      <c r="AE95" s="121">
        <f t="shared" si="83"/>
        <v>177.977</v>
      </c>
      <c r="AF95" s="120">
        <v>10.23</v>
      </c>
      <c r="AG95" s="120">
        <f t="shared" si="84"/>
        <v>0</v>
      </c>
      <c r="AH95" s="122">
        <f t="shared" si="85"/>
        <v>1967.9770000000001</v>
      </c>
      <c r="AI95" s="206">
        <v>577.35</v>
      </c>
      <c r="AJ95" s="208">
        <v>1202.42</v>
      </c>
      <c r="AK95" s="194">
        <f t="shared" si="72"/>
        <v>0</v>
      </c>
      <c r="AL95" s="124"/>
      <c r="AM95" s="224" t="s">
        <v>364</v>
      </c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124" t="s">
        <v>91</v>
      </c>
      <c r="B96" s="124" t="s">
        <v>241</v>
      </c>
      <c r="C96" s="124"/>
      <c r="D96" s="136"/>
      <c r="E96" s="110" t="s">
        <v>242</v>
      </c>
      <c r="F96" s="132">
        <v>42328</v>
      </c>
      <c r="G96" s="111"/>
      <c r="H96" s="111"/>
      <c r="I96" s="128">
        <v>1166.26</v>
      </c>
      <c r="J96" s="177"/>
      <c r="K96" s="112">
        <f t="shared" si="73"/>
        <v>1166.26</v>
      </c>
      <c r="L96" s="112">
        <v>2778.71</v>
      </c>
      <c r="M96" s="112"/>
      <c r="N96" s="113"/>
      <c r="O96" s="113"/>
      <c r="P96" s="114"/>
      <c r="Q96" s="115">
        <f t="shared" si="79"/>
        <v>3944.9700000000003</v>
      </c>
      <c r="R96" s="116"/>
      <c r="S96" s="117"/>
      <c r="T96" s="117"/>
      <c r="U96" s="117"/>
      <c r="V96" s="117"/>
      <c r="W96" s="117"/>
      <c r="X96" s="118"/>
      <c r="Y96" s="118"/>
      <c r="Z96" s="119"/>
      <c r="AA96" s="119">
        <v>0</v>
      </c>
      <c r="AB96" s="115">
        <f t="shared" si="80"/>
        <v>3944.9700000000003</v>
      </c>
      <c r="AC96" s="120">
        <f t="shared" si="81"/>
        <v>394.49700000000007</v>
      </c>
      <c r="AD96" s="115">
        <f t="shared" si="82"/>
        <v>3550.473</v>
      </c>
      <c r="AE96" s="121">
        <f t="shared" si="83"/>
        <v>0</v>
      </c>
      <c r="AF96" s="120">
        <v>10.23</v>
      </c>
      <c r="AG96" s="120">
        <f t="shared" si="84"/>
        <v>0</v>
      </c>
      <c r="AH96" s="122">
        <f t="shared" si="85"/>
        <v>3955.2000000000003</v>
      </c>
      <c r="AI96" s="209">
        <v>577.35</v>
      </c>
      <c r="AJ96" s="211">
        <v>2973.12</v>
      </c>
      <c r="AK96" s="194">
        <f t="shared" si="72"/>
        <v>-3.0000000001564331E-3</v>
      </c>
      <c r="AL96" s="124"/>
      <c r="AM96" s="124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124" t="s">
        <v>71</v>
      </c>
      <c r="B97" s="124" t="s">
        <v>319</v>
      </c>
      <c r="C97" s="124" t="s">
        <v>251</v>
      </c>
      <c r="D97" s="124" t="s">
        <v>159</v>
      </c>
      <c r="E97" s="124" t="s">
        <v>73</v>
      </c>
      <c r="F97" s="127">
        <v>42327</v>
      </c>
      <c r="G97" s="124"/>
      <c r="H97" s="124"/>
      <c r="I97" s="128">
        <v>513.33000000000004</v>
      </c>
      <c r="J97" s="179">
        <v>653.33000000000004</v>
      </c>
      <c r="K97" s="128">
        <f t="shared" si="73"/>
        <v>1166.6600000000001</v>
      </c>
      <c r="L97" s="128">
        <v>5160.2700000000004</v>
      </c>
      <c r="M97" s="128"/>
      <c r="N97" s="128"/>
      <c r="O97" s="128"/>
      <c r="P97" s="114"/>
      <c r="Q97" s="115">
        <f t="shared" si="79"/>
        <v>6326.93</v>
      </c>
      <c r="R97" s="116"/>
      <c r="S97" s="164"/>
      <c r="T97" s="164">
        <v>0</v>
      </c>
      <c r="U97" s="164"/>
      <c r="V97" s="164"/>
      <c r="W97" s="164"/>
      <c r="X97" s="131">
        <v>537.87</v>
      </c>
      <c r="Y97" s="165"/>
      <c r="Z97" s="149"/>
      <c r="AA97" s="169">
        <v>499.12</v>
      </c>
      <c r="AB97" s="115">
        <f t="shared" si="80"/>
        <v>5289.9400000000005</v>
      </c>
      <c r="AC97" s="120">
        <f t="shared" si="81"/>
        <v>632.6930000000001</v>
      </c>
      <c r="AD97" s="115">
        <f t="shared" si="82"/>
        <v>4657.2470000000003</v>
      </c>
      <c r="AE97" s="121">
        <f t="shared" si="83"/>
        <v>0</v>
      </c>
      <c r="AF97" s="120">
        <v>10.23</v>
      </c>
      <c r="AG97" s="120">
        <f t="shared" si="84"/>
        <v>0</v>
      </c>
      <c r="AH97" s="122">
        <f t="shared" si="85"/>
        <v>6337.16</v>
      </c>
      <c r="AI97" s="206">
        <v>39.479999999999997</v>
      </c>
      <c r="AJ97" s="210">
        <v>4617.7700000000004</v>
      </c>
      <c r="AK97" s="194">
        <f t="shared" si="72"/>
        <v>2.9999999997016857E-3</v>
      </c>
      <c r="AL97" s="124"/>
      <c r="AM97" s="124"/>
    </row>
    <row r="98" spans="1:193" s="39" customFormat="1">
      <c r="A98" s="125"/>
      <c r="B98" s="125" t="s">
        <v>352</v>
      </c>
      <c r="C98" s="125" t="s">
        <v>249</v>
      </c>
      <c r="D98" s="125"/>
      <c r="E98" s="125" t="s">
        <v>73</v>
      </c>
      <c r="F98" s="212">
        <v>42506</v>
      </c>
      <c r="G98" s="125"/>
      <c r="H98" s="125"/>
      <c r="I98" s="126"/>
      <c r="J98" s="213"/>
      <c r="K98" s="126">
        <v>166.66</v>
      </c>
      <c r="L98" s="126"/>
      <c r="M98" s="126"/>
      <c r="N98" s="126"/>
      <c r="O98" s="126"/>
      <c r="P98" s="214"/>
      <c r="Q98" s="215">
        <f t="shared" si="79"/>
        <v>166.66</v>
      </c>
      <c r="R98" s="126"/>
      <c r="S98" s="126"/>
      <c r="T98" s="126"/>
      <c r="U98" s="126"/>
      <c r="V98" s="126"/>
      <c r="W98" s="126"/>
      <c r="X98" s="131"/>
      <c r="Y98" s="131"/>
      <c r="Z98" s="125"/>
      <c r="AA98" s="169">
        <v>0</v>
      </c>
      <c r="AB98" s="215">
        <f t="shared" ref="AB98" si="97">+Q98-SUM(R98:AA98)</f>
        <v>166.66</v>
      </c>
      <c r="AC98" s="131">
        <f t="shared" ref="AC98" si="98">IF(Q98&gt;2250,Q98*0.1,0)</f>
        <v>0</v>
      </c>
      <c r="AD98" s="215">
        <f t="shared" ref="AD98" si="99">+AB98-AC98</f>
        <v>166.66</v>
      </c>
      <c r="AE98" s="131">
        <f t="shared" ref="AE98" si="100">IF(Q98&lt;3500,Q98*0.1,0)</f>
        <v>16.666</v>
      </c>
      <c r="AF98" s="131">
        <v>10.23</v>
      </c>
      <c r="AG98" s="131">
        <f t="shared" ref="AG98" si="101">+U98</f>
        <v>0</v>
      </c>
      <c r="AH98" s="215">
        <f t="shared" ref="AH98" si="102">+Q98+AE98+AF98+AG98</f>
        <v>193.55599999999998</v>
      </c>
      <c r="AI98" s="216">
        <v>166.66</v>
      </c>
      <c r="AJ98" s="217"/>
      <c r="AK98" s="202">
        <f t="shared" si="72"/>
        <v>0</v>
      </c>
      <c r="AL98" s="219">
        <v>1179675078</v>
      </c>
      <c r="AM98" s="218" t="s">
        <v>353</v>
      </c>
    </row>
    <row r="99" spans="1:193">
      <c r="A99" s="124" t="s">
        <v>70</v>
      </c>
      <c r="B99" s="110" t="s">
        <v>275</v>
      </c>
      <c r="C99" s="110" t="s">
        <v>252</v>
      </c>
      <c r="D99" s="110" t="s">
        <v>125</v>
      </c>
      <c r="E99" s="110" t="s">
        <v>298</v>
      </c>
      <c r="F99" s="110"/>
      <c r="G99" s="111"/>
      <c r="H99" s="111"/>
      <c r="I99" s="112">
        <v>1633.33</v>
      </c>
      <c r="J99" s="177"/>
      <c r="K99" s="112">
        <f t="shared" si="73"/>
        <v>1633.33</v>
      </c>
      <c r="L99" s="112">
        <v>4401.0600000000004</v>
      </c>
      <c r="M99" s="112"/>
      <c r="N99" s="113"/>
      <c r="O99" s="113"/>
      <c r="P99" s="114"/>
      <c r="Q99" s="115">
        <f t="shared" si="79"/>
        <v>6034.39</v>
      </c>
      <c r="R99" s="116"/>
      <c r="S99" s="117">
        <v>58.91</v>
      </c>
      <c r="T99" s="117">
        <v>0</v>
      </c>
      <c r="U99" s="117"/>
      <c r="V99" s="117"/>
      <c r="W99" s="117"/>
      <c r="X99" s="118"/>
      <c r="Y99" s="118"/>
      <c r="Z99" s="119"/>
      <c r="AA99" s="119">
        <v>0</v>
      </c>
      <c r="AB99" s="115">
        <f t="shared" si="80"/>
        <v>5975.4800000000005</v>
      </c>
      <c r="AC99" s="120">
        <f t="shared" si="81"/>
        <v>603.43900000000008</v>
      </c>
      <c r="AD99" s="115">
        <f t="shared" si="82"/>
        <v>5372.0410000000002</v>
      </c>
      <c r="AE99" s="121">
        <f t="shared" si="83"/>
        <v>0</v>
      </c>
      <c r="AF99" s="120">
        <v>10.23</v>
      </c>
      <c r="AG99" s="120">
        <f t="shared" si="84"/>
        <v>0</v>
      </c>
      <c r="AH99" s="122">
        <f t="shared" si="85"/>
        <v>6044.62</v>
      </c>
      <c r="AI99" s="206">
        <v>577.35</v>
      </c>
      <c r="AJ99" s="211">
        <v>4794.6899999999996</v>
      </c>
      <c r="AK99" s="194">
        <f t="shared" si="72"/>
        <v>-1.0000000002037268E-3</v>
      </c>
      <c r="AL99" s="124"/>
      <c r="AM99" s="124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24" t="s">
        <v>94</v>
      </c>
      <c r="B100" s="110" t="s">
        <v>324</v>
      </c>
      <c r="C100" s="110"/>
      <c r="D100" s="110" t="s">
        <v>143</v>
      </c>
      <c r="E100" s="110" t="s">
        <v>179</v>
      </c>
      <c r="F100" s="110"/>
      <c r="G100" s="111"/>
      <c r="H100" s="111"/>
      <c r="I100" s="112">
        <v>608.16</v>
      </c>
      <c r="J100" s="177"/>
      <c r="K100" s="112">
        <f t="shared" si="73"/>
        <v>608.16</v>
      </c>
      <c r="L100" s="112">
        <f>2585.15+3.71</f>
        <v>2588.86</v>
      </c>
      <c r="M100" s="112"/>
      <c r="N100" s="113"/>
      <c r="O100" s="113"/>
      <c r="P100" s="114"/>
      <c r="Q100" s="115">
        <f t="shared" si="79"/>
        <v>3197.02</v>
      </c>
      <c r="R100" s="116"/>
      <c r="S100" s="117"/>
      <c r="T100" s="126">
        <v>200</v>
      </c>
      <c r="U100" s="126">
        <f>Q100*4.9%</f>
        <v>156.65398000000002</v>
      </c>
      <c r="V100" s="126">
        <f>Q100*1%</f>
        <v>31.970200000000002</v>
      </c>
      <c r="W100" s="117"/>
      <c r="X100" s="118"/>
      <c r="Y100" s="118"/>
      <c r="Z100" s="119"/>
      <c r="AA100" s="119">
        <v>0</v>
      </c>
      <c r="AB100" s="115">
        <f t="shared" si="80"/>
        <v>2808.3958199999997</v>
      </c>
      <c r="AC100" s="120">
        <f t="shared" si="81"/>
        <v>319.702</v>
      </c>
      <c r="AD100" s="115">
        <f t="shared" si="82"/>
        <v>2488.6938199999995</v>
      </c>
      <c r="AE100" s="121">
        <f t="shared" si="83"/>
        <v>319.702</v>
      </c>
      <c r="AF100" s="120">
        <v>10.23</v>
      </c>
      <c r="AG100" s="120">
        <f t="shared" si="84"/>
        <v>156.65398000000002</v>
      </c>
      <c r="AH100" s="122">
        <f t="shared" si="85"/>
        <v>3683.6059799999998</v>
      </c>
      <c r="AI100" s="209">
        <v>577.35</v>
      </c>
      <c r="AJ100" s="208">
        <v>1911.34</v>
      </c>
      <c r="AK100" s="194">
        <f t="shared" si="72"/>
        <v>-3.8199999994503742E-3</v>
      </c>
      <c r="AL100" s="124"/>
      <c r="AM100" s="124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s="39" customFormat="1">
      <c r="A101" s="124" t="s">
        <v>71</v>
      </c>
      <c r="B101" s="124" t="s">
        <v>90</v>
      </c>
      <c r="C101" s="124" t="s">
        <v>254</v>
      </c>
      <c r="D101" s="124" t="s">
        <v>160</v>
      </c>
      <c r="E101" s="124" t="s">
        <v>73</v>
      </c>
      <c r="F101" s="127">
        <v>42333</v>
      </c>
      <c r="G101" s="124"/>
      <c r="H101" s="124"/>
      <c r="I101" s="128">
        <v>513.33000000000004</v>
      </c>
      <c r="J101" s="179">
        <v>653.33000000000004</v>
      </c>
      <c r="K101" s="128">
        <f t="shared" si="73"/>
        <v>1166.6600000000001</v>
      </c>
      <c r="L101" s="128">
        <v>5188.2</v>
      </c>
      <c r="M101" s="128"/>
      <c r="N101" s="128"/>
      <c r="O101" s="128"/>
      <c r="P101" s="114"/>
      <c r="Q101" s="115">
        <f t="shared" si="79"/>
        <v>6354.86</v>
      </c>
      <c r="R101" s="116"/>
      <c r="S101" s="164"/>
      <c r="T101" s="164">
        <v>0</v>
      </c>
      <c r="U101" s="164"/>
      <c r="V101" s="164"/>
      <c r="W101" s="164"/>
      <c r="X101" s="165"/>
      <c r="Y101" s="165"/>
      <c r="Z101" s="149"/>
      <c r="AA101" s="149">
        <v>0</v>
      </c>
      <c r="AB101" s="115">
        <f t="shared" si="80"/>
        <v>6354.86</v>
      </c>
      <c r="AC101" s="120">
        <f t="shared" si="81"/>
        <v>635.48599999999999</v>
      </c>
      <c r="AD101" s="115">
        <f t="shared" si="82"/>
        <v>5719.3739999999998</v>
      </c>
      <c r="AE101" s="121">
        <f t="shared" si="83"/>
        <v>0</v>
      </c>
      <c r="AF101" s="120">
        <v>10.23</v>
      </c>
      <c r="AG101" s="120">
        <f t="shared" si="84"/>
        <v>0</v>
      </c>
      <c r="AH101" s="122">
        <f t="shared" si="85"/>
        <v>6365.0899999999992</v>
      </c>
      <c r="AI101" s="206">
        <v>577.35</v>
      </c>
      <c r="AJ101" s="210">
        <v>5142.0200000000004</v>
      </c>
      <c r="AK101" s="194">
        <f t="shared" si="72"/>
        <v>-3.9999999989959178E-3</v>
      </c>
      <c r="AL101" s="124"/>
      <c r="AM101" s="124"/>
    </row>
    <row r="102" spans="1:193" s="39" customFormat="1">
      <c r="A102" s="124" t="s">
        <v>91</v>
      </c>
      <c r="B102" s="110" t="s">
        <v>80</v>
      </c>
      <c r="C102" s="110"/>
      <c r="D102" s="110" t="s">
        <v>110</v>
      </c>
      <c r="E102" s="110" t="s">
        <v>168</v>
      </c>
      <c r="F102" s="110"/>
      <c r="G102" s="110"/>
      <c r="H102" s="110"/>
      <c r="I102" s="112">
        <v>1100</v>
      </c>
      <c r="J102" s="180"/>
      <c r="K102" s="112">
        <f t="shared" si="73"/>
        <v>1100</v>
      </c>
      <c r="L102" s="112"/>
      <c r="M102" s="112"/>
      <c r="N102" s="112"/>
      <c r="O102" s="112"/>
      <c r="P102" s="114"/>
      <c r="Q102" s="115">
        <f t="shared" si="79"/>
        <v>1100</v>
      </c>
      <c r="R102" s="116"/>
      <c r="S102" s="117"/>
      <c r="T102" s="117">
        <v>0</v>
      </c>
      <c r="U102" s="117"/>
      <c r="V102" s="117"/>
      <c r="W102" s="117"/>
      <c r="X102" s="118"/>
      <c r="Y102" s="118"/>
      <c r="Z102" s="119"/>
      <c r="AA102" s="119">
        <v>0</v>
      </c>
      <c r="AB102" s="115">
        <f t="shared" si="80"/>
        <v>1100</v>
      </c>
      <c r="AC102" s="120">
        <f t="shared" si="81"/>
        <v>0</v>
      </c>
      <c r="AD102" s="115">
        <f t="shared" si="82"/>
        <v>1100</v>
      </c>
      <c r="AE102" s="121">
        <f t="shared" si="83"/>
        <v>110</v>
      </c>
      <c r="AF102" s="120">
        <v>10.23</v>
      </c>
      <c r="AG102" s="120">
        <f t="shared" si="84"/>
        <v>0</v>
      </c>
      <c r="AH102" s="122">
        <f t="shared" si="85"/>
        <v>1220.23</v>
      </c>
      <c r="AI102" s="209">
        <v>577.35</v>
      </c>
      <c r="AJ102" s="207">
        <v>522.65</v>
      </c>
      <c r="AK102" s="194">
        <f t="shared" si="72"/>
        <v>0</v>
      </c>
      <c r="AL102" s="124"/>
      <c r="AM102" s="124"/>
    </row>
    <row r="103" spans="1:193">
      <c r="A103" s="124" t="s">
        <v>92</v>
      </c>
      <c r="B103" s="110" t="s">
        <v>210</v>
      </c>
      <c r="C103" s="110"/>
      <c r="D103" s="110" t="s">
        <v>109</v>
      </c>
      <c r="E103" s="110" t="s">
        <v>166</v>
      </c>
      <c r="F103" s="110"/>
      <c r="G103" s="110"/>
      <c r="H103" s="110"/>
      <c r="I103" s="112">
        <v>739.23</v>
      </c>
      <c r="J103" s="180"/>
      <c r="K103" s="112">
        <f t="shared" si="73"/>
        <v>739.23</v>
      </c>
      <c r="L103" s="112">
        <f>3291.02+13.09</f>
        <v>3304.11</v>
      </c>
      <c r="M103" s="112"/>
      <c r="N103" s="112"/>
      <c r="O103" s="112"/>
      <c r="P103" s="114"/>
      <c r="Q103" s="115">
        <f t="shared" si="79"/>
        <v>4043.34</v>
      </c>
      <c r="R103" s="116"/>
      <c r="S103" s="117"/>
      <c r="T103" s="164"/>
      <c r="U103" s="117"/>
      <c r="V103" s="117"/>
      <c r="W103" s="117"/>
      <c r="X103" s="118"/>
      <c r="Y103" s="118"/>
      <c r="Z103" s="119"/>
      <c r="AA103" s="119">
        <v>0</v>
      </c>
      <c r="AB103" s="115">
        <f t="shared" si="80"/>
        <v>4043.34</v>
      </c>
      <c r="AC103" s="120">
        <f t="shared" si="81"/>
        <v>404.33400000000006</v>
      </c>
      <c r="AD103" s="115">
        <f t="shared" si="82"/>
        <v>3639.0060000000003</v>
      </c>
      <c r="AE103" s="121">
        <f t="shared" si="83"/>
        <v>0</v>
      </c>
      <c r="AF103" s="120">
        <v>10.23</v>
      </c>
      <c r="AG103" s="120">
        <f t="shared" si="84"/>
        <v>0</v>
      </c>
      <c r="AH103" s="122">
        <f t="shared" si="85"/>
        <v>4053.57</v>
      </c>
      <c r="AI103" s="206">
        <v>577.35</v>
      </c>
      <c r="AJ103" s="211">
        <v>3061.66</v>
      </c>
      <c r="AK103" s="194">
        <f t="shared" si="72"/>
        <v>3.9999999994506652E-3</v>
      </c>
      <c r="AL103" s="124"/>
      <c r="AM103" s="124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129"/>
      <c r="B104" s="110"/>
      <c r="C104" s="110"/>
      <c r="D104" s="111"/>
      <c r="E104" s="110"/>
      <c r="F104" s="110"/>
      <c r="G104" s="110"/>
      <c r="H104" s="110"/>
      <c r="I104" s="112"/>
      <c r="J104" s="180"/>
      <c r="K104" s="112"/>
      <c r="L104" s="112"/>
      <c r="M104" s="112"/>
      <c r="N104" s="112"/>
      <c r="O104" s="112"/>
      <c r="P104" s="114"/>
      <c r="Q104" s="115">
        <f t="shared" si="79"/>
        <v>0</v>
      </c>
      <c r="R104" s="116"/>
      <c r="S104" s="117"/>
      <c r="T104" s="117"/>
      <c r="U104" s="117"/>
      <c r="V104" s="117"/>
      <c r="W104" s="117"/>
      <c r="X104" s="118"/>
      <c r="Y104" s="118"/>
      <c r="Z104" s="118"/>
      <c r="AA104" s="118"/>
      <c r="AB104" s="115"/>
      <c r="AC104" s="120">
        <f t="shared" si="81"/>
        <v>0</v>
      </c>
      <c r="AD104" s="115"/>
      <c r="AE104" s="121">
        <f t="shared" si="83"/>
        <v>0</v>
      </c>
      <c r="AF104" s="120"/>
      <c r="AG104" s="120">
        <f t="shared" si="84"/>
        <v>0</v>
      </c>
      <c r="AH104" s="122">
        <f t="shared" si="85"/>
        <v>0</v>
      </c>
      <c r="AI104" s="128"/>
      <c r="AJ104" s="128"/>
      <c r="AK104" s="194">
        <f t="shared" si="72"/>
        <v>0</v>
      </c>
      <c r="AL104" s="124"/>
      <c r="AM104" s="124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 s="39" customFormat="1">
      <c r="A105" s="106"/>
      <c r="B105" s="107"/>
      <c r="C105" s="107"/>
      <c r="D105" s="107"/>
      <c r="E105" s="107"/>
      <c r="F105" s="107"/>
      <c r="G105" s="107"/>
      <c r="H105" s="107"/>
      <c r="I105" s="108"/>
      <c r="J105" s="183"/>
      <c r="K105" s="108"/>
      <c r="L105" s="108"/>
      <c r="M105" s="108"/>
      <c r="N105" s="108"/>
      <c r="O105" s="108"/>
      <c r="P105" s="108"/>
      <c r="Q105" s="109"/>
      <c r="R105" s="108"/>
      <c r="S105" s="108"/>
      <c r="T105" s="108"/>
      <c r="U105" s="108"/>
      <c r="V105" s="108"/>
      <c r="W105" s="108"/>
      <c r="X105" s="139"/>
      <c r="Y105" s="139"/>
      <c r="Z105" s="139"/>
      <c r="AA105" s="139"/>
      <c r="AB105" s="109"/>
      <c r="AC105" s="139"/>
      <c r="AD105" s="109"/>
      <c r="AE105" s="139"/>
      <c r="AF105" s="139"/>
      <c r="AG105" s="139"/>
      <c r="AH105" s="109"/>
      <c r="AI105" s="160"/>
      <c r="AJ105" s="160"/>
      <c r="AK105" s="101"/>
    </row>
    <row r="106" spans="1:193">
      <c r="B106" s="140" t="s">
        <v>17</v>
      </c>
      <c r="C106" s="140"/>
      <c r="D106" s="140"/>
      <c r="E106" s="140"/>
      <c r="F106" s="140"/>
      <c r="G106" s="140"/>
      <c r="H106" s="140"/>
      <c r="I106" s="112"/>
      <c r="J106" s="184"/>
      <c r="K106" s="141">
        <f>SUM(K7:K105)</f>
        <v>89979.927333333428</v>
      </c>
      <c r="L106" s="141">
        <f>SUM(L7:L105)</f>
        <v>221429.31999999995</v>
      </c>
      <c r="M106" s="141"/>
      <c r="N106" s="141">
        <f>SUM(N7:N105)</f>
        <v>0</v>
      </c>
      <c r="O106" s="141">
        <f>SUM(O7:O105)</f>
        <v>0</v>
      </c>
      <c r="P106" s="141">
        <f>SUM(P7:P105)</f>
        <v>0</v>
      </c>
      <c r="Q106" s="141">
        <f>SUM(Q7:Q105)</f>
        <v>311409.24733333354</v>
      </c>
      <c r="R106" s="141">
        <f>SUM(R7:R105)</f>
        <v>0</v>
      </c>
      <c r="S106" s="141"/>
      <c r="T106" s="142">
        <f t="shared" ref="T106:AK106" si="103">SUM(T7:T105)</f>
        <v>3632.9279999999999</v>
      </c>
      <c r="U106" s="142">
        <f t="shared" si="103"/>
        <v>2482.0607000000005</v>
      </c>
      <c r="V106" s="142">
        <f t="shared" si="103"/>
        <v>498.09320000000008</v>
      </c>
      <c r="W106" s="142">
        <f t="shared" si="103"/>
        <v>879.38</v>
      </c>
      <c r="X106" s="141">
        <f t="shared" si="103"/>
        <v>2576.4</v>
      </c>
      <c r="Y106" s="141">
        <f t="shared" si="103"/>
        <v>335.5</v>
      </c>
      <c r="Z106" s="141">
        <f t="shared" si="103"/>
        <v>406.94</v>
      </c>
      <c r="AA106" s="141">
        <f t="shared" si="103"/>
        <v>7833.81</v>
      </c>
      <c r="AB106" s="141">
        <f t="shared" si="103"/>
        <v>291899.19543333334</v>
      </c>
      <c r="AC106" s="141">
        <f t="shared" si="103"/>
        <v>25036.379000000001</v>
      </c>
      <c r="AD106" s="141">
        <f t="shared" si="103"/>
        <v>266862.81643333344</v>
      </c>
      <c r="AE106" s="141">
        <f t="shared" si="103"/>
        <v>11715.369733333335</v>
      </c>
      <c r="AF106" s="141">
        <f t="shared" si="103"/>
        <v>982.08000000000118</v>
      </c>
      <c r="AG106" s="141">
        <f t="shared" si="103"/>
        <v>2482.0607000000005</v>
      </c>
      <c r="AH106" s="141">
        <f t="shared" si="103"/>
        <v>326588.75776666659</v>
      </c>
      <c r="AI106" s="161">
        <f t="shared" si="103"/>
        <v>45870.509999999958</v>
      </c>
      <c r="AJ106" s="161">
        <f t="shared" si="103"/>
        <v>212482.06</v>
      </c>
      <c r="AK106" s="143">
        <f t="shared" si="103"/>
        <v>281.69156666666839</v>
      </c>
      <c r="AL106" s="110"/>
      <c r="AM106" s="110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H107" s="24">
        <f>AH106*0.16</f>
        <v>52254.201242666655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A108" s="228" t="s">
        <v>292</v>
      </c>
      <c r="B108" s="228"/>
      <c r="C108" s="144"/>
      <c r="D108" s="110"/>
      <c r="E108" s="110"/>
      <c r="F108" s="110"/>
      <c r="G108" s="110"/>
      <c r="H108" s="110"/>
      <c r="I108" s="112"/>
      <c r="J108" s="180"/>
      <c r="K108" s="112"/>
      <c r="L108" s="112"/>
      <c r="M108" s="112"/>
      <c r="N108" s="112"/>
      <c r="O108" s="112"/>
      <c r="P108" s="112"/>
      <c r="Q108" s="141"/>
      <c r="R108" s="112"/>
      <c r="S108" s="112"/>
      <c r="T108" s="128"/>
      <c r="U108" s="128"/>
      <c r="V108" s="128"/>
      <c r="W108" s="128"/>
      <c r="X108" s="112"/>
      <c r="Y108" s="112"/>
      <c r="Z108" s="112"/>
      <c r="AA108" s="112"/>
      <c r="AB108" s="141"/>
      <c r="AC108" s="112"/>
      <c r="AD108" s="141"/>
      <c r="AE108" s="112"/>
      <c r="AF108" s="112"/>
      <c r="AG108" s="112"/>
      <c r="AH108" s="141">
        <f>+AH106+AH107</f>
        <v>378842.95900933322</v>
      </c>
      <c r="AI108" s="161"/>
      <c r="AJ108" s="161"/>
      <c r="AK108" s="143"/>
      <c r="AL108" s="110"/>
      <c r="AM108" s="110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A109" s="124" t="s">
        <v>94</v>
      </c>
      <c r="B109" s="110" t="s">
        <v>293</v>
      </c>
      <c r="C109" s="110"/>
      <c r="D109" s="111"/>
      <c r="E109" s="110"/>
      <c r="F109" s="110"/>
      <c r="G109" s="110"/>
      <c r="H109" s="110"/>
      <c r="I109" s="112"/>
      <c r="J109" s="180"/>
      <c r="K109" s="223">
        <v>534.29999999999995</v>
      </c>
      <c r="L109" s="112">
        <f>2507.79+5.57</f>
        <v>2513.36</v>
      </c>
      <c r="M109" s="112"/>
      <c r="N109" s="112"/>
      <c r="O109" s="112"/>
      <c r="P109" s="112"/>
      <c r="Q109" s="115">
        <f>SUM(K109:P109)</f>
        <v>3047.66</v>
      </c>
      <c r="R109" s="116"/>
      <c r="S109" s="116"/>
      <c r="T109" s="128"/>
      <c r="U109" s="126">
        <f>Q109*4.9%</f>
        <v>149.33534</v>
      </c>
      <c r="V109" s="126">
        <f>Q109*1%</f>
        <v>30.476599999999998</v>
      </c>
      <c r="W109" s="128"/>
      <c r="X109" s="145"/>
      <c r="Y109" s="145"/>
      <c r="Z109" s="145"/>
      <c r="AA109" s="145"/>
      <c r="AB109" s="115">
        <f t="shared" ref="AB109:AB110" si="104">+Q109-SUM(R109:AA109)</f>
        <v>2867.8480599999998</v>
      </c>
      <c r="AC109" s="120">
        <f>+AB109*0.05</f>
        <v>143.392403</v>
      </c>
      <c r="AD109" s="115">
        <f>+AB109-X109-AA109</f>
        <v>2867.8480599999998</v>
      </c>
      <c r="AE109" s="121">
        <f>IF(AB109&lt;3000,AB109*0.1,0)</f>
        <v>286.784806</v>
      </c>
      <c r="AF109" s="120">
        <v>0</v>
      </c>
      <c r="AG109" s="120"/>
      <c r="AH109" s="115">
        <f>+AB109+AE109+AF109</f>
        <v>3154.6328659999999</v>
      </c>
      <c r="AI109" s="162"/>
      <c r="AJ109" s="162"/>
      <c r="AK109" s="146"/>
      <c r="AL109" s="110"/>
      <c r="AM109" s="224" t="s">
        <v>363</v>
      </c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A110" s="124" t="s">
        <v>94</v>
      </c>
      <c r="B110" s="111" t="s">
        <v>313</v>
      </c>
      <c r="C110" s="111"/>
      <c r="D110" s="111"/>
      <c r="E110" s="111"/>
      <c r="F110" s="111"/>
      <c r="G110" s="111"/>
      <c r="H110" s="111"/>
      <c r="I110" s="113"/>
      <c r="J110" s="177"/>
      <c r="K110" s="128">
        <v>1166.6600000000001</v>
      </c>
      <c r="L110" s="113">
        <f>3876.22-750</f>
        <v>3126.22</v>
      </c>
      <c r="M110" s="113"/>
      <c r="N110" s="113"/>
      <c r="O110" s="113"/>
      <c r="P110" s="113"/>
      <c r="Q110" s="115">
        <f>SUM(K110:P110)</f>
        <v>4292.88</v>
      </c>
      <c r="R110" s="116"/>
      <c r="S110" s="116"/>
      <c r="T110" s="128"/>
      <c r="U110" s="128"/>
      <c r="V110" s="128"/>
      <c r="W110" s="128"/>
      <c r="X110" s="145"/>
      <c r="Y110" s="145"/>
      <c r="Z110" s="131">
        <v>364.96</v>
      </c>
      <c r="AA110" s="145"/>
      <c r="AB110" s="115">
        <f t="shared" si="104"/>
        <v>3927.92</v>
      </c>
      <c r="AC110" s="120">
        <f>+AB110*0.05</f>
        <v>196.39600000000002</v>
      </c>
      <c r="AD110" s="115">
        <f>+AB110-X110-AA110</f>
        <v>3927.92</v>
      </c>
      <c r="AE110" s="121">
        <f>IF(AB110&lt;3000,AB110*0.1,0)</f>
        <v>0</v>
      </c>
      <c r="AF110" s="120">
        <v>0</v>
      </c>
      <c r="AG110" s="120"/>
      <c r="AH110" s="115">
        <f>+AB110+AE110+AF110</f>
        <v>3927.92</v>
      </c>
      <c r="AI110" s="162"/>
      <c r="AJ110" s="162"/>
      <c r="AK110" s="146"/>
      <c r="AL110" s="110"/>
      <c r="AM110" s="110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AH111" s="24">
        <f>SUM(AH109:AH110)</f>
        <v>7082.552866</v>
      </c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112" s="55"/>
      <c r="C112" s="55"/>
      <c r="D112" s="55"/>
      <c r="AH112" s="24">
        <f>+AH111*0.16</f>
        <v>1133.2084585600001</v>
      </c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A113" s="226" t="s">
        <v>312</v>
      </c>
      <c r="B113" s="226"/>
      <c r="C113" s="55"/>
      <c r="D113" s="55"/>
      <c r="AH113" s="24">
        <f>+AH111+AH112</f>
        <v>8215.7613245600005</v>
      </c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 s="39" customFormat="1">
      <c r="A114" s="124" t="s">
        <v>71</v>
      </c>
      <c r="B114" s="124" t="s">
        <v>250</v>
      </c>
      <c r="C114" s="124" t="s">
        <v>249</v>
      </c>
      <c r="D114" s="137"/>
      <c r="E114" s="124" t="s">
        <v>73</v>
      </c>
      <c r="F114" s="127">
        <v>42240</v>
      </c>
      <c r="G114" s="124"/>
      <c r="H114" s="124"/>
      <c r="I114" s="128"/>
      <c r="J114" s="178"/>
      <c r="K114" s="128">
        <f t="shared" ref="K114" si="105">+I114+J114</f>
        <v>0</v>
      </c>
      <c r="L114" s="128"/>
      <c r="M114" s="128"/>
      <c r="N114" s="128"/>
      <c r="O114" s="128"/>
      <c r="P114" s="171"/>
      <c r="Q114" s="186">
        <f t="shared" ref="Q114" si="106">SUM(K114:O114)-P114</f>
        <v>0</v>
      </c>
      <c r="R114" s="128"/>
      <c r="S114" s="128">
        <v>58.91</v>
      </c>
      <c r="T114" s="128"/>
      <c r="U114" s="128"/>
      <c r="V114" s="128"/>
      <c r="W114" s="128"/>
      <c r="X114" s="120"/>
      <c r="Y114" s="120"/>
      <c r="Z114" s="124"/>
      <c r="AA114" s="124">
        <v>0</v>
      </c>
      <c r="AB114" s="186">
        <f t="shared" ref="AB114" si="107">+Q114-SUM(R114:AA114)</f>
        <v>-58.91</v>
      </c>
      <c r="AC114" s="120">
        <f t="shared" ref="AC114" si="108">IF(Q114&gt;2250,Q114*0.1,0)</f>
        <v>0</v>
      </c>
      <c r="AD114" s="186">
        <f>+AB114-AC114</f>
        <v>-58.91</v>
      </c>
      <c r="AE114" s="120">
        <f>IF(Q114&lt;3500,Q114*0.1,0)</f>
        <v>0</v>
      </c>
      <c r="AF114" s="120">
        <v>10.23</v>
      </c>
      <c r="AG114" s="120">
        <f t="shared" ref="AG114" si="109">+U114</f>
        <v>0</v>
      </c>
      <c r="AH114" s="186">
        <f t="shared" ref="AH114" si="110">+Q114+AE114+AF114+AG114</f>
        <v>10.23</v>
      </c>
      <c r="AI114" s="163"/>
      <c r="AJ114" s="166"/>
      <c r="AK114" s="123">
        <f t="shared" ref="AK114" si="111">+AI114+AJ114-AD114</f>
        <v>58.91</v>
      </c>
      <c r="AL114" s="124"/>
      <c r="AM114" s="170" t="s">
        <v>311</v>
      </c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57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A122" s="41" t="s">
        <v>58</v>
      </c>
      <c r="B122" s="23"/>
      <c r="C122" s="23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A123" s="41" t="s">
        <v>59</v>
      </c>
      <c r="B123" s="23"/>
      <c r="C123" s="23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4" spans="1:193">
      <c r="A124" s="41" t="s">
        <v>60</v>
      </c>
      <c r="B124" s="23"/>
      <c r="C124" s="23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</row>
    <row r="125" spans="1:193">
      <c r="A125" s="41" t="s">
        <v>61</v>
      </c>
      <c r="B125" s="23"/>
      <c r="C125" s="23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</row>
    <row r="126" spans="1:193">
      <c r="A126" s="41" t="s">
        <v>62</v>
      </c>
      <c r="B126" s="23"/>
      <c r="C126" s="23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</row>
    <row r="127" spans="1:193"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</row>
    <row r="128" spans="1:193"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</row>
    <row r="130" spans="2:3">
      <c r="B130" s="27"/>
      <c r="C130" s="70"/>
    </row>
    <row r="131" spans="2:3">
      <c r="B131" s="27"/>
      <c r="C131" s="70"/>
    </row>
    <row r="132" spans="2:3">
      <c r="B132" s="27"/>
      <c r="C132" s="70"/>
    </row>
  </sheetData>
  <sheetProtection selectLockedCells="1" selectUnlockedCells="1"/>
  <autoFilter ref="A5:AM104">
    <filterColumn colId="34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A113:B113"/>
    <mergeCell ref="AM5:AM6"/>
    <mergeCell ref="A108:B108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38" t="s">
        <v>39</v>
      </c>
      <c r="B5" s="240" t="s">
        <v>40</v>
      </c>
      <c r="C5" s="238"/>
      <c r="D5" s="240" t="s">
        <v>41</v>
      </c>
      <c r="E5" s="240" t="s">
        <v>0</v>
      </c>
      <c r="F5" s="238" t="s">
        <v>246</v>
      </c>
      <c r="G5" s="229" t="s">
        <v>67</v>
      </c>
      <c r="H5" s="229" t="s">
        <v>65</v>
      </c>
      <c r="I5" s="242" t="s">
        <v>66</v>
      </c>
      <c r="J5" s="236" t="s">
        <v>68</v>
      </c>
      <c r="K5" s="229" t="s">
        <v>34</v>
      </c>
      <c r="L5" s="236" t="s">
        <v>75</v>
      </c>
      <c r="M5" s="95"/>
      <c r="N5" s="229" t="s">
        <v>35</v>
      </c>
      <c r="O5" s="229" t="s">
        <v>36</v>
      </c>
      <c r="P5" s="229" t="s">
        <v>63</v>
      </c>
      <c r="Q5" s="229" t="s">
        <v>37</v>
      </c>
      <c r="R5" s="229" t="s">
        <v>38</v>
      </c>
      <c r="S5" s="88"/>
      <c r="T5" s="234" t="s">
        <v>186</v>
      </c>
      <c r="U5" s="234" t="s">
        <v>213</v>
      </c>
      <c r="V5" s="234" t="s">
        <v>212</v>
      </c>
      <c r="W5" s="234" t="s">
        <v>187</v>
      </c>
      <c r="X5" s="229" t="s">
        <v>30</v>
      </c>
      <c r="Y5" s="229" t="s">
        <v>56</v>
      </c>
      <c r="Z5" s="229" t="s">
        <v>55</v>
      </c>
      <c r="AA5" s="229" t="s">
        <v>32</v>
      </c>
      <c r="AB5" s="229" t="s">
        <v>64</v>
      </c>
      <c r="AC5" s="229" t="s">
        <v>27</v>
      </c>
      <c r="AD5" s="229" t="s">
        <v>31</v>
      </c>
      <c r="AE5" s="229" t="s">
        <v>26</v>
      </c>
      <c r="AF5" s="229" t="s">
        <v>28</v>
      </c>
      <c r="AG5" s="229" t="s">
        <v>29</v>
      </c>
      <c r="AH5" s="229" t="s">
        <v>188</v>
      </c>
      <c r="AI5" s="229" t="s">
        <v>189</v>
      </c>
      <c r="AJ5" s="249" t="s">
        <v>190</v>
      </c>
      <c r="AK5" s="250"/>
      <c r="AL5" s="227" t="s">
        <v>191</v>
      </c>
      <c r="AM5" s="227" t="s">
        <v>257</v>
      </c>
      <c r="AN5" s="227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45"/>
      <c r="B6" s="240"/>
      <c r="C6" s="245"/>
      <c r="D6" s="240"/>
      <c r="E6" s="240"/>
      <c r="F6" s="245"/>
      <c r="G6" s="229"/>
      <c r="H6" s="229"/>
      <c r="I6" s="246"/>
      <c r="J6" s="247"/>
      <c r="K6" s="229"/>
      <c r="L6" s="247"/>
      <c r="M6" s="96" t="s">
        <v>288</v>
      </c>
      <c r="N6" s="229"/>
      <c r="O6" s="229"/>
      <c r="P6" s="229"/>
      <c r="Q6" s="229"/>
      <c r="R6" s="229"/>
      <c r="S6" s="89" t="s">
        <v>276</v>
      </c>
      <c r="T6" s="248"/>
      <c r="U6" s="248"/>
      <c r="V6" s="248"/>
      <c r="W6" s="248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64" t="s">
        <v>66</v>
      </c>
      <c r="AK6" s="64" t="s">
        <v>68</v>
      </c>
      <c r="AL6" s="227"/>
      <c r="AM6" s="227"/>
      <c r="AN6" s="227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44" t="s">
        <v>33</v>
      </c>
      <c r="B98" s="244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  <mergeCell ref="R5:R6"/>
    <mergeCell ref="AB5:AB6"/>
    <mergeCell ref="X5:X6"/>
    <mergeCell ref="U5:U6"/>
    <mergeCell ref="V5:V6"/>
    <mergeCell ref="W5:W6"/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304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38" t="s">
        <v>39</v>
      </c>
      <c r="B5" s="240" t="s">
        <v>40</v>
      </c>
      <c r="C5" s="238"/>
      <c r="D5" s="240" t="s">
        <v>41</v>
      </c>
      <c r="E5" s="240" t="s">
        <v>0</v>
      </c>
      <c r="F5" s="238" t="s">
        <v>246</v>
      </c>
      <c r="G5" s="229" t="s">
        <v>67</v>
      </c>
      <c r="H5" s="229" t="s">
        <v>65</v>
      </c>
      <c r="I5" s="242" t="s">
        <v>66</v>
      </c>
      <c r="J5" s="236" t="s">
        <v>68</v>
      </c>
      <c r="K5" s="229" t="s">
        <v>34</v>
      </c>
      <c r="L5" s="236" t="s">
        <v>75</v>
      </c>
      <c r="M5" s="154"/>
      <c r="N5" s="229" t="s">
        <v>35</v>
      </c>
      <c r="O5" s="229" t="s">
        <v>36</v>
      </c>
      <c r="P5" s="229" t="s">
        <v>63</v>
      </c>
      <c r="Q5" s="229" t="s">
        <v>37</v>
      </c>
      <c r="R5" s="229" t="s">
        <v>38</v>
      </c>
      <c r="S5" s="153"/>
      <c r="T5" s="234" t="s">
        <v>186</v>
      </c>
      <c r="U5" s="234" t="s">
        <v>213</v>
      </c>
      <c r="V5" s="234" t="s">
        <v>212</v>
      </c>
      <c r="W5" s="234" t="s">
        <v>187</v>
      </c>
      <c r="X5" s="229" t="s">
        <v>30</v>
      </c>
      <c r="Y5" s="229" t="s">
        <v>56</v>
      </c>
      <c r="Z5" s="229" t="s">
        <v>55</v>
      </c>
      <c r="AA5" s="229" t="s">
        <v>32</v>
      </c>
      <c r="AB5" s="229" t="s">
        <v>64</v>
      </c>
      <c r="AC5" s="229" t="s">
        <v>27</v>
      </c>
      <c r="AD5" s="229" t="s">
        <v>31</v>
      </c>
      <c r="AE5" s="229" t="s">
        <v>26</v>
      </c>
      <c r="AF5" s="229" t="s">
        <v>28</v>
      </c>
      <c r="AG5" s="152"/>
      <c r="AH5" s="229" t="s">
        <v>29</v>
      </c>
      <c r="AI5" s="251" t="s">
        <v>190</v>
      </c>
      <c r="AJ5" s="252"/>
      <c r="AK5" s="233" t="s">
        <v>191</v>
      </c>
      <c r="AL5" s="227" t="s">
        <v>257</v>
      </c>
      <c r="AM5" s="150"/>
      <c r="AN5" s="227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39"/>
      <c r="B6" s="241"/>
      <c r="C6" s="239"/>
      <c r="D6" s="241"/>
      <c r="E6" s="241"/>
      <c r="F6" s="239"/>
      <c r="G6" s="230"/>
      <c r="H6" s="230"/>
      <c r="I6" s="243"/>
      <c r="J6" s="237"/>
      <c r="K6" s="230"/>
      <c r="L6" s="237"/>
      <c r="M6" s="155" t="s">
        <v>288</v>
      </c>
      <c r="N6" s="230"/>
      <c r="O6" s="230"/>
      <c r="P6" s="230"/>
      <c r="Q6" s="230"/>
      <c r="R6" s="230"/>
      <c r="S6" s="104" t="s">
        <v>276</v>
      </c>
      <c r="T6" s="235"/>
      <c r="U6" s="235"/>
      <c r="V6" s="235"/>
      <c r="W6" s="235"/>
      <c r="X6" s="230"/>
      <c r="Y6" s="230"/>
      <c r="Z6" s="230"/>
      <c r="AA6" s="230"/>
      <c r="AB6" s="230"/>
      <c r="AC6" s="230"/>
      <c r="AD6" s="230"/>
      <c r="AE6" s="230"/>
      <c r="AF6" s="230"/>
      <c r="AG6" s="153"/>
      <c r="AH6" s="230"/>
      <c r="AI6" s="105" t="s">
        <v>66</v>
      </c>
      <c r="AJ6" s="105" t="s">
        <v>68</v>
      </c>
      <c r="AK6" s="233"/>
      <c r="AL6" s="227"/>
      <c r="AM6" s="150" t="s">
        <v>305</v>
      </c>
      <c r="AN6" s="227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28" t="s">
        <v>292</v>
      </c>
      <c r="B8" s="228"/>
      <c r="C8" s="151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1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1"/>
      <c r="AC8" s="112"/>
      <c r="AD8" s="141"/>
      <c r="AE8" s="112"/>
      <c r="AF8" s="112"/>
      <c r="AG8" s="112"/>
      <c r="AH8" s="141" t="e">
        <f>+#REF!+AH7</f>
        <v>#REF!</v>
      </c>
      <c r="AI8" s="143"/>
      <c r="AJ8" s="143"/>
      <c r="AK8" s="143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6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5"/>
      <c r="Y9" s="145"/>
      <c r="Z9" s="145"/>
      <c r="AA9" s="145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6"/>
      <c r="AJ9" s="146"/>
      <c r="AK9" s="146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2016-05-24T22:49:25Z</dcterms:modified>
</cp:coreProperties>
</file>