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445" tabRatio="704"/>
  </bookViews>
  <sheets>
    <sheet name="FORMATO NOMINA COM" sheetId="4" r:id="rId1"/>
    <sheet name="FORMATO NOMINA" sheetId="1" r:id="rId2"/>
    <sheet name="descuentos" sheetId="2" r:id="rId3"/>
    <sheet name="INFONAVIT" sheetId="3" r:id="rId4"/>
    <sheet name="COMPLEMENTO" sheetId="5" r:id="rId5"/>
  </sheets>
  <definedNames>
    <definedName name="_xlnm._FilterDatabase" localSheetId="4" hidden="1">COMPLEMENTO!$A$5:$AN$6</definedName>
    <definedName name="_xlnm._FilterDatabase" localSheetId="1" hidden="1">'FORMATO NOMINA'!$A$5:$AL$94</definedName>
    <definedName name="_xlnm._FilterDatabase" localSheetId="0" hidden="1">'FORMATO NOMINA COM'!$A$5:$AM$98</definedName>
  </definedNames>
  <calcPr calcId="124519"/>
</workbook>
</file>

<file path=xl/calcChain.xml><?xml version="1.0" encoding="utf-8"?>
<calcChain xmlns="http://schemas.openxmlformats.org/spreadsheetml/2006/main">
  <c r="AK74" i="4"/>
  <c r="AK58"/>
  <c r="AK55"/>
  <c r="AK56"/>
  <c r="AK35"/>
  <c r="AK31"/>
  <c r="AK22"/>
  <c r="AK18"/>
  <c r="L43"/>
  <c r="L58"/>
  <c r="L35"/>
  <c r="L104"/>
  <c r="X74" l="1"/>
  <c r="AA76"/>
  <c r="X56"/>
  <c r="AA55"/>
  <c r="AA22"/>
  <c r="AA18"/>
  <c r="L15"/>
  <c r="AG58"/>
  <c r="K58"/>
  <c r="Q58" s="1"/>
  <c r="AE58" s="1"/>
  <c r="I52"/>
  <c r="AG86"/>
  <c r="Q86"/>
  <c r="AC86" s="1"/>
  <c r="L74"/>
  <c r="AG35"/>
  <c r="Q35"/>
  <c r="AB35" s="1"/>
  <c r="AG43"/>
  <c r="Q43"/>
  <c r="AC43" s="1"/>
  <c r="K52"/>
  <c r="AG66"/>
  <c r="K66"/>
  <c r="Q66" s="1"/>
  <c r="AG31"/>
  <c r="K31"/>
  <c r="Q31" s="1"/>
  <c r="L66"/>
  <c r="L63"/>
  <c r="L68"/>
  <c r="L51"/>
  <c r="L72"/>
  <c r="L30"/>
  <c r="L73"/>
  <c r="L32"/>
  <c r="L94"/>
  <c r="L9"/>
  <c r="L48"/>
  <c r="L84"/>
  <c r="L47"/>
  <c r="L103"/>
  <c r="L71"/>
  <c r="L26"/>
  <c r="L49"/>
  <c r="L97"/>
  <c r="L24"/>
  <c r="L89"/>
  <c r="L85"/>
  <c r="L90"/>
  <c r="L70"/>
  <c r="L10"/>
  <c r="L39"/>
  <c r="L12"/>
  <c r="L78"/>
  <c r="L50"/>
  <c r="L65"/>
  <c r="L79"/>
  <c r="L19"/>
  <c r="AG109"/>
  <c r="Q109"/>
  <c r="AE109" s="1"/>
  <c r="K72"/>
  <c r="K15"/>
  <c r="AE31" l="1"/>
  <c r="AH31" s="1"/>
  <c r="AC31"/>
  <c r="AB31"/>
  <c r="AC109"/>
  <c r="AE43"/>
  <c r="AH43" s="1"/>
  <c r="AB43"/>
  <c r="AD43" s="1"/>
  <c r="AH58"/>
  <c r="AB58"/>
  <c r="AC58"/>
  <c r="AE35"/>
  <c r="AH35" s="1"/>
  <c r="AC35"/>
  <c r="AD35" s="1"/>
  <c r="AE86"/>
  <c r="AH86" s="1"/>
  <c r="AB86"/>
  <c r="AD86" s="1"/>
  <c r="AC66"/>
  <c r="AB66"/>
  <c r="AE66"/>
  <c r="AH66" s="1"/>
  <c r="AH109"/>
  <c r="AB109"/>
  <c r="AD66" l="1"/>
  <c r="AD31"/>
  <c r="AD58"/>
  <c r="AD109"/>
  <c r="AK109" s="1"/>
  <c r="AK66"/>
  <c r="K89" l="1"/>
  <c r="K63"/>
  <c r="K50"/>
  <c r="K12"/>
  <c r="K26"/>
  <c r="AG29" l="1"/>
  <c r="K29"/>
  <c r="Q29" s="1"/>
  <c r="AB29" s="1"/>
  <c r="AE29" l="1"/>
  <c r="AH29" s="1"/>
  <c r="AC29"/>
  <c r="K81"/>
  <c r="AD29" l="1"/>
  <c r="I59"/>
  <c r="K59" s="1"/>
  <c r="AK29" l="1"/>
  <c r="AG16" l="1"/>
  <c r="AG74"/>
  <c r="K16" l="1"/>
  <c r="Q16" s="1"/>
  <c r="AG51"/>
  <c r="K51"/>
  <c r="Q51" s="1"/>
  <c r="AG69"/>
  <c r="K69"/>
  <c r="Q69" s="1"/>
  <c r="AB69" l="1"/>
  <c r="AE69"/>
  <c r="AH69" s="1"/>
  <c r="AE16"/>
  <c r="AH16" s="1"/>
  <c r="AB16"/>
  <c r="AC16"/>
  <c r="AE51"/>
  <c r="AH51" s="1"/>
  <c r="AB51"/>
  <c r="AC69"/>
  <c r="AC51"/>
  <c r="AG108"/>
  <c r="K108"/>
  <c r="Q108" s="1"/>
  <c r="AD51" l="1"/>
  <c r="AK51" s="1"/>
  <c r="AD16"/>
  <c r="AK16" s="1"/>
  <c r="AD69"/>
  <c r="AK69" s="1"/>
  <c r="AE108"/>
  <c r="AH108" s="1"/>
  <c r="AB108"/>
  <c r="AC108"/>
  <c r="AD108" l="1"/>
  <c r="AK108" s="1"/>
  <c r="K38"/>
  <c r="AG88" l="1"/>
  <c r="K88"/>
  <c r="Q88" s="1"/>
  <c r="Q38"/>
  <c r="AE38" s="1"/>
  <c r="AB88" l="1"/>
  <c r="AE88"/>
  <c r="AH88" s="1"/>
  <c r="AC88"/>
  <c r="AB38"/>
  <c r="AD88" l="1"/>
  <c r="AK88" s="1"/>
  <c r="AK98" l="1"/>
  <c r="Q9" i="5" l="1"/>
  <c r="V9" s="1"/>
  <c r="AG34" i="4"/>
  <c r="Q34"/>
  <c r="AE34" l="1"/>
  <c r="AH34" s="1"/>
  <c r="AB34"/>
  <c r="U9" i="5"/>
  <c r="AB9"/>
  <c r="AC34" i="4"/>
  <c r="AD34" l="1"/>
  <c r="AK34" s="1"/>
  <c r="AE9" i="5"/>
  <c r="AH9" s="1"/>
  <c r="AH10" s="1"/>
  <c r="AC9"/>
  <c r="AD9"/>
  <c r="AH11" l="1"/>
  <c r="AH12" s="1"/>
  <c r="AH7" l="1"/>
  <c r="AH8" s="1"/>
  <c r="AH14" s="1"/>
  <c r="Q98" i="4" l="1"/>
  <c r="AC98" s="1"/>
  <c r="K57"/>
  <c r="Q57" s="1"/>
  <c r="K76"/>
  <c r="Q76" s="1"/>
  <c r="AC76" s="1"/>
  <c r="AG76"/>
  <c r="AG57"/>
  <c r="AB57" l="1"/>
  <c r="AC57"/>
  <c r="AE57"/>
  <c r="AH57" s="1"/>
  <c r="AE76"/>
  <c r="AH76" s="1"/>
  <c r="AB76"/>
  <c r="AD57" l="1"/>
  <c r="AK57" s="1"/>
  <c r="AD76"/>
  <c r="AK76" s="1"/>
  <c r="AG23"/>
  <c r="AG59" l="1"/>
  <c r="Q59"/>
  <c r="AC59" s="1"/>
  <c r="AE59" l="1"/>
  <c r="AH59" s="1"/>
  <c r="AB59"/>
  <c r="Q73"/>
  <c r="AC73" s="1"/>
  <c r="AD59" l="1"/>
  <c r="AK59" s="1"/>
  <c r="K23"/>
  <c r="Q23" s="1"/>
  <c r="AC23" s="1"/>
  <c r="AG98"/>
  <c r="AG60"/>
  <c r="AG38"/>
  <c r="AH38" s="1"/>
  <c r="AG91"/>
  <c r="AG97"/>
  <c r="AG95"/>
  <c r="AG96"/>
  <c r="AG93"/>
  <c r="AG92"/>
  <c r="AG90"/>
  <c r="AG89"/>
  <c r="AG87"/>
  <c r="AG85"/>
  <c r="AG82"/>
  <c r="AG81"/>
  <c r="AG80"/>
  <c r="AG79"/>
  <c r="AG78"/>
  <c r="AG77"/>
  <c r="AG71"/>
  <c r="AG70"/>
  <c r="AG68"/>
  <c r="AG67"/>
  <c r="AG63"/>
  <c r="AG61"/>
  <c r="AG56"/>
  <c r="AG55"/>
  <c r="AG54"/>
  <c r="AG53"/>
  <c r="AG50"/>
  <c r="AG49"/>
  <c r="AG52"/>
  <c r="AG45"/>
  <c r="AG44"/>
  <c r="AG42"/>
  <c r="AG41"/>
  <c r="AG40"/>
  <c r="AG39"/>
  <c r="AG37"/>
  <c r="AG36"/>
  <c r="AG33"/>
  <c r="AG28"/>
  <c r="AG27"/>
  <c r="AG26"/>
  <c r="AG25"/>
  <c r="AG24"/>
  <c r="AG22"/>
  <c r="AG20"/>
  <c r="AG18"/>
  <c r="AG17"/>
  <c r="AG13"/>
  <c r="AG14"/>
  <c r="AG12"/>
  <c r="AG11"/>
  <c r="AG10"/>
  <c r="AG8"/>
  <c r="AG7"/>
  <c r="AE23" l="1"/>
  <c r="AH23" s="1"/>
  <c r="AB23"/>
  <c r="U73"/>
  <c r="AG73" s="1"/>
  <c r="AE73"/>
  <c r="V73"/>
  <c r="K60"/>
  <c r="Q60" s="1"/>
  <c r="AC60" s="1"/>
  <c r="AD23" l="1"/>
  <c r="AK23" s="1"/>
  <c r="AH73"/>
  <c r="AB73"/>
  <c r="AD73" s="1"/>
  <c r="AK73" s="1"/>
  <c r="AE60"/>
  <c r="AH60" s="1"/>
  <c r="AB60"/>
  <c r="AE98"/>
  <c r="AH98" s="1"/>
  <c r="K71"/>
  <c r="Q71" s="1"/>
  <c r="AC71" s="1"/>
  <c r="AD60" l="1"/>
  <c r="AK60" s="1"/>
  <c r="AE71"/>
  <c r="AH71" s="1"/>
  <c r="AF100"/>
  <c r="AB71"/>
  <c r="Q104"/>
  <c r="Q103"/>
  <c r="AJ100"/>
  <c r="AI100"/>
  <c r="X100"/>
  <c r="W100"/>
  <c r="R100"/>
  <c r="P100"/>
  <c r="O100"/>
  <c r="N100"/>
  <c r="AC38"/>
  <c r="AD38" s="1"/>
  <c r="K91"/>
  <c r="Q91" s="1"/>
  <c r="AC91" s="1"/>
  <c r="K74"/>
  <c r="Q74" s="1"/>
  <c r="AB74" s="1"/>
  <c r="K97"/>
  <c r="Q97" s="1"/>
  <c r="AC97" s="1"/>
  <c r="K95"/>
  <c r="K96"/>
  <c r="Q96" s="1"/>
  <c r="AC96" s="1"/>
  <c r="K94"/>
  <c r="Q94" s="1"/>
  <c r="AC94" s="1"/>
  <c r="K93"/>
  <c r="Q93" s="1"/>
  <c r="AC93" s="1"/>
  <c r="K92"/>
  <c r="K90"/>
  <c r="Q90" s="1"/>
  <c r="AC90" s="1"/>
  <c r="Q89"/>
  <c r="AC89" s="1"/>
  <c r="K87"/>
  <c r="Q87" s="1"/>
  <c r="AC87" s="1"/>
  <c r="K85"/>
  <c r="Q85" s="1"/>
  <c r="AC85" s="1"/>
  <c r="Q84"/>
  <c r="AC84" s="1"/>
  <c r="K83"/>
  <c r="Q83" s="1"/>
  <c r="AC83" s="1"/>
  <c r="K82"/>
  <c r="Q82" s="1"/>
  <c r="AC82" s="1"/>
  <c r="Q81"/>
  <c r="AC81" s="1"/>
  <c r="K80"/>
  <c r="Q80" s="1"/>
  <c r="AC80" s="1"/>
  <c r="K79"/>
  <c r="Q79" s="1"/>
  <c r="AC79" s="1"/>
  <c r="Q78"/>
  <c r="AC78" s="1"/>
  <c r="Q77"/>
  <c r="AC77" s="1"/>
  <c r="K75"/>
  <c r="Q75" s="1"/>
  <c r="AC75" s="1"/>
  <c r="Q72"/>
  <c r="AC72" s="1"/>
  <c r="K70"/>
  <c r="Q70" s="1"/>
  <c r="AC70" s="1"/>
  <c r="Q68"/>
  <c r="AC68" s="1"/>
  <c r="K67"/>
  <c r="Q67" s="1"/>
  <c r="AC67" s="1"/>
  <c r="K65"/>
  <c r="Q65" s="1"/>
  <c r="AC65" s="1"/>
  <c r="Q64"/>
  <c r="AC64" s="1"/>
  <c r="Q63"/>
  <c r="AC63" s="1"/>
  <c r="K62"/>
  <c r="Q62" s="1"/>
  <c r="AC62" s="1"/>
  <c r="K61"/>
  <c r="Q61" s="1"/>
  <c r="AC61" s="1"/>
  <c r="K56"/>
  <c r="Q56" s="1"/>
  <c r="AC56" s="1"/>
  <c r="K55"/>
  <c r="Q55" s="1"/>
  <c r="AC55" s="1"/>
  <c r="K54"/>
  <c r="Q54" s="1"/>
  <c r="AC54" s="1"/>
  <c r="K53"/>
  <c r="Q53" s="1"/>
  <c r="AC53" s="1"/>
  <c r="Q50"/>
  <c r="K49"/>
  <c r="Q49" s="1"/>
  <c r="AC49" s="1"/>
  <c r="K48"/>
  <c r="Q48" s="1"/>
  <c r="AC48" s="1"/>
  <c r="K47"/>
  <c r="Q47" s="1"/>
  <c r="AC47" s="1"/>
  <c r="K46"/>
  <c r="Q46" s="1"/>
  <c r="AC46" s="1"/>
  <c r="Q52"/>
  <c r="AC52" s="1"/>
  <c r="K45"/>
  <c r="Q45" s="1"/>
  <c r="AC45" s="1"/>
  <c r="K44"/>
  <c r="Q44" s="1"/>
  <c r="AC44" s="1"/>
  <c r="K42"/>
  <c r="Q42" s="1"/>
  <c r="AC42" s="1"/>
  <c r="K41"/>
  <c r="Q41" s="1"/>
  <c r="AC41" s="1"/>
  <c r="K40"/>
  <c r="Q40" s="1"/>
  <c r="AC40" s="1"/>
  <c r="K39"/>
  <c r="Q39" s="1"/>
  <c r="AC39" s="1"/>
  <c r="K37"/>
  <c r="K36"/>
  <c r="Q36" s="1"/>
  <c r="AC36" s="1"/>
  <c r="K33"/>
  <c r="Q33" s="1"/>
  <c r="AC33" s="1"/>
  <c r="K32"/>
  <c r="Q32" s="1"/>
  <c r="AC32" s="1"/>
  <c r="K30"/>
  <c r="Q30" s="1"/>
  <c r="AC30" s="1"/>
  <c r="K28"/>
  <c r="K27"/>
  <c r="Q27" s="1"/>
  <c r="AC27" s="1"/>
  <c r="Q26"/>
  <c r="AC26" s="1"/>
  <c r="K25"/>
  <c r="Q25" s="1"/>
  <c r="AC25" s="1"/>
  <c r="Q24"/>
  <c r="AC24" s="1"/>
  <c r="K22"/>
  <c r="Q22" s="1"/>
  <c r="AC22" s="1"/>
  <c r="K21"/>
  <c r="Q21" s="1"/>
  <c r="AC21" s="1"/>
  <c r="K20"/>
  <c r="Q20" s="1"/>
  <c r="AC20" s="1"/>
  <c r="K19"/>
  <c r="Q19" s="1"/>
  <c r="AC19" s="1"/>
  <c r="K18"/>
  <c r="K17"/>
  <c r="Q17" s="1"/>
  <c r="AC17" s="1"/>
  <c r="Q15"/>
  <c r="AC15" s="1"/>
  <c r="K13"/>
  <c r="K14"/>
  <c r="Q14" s="1"/>
  <c r="AC14" s="1"/>
  <c r="Q12"/>
  <c r="AC12" s="1"/>
  <c r="K11"/>
  <c r="Q11" s="1"/>
  <c r="AC11" s="1"/>
  <c r="Q10"/>
  <c r="AC10" s="1"/>
  <c r="K9"/>
  <c r="Q9" s="1"/>
  <c r="AC9" s="1"/>
  <c r="K8"/>
  <c r="Q8" s="1"/>
  <c r="AC8" s="1"/>
  <c r="K7"/>
  <c r="AB104" l="1"/>
  <c r="AE104" s="1"/>
  <c r="AC74"/>
  <c r="AE74"/>
  <c r="AH74" s="1"/>
  <c r="Q18"/>
  <c r="AC18" s="1"/>
  <c r="Q37"/>
  <c r="AC37" s="1"/>
  <c r="Q92"/>
  <c r="AC92" s="1"/>
  <c r="Q95"/>
  <c r="AC95" s="1"/>
  <c r="Q13"/>
  <c r="AE13" s="1"/>
  <c r="AH13" s="1"/>
  <c r="AC50"/>
  <c r="V103"/>
  <c r="U103"/>
  <c r="Y100"/>
  <c r="Q28"/>
  <c r="AC28" s="1"/>
  <c r="AD71"/>
  <c r="AK71" s="1"/>
  <c r="V47"/>
  <c r="U47"/>
  <c r="AG47" s="1"/>
  <c r="AE10"/>
  <c r="AH10" s="1"/>
  <c r="AE14"/>
  <c r="AH14" s="1"/>
  <c r="AE17"/>
  <c r="AH17" s="1"/>
  <c r="AE20"/>
  <c r="AH20" s="1"/>
  <c r="AE27"/>
  <c r="AH27" s="1"/>
  <c r="AE33"/>
  <c r="AH33" s="1"/>
  <c r="AE42"/>
  <c r="AH42" s="1"/>
  <c r="AE52"/>
  <c r="AH52" s="1"/>
  <c r="AE49"/>
  <c r="AH49" s="1"/>
  <c r="AE55"/>
  <c r="AH55" s="1"/>
  <c r="AE62"/>
  <c r="AE67"/>
  <c r="AH67" s="1"/>
  <c r="AE87"/>
  <c r="AH87" s="1"/>
  <c r="AE90"/>
  <c r="AH90" s="1"/>
  <c r="AE96"/>
  <c r="AH96" s="1"/>
  <c r="AE91"/>
  <c r="AH91" s="1"/>
  <c r="AE21"/>
  <c r="AE24"/>
  <c r="AH24" s="1"/>
  <c r="AE39"/>
  <c r="AH39" s="1"/>
  <c r="AE46"/>
  <c r="AE50"/>
  <c r="AH50" s="1"/>
  <c r="AE56"/>
  <c r="AH56" s="1"/>
  <c r="AE63"/>
  <c r="AH63" s="1"/>
  <c r="AB68"/>
  <c r="AE68"/>
  <c r="AH68" s="1"/>
  <c r="AE75"/>
  <c r="AE83"/>
  <c r="AE8"/>
  <c r="AH8" s="1"/>
  <c r="AE11"/>
  <c r="AH11" s="1"/>
  <c r="AE15"/>
  <c r="AE25"/>
  <c r="AH25" s="1"/>
  <c r="U30"/>
  <c r="AG30" s="1"/>
  <c r="AE30"/>
  <c r="AE36"/>
  <c r="AH36" s="1"/>
  <c r="AE47"/>
  <c r="AE53"/>
  <c r="AH53" s="1"/>
  <c r="AE64"/>
  <c r="AE70"/>
  <c r="AH70" s="1"/>
  <c r="AE77"/>
  <c r="AH77" s="1"/>
  <c r="AE80"/>
  <c r="AH80" s="1"/>
  <c r="V84"/>
  <c r="AE84"/>
  <c r="AE93"/>
  <c r="AH93" s="1"/>
  <c r="AE97"/>
  <c r="AH97" s="1"/>
  <c r="AE9"/>
  <c r="AE12"/>
  <c r="AH12" s="1"/>
  <c r="AE19"/>
  <c r="AE26"/>
  <c r="AH26" s="1"/>
  <c r="AE32"/>
  <c r="V48"/>
  <c r="AE48"/>
  <c r="AE61"/>
  <c r="AH61" s="1"/>
  <c r="AE65"/>
  <c r="AE72"/>
  <c r="AE78"/>
  <c r="AH78" s="1"/>
  <c r="AE81"/>
  <c r="AH81" s="1"/>
  <c r="AE85"/>
  <c r="AH85" s="1"/>
  <c r="AE89"/>
  <c r="AH89" s="1"/>
  <c r="AE94"/>
  <c r="Z100"/>
  <c r="AB12"/>
  <c r="AB52"/>
  <c r="AD52" s="1"/>
  <c r="AK52" s="1"/>
  <c r="AB78"/>
  <c r="U19"/>
  <c r="AG19" s="1"/>
  <c r="AB55"/>
  <c r="V19"/>
  <c r="AB63"/>
  <c r="AK38"/>
  <c r="AB11"/>
  <c r="V46"/>
  <c r="AB56"/>
  <c r="AB85"/>
  <c r="AB93"/>
  <c r="AD93" s="1"/>
  <c r="AK93" s="1"/>
  <c r="AB20"/>
  <c r="U48"/>
  <c r="AG48" s="1"/>
  <c r="AB96"/>
  <c r="AD96" s="1"/>
  <c r="AK96" s="1"/>
  <c r="L100"/>
  <c r="U46"/>
  <c r="AG46" s="1"/>
  <c r="AB10"/>
  <c r="AD10" s="1"/>
  <c r="AK10" s="1"/>
  <c r="AB8"/>
  <c r="AB17"/>
  <c r="AD17" s="1"/>
  <c r="AK17" s="1"/>
  <c r="AB39"/>
  <c r="AB49"/>
  <c r="AD49" s="1"/>
  <c r="AK49" s="1"/>
  <c r="K100"/>
  <c r="Q7"/>
  <c r="AC7" s="1"/>
  <c r="V9"/>
  <c r="V15"/>
  <c r="U15"/>
  <c r="AG15" s="1"/>
  <c r="AB25"/>
  <c r="U32"/>
  <c r="AG32" s="1"/>
  <c r="V32"/>
  <c r="T62"/>
  <c r="U62"/>
  <c r="AG62" s="1"/>
  <c r="U72"/>
  <c r="AG72" s="1"/>
  <c r="V72"/>
  <c r="U75"/>
  <c r="AG75" s="1"/>
  <c r="V75"/>
  <c r="AB89"/>
  <c r="AB91"/>
  <c r="U9"/>
  <c r="AG9" s="1"/>
  <c r="AB14"/>
  <c r="AD14" s="1"/>
  <c r="AK14" s="1"/>
  <c r="AB24"/>
  <c r="AD24" s="1"/>
  <c r="AK24" s="1"/>
  <c r="AB90"/>
  <c r="U21"/>
  <c r="AG21" s="1"/>
  <c r="T21"/>
  <c r="AB61"/>
  <c r="AD61" s="1"/>
  <c r="AK61" s="1"/>
  <c r="AB77"/>
  <c r="AD77" s="1"/>
  <c r="AK77" s="1"/>
  <c r="V64"/>
  <c r="AB26"/>
  <c r="AB33"/>
  <c r="AB53"/>
  <c r="U64"/>
  <c r="AG64" s="1"/>
  <c r="V65"/>
  <c r="U65"/>
  <c r="AG65" s="1"/>
  <c r="AB81"/>
  <c r="U94"/>
  <c r="AG94" s="1"/>
  <c r="AB27"/>
  <c r="AD27" s="1"/>
  <c r="AK27" s="1"/>
  <c r="V30"/>
  <c r="AB36"/>
  <c r="AB42"/>
  <c r="AD42" s="1"/>
  <c r="AK42" s="1"/>
  <c r="V50"/>
  <c r="AB50" s="1"/>
  <c r="AB70"/>
  <c r="AB80"/>
  <c r="U83"/>
  <c r="AG83" s="1"/>
  <c r="V83"/>
  <c r="U84"/>
  <c r="AG84" s="1"/>
  <c r="V94"/>
  <c r="AB67"/>
  <c r="AD67" s="1"/>
  <c r="AK67" s="1"/>
  <c r="AB87"/>
  <c r="AB97"/>
  <c r="AD97" s="1"/>
  <c r="AK97" s="1"/>
  <c r="AB103" l="1"/>
  <c r="AC103" s="1"/>
  <c r="AC104"/>
  <c r="AD104"/>
  <c r="AD74"/>
  <c r="AB13"/>
  <c r="AC13"/>
  <c r="AB92"/>
  <c r="AD92" s="1"/>
  <c r="AK92" s="1"/>
  <c r="AE92"/>
  <c r="AH92" s="1"/>
  <c r="AE18"/>
  <c r="AH18" s="1"/>
  <c r="AB95"/>
  <c r="AD95" s="1"/>
  <c r="AK95" s="1"/>
  <c r="AE95"/>
  <c r="AH95" s="1"/>
  <c r="AB37"/>
  <c r="AD37" s="1"/>
  <c r="AK37" s="1"/>
  <c r="AE37"/>
  <c r="AH37" s="1"/>
  <c r="AB28"/>
  <c r="AD28" s="1"/>
  <c r="AK28" s="1"/>
  <c r="AD91"/>
  <c r="AK91" s="1"/>
  <c r="AD50"/>
  <c r="AK50" s="1"/>
  <c r="AD39"/>
  <c r="AK39" s="1"/>
  <c r="AD63"/>
  <c r="AK63" s="1"/>
  <c r="AE28"/>
  <c r="AH28" s="1"/>
  <c r="AD36"/>
  <c r="AK36" s="1"/>
  <c r="AD81"/>
  <c r="AK81" s="1"/>
  <c r="AD53"/>
  <c r="AK53" s="1"/>
  <c r="AD56"/>
  <c r="AD70"/>
  <c r="AK70" s="1"/>
  <c r="AD20"/>
  <c r="AK20" s="1"/>
  <c r="AD8"/>
  <c r="AK8" s="1"/>
  <c r="AD68"/>
  <c r="AK68" s="1"/>
  <c r="AD25"/>
  <c r="AK25" s="1"/>
  <c r="AD89"/>
  <c r="AK89" s="1"/>
  <c r="AD55"/>
  <c r="AD26"/>
  <c r="AK26" s="1"/>
  <c r="AD85"/>
  <c r="AK85" s="1"/>
  <c r="AD90"/>
  <c r="AK90" s="1"/>
  <c r="AD78"/>
  <c r="AK78" s="1"/>
  <c r="AD80"/>
  <c r="AK80" s="1"/>
  <c r="AD11"/>
  <c r="AK11" s="1"/>
  <c r="AD33"/>
  <c r="AK33" s="1"/>
  <c r="AD12"/>
  <c r="AK12" s="1"/>
  <c r="AD87"/>
  <c r="AK87" s="1"/>
  <c r="AH32"/>
  <c r="AH94"/>
  <c r="AH72"/>
  <c r="AH84"/>
  <c r="AH47"/>
  <c r="AH46"/>
  <c r="AH62"/>
  <c r="AH48"/>
  <c r="AH75"/>
  <c r="AH19"/>
  <c r="AH9"/>
  <c r="AH64"/>
  <c r="AH21"/>
  <c r="AH30"/>
  <c r="AH15"/>
  <c r="AH65"/>
  <c r="AH83"/>
  <c r="AG100"/>
  <c r="AB47"/>
  <c r="AD47" s="1"/>
  <c r="AK47" s="1"/>
  <c r="AB48"/>
  <c r="AD48" s="1"/>
  <c r="AK48" s="1"/>
  <c r="AB84"/>
  <c r="AD84" s="1"/>
  <c r="AK84" s="1"/>
  <c r="AE40"/>
  <c r="AH40" s="1"/>
  <c r="AB18"/>
  <c r="AD18" s="1"/>
  <c r="AB30"/>
  <c r="AD30" s="1"/>
  <c r="AK30" s="1"/>
  <c r="AB41"/>
  <c r="AE41"/>
  <c r="AH41" s="1"/>
  <c r="AE22"/>
  <c r="AH22" s="1"/>
  <c r="AE82"/>
  <c r="AH82" s="1"/>
  <c r="AB45"/>
  <c r="AE45"/>
  <c r="AH45" s="1"/>
  <c r="AB44"/>
  <c r="AE44"/>
  <c r="AH44" s="1"/>
  <c r="AE7"/>
  <c r="AH7" s="1"/>
  <c r="AB54"/>
  <c r="AE54"/>
  <c r="AH54" s="1"/>
  <c r="AB79"/>
  <c r="AE79"/>
  <c r="AH79" s="1"/>
  <c r="AB19"/>
  <c r="AD19" s="1"/>
  <c r="AK19" s="1"/>
  <c r="AB22"/>
  <c r="AB64"/>
  <c r="AD64" s="1"/>
  <c r="AK64" s="1"/>
  <c r="AB65"/>
  <c r="AD65" s="1"/>
  <c r="AK65" s="1"/>
  <c r="AB46"/>
  <c r="AD46" s="1"/>
  <c r="AK46" s="1"/>
  <c r="AB32"/>
  <c r="AD32" s="1"/>
  <c r="AK32" s="1"/>
  <c r="AB15"/>
  <c r="AD15" s="1"/>
  <c r="AK15" s="1"/>
  <c r="T100"/>
  <c r="AB62"/>
  <c r="AD62" s="1"/>
  <c r="AK62" s="1"/>
  <c r="AB75"/>
  <c r="AD75" s="1"/>
  <c r="AK75" s="1"/>
  <c r="AB94"/>
  <c r="AD94" s="1"/>
  <c r="AK94" s="1"/>
  <c r="AB72"/>
  <c r="AD72" s="1"/>
  <c r="AK72" s="1"/>
  <c r="U100"/>
  <c r="V100"/>
  <c r="AB7"/>
  <c r="Q100"/>
  <c r="AB82"/>
  <c r="AB40"/>
  <c r="AB21"/>
  <c r="AD21" s="1"/>
  <c r="AK21" s="1"/>
  <c r="AB9"/>
  <c r="AD9" s="1"/>
  <c r="AK9" s="1"/>
  <c r="AH104"/>
  <c r="AB83"/>
  <c r="AD83" s="1"/>
  <c r="AK83" s="1"/>
  <c r="AD103" l="1"/>
  <c r="AE103"/>
  <c r="AH103" s="1"/>
  <c r="AH105" s="1"/>
  <c r="AH106" s="1"/>
  <c r="AH107" s="1"/>
  <c r="AD13"/>
  <c r="AK13" s="1"/>
  <c r="AD40"/>
  <c r="AK40" s="1"/>
  <c r="AD22"/>
  <c r="AD44"/>
  <c r="AD41"/>
  <c r="AK41" s="1"/>
  <c r="AD82"/>
  <c r="AK82" s="1"/>
  <c r="AD45"/>
  <c r="AK45" s="1"/>
  <c r="AD54"/>
  <c r="AK54" s="1"/>
  <c r="AD79"/>
  <c r="AK79" s="1"/>
  <c r="AA100"/>
  <c r="AB100"/>
  <c r="AD7"/>
  <c r="AK7" s="1"/>
  <c r="AC100"/>
  <c r="AH100"/>
  <c r="AE100"/>
  <c r="AK100" l="1"/>
  <c r="AH101"/>
  <c r="AH102" s="1"/>
  <c r="AD100"/>
  <c r="L67" i="1" l="1"/>
  <c r="K55" l="1"/>
  <c r="Q55" s="1"/>
  <c r="AC55" s="1"/>
  <c r="L71"/>
  <c r="AE55" l="1"/>
  <c r="AG55" s="1"/>
  <c r="AB55"/>
  <c r="AD55" s="1"/>
  <c r="AN17"/>
  <c r="AA78"/>
  <c r="AA82"/>
  <c r="AA71"/>
  <c r="AA24" l="1"/>
  <c r="L25" l="1"/>
  <c r="L40"/>
  <c r="L42"/>
  <c r="L74"/>
  <c r="L36"/>
  <c r="L39"/>
  <c r="L19"/>
  <c r="L44"/>
  <c r="L51"/>
  <c r="L52"/>
  <c r="K64" l="1"/>
  <c r="Q64" s="1"/>
  <c r="K13"/>
  <c r="Q13" s="1"/>
  <c r="AE13" s="1"/>
  <c r="AE64" l="1"/>
  <c r="AG64" s="1"/>
  <c r="AC64"/>
  <c r="AB64"/>
  <c r="AG13"/>
  <c r="AB13"/>
  <c r="AC13"/>
  <c r="K34"/>
  <c r="Q34" s="1"/>
  <c r="K47"/>
  <c r="Q47" s="1"/>
  <c r="AE47" s="1"/>
  <c r="AD13" l="1"/>
  <c r="AD64"/>
  <c r="AG47"/>
  <c r="AB47"/>
  <c r="AC47"/>
  <c r="AC34"/>
  <c r="AB34"/>
  <c r="AE34"/>
  <c r="AG34" s="1"/>
  <c r="AA25"/>
  <c r="AD34" l="1"/>
  <c r="AD47"/>
  <c r="L96"/>
  <c r="N96"/>
  <c r="O96"/>
  <c r="P96"/>
  <c r="R96"/>
  <c r="W96"/>
  <c r="X96"/>
  <c r="Y96"/>
  <c r="Z96"/>
  <c r="AH96"/>
  <c r="AJ96"/>
  <c r="AK96"/>
  <c r="K90"/>
  <c r="Q90" s="1"/>
  <c r="AE90" s="1"/>
  <c r="K89"/>
  <c r="AG90" l="1"/>
  <c r="AC90"/>
  <c r="AB90"/>
  <c r="AD90" l="1"/>
  <c r="Q89"/>
  <c r="AE89" s="1"/>
  <c r="K88"/>
  <c r="Q88" s="1"/>
  <c r="AG89" l="1"/>
  <c r="AB89"/>
  <c r="AC89"/>
  <c r="AB88"/>
  <c r="AC88"/>
  <c r="AE88"/>
  <c r="AG88" s="1"/>
  <c r="K10"/>
  <c r="Q10" s="1"/>
  <c r="AD89" l="1"/>
  <c r="AD88"/>
  <c r="AE10"/>
  <c r="AG10" s="1"/>
  <c r="AB10"/>
  <c r="AD10" s="1"/>
  <c r="K35"/>
  <c r="Q35" s="1"/>
  <c r="K14"/>
  <c r="Q14" s="1"/>
  <c r="K50"/>
  <c r="Q50" s="1"/>
  <c r="K70"/>
  <c r="Q70" s="1"/>
  <c r="K45"/>
  <c r="Q45" s="1"/>
  <c r="AB45" s="1"/>
  <c r="K79"/>
  <c r="Q79" s="1"/>
  <c r="AB79" s="1"/>
  <c r="AC14" l="1"/>
  <c r="AE14"/>
  <c r="AG14" s="1"/>
  <c r="AB14"/>
  <c r="AC35"/>
  <c r="AB35"/>
  <c r="AE35"/>
  <c r="AG35" s="1"/>
  <c r="AE50"/>
  <c r="AG50" s="1"/>
  <c r="V50"/>
  <c r="AB50" s="1"/>
  <c r="AE70"/>
  <c r="AG70" s="1"/>
  <c r="AC70"/>
  <c r="AB70"/>
  <c r="AC50"/>
  <c r="AC45"/>
  <c r="AD45" s="1"/>
  <c r="AE45"/>
  <c r="AG45" s="1"/>
  <c r="AC79"/>
  <c r="AD79" s="1"/>
  <c r="AE79"/>
  <c r="AG79" s="1"/>
  <c r="AI94"/>
  <c r="AI93"/>
  <c r="AI92"/>
  <c r="AD35" l="1"/>
  <c r="AD14"/>
  <c r="AD70"/>
  <c r="AD50"/>
  <c r="K27"/>
  <c r="Q27" s="1"/>
  <c r="K25"/>
  <c r="Q25" s="1"/>
  <c r="K41"/>
  <c r="Q41" s="1"/>
  <c r="K54"/>
  <c r="Q54" s="1"/>
  <c r="K83"/>
  <c r="Q83" s="1"/>
  <c r="K9"/>
  <c r="Q9" s="1"/>
  <c r="K16"/>
  <c r="Q16" s="1"/>
  <c r="K21"/>
  <c r="Q21" s="1"/>
  <c r="K23"/>
  <c r="Q23" s="1"/>
  <c r="K31"/>
  <c r="Q31" s="1"/>
  <c r="K32"/>
  <c r="Q32" s="1"/>
  <c r="K46"/>
  <c r="Q46" s="1"/>
  <c r="K48"/>
  <c r="Q48" s="1"/>
  <c r="K57"/>
  <c r="Q57" s="1"/>
  <c r="K59"/>
  <c r="Q59" s="1"/>
  <c r="K60"/>
  <c r="Q60" s="1"/>
  <c r="K65"/>
  <c r="Q65" s="1"/>
  <c r="K66"/>
  <c r="Q66" s="1"/>
  <c r="K71"/>
  <c r="Q71" s="1"/>
  <c r="AB71" s="1"/>
  <c r="K68"/>
  <c r="Q68" s="1"/>
  <c r="K75"/>
  <c r="Q75" s="1"/>
  <c r="K76"/>
  <c r="Q76" s="1"/>
  <c r="K84"/>
  <c r="Q84" s="1"/>
  <c r="K12"/>
  <c r="Q12" s="1"/>
  <c r="K22"/>
  <c r="Q22" s="1"/>
  <c r="K52"/>
  <c r="Q52" s="1"/>
  <c r="K17"/>
  <c r="Q17" s="1"/>
  <c r="K8"/>
  <c r="Q8" s="1"/>
  <c r="K15"/>
  <c r="Q15" s="1"/>
  <c r="K19"/>
  <c r="Q19" s="1"/>
  <c r="AC19" s="1"/>
  <c r="K36"/>
  <c r="Q36" s="1"/>
  <c r="AE36" s="1"/>
  <c r="K37"/>
  <c r="Q37" s="1"/>
  <c r="K39"/>
  <c r="Q39" s="1"/>
  <c r="K40"/>
  <c r="Q40" s="1"/>
  <c r="AB40" s="1"/>
  <c r="K42"/>
  <c r="Q42" s="1"/>
  <c r="AE42" s="1"/>
  <c r="K51"/>
  <c r="Q51" s="1"/>
  <c r="K44"/>
  <c r="Q44" s="1"/>
  <c r="AB44" s="1"/>
  <c r="K53"/>
  <c r="Q53" s="1"/>
  <c r="AA53" s="1"/>
  <c r="K56"/>
  <c r="Q56" s="1"/>
  <c r="K61"/>
  <c r="Q61" s="1"/>
  <c r="K74"/>
  <c r="Q74" s="1"/>
  <c r="K82"/>
  <c r="Q82" s="1"/>
  <c r="AE82" s="1"/>
  <c r="K86"/>
  <c r="Q86" s="1"/>
  <c r="AE86" s="1"/>
  <c r="K78"/>
  <c r="Q78" s="1"/>
  <c r="AC78" s="1"/>
  <c r="K73"/>
  <c r="Q73" s="1"/>
  <c r="K67"/>
  <c r="Q67" s="1"/>
  <c r="AC67" s="1"/>
  <c r="K69"/>
  <c r="Q69" s="1"/>
  <c r="K43"/>
  <c r="Q43" s="1"/>
  <c r="AC43" s="1"/>
  <c r="K30"/>
  <c r="Q30" s="1"/>
  <c r="K28"/>
  <c r="Q28" s="1"/>
  <c r="AC28" s="1"/>
  <c r="K24"/>
  <c r="Q24" s="1"/>
  <c r="K29"/>
  <c r="Q29" s="1"/>
  <c r="K18"/>
  <c r="Q18" s="1"/>
  <c r="K85"/>
  <c r="Q85" s="1"/>
  <c r="K87"/>
  <c r="Q87" s="1"/>
  <c r="K81"/>
  <c r="Q81" s="1"/>
  <c r="AE81" s="1"/>
  <c r="K77"/>
  <c r="Q77" s="1"/>
  <c r="K80"/>
  <c r="Q80" s="1"/>
  <c r="K63"/>
  <c r="Q63" s="1"/>
  <c r="AC63" s="1"/>
  <c r="K62"/>
  <c r="Q62" s="1"/>
  <c r="K58"/>
  <c r="Q58" s="1"/>
  <c r="K49"/>
  <c r="Q49" s="1"/>
  <c r="K38"/>
  <c r="Q38" s="1"/>
  <c r="K26"/>
  <c r="Q26" s="1"/>
  <c r="K72"/>
  <c r="Q72" s="1"/>
  <c r="K33"/>
  <c r="Q33" s="1"/>
  <c r="K20"/>
  <c r="K11"/>
  <c r="Q11" s="1"/>
  <c r="AE11" s="1"/>
  <c r="K7"/>
  <c r="D21" i="3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Q100" i="1"/>
  <c r="AB100" s="1"/>
  <c r="AC100" s="1"/>
  <c r="Q99"/>
  <c r="AB99" s="1"/>
  <c r="D28" i="3" l="1"/>
  <c r="AA17" i="1"/>
  <c r="AA96" s="1"/>
  <c r="U57"/>
  <c r="T57"/>
  <c r="U23"/>
  <c r="T23"/>
  <c r="U59"/>
  <c r="V59"/>
  <c r="V84"/>
  <c r="U84"/>
  <c r="V76"/>
  <c r="U76"/>
  <c r="V66"/>
  <c r="U66"/>
  <c r="V75"/>
  <c r="U75"/>
  <c r="V65"/>
  <c r="U65"/>
  <c r="V68"/>
  <c r="U68"/>
  <c r="U32"/>
  <c r="V32"/>
  <c r="V16"/>
  <c r="U16"/>
  <c r="V31"/>
  <c r="U31"/>
  <c r="V9"/>
  <c r="U9"/>
  <c r="U48"/>
  <c r="V48"/>
  <c r="U60"/>
  <c r="V60"/>
  <c r="U46"/>
  <c r="V46"/>
  <c r="V21"/>
  <c r="U21"/>
  <c r="AF96"/>
  <c r="Q7"/>
  <c r="AE7" s="1"/>
  <c r="K96"/>
  <c r="AC66"/>
  <c r="AE75"/>
  <c r="AG75" s="1"/>
  <c r="AE65"/>
  <c r="AG65" s="1"/>
  <c r="G28" i="3"/>
  <c r="AE100" i="1"/>
  <c r="AG100" s="1"/>
  <c r="AD100"/>
  <c r="AG81"/>
  <c r="AD99"/>
  <c r="AE99"/>
  <c r="AC99"/>
  <c r="AB80"/>
  <c r="AE80"/>
  <c r="AG80" s="1"/>
  <c r="AE48"/>
  <c r="AG48" s="1"/>
  <c r="AC81"/>
  <c r="AE66"/>
  <c r="AG66" s="1"/>
  <c r="AE54"/>
  <c r="AG54" s="1"/>
  <c r="AC54"/>
  <c r="AB54"/>
  <c r="AE16"/>
  <c r="AG16" s="1"/>
  <c r="AC16"/>
  <c r="AE52"/>
  <c r="AG52" s="1"/>
  <c r="AC52"/>
  <c r="AB52"/>
  <c r="AE37"/>
  <c r="AG37" s="1"/>
  <c r="AC37"/>
  <c r="AB41"/>
  <c r="AC41"/>
  <c r="AE84"/>
  <c r="AG84" s="1"/>
  <c r="AC84"/>
  <c r="AE8"/>
  <c r="AG8" s="1"/>
  <c r="AB8"/>
  <c r="AB74"/>
  <c r="AC74"/>
  <c r="AB86"/>
  <c r="AE41"/>
  <c r="AG41" s="1"/>
  <c r="AE9"/>
  <c r="AG9" s="1"/>
  <c r="AC9"/>
  <c r="AE21"/>
  <c r="AG21" s="1"/>
  <c r="AE68"/>
  <c r="AG68" s="1"/>
  <c r="AC68"/>
  <c r="AE27"/>
  <c r="AG27" s="1"/>
  <c r="AC27"/>
  <c r="AB27"/>
  <c r="AE59"/>
  <c r="AG59" s="1"/>
  <c r="AC59"/>
  <c r="AE76"/>
  <c r="AG76" s="1"/>
  <c r="AC76"/>
  <c r="AB12"/>
  <c r="AE12"/>
  <c r="AG12" s="1"/>
  <c r="AB37"/>
  <c r="AE61"/>
  <c r="AG61" s="1"/>
  <c r="AC61"/>
  <c r="AB61"/>
  <c r="AE51"/>
  <c r="AG51" s="1"/>
  <c r="AC51"/>
  <c r="AB51"/>
  <c r="AE39"/>
  <c r="AG39" s="1"/>
  <c r="AC39"/>
  <c r="AB39"/>
  <c r="AE19"/>
  <c r="AG19" s="1"/>
  <c r="AB19"/>
  <c r="AD19" s="1"/>
  <c r="AE71"/>
  <c r="AG71" s="1"/>
  <c r="AC71"/>
  <c r="AD71" s="1"/>
  <c r="AE32"/>
  <c r="AG32" s="1"/>
  <c r="AC32"/>
  <c r="AE17"/>
  <c r="AG17" s="1"/>
  <c r="AC40"/>
  <c r="AD40" s="1"/>
  <c r="AC44"/>
  <c r="AD44" s="1"/>
  <c r="AE40"/>
  <c r="AG40" s="1"/>
  <c r="AB25"/>
  <c r="AE25"/>
  <c r="AG25" s="1"/>
  <c r="AC31"/>
  <c r="AC46"/>
  <c r="AE57"/>
  <c r="AG57" s="1"/>
  <c r="AC57"/>
  <c r="AC22"/>
  <c r="AE22"/>
  <c r="AG22" s="1"/>
  <c r="AB22"/>
  <c r="AC25"/>
  <c r="AC83"/>
  <c r="AB83"/>
  <c r="AC23"/>
  <c r="AE23"/>
  <c r="AG23" s="1"/>
  <c r="AE31"/>
  <c r="AG31" s="1"/>
  <c r="AE46"/>
  <c r="AG46" s="1"/>
  <c r="AE60"/>
  <c r="AG60" s="1"/>
  <c r="AE15"/>
  <c r="AG15" s="1"/>
  <c r="AC15"/>
  <c r="AB15"/>
  <c r="AE83"/>
  <c r="AG83" s="1"/>
  <c r="AC60"/>
  <c r="AC75"/>
  <c r="AG42"/>
  <c r="AC42"/>
  <c r="AC53"/>
  <c r="AB53"/>
  <c r="AC56"/>
  <c r="AC65"/>
  <c r="AC17"/>
  <c r="AG36"/>
  <c r="AC36"/>
  <c r="AB42"/>
  <c r="AB56"/>
  <c r="AC21"/>
  <c r="AC48"/>
  <c r="AC12"/>
  <c r="AC8"/>
  <c r="AB36"/>
  <c r="AE53"/>
  <c r="AG53" s="1"/>
  <c r="AE56"/>
  <c r="AG56" s="1"/>
  <c r="AG82"/>
  <c r="AC82"/>
  <c r="AB82"/>
  <c r="AG86"/>
  <c r="AC86"/>
  <c r="AE44"/>
  <c r="AG44" s="1"/>
  <c r="AE74"/>
  <c r="AG74" s="1"/>
  <c r="AB49"/>
  <c r="AE49"/>
  <c r="AG49" s="1"/>
  <c r="AB78"/>
  <c r="AD78" s="1"/>
  <c r="AC38"/>
  <c r="AB38"/>
  <c r="AE77"/>
  <c r="AG77" s="1"/>
  <c r="AC77"/>
  <c r="AC73"/>
  <c r="AB73"/>
  <c r="AC26"/>
  <c r="AB26"/>
  <c r="AE26"/>
  <c r="AG26" s="1"/>
  <c r="AB58"/>
  <c r="AE58"/>
  <c r="AG58" s="1"/>
  <c r="AE69"/>
  <c r="AG69" s="1"/>
  <c r="AB69"/>
  <c r="AB67"/>
  <c r="AD67" s="1"/>
  <c r="AB63"/>
  <c r="AD63" s="1"/>
  <c r="AC80"/>
  <c r="AB81"/>
  <c r="AE67"/>
  <c r="AG67" s="1"/>
  <c r="AE43"/>
  <c r="AG43" s="1"/>
  <c r="AC49"/>
  <c r="AC24"/>
  <c r="AE24"/>
  <c r="AG24" s="1"/>
  <c r="AB24"/>
  <c r="AG11"/>
  <c r="AC72"/>
  <c r="AB72"/>
  <c r="AE72"/>
  <c r="AG72" s="1"/>
  <c r="AE62"/>
  <c r="AG62" s="1"/>
  <c r="AB62"/>
  <c r="AC62"/>
  <c r="AB29"/>
  <c r="AE29"/>
  <c r="AG29" s="1"/>
  <c r="AC29"/>
  <c r="AE30"/>
  <c r="AG30" s="1"/>
  <c r="AB30"/>
  <c r="AC30"/>
  <c r="AC87"/>
  <c r="AB87"/>
  <c r="AE87"/>
  <c r="AG87" s="1"/>
  <c r="AC85"/>
  <c r="AE85"/>
  <c r="AG85" s="1"/>
  <c r="AB85"/>
  <c r="AE33"/>
  <c r="AG33" s="1"/>
  <c r="AC33"/>
  <c r="AB33"/>
  <c r="AB18"/>
  <c r="AC18"/>
  <c r="AE18"/>
  <c r="AG18" s="1"/>
  <c r="AB43"/>
  <c r="AD43" s="1"/>
  <c r="AE63"/>
  <c r="AG63" s="1"/>
  <c r="AC69"/>
  <c r="AB77"/>
  <c r="AE73"/>
  <c r="AG73" s="1"/>
  <c r="AE28"/>
  <c r="AG28" s="1"/>
  <c r="AB11"/>
  <c r="AC58"/>
  <c r="AE78"/>
  <c r="AG78" s="1"/>
  <c r="AE38"/>
  <c r="AG38" s="1"/>
  <c r="AC11"/>
  <c r="Q20"/>
  <c r="AB28"/>
  <c r="AD28" s="1"/>
  <c r="AB57" l="1"/>
  <c r="AD57" s="1"/>
  <c r="T96"/>
  <c r="AB23"/>
  <c r="AD23" s="1"/>
  <c r="AB17"/>
  <c r="AD17" s="1"/>
  <c r="AB7"/>
  <c r="AG7"/>
  <c r="U96"/>
  <c r="V96"/>
  <c r="Q96"/>
  <c r="AC7"/>
  <c r="AG99"/>
  <c r="AH99" s="1"/>
  <c r="AI99" s="1"/>
  <c r="AH100"/>
  <c r="AI100" s="1"/>
  <c r="AB59"/>
  <c r="AD59" s="1"/>
  <c r="AB76"/>
  <c r="AD76" s="1"/>
  <c r="AB84"/>
  <c r="AD84" s="1"/>
  <c r="AB46"/>
  <c r="AD46" s="1"/>
  <c r="AB68"/>
  <c r="AD68" s="1"/>
  <c r="AB65"/>
  <c r="AD65" s="1"/>
  <c r="AB31"/>
  <c r="AD31" s="1"/>
  <c r="AB21"/>
  <c r="AD21" s="1"/>
  <c r="AB48"/>
  <c r="AD48" s="1"/>
  <c r="AB9"/>
  <c r="AD9" s="1"/>
  <c r="AB66"/>
  <c r="AD66" s="1"/>
  <c r="AB75"/>
  <c r="AD75" s="1"/>
  <c r="AB16"/>
  <c r="AD16" s="1"/>
  <c r="AB32"/>
  <c r="AD32" s="1"/>
  <c r="AB60"/>
  <c r="AD60" s="1"/>
  <c r="AD72"/>
  <c r="AD81"/>
  <c r="AD80"/>
  <c r="AD69"/>
  <c r="AD27"/>
  <c r="AD73"/>
  <c r="AD53"/>
  <c r="AD22"/>
  <c r="AD54"/>
  <c r="AD83"/>
  <c r="AD39"/>
  <c r="AD52"/>
  <c r="AD33"/>
  <c r="AD26"/>
  <c r="AD38"/>
  <c r="AD86"/>
  <c r="AD12"/>
  <c r="AD8"/>
  <c r="AD37"/>
  <c r="AD82"/>
  <c r="AD15"/>
  <c r="AD51"/>
  <c r="AD61"/>
  <c r="AD74"/>
  <c r="AD41"/>
  <c r="AD58"/>
  <c r="AD56"/>
  <c r="AD25"/>
  <c r="AD36"/>
  <c r="AD42"/>
  <c r="AD49"/>
  <c r="AD77"/>
  <c r="AD24"/>
  <c r="AD85"/>
  <c r="AD18"/>
  <c r="AD29"/>
  <c r="AD11"/>
  <c r="AE20"/>
  <c r="AE96" s="1"/>
  <c r="AB20"/>
  <c r="AC20"/>
  <c r="AD30"/>
  <c r="AD87"/>
  <c r="AD62"/>
  <c r="AG101" l="1"/>
  <c r="AG102" s="1"/>
  <c r="AG103" s="1"/>
  <c r="AC96"/>
  <c r="AD7"/>
  <c r="AB96"/>
  <c r="AJ99"/>
  <c r="AK99" s="1"/>
  <c r="AJ100"/>
  <c r="AK100" s="1"/>
  <c r="AD20"/>
  <c r="AG20"/>
  <c r="AG96" s="1"/>
  <c r="AG97" l="1"/>
  <c r="AG98" s="1"/>
  <c r="AG105" s="1"/>
  <c r="AD96"/>
  <c r="AL99"/>
  <c r="AL100"/>
  <c r="AI96" l="1"/>
  <c r="AL96" l="1"/>
</calcChain>
</file>

<file path=xl/sharedStrings.xml><?xml version="1.0" encoding="utf-8"?>
<sst xmlns="http://schemas.openxmlformats.org/spreadsheetml/2006/main" count="962" uniqueCount="356">
  <si>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</si>
  <si>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</si>
  <si>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</si>
  <si>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</si>
  <si>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</si>
  <si>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</si>
  <si>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</si>
  <si>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</si>
  <si>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</si>
  <si>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</si>
  <si>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</si>
  <si>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</si>
  <si>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</si>
  <si>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</si>
  <si>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</si>
  <si>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</si>
  <si>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</si>
  <si>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</si>
  <si>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PASA A NOMINA SEMANAL</t>
  </si>
  <si>
    <t>BAJAS DURANTE LA QUINCENA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</si>
  <si>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</si>
  <si>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</si>
  <si>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</si>
  <si>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</si>
  <si>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</si>
  <si>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</si>
  <si>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</si>
  <si>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</si>
  <si>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</si>
  <si>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</si>
  <si>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</si>
  <si>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</si>
  <si>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</si>
  <si>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</si>
  <si>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</si>
  <si>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</si>
  <si>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</si>
  <si>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</si>
  <si>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</si>
  <si>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</si>
  <si>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</si>
  <si>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</si>
  <si>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</si>
  <si>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</si>
  <si>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</si>
  <si>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</si>
  <si>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</si>
  <si>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</si>
  <si>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</si>
  <si>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</si>
  <si>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</si>
  <si>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</si>
  <si>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</si>
  <si>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</si>
  <si>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</si>
  <si>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</si>
  <si>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</si>
  <si>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</si>
  <si>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</si>
  <si>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</si>
  <si>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</si>
  <si>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</si>
  <si>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</si>
  <si>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</si>
  <si>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</si>
  <si>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</si>
  <si>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</si>
  <si>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</si>
  <si>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</si>
  <si>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</si>
  <si>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</si>
  <si>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</si>
  <si>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</si>
  <si>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</si>
  <si>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</si>
  <si>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</si>
  <si>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</si>
  <si>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OLVERA BAUTISTA J. D</t>
  </si>
  <si>
    <t>PEREZ PEREZ ISMAEL</t>
  </si>
  <si>
    <t>TELLEZ GAYTAN DANIEL</t>
  </si>
  <si>
    <t>VEGA RIVERA ISMAEL</t>
  </si>
  <si>
    <t>LOPEZ DE LEON DANIEL</t>
  </si>
  <si>
    <t>RESENDIZ SOTO EMILIO</t>
  </si>
  <si>
    <t>SERENO CUELLAR JUVEN</t>
  </si>
  <si>
    <t>LARA OVIEDO SORAYA</t>
  </si>
  <si>
    <t>RESENDIZ CRESPO JOSE</t>
  </si>
  <si>
    <t>SALDAñA GARCIA MARCO</t>
  </si>
  <si>
    <t>ARENAS VARGAS MOISES</t>
  </si>
  <si>
    <t>MEDINA CASTRO CARLOS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</si>
  <si>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</si>
  <si>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</si>
  <si>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</si>
  <si>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</si>
  <si>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</si>
  <si>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</si>
  <si>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</si>
  <si>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AOR15</t>
  </si>
  <si>
    <t>CMM24</t>
  </si>
  <si>
    <t>GZ20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</si>
  <si>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</si>
  <si>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</si>
  <si>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</si>
  <si>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</si>
  <si>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</si>
  <si>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</si>
  <si>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</si>
  <si>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</si>
  <si>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</si>
  <si>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</si>
  <si>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</si>
  <si>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</si>
  <si>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</si>
  <si>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</si>
  <si>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CR06</t>
  </si>
  <si>
    <t>CO02</t>
  </si>
  <si>
    <t>DC20</t>
  </si>
  <si>
    <t>LL19</t>
  </si>
  <si>
    <t>RA13</t>
  </si>
  <si>
    <t>RS03</t>
  </si>
  <si>
    <t>RV23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</si>
  <si>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</si>
  <si>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</si>
  <si>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</si>
  <si>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</si>
  <si>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</si>
  <si>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</si>
  <si>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</si>
  <si>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</si>
  <si>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</si>
  <si>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</si>
  <si>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</si>
  <si>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</si>
  <si>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</si>
  <si>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</si>
  <si>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</si>
  <si>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</si>
  <si>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</si>
  <si>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RCJ07</t>
  </si>
  <si>
    <t>RE14</t>
  </si>
  <si>
    <t>RG12</t>
  </si>
  <si>
    <t>RH14</t>
  </si>
  <si>
    <t>SG05</t>
  </si>
  <si>
    <t>SH17</t>
  </si>
  <si>
    <t>VM14</t>
  </si>
  <si>
    <t>AC19</t>
  </si>
  <si>
    <t>AG07</t>
  </si>
  <si>
    <t>AZ14</t>
  </si>
  <si>
    <t>BL011</t>
  </si>
  <si>
    <t>GO01</t>
  </si>
  <si>
    <t>HCG28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</si>
  <si>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</si>
  <si>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</si>
  <si>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</si>
  <si>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</si>
  <si>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</si>
  <si>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</si>
  <si>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</si>
  <si>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</si>
  <si>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</si>
  <si>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</si>
  <si>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</si>
  <si>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</si>
  <si>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</si>
  <si>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</si>
  <si>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</si>
  <si>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</si>
  <si>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</si>
  <si>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</si>
  <si>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</si>
  <si>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</si>
  <si>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CONTACT CENTER</t>
  </si>
  <si>
    <t>VIGILANTE</t>
  </si>
  <si>
    <t>MANTENIMIENTO</t>
  </si>
  <si>
    <t>ASESOR DE VENTAS SEM</t>
  </si>
  <si>
    <t>AYUDANTE DE MECANICO</t>
  </si>
  <si>
    <t>AYUDANTE DE GENERAL</t>
  </si>
  <si>
    <t>OPARARIO C</t>
  </si>
  <si>
    <t>OPERARIO B</t>
  </si>
  <si>
    <t>AYUDANTE GENERAL DE</t>
  </si>
  <si>
    <t>OPERARIO A</t>
  </si>
  <si>
    <t>AYUDANTE DE PREVIAS</t>
  </si>
  <si>
    <t>TECNICO C</t>
  </si>
  <si>
    <t>ESTETICAS</t>
  </si>
  <si>
    <t>OPERARIO</t>
  </si>
  <si>
    <t>ASISTENTE F&amp;I</t>
  </si>
  <si>
    <t>COACH DE PISO</t>
  </si>
  <si>
    <t>AHORRO CTM</t>
  </si>
  <si>
    <t>PRESTAMO CTM</t>
  </si>
  <si>
    <t>PAGADO</t>
  </si>
  <si>
    <t>DIF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</si>
  <si>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</si>
  <si>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</si>
  <si>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</si>
  <si>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</si>
  <si>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</si>
  <si>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</si>
  <si>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</si>
  <si>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VALDEZ MARTINEZ MARTIN</t>
  </si>
  <si>
    <t>CANCINO RODRIGUEZ GREGORIO</t>
  </si>
  <si>
    <t>OLVERA SOTO LUIS ANGEL</t>
  </si>
  <si>
    <t>MATA GONZALEZ ALEJANDRO</t>
  </si>
  <si>
    <t>RIVERA GALLEGOS FRANCISCO</t>
  </si>
  <si>
    <t xml:space="preserve">MARTINEZ MONTOYA EFRAIN </t>
  </si>
  <si>
    <t>ARTEAGA SILVA ALFREDO</t>
  </si>
  <si>
    <t>GRANADOS PEREZ BRENDA</t>
  </si>
  <si>
    <t>ALFARO LAZARO ISAAC</t>
  </si>
  <si>
    <t>AL26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</si>
  <si>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</si>
  <si>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</si>
  <si>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</si>
  <si>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</si>
  <si>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</si>
  <si>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</si>
  <si>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</si>
  <si>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</si>
  <si>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RESENDIZ ECHEVERRIA MARIO</t>
  </si>
  <si>
    <t>MIJANGOS HERNANDEZ JULIO CESAR</t>
  </si>
  <si>
    <t>REYES FLORES ALAN RICARDO</t>
  </si>
  <si>
    <t>RF27</t>
  </si>
  <si>
    <t>AGUILAR GONZALEZ ANAEL</t>
  </si>
  <si>
    <t>CORTES MIRANDA CARLOS</t>
  </si>
  <si>
    <t>MELENDEZ PADILLA CLAUDIA</t>
  </si>
  <si>
    <t>ARROYO ZARAZUA GILBERTO</t>
  </si>
  <si>
    <t>HERNANDEZ CARREON GREGORIO</t>
  </si>
  <si>
    <t>HERNANDEZ SOLIS GUMERCINDO</t>
  </si>
  <si>
    <t>MIRANDA PEON JULIO CESAR</t>
  </si>
  <si>
    <t>GUTIERREZ OLVERA MARIURI</t>
  </si>
  <si>
    <t>CRUZ ORTIZ JUAN ANTONIO</t>
  </si>
  <si>
    <t>CASTELLANOS ROCHA LUCIA</t>
  </si>
  <si>
    <t>FONSECA GUILLEN JOSE FELIPE</t>
  </si>
  <si>
    <t>HERNANDEZ SILVA EDGAR SAMUEL</t>
  </si>
  <si>
    <t>ENRIQUEZ RUBIO FERNADO</t>
  </si>
  <si>
    <t>RAMIREZ BAUTISTA MARCOS SAMUEL</t>
  </si>
  <si>
    <t>MARTINEZ LORENZO LUIS ALEJANDRO</t>
  </si>
  <si>
    <t>ARVIZU RODRIGUEZ  ALEJANDRO</t>
  </si>
  <si>
    <t>ALVAREZ ORTIZ RICARDO</t>
  </si>
  <si>
    <t>GALICIA ZARATE SERGIO</t>
  </si>
  <si>
    <t>CALDERON MARTINEZ MARIO</t>
  </si>
  <si>
    <t>AGUILAR BRAVO CRISTIAN SAUL</t>
  </si>
  <si>
    <t>RODRIGUEZ RODRIGUEZ ANUAR</t>
  </si>
  <si>
    <t>CORTEZ OVANDO FAUSTINO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</si>
  <si>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</si>
  <si>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</si>
  <si>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</si>
  <si>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</si>
  <si>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</si>
  <si>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</si>
  <si>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AYALA CONTRERAS HECTOR</t>
  </si>
  <si>
    <t>MARTIN</t>
  </si>
  <si>
    <t>ANAEL</t>
  </si>
  <si>
    <t xml:space="preserve">HERNANDEZ CHAVEZ PEDRO </t>
  </si>
  <si>
    <t>ARTURO</t>
  </si>
  <si>
    <t>COACH</t>
  </si>
  <si>
    <t>ADMON VENTAS</t>
  </si>
  <si>
    <t>MOISES</t>
  </si>
  <si>
    <t>JIMENEZ HERNANDEZ JULIO</t>
  </si>
  <si>
    <t>LOBATO RECAMIER ROSELLIN</t>
  </si>
  <si>
    <t>CUENTA</t>
  </si>
  <si>
    <t>OBSERVACIONES</t>
  </si>
  <si>
    <t>17/02/2016 AL 23/02/2016</t>
  </si>
  <si>
    <t>Periodo Semana 08</t>
  </si>
  <si>
    <t>BERDEJA LEON FRANCISCO</t>
  </si>
  <si>
    <t>MALDONADO HERNANDEZ ERICK</t>
  </si>
  <si>
    <t>NORIA BADILLO JUAN JOSE</t>
  </si>
  <si>
    <t>MARTINEZ GALLEGOS LUIS FERNANDO</t>
  </si>
  <si>
    <t>MG</t>
  </si>
  <si>
    <t>NUEVO INGRESO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</si>
  <si>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</si>
  <si>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</si>
  <si>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</si>
  <si>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</si>
  <si>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</si>
  <si>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</si>
  <si>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RODRIGUEZ VENTURA CALOS</t>
  </si>
  <si>
    <t>TIRADO SAAVEDRA CARLOS</t>
  </si>
  <si>
    <t>TORIBIO DEL ANGEL OSCAR</t>
  </si>
  <si>
    <t>UNIFORMES</t>
  </si>
  <si>
    <t>BARCENAS COMENERO JORGE</t>
  </si>
  <si>
    <t>DIFERENCIA EN INFONAVIT QUE QUEDA A DEBER</t>
  </si>
  <si>
    <t>DE INFONAVIT QUE QUEDA A DEBER</t>
  </si>
  <si>
    <t>24 HORAS EXTRAS</t>
  </si>
  <si>
    <t>GONZALEZ AGUILLON HUMBERTO</t>
  </si>
  <si>
    <t>NUEVO INGRESO 22 FEB; SOLO PAGAR COMISIONES POR SINDICATO</t>
  </si>
  <si>
    <t>1 FALTA</t>
  </si>
  <si>
    <t>REGRESO DE INCAPACIDAD</t>
  </si>
  <si>
    <t>MONROY HERRERA VICTOR JAVIER</t>
  </si>
  <si>
    <t>SERVIN CHAVEZ OSCAR ERICK</t>
  </si>
  <si>
    <t>PALETA GUADARRAMA RICARDO</t>
  </si>
  <si>
    <t>Subsidio</t>
  </si>
  <si>
    <t>SE LE PAGA UNA DIFERENCIA DE 100 PESOS</t>
  </si>
  <si>
    <t>14 HORAS EXTRA, DIFERENCIA DE 100 PESOS</t>
  </si>
  <si>
    <t>NM01</t>
  </si>
  <si>
    <t>ESPECIALES</t>
  </si>
  <si>
    <t xml:space="preserve">AGUILAR PEREZ MARCOS ARTEMIO </t>
  </si>
  <si>
    <t>CORONEL DE LEON JONATHAN</t>
  </si>
  <si>
    <t>MORALES SANCHEZ ANGEL</t>
  </si>
  <si>
    <t>MS00</t>
  </si>
  <si>
    <t>OSCAR</t>
  </si>
  <si>
    <t>COACH DE VENTAS SEMINUEVOS</t>
  </si>
  <si>
    <t>SERENO CUELLAR JUVENAL</t>
  </si>
  <si>
    <t>REYES MONTES LUIS TEODULO</t>
  </si>
  <si>
    <t>MONTES DE OCA JUAREZ JOSE ANTONIO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</si>
  <si>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</si>
  <si>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</si>
  <si>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</si>
  <si>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</si>
  <si>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</si>
  <si>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</si>
  <si>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</si>
  <si>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SIFONTES SARDUA DAYAN JESUS</t>
  </si>
  <si>
    <t>RESENDIZ CRESPO JOSE DAVID</t>
  </si>
  <si>
    <t>Incapacidad</t>
  </si>
  <si>
    <t>INCAPACIDADES</t>
  </si>
  <si>
    <t>HUGO RANGEL ZUÑIGA</t>
  </si>
  <si>
    <t>QUILLO ARRIAGA OSIEL JONATHAN</t>
  </si>
  <si>
    <t>MARTINEZ OLVERA ISMAEL</t>
  </si>
  <si>
    <t>BARRAGAN SERRANO HECTOR TONATIUH</t>
  </si>
  <si>
    <t>RODRIGUEZ VENTURA CARLOS JAVIER</t>
  </si>
  <si>
    <t>CORTES MIRANDA CARLOS ARMANDO</t>
  </si>
  <si>
    <t>TIRADO SAAVEDRA CARLOS ALEJANDRO</t>
  </si>
  <si>
    <t>RIVERA GALLEGOS FRANCISCO ALEJANDRO</t>
  </si>
  <si>
    <t>CORTEZ OVANDO FAUSTINO ALI</t>
  </si>
  <si>
    <t>OLVERA BAUTISTA J. DOLORES GILBERTO</t>
  </si>
  <si>
    <t>ARIS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</si>
  <si>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</si>
  <si>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</si>
  <si>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</si>
  <si>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</si>
  <si>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</si>
  <si>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</si>
  <si>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</si>
  <si>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</si>
  <si>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</si>
  <si>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DOMINGUEZ ALCANTARA MIGUEL ANGEL</t>
  </si>
  <si>
    <t>MARTINEZ MONTOYA EFRAIN ESAUL</t>
  </si>
  <si>
    <t>MELENDEZ PADILLA CLAUDIA CRISTINA</t>
  </si>
  <si>
    <t>Sueldo Semanal</t>
  </si>
  <si>
    <t>ESCOBEDO MARTINEZ DENIS JOSUE</t>
  </si>
  <si>
    <t>OLVERA TAPIA SERGIO ANIRAK</t>
  </si>
  <si>
    <t>ENRIQUEZ RUBIO FERNANDO</t>
  </si>
  <si>
    <t>Periodo Semana 19</t>
  </si>
  <si>
    <t>04/05/2016 AL 10/05/2016</t>
  </si>
  <si>
    <t>Incapacidad, pero favor de pagar el monto reflejado en comisiòn.</t>
  </si>
  <si>
    <t>LEDEZMA MARQUES FERMIN</t>
  </si>
  <si>
    <t>CTA BANAMEX  TARJETA 5256781832775097 CLIENTE 80199478997</t>
  </si>
  <si>
    <t>Nuevo Ingreso, se le pagan 6 dìas laborados, aplicado.</t>
  </si>
  <si>
    <t>SANTIAGO MATILDE URIEL</t>
  </si>
  <si>
    <t>GAYTAN DIONICIO JUAN</t>
  </si>
  <si>
    <t>Nuevo Ingreso, se le paga semana completa laborada màs un dìa de la semana pasada, por reporte a destiempo.</t>
  </si>
  <si>
    <t>Cuenta en tràmite</t>
  </si>
  <si>
    <t>MORALES ROSALES ISRAEL</t>
  </si>
  <si>
    <t>Nuevo Ingreso, se le paga semana completa laborada.</t>
  </si>
  <si>
    <t>Se le descuenta 1 dìa de falta, ya aplicado.</t>
  </si>
  <si>
    <t>Se le descuentan 2 dìas de falta, ya aplicado.</t>
  </si>
  <si>
    <t>PAGO</t>
  </si>
  <si>
    <t>EFECTIVO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</si>
</sst>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255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2" borderId="1" xfId="0" applyFont="1" applyFill="1" applyBorder="1"/>
    <xf numFmtId="4" fontId="11" fillId="0" borderId="1" xfId="0" applyNumberFormat="1" applyFont="1" applyBorder="1"/>
    <xf numFmtId="43" fontId="11" fillId="0" borderId="1" xfId="2" applyFont="1" applyBorder="1"/>
    <xf numFmtId="43" fontId="11" fillId="2" borderId="1" xfId="2" applyFont="1" applyFill="1" applyBorder="1"/>
    <xf numFmtId="43" fontId="9" fillId="2" borderId="1" xfId="2" applyFont="1" applyFill="1" applyBorder="1"/>
    <xf numFmtId="43" fontId="12" fillId="3" borderId="1" xfId="2" applyFont="1" applyFill="1" applyBorder="1"/>
    <xf numFmtId="43" fontId="11" fillId="4" borderId="1" xfId="2" applyFont="1" applyFill="1" applyBorder="1"/>
    <xf numFmtId="0" fontId="11" fillId="10" borderId="1" xfId="0" applyFont="1" applyFill="1" applyBorder="1"/>
    <xf numFmtId="43" fontId="11" fillId="10" borderId="1" xfId="2" applyFont="1" applyFill="1" applyBorder="1" applyAlignment="1">
      <alignment horizontal="center"/>
    </xf>
    <xf numFmtId="43" fontId="11" fillId="0" borderId="1" xfId="2" applyFont="1" applyFill="1" applyBorder="1" applyAlignment="1">
      <alignment horizontal="center"/>
    </xf>
    <xf numFmtId="43" fontId="11" fillId="6" borderId="1" xfId="2" applyFont="1" applyFill="1" applyBorder="1" applyAlignment="1">
      <alignment horizontal="center"/>
    </xf>
    <xf numFmtId="0" fontId="11" fillId="0" borderId="0" xfId="0" applyFont="1" applyFill="1"/>
    <xf numFmtId="0" fontId="11" fillId="2" borderId="0" xfId="0" applyFont="1" applyFill="1"/>
    <xf numFmtId="0" fontId="11" fillId="0" borderId="0" xfId="0" applyFont="1"/>
    <xf numFmtId="12" fontId="11" fillId="2" borderId="1" xfId="2" applyNumberFormat="1" applyFont="1" applyFill="1" applyBorder="1"/>
    <xf numFmtId="4" fontId="11" fillId="10" borderId="1" xfId="0" applyNumberFormat="1" applyFont="1" applyFill="1" applyBorder="1"/>
    <xf numFmtId="0" fontId="11" fillId="0" borderId="1" xfId="0" applyFont="1" applyBorder="1" applyAlignment="1">
      <alignment horizontal="right"/>
    </xf>
    <xf numFmtId="43" fontId="11" fillId="10" borderId="1" xfId="2" applyFont="1" applyFill="1" applyBorder="1"/>
    <xf numFmtId="0" fontId="12" fillId="0" borderId="1" xfId="0" applyFont="1" applyFill="1" applyBorder="1"/>
    <xf numFmtId="0" fontId="11" fillId="0" borderId="2" xfId="0" applyFont="1" applyFill="1" applyBorder="1"/>
    <xf numFmtId="43" fontId="11" fillId="0" borderId="2" xfId="2" applyFont="1" applyFill="1" applyBorder="1"/>
    <xf numFmtId="43" fontId="12" fillId="0" borderId="1" xfId="2" applyFont="1" applyFill="1" applyBorder="1"/>
    <xf numFmtId="43" fontId="12" fillId="0" borderId="2" xfId="2" applyFont="1" applyFill="1" applyBorder="1"/>
    <xf numFmtId="0" fontId="12" fillId="0" borderId="3" xfId="0" applyFont="1" applyBorder="1"/>
    <xf numFmtId="43" fontId="12" fillId="0" borderId="3" xfId="2" applyFont="1" applyBorder="1"/>
    <xf numFmtId="43" fontId="11" fillId="0" borderId="1" xfId="2" applyFont="1" applyFill="1" applyBorder="1"/>
    <xf numFmtId="43" fontId="11" fillId="5" borderId="1" xfId="2" applyFont="1" applyFill="1" applyBorder="1" applyAlignment="1">
      <alignment horizontal="center"/>
    </xf>
    <xf numFmtId="0" fontId="14" fillId="0" borderId="0" xfId="0" applyFont="1"/>
    <xf numFmtId="43" fontId="11" fillId="0" borderId="0" xfId="0" applyNumberFormat="1" applyFont="1" applyFill="1"/>
    <xf numFmtId="0" fontId="11" fillId="11" borderId="1" xfId="0" applyFont="1" applyFill="1" applyBorder="1"/>
    <xf numFmtId="43" fontId="11" fillId="11" borderId="1" xfId="2" applyFont="1" applyFill="1" applyBorder="1"/>
    <xf numFmtId="43" fontId="12" fillId="11" borderId="1" xfId="2" applyFont="1" applyFill="1" applyBorder="1"/>
    <xf numFmtId="43" fontId="11" fillId="11" borderId="1" xfId="2" applyFont="1" applyFill="1" applyBorder="1" applyAlignment="1">
      <alignment horizontal="center"/>
    </xf>
    <xf numFmtId="0" fontId="11" fillId="11" borderId="0" xfId="0" applyFont="1" applyFill="1"/>
    <xf numFmtId="0" fontId="11" fillId="12" borderId="1" xfId="0" applyFont="1" applyFill="1" applyBorder="1"/>
    <xf numFmtId="0" fontId="11" fillId="0" borderId="1" xfId="0" applyFont="1" applyFill="1" applyBorder="1"/>
    <xf numFmtId="43" fontId="12" fillId="8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2" fillId="14" borderId="1" xfId="2" applyFont="1" applyFill="1" applyBorder="1"/>
    <xf numFmtId="14" fontId="11" fillId="0" borderId="1" xfId="0" applyNumberFormat="1" applyFont="1" applyBorder="1"/>
    <xf numFmtId="0" fontId="12" fillId="7" borderId="0" xfId="0" applyFont="1" applyFill="1" applyBorder="1" applyAlignment="1">
      <alignment horizontal="center"/>
    </xf>
    <xf numFmtId="0" fontId="11" fillId="0" borderId="0" xfId="0" applyFont="1" applyBorder="1"/>
    <xf numFmtId="43" fontId="12" fillId="13" borderId="3" xfId="2" applyFont="1" applyFill="1" applyBorder="1"/>
    <xf numFmtId="14" fontId="11" fillId="0" borderId="1" xfId="0" applyNumberFormat="1" applyFont="1" applyFill="1" applyBorder="1"/>
    <xf numFmtId="43" fontId="9" fillId="0" borderId="1" xfId="2" applyFont="1" applyFill="1" applyBorder="1"/>
    <xf numFmtId="4" fontId="11" fillId="0" borderId="1" xfId="0" applyNumberFormat="1" applyFont="1" applyFill="1" applyBorder="1"/>
    <xf numFmtId="43" fontId="11" fillId="12" borderId="1" xfId="2" applyFont="1" applyFill="1" applyBorder="1"/>
    <xf numFmtId="43" fontId="11" fillId="0" borderId="5" xfId="2" applyFont="1" applyFill="1" applyBorder="1"/>
    <xf numFmtId="43" fontId="11" fillId="0" borderId="3" xfId="2" applyFont="1" applyBorder="1"/>
    <xf numFmtId="0" fontId="12" fillId="15" borderId="0" xfId="0" applyFont="1" applyFill="1"/>
    <xf numFmtId="0" fontId="11" fillId="15" borderId="1" xfId="0" applyFont="1" applyFill="1" applyBorder="1"/>
    <xf numFmtId="43" fontId="11" fillId="15" borderId="1" xfId="2" applyFont="1" applyFill="1" applyBorder="1"/>
    <xf numFmtId="43" fontId="9" fillId="15" borderId="1" xfId="2" applyFont="1" applyFill="1" applyBorder="1"/>
    <xf numFmtId="43" fontId="12" fillId="15" borderId="1" xfId="2" applyFont="1" applyFill="1" applyBorder="1"/>
    <xf numFmtId="43" fontId="11" fillId="15" borderId="1" xfId="2" applyFont="1" applyFill="1" applyBorder="1" applyAlignment="1">
      <alignment horizontal="center"/>
    </xf>
    <xf numFmtId="0" fontId="11" fillId="15" borderId="0" xfId="0" applyFont="1" applyFill="1"/>
    <xf numFmtId="43" fontId="11" fillId="15" borderId="0" xfId="0" applyNumberFormat="1" applyFont="1" applyFill="1"/>
    <xf numFmtId="4" fontId="11" fillId="15" borderId="1" xfId="0" applyNumberFormat="1" applyFont="1" applyFill="1" applyBorder="1"/>
    <xf numFmtId="14" fontId="11" fillId="15" borderId="1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12" fontId="11" fillId="0" borderId="0" xfId="0" applyNumberFormat="1" applyFont="1" applyFill="1"/>
    <xf numFmtId="43" fontId="9" fillId="11" borderId="1" xfId="2" applyFont="1" applyFill="1" applyBorder="1"/>
    <xf numFmtId="43" fontId="11" fillId="11" borderId="0" xfId="0" applyNumberFormat="1" applyFont="1" applyFill="1"/>
    <xf numFmtId="0" fontId="12" fillId="11" borderId="0" xfId="0" applyFont="1" applyFill="1"/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2" fontId="11" fillId="13" borderId="1" xfId="0" applyNumberFormat="1" applyFont="1" applyFill="1" applyBorder="1"/>
    <xf numFmtId="14" fontId="11" fillId="11" borderId="1" xfId="0" applyNumberFormat="1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8" xfId="0" applyFont="1" applyFill="1" applyBorder="1"/>
    <xf numFmtId="0" fontId="11" fillId="0" borderId="10" xfId="0" applyFont="1" applyFill="1" applyBorder="1"/>
    <xf numFmtId="43" fontId="11" fillId="0" borderId="10" xfId="2" applyFont="1" applyFill="1" applyBorder="1"/>
    <xf numFmtId="43" fontId="12" fillId="0" borderId="10" xfId="2" applyFont="1" applyFill="1" applyBorder="1"/>
    <xf numFmtId="0" fontId="11" fillId="0" borderId="9" xfId="0" applyFont="1" applyBorder="1"/>
    <xf numFmtId="0" fontId="11" fillId="2" borderId="9" xfId="0" applyFont="1" applyFill="1" applyBorder="1"/>
    <xf numFmtId="43" fontId="11" fillId="0" borderId="9" xfId="2" applyFont="1" applyBorder="1"/>
    <xf numFmtId="43" fontId="11" fillId="2" borderId="9" xfId="2" applyFont="1" applyFill="1" applyBorder="1"/>
    <xf numFmtId="43" fontId="9" fillId="2" borderId="9" xfId="2" applyFont="1" applyFill="1" applyBorder="1"/>
    <xf numFmtId="43" fontId="12" fillId="3" borderId="9" xfId="2" applyFont="1" applyFill="1" applyBorder="1"/>
    <xf numFmtId="43" fontId="11" fillId="4" borderId="9" xfId="2" applyFont="1" applyFill="1" applyBorder="1"/>
    <xf numFmtId="43" fontId="11" fillId="10" borderId="9" xfId="2" applyFont="1" applyFill="1" applyBorder="1"/>
    <xf numFmtId="43" fontId="11" fillId="10" borderId="9" xfId="2" applyFont="1" applyFill="1" applyBorder="1" applyAlignment="1">
      <alignment horizontal="center"/>
    </xf>
    <xf numFmtId="0" fontId="11" fillId="10" borderId="9" xfId="0" applyFont="1" applyFill="1" applyBorder="1"/>
    <xf numFmtId="43" fontId="11" fillId="0" borderId="9" xfId="2" applyFont="1" applyFill="1" applyBorder="1" applyAlignment="1">
      <alignment horizontal="center"/>
    </xf>
    <xf numFmtId="43" fontId="11" fillId="6" borderId="9" xfId="2" applyFont="1" applyFill="1" applyBorder="1" applyAlignment="1">
      <alignment horizontal="center"/>
    </xf>
    <xf numFmtId="43" fontId="12" fillId="14" borderId="9" xfId="2" applyFont="1" applyFill="1" applyBorder="1"/>
    <xf numFmtId="43" fontId="1" fillId="0" borderId="9" xfId="2" applyFill="1" applyBorder="1"/>
    <xf numFmtId="0" fontId="11" fillId="0" borderId="9" xfId="0" applyFont="1" applyFill="1" applyBorder="1"/>
    <xf numFmtId="0" fontId="11" fillId="12" borderId="9" xfId="0" applyFont="1" applyFill="1" applyBorder="1"/>
    <xf numFmtId="43" fontId="11" fillId="12" borderId="9" xfId="2" applyFont="1" applyFill="1" applyBorder="1"/>
    <xf numFmtId="14" fontId="11" fillId="0" borderId="9" xfId="0" applyNumberFormat="1" applyFont="1" applyFill="1" applyBorder="1"/>
    <xf numFmtId="43" fontId="11" fillId="0" borderId="9" xfId="2" applyFont="1" applyFill="1" applyBorder="1"/>
    <xf numFmtId="0" fontId="12" fillId="0" borderId="9" xfId="0" applyFont="1" applyFill="1" applyBorder="1"/>
    <xf numFmtId="2" fontId="11" fillId="10" borderId="9" xfId="0" applyNumberFormat="1" applyFont="1" applyFill="1" applyBorder="1"/>
    <xf numFmtId="43" fontId="11" fillId="12" borderId="9" xfId="2" applyFont="1" applyFill="1" applyBorder="1" applyAlignment="1">
      <alignment horizontal="center"/>
    </xf>
    <xf numFmtId="14" fontId="11" fillId="0" borderId="9" xfId="0" applyNumberFormat="1" applyFont="1" applyBorder="1"/>
    <xf numFmtId="2" fontId="11" fillId="0" borderId="9" xfId="0" applyNumberFormat="1" applyFont="1" applyBorder="1"/>
    <xf numFmtId="12" fontId="11" fillId="2" borderId="9" xfId="2" applyNumberFormat="1" applyFont="1" applyFill="1" applyBorder="1"/>
    <xf numFmtId="12" fontId="11" fillId="0" borderId="9" xfId="2" applyNumberFormat="1" applyFont="1" applyFill="1" applyBorder="1"/>
    <xf numFmtId="0" fontId="11" fillId="0" borderId="9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0" fillId="0" borderId="9" xfId="0" applyBorder="1"/>
    <xf numFmtId="43" fontId="11" fillId="0" borderId="10" xfId="2" applyFont="1" applyFill="1" applyBorder="1" applyAlignment="1">
      <alignment horizontal="center"/>
    </xf>
    <xf numFmtId="0" fontId="12" fillId="0" borderId="9" xfId="0" applyFont="1" applyBorder="1"/>
    <xf numFmtId="43" fontId="12" fillId="0" borderId="9" xfId="2" applyFont="1" applyBorder="1"/>
    <xf numFmtId="43" fontId="12" fillId="13" borderId="9" xfId="2" applyFont="1" applyFill="1" applyBorder="1"/>
    <xf numFmtId="43" fontId="1" fillId="0" borderId="9" xfId="2" applyBorder="1"/>
    <xf numFmtId="0" fontId="12" fillId="7" borderId="9" xfId="0" applyFont="1" applyFill="1" applyBorder="1" applyAlignment="1">
      <alignment horizontal="center"/>
    </xf>
    <xf numFmtId="43" fontId="11" fillId="5" borderId="9" xfId="2" applyFont="1" applyFill="1" applyBorder="1" applyAlignment="1">
      <alignment horizontal="center"/>
    </xf>
    <xf numFmtId="43" fontId="1" fillId="3" borderId="9" xfId="2" applyFill="1" applyBorder="1"/>
    <xf numFmtId="0" fontId="0" fillId="0" borderId="9" xfId="0" applyFill="1" applyBorder="1"/>
    <xf numFmtId="2" fontId="11" fillId="12" borderId="9" xfId="0" applyNumberFormat="1" applyFont="1" applyFill="1" applyBorder="1"/>
    <xf numFmtId="0" fontId="11" fillId="16" borderId="9" xfId="0" applyFont="1" applyFill="1" applyBorder="1"/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43" fontId="11" fillId="11" borderId="9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9" xfId="2" applyFont="1" applyBorder="1"/>
    <xf numFmtId="43" fontId="16" fillId="3" borderId="9" xfId="2" applyFont="1" applyFill="1" applyBorder="1"/>
    <xf numFmtId="0" fontId="17" fillId="0" borderId="9" xfId="0" applyFont="1" applyFill="1" applyBorder="1"/>
    <xf numFmtId="43" fontId="11" fillId="16" borderId="9" xfId="2" applyFont="1" applyFill="1" applyBorder="1"/>
    <xf numFmtId="43" fontId="11" fillId="16" borderId="9" xfId="2" applyFont="1" applyFill="1" applyBorder="1" applyAlignment="1">
      <alignment horizontal="center"/>
    </xf>
    <xf numFmtId="4" fontId="17" fillId="0" borderId="9" xfId="0" applyNumberFormat="1" applyFont="1" applyFill="1" applyBorder="1"/>
    <xf numFmtId="43" fontId="11" fillId="17" borderId="9" xfId="2" applyFont="1" applyFill="1" applyBorder="1" applyAlignment="1">
      <alignment horizontal="center"/>
    </xf>
    <xf numFmtId="4" fontId="11" fillId="12" borderId="9" xfId="0" applyNumberFormat="1" applyFont="1" applyFill="1" applyBorder="1"/>
    <xf numFmtId="43" fontId="11" fillId="12" borderId="9" xfId="0" applyNumberFormat="1" applyFont="1" applyFill="1" applyBorder="1"/>
    <xf numFmtId="0" fontId="12" fillId="14" borderId="9" xfId="0" applyFont="1" applyFill="1" applyBorder="1"/>
    <xf numFmtId="43" fontId="9" fillId="0" borderId="9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3" fontId="11" fillId="0" borderId="9" xfId="0" applyNumberFormat="1" applyFont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9" xfId="2" applyFont="1" applyFill="1" applyBorder="1"/>
    <xf numFmtId="0" fontId="11" fillId="14" borderId="9" xfId="0" applyFont="1" applyFill="1" applyBorder="1"/>
    <xf numFmtId="0" fontId="11" fillId="14" borderId="9" xfId="0" applyFont="1" applyFill="1" applyBorder="1" applyAlignment="1">
      <alignment horizontal="right"/>
    </xf>
    <xf numFmtId="14" fontId="11" fillId="14" borderId="9" xfId="0" applyNumberFormat="1" applyFont="1" applyFill="1" applyBorder="1"/>
    <xf numFmtId="43" fontId="11" fillId="14" borderId="9" xfId="2" applyFont="1" applyFill="1" applyBorder="1"/>
    <xf numFmtId="0" fontId="11" fillId="14" borderId="9" xfId="0" applyFont="1" applyFill="1" applyBorder="1" applyAlignment="1">
      <alignment horizontal="center" vertical="center"/>
    </xf>
    <xf numFmtId="43" fontId="9" fillId="14" borderId="9" xfId="2" applyFont="1" applyFill="1" applyBorder="1"/>
    <xf numFmtId="43" fontId="11" fillId="14" borderId="9" xfId="2" applyFont="1" applyFill="1" applyBorder="1" applyAlignment="1">
      <alignment horizontal="center"/>
    </xf>
    <xf numFmtId="43" fontId="18" fillId="0" borderId="9" xfId="2" applyFont="1" applyFill="1" applyBorder="1"/>
    <xf numFmtId="43" fontId="18" fillId="14" borderId="9" xfId="2" applyFont="1" applyFill="1" applyBorder="1"/>
    <xf numFmtId="43" fontId="11" fillId="0" borderId="9" xfId="0" applyNumberFormat="1" applyFont="1" applyBorder="1"/>
    <xf numFmtId="0" fontId="11" fillId="2" borderId="11" xfId="0" applyFont="1" applyFill="1" applyBorder="1" applyAlignment="1">
      <alignment horizontal="center" vertical="center"/>
    </xf>
    <xf numFmtId="43" fontId="11" fillId="0" borderId="6" xfId="0" applyNumberFormat="1" applyFont="1" applyBorder="1"/>
    <xf numFmtId="2" fontId="11" fillId="0" borderId="9" xfId="0" applyNumberFormat="1" applyFont="1" applyFill="1" applyBorder="1"/>
    <xf numFmtId="43" fontId="11" fillId="0" borderId="9" xfId="0" applyNumberFormat="1" applyFont="1" applyFill="1" applyBorder="1" applyAlignment="1">
      <alignment horizontal="center" vertical="center"/>
    </xf>
    <xf numFmtId="0" fontId="18" fillId="16" borderId="0" xfId="0" applyFont="1" applyFill="1"/>
    <xf numFmtId="43" fontId="18" fillId="12" borderId="9" xfId="2" applyFont="1" applyFill="1" applyBorder="1"/>
    <xf numFmtId="43" fontId="18" fillId="11" borderId="9" xfId="2" applyFont="1" applyFill="1" applyBorder="1"/>
    <xf numFmtId="0" fontId="19" fillId="11" borderId="9" xfId="0" applyFont="1" applyFill="1" applyBorder="1" applyAlignment="1">
      <alignment horizontal="right" wrapText="1"/>
    </xf>
    <xf numFmtId="4" fontId="19" fillId="11" borderId="9" xfId="0" applyNumberFormat="1" applyFont="1" applyFill="1" applyBorder="1" applyAlignment="1">
      <alignment horizontal="right" wrapText="1"/>
    </xf>
    <xf numFmtId="0" fontId="19" fillId="14" borderId="9" xfId="0" applyFont="1" applyFill="1" applyBorder="1"/>
    <xf numFmtId="0" fontId="19" fillId="19" borderId="9" xfId="0" applyFont="1" applyFill="1" applyBorder="1" applyAlignment="1">
      <alignment horizontal="right" wrapText="1"/>
    </xf>
    <xf numFmtId="0" fontId="19" fillId="0" borderId="9" xfId="0" applyFont="1" applyBorder="1"/>
    <xf numFmtId="4" fontId="19" fillId="18" borderId="9" xfId="0" applyNumberFormat="1" applyFont="1" applyFill="1" applyBorder="1" applyAlignment="1">
      <alignment horizontal="right" wrapText="1"/>
    </xf>
    <xf numFmtId="0" fontId="19" fillId="18" borderId="9" xfId="0" applyFont="1" applyFill="1" applyBorder="1" applyAlignment="1">
      <alignment horizontal="right" wrapText="1"/>
    </xf>
    <xf numFmtId="4" fontId="19" fillId="0" borderId="9" xfId="0" applyNumberFormat="1" applyFont="1" applyBorder="1"/>
    <xf numFmtId="4" fontId="19" fillId="19" borderId="9" xfId="0" applyNumberFormat="1" applyFont="1" applyFill="1" applyBorder="1" applyAlignment="1">
      <alignment horizontal="right" wrapText="1"/>
    </xf>
    <xf numFmtId="0" fontId="19" fillId="12" borderId="9" xfId="0" applyFont="1" applyFill="1" applyBorder="1" applyAlignment="1">
      <alignment horizontal="right" wrapText="1"/>
    </xf>
    <xf numFmtId="43" fontId="11" fillId="14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/>
    <xf numFmtId="0" fontId="19" fillId="0" borderId="9" xfId="0" applyFont="1" applyFill="1" applyBorder="1" applyAlignment="1">
      <alignment horizontal="right" wrapText="1"/>
    </xf>
    <xf numFmtId="0" fontId="11" fillId="12" borderId="9" xfId="0" applyFont="1" applyFill="1" applyBorder="1" applyAlignment="1">
      <alignment horizontal="center" vertical="center"/>
    </xf>
    <xf numFmtId="43" fontId="9" fillId="12" borderId="9" xfId="2" applyFont="1" applyFill="1" applyBorder="1"/>
    <xf numFmtId="43" fontId="12" fillId="12" borderId="9" xfId="2" applyFont="1" applyFill="1" applyBorder="1"/>
    <xf numFmtId="14" fontId="11" fillId="12" borderId="9" xfId="0" applyNumberFormat="1" applyFont="1" applyFill="1" applyBorder="1"/>
    <xf numFmtId="0" fontId="12" fillId="12" borderId="9" xfId="0" applyFont="1" applyFill="1" applyBorder="1"/>
    <xf numFmtId="4" fontId="11" fillId="12" borderId="9" xfId="0" applyNumberFormat="1" applyFont="1" applyFill="1" applyBorder="1" applyAlignment="1">
      <alignment horizontal="center" vertical="center"/>
    </xf>
    <xf numFmtId="4" fontId="19" fillId="12" borderId="9" xfId="0" applyNumberFormat="1" applyFont="1" applyFill="1" applyBorder="1" applyAlignment="1">
      <alignment horizontal="right" wrapText="1"/>
    </xf>
    <xf numFmtId="0" fontId="0" fillId="12" borderId="9" xfId="0" applyFill="1" applyBorder="1"/>
    <xf numFmtId="0" fontId="20" fillId="12" borderId="9" xfId="0" applyFont="1" applyFill="1" applyBorder="1"/>
    <xf numFmtId="43" fontId="11" fillId="15" borderId="9" xfId="2" applyFont="1" applyFill="1" applyBorder="1"/>
    <xf numFmtId="0" fontId="12" fillId="15" borderId="9" xfId="0" applyFont="1" applyFill="1" applyBorder="1"/>
    <xf numFmtId="43" fontId="12" fillId="8" borderId="2" xfId="2" applyFont="1" applyFill="1" applyBorder="1" applyAlignment="1">
      <alignment horizontal="center" vertical="center" wrapText="1"/>
    </xf>
    <xf numFmtId="43" fontId="12" fillId="8" borderId="10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10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1" fillId="8" borderId="2" xfId="2" applyFont="1" applyFill="1" applyBorder="1" applyAlignment="1">
      <alignment horizontal="center" vertical="center" wrapText="1"/>
    </xf>
    <xf numFmtId="43" fontId="11" fillId="8" borderId="10" xfId="2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14" borderId="9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43" fontId="15" fillId="8" borderId="5" xfId="2" applyFont="1" applyFill="1" applyBorder="1" applyAlignment="1">
      <alignment horizontal="center" wrapText="1"/>
    </xf>
    <xf numFmtId="43" fontId="15" fillId="8" borderId="6" xfId="2" applyFont="1" applyFill="1" applyBorder="1" applyAlignment="1">
      <alignment horizontal="center" wrapText="1"/>
    </xf>
    <xf numFmtId="43" fontId="1" fillId="7" borderId="7" xfId="2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43" fontId="12" fillId="8" borderId="5" xfId="2" applyFont="1" applyFill="1" applyBorder="1" applyAlignment="1">
      <alignment horizontal="center" wrapText="1"/>
    </xf>
    <xf numFmtId="43" fontId="12" fillId="8" borderId="6" xfId="2" applyFont="1" applyFill="1" applyBorder="1" applyAlignment="1">
      <alignment horizont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/>
    </xf>
    <xf numFmtId="43" fontId="11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" fillId="8" borderId="5" xfId="2" applyFill="1" applyBorder="1" applyAlignment="1">
      <alignment horizontal="center" wrapText="1"/>
    </xf>
    <xf numFmtId="43" fontId="1" fillId="8" borderId="6" xfId="2" applyFill="1" applyBorder="1" applyAlignment="1">
      <alignment horizontal="center" wrapText="1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B082"/>
      <color rgb="FFFF00FF"/>
      <color rgb="FF9999FF"/>
      <color rgb="FFBCD6EE"/>
      <color rgb="FF66CCFF"/>
      <color rgb="FFFFFF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12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customWidth="1"/>
    <col min="4" max="4" width="8.85546875" style="41" customWidth="1"/>
    <col min="5" max="5" width="31.5703125" style="41" customWidth="1"/>
    <col min="6" max="6" width="20.140625" style="41" customWidth="1"/>
    <col min="7" max="7" width="13" style="41" customWidth="1"/>
    <col min="8" max="8" width="11.7109375" style="41" customWidth="1"/>
    <col min="9" max="9" width="17.140625" style="23" customWidth="1"/>
    <col min="10" max="10" width="11.7109375" style="185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159" customWidth="1"/>
    <col min="36" max="36" width="12.7109375" style="159" customWidth="1"/>
    <col min="37" max="37" width="11.5703125" style="4" customWidth="1"/>
    <col min="38" max="38" width="58.7109375" style="41" bestFit="1" customWidth="1"/>
    <col min="39" max="39" width="101.7109375" style="41" bestFit="1" customWidth="1"/>
    <col min="40" max="53" width="11.5703125" style="39"/>
    <col min="54" max="16384" width="11.5703125" style="41"/>
  </cols>
  <sheetData>
    <row r="1" spans="1:193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72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58"/>
      <c r="AJ1" s="158"/>
      <c r="AK1" s="100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193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73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58"/>
      <c r="AJ2" s="158"/>
      <c r="AK2" s="100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193" s="17" customFormat="1">
      <c r="A3" s="20" t="s">
        <v>340</v>
      </c>
      <c r="B3" s="20"/>
      <c r="C3" s="20"/>
      <c r="D3" s="20"/>
      <c r="E3" s="21"/>
      <c r="F3" s="21"/>
      <c r="G3" s="21"/>
      <c r="H3" s="21"/>
      <c r="I3" s="14"/>
      <c r="J3" s="174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58"/>
      <c r="AJ3" s="158"/>
      <c r="AK3" s="100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193" s="22" customFormat="1">
      <c r="A4" s="22" t="s">
        <v>341</v>
      </c>
      <c r="I4" s="23"/>
      <c r="J4" s="175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159"/>
      <c r="AJ4" s="159"/>
      <c r="AK4" s="4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193" s="22" customFormat="1" ht="28.5" customHeight="1">
      <c r="A5" s="230" t="s">
        <v>39</v>
      </c>
      <c r="B5" s="232" t="s">
        <v>40</v>
      </c>
      <c r="C5" s="230" t="s">
        <v>252</v>
      </c>
      <c r="D5" s="232" t="s">
        <v>41</v>
      </c>
      <c r="E5" s="232" t="s">
        <v>0</v>
      </c>
      <c r="F5" s="230" t="s">
        <v>246</v>
      </c>
      <c r="G5" s="234" t="s">
        <v>67</v>
      </c>
      <c r="H5" s="234" t="s">
        <v>65</v>
      </c>
      <c r="I5" s="236" t="s">
        <v>66</v>
      </c>
      <c r="J5" s="228" t="s">
        <v>68</v>
      </c>
      <c r="K5" s="234" t="s">
        <v>336</v>
      </c>
      <c r="L5" s="228" t="s">
        <v>75</v>
      </c>
      <c r="M5" s="99"/>
      <c r="N5" s="234" t="s">
        <v>35</v>
      </c>
      <c r="O5" s="234" t="s">
        <v>36</v>
      </c>
      <c r="P5" s="234" t="s">
        <v>63</v>
      </c>
      <c r="Q5" s="234" t="s">
        <v>37</v>
      </c>
      <c r="R5" s="234" t="s">
        <v>38</v>
      </c>
      <c r="S5" s="88"/>
      <c r="T5" s="238" t="s">
        <v>186</v>
      </c>
      <c r="U5" s="238" t="s">
        <v>213</v>
      </c>
      <c r="V5" s="238" t="s">
        <v>212</v>
      </c>
      <c r="W5" s="238" t="s">
        <v>187</v>
      </c>
      <c r="X5" s="234" t="s">
        <v>30</v>
      </c>
      <c r="Y5" s="234" t="s">
        <v>56</v>
      </c>
      <c r="Z5" s="234" t="s">
        <v>55</v>
      </c>
      <c r="AA5" s="234" t="s">
        <v>32</v>
      </c>
      <c r="AB5" s="234" t="s">
        <v>64</v>
      </c>
      <c r="AC5" s="234" t="s">
        <v>27</v>
      </c>
      <c r="AD5" s="234" t="s">
        <v>31</v>
      </c>
      <c r="AE5" s="234" t="s">
        <v>26</v>
      </c>
      <c r="AF5" s="234" t="s">
        <v>28</v>
      </c>
      <c r="AG5" s="102"/>
      <c r="AH5" s="234" t="s">
        <v>29</v>
      </c>
      <c r="AI5" s="243" t="s">
        <v>308</v>
      </c>
      <c r="AJ5" s="244"/>
      <c r="AK5" s="245" t="s">
        <v>191</v>
      </c>
      <c r="AL5" s="241" t="s">
        <v>257</v>
      </c>
      <c r="AM5" s="241" t="s">
        <v>258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193" s="66" customFormat="1" ht="39" customHeight="1">
      <c r="A6" s="231"/>
      <c r="B6" s="233"/>
      <c r="C6" s="231"/>
      <c r="D6" s="233"/>
      <c r="E6" s="233"/>
      <c r="F6" s="231"/>
      <c r="G6" s="235"/>
      <c r="H6" s="235"/>
      <c r="I6" s="237"/>
      <c r="J6" s="229"/>
      <c r="K6" s="235"/>
      <c r="L6" s="229"/>
      <c r="M6" s="103" t="s">
        <v>288</v>
      </c>
      <c r="N6" s="235"/>
      <c r="O6" s="235"/>
      <c r="P6" s="235"/>
      <c r="Q6" s="235"/>
      <c r="R6" s="235"/>
      <c r="S6" s="104" t="s">
        <v>276</v>
      </c>
      <c r="T6" s="239"/>
      <c r="U6" s="239"/>
      <c r="V6" s="239"/>
      <c r="W6" s="239"/>
      <c r="X6" s="235"/>
      <c r="Y6" s="235"/>
      <c r="Z6" s="235"/>
      <c r="AA6" s="235"/>
      <c r="AB6" s="235"/>
      <c r="AC6" s="235"/>
      <c r="AD6" s="235"/>
      <c r="AE6" s="235"/>
      <c r="AF6" s="235"/>
      <c r="AG6" s="88"/>
      <c r="AH6" s="235"/>
      <c r="AI6" s="157" t="s">
        <v>66</v>
      </c>
      <c r="AJ6" s="157" t="s">
        <v>68</v>
      </c>
      <c r="AK6" s="245"/>
      <c r="AL6" s="241"/>
      <c r="AM6" s="241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</row>
    <row r="7" spans="1:193" s="40" customFormat="1">
      <c r="A7" s="124" t="s">
        <v>91</v>
      </c>
      <c r="B7" s="110" t="s">
        <v>238</v>
      </c>
      <c r="C7" s="110"/>
      <c r="D7" s="110" t="s">
        <v>95</v>
      </c>
      <c r="E7" s="110" t="s">
        <v>72</v>
      </c>
      <c r="F7" s="132">
        <v>42062</v>
      </c>
      <c r="G7" s="111"/>
      <c r="H7" s="111"/>
      <c r="I7" s="112">
        <v>1166.26</v>
      </c>
      <c r="J7" s="176"/>
      <c r="K7" s="112">
        <f t="shared" ref="K7:K38" si="0">+I7+J7</f>
        <v>1166.26</v>
      </c>
      <c r="L7" s="112">
        <v>1141.32</v>
      </c>
      <c r="M7" s="112"/>
      <c r="N7" s="113">
        <v>622.36</v>
      </c>
      <c r="O7" s="113"/>
      <c r="P7" s="114"/>
      <c r="Q7" s="115">
        <f t="shared" ref="Q7:Q38" si="1">SUM(K7:O7)-P7</f>
        <v>2929.94</v>
      </c>
      <c r="R7" s="116"/>
      <c r="S7" s="164"/>
      <c r="T7" s="117">
        <v>0</v>
      </c>
      <c r="U7" s="117"/>
      <c r="V7" s="117"/>
      <c r="W7" s="117"/>
      <c r="X7" s="118"/>
      <c r="Y7" s="118"/>
      <c r="Z7" s="119"/>
      <c r="AA7" s="119">
        <v>0</v>
      </c>
      <c r="AB7" s="115">
        <f t="shared" ref="AB7:AB38" si="2">+Q7-SUM(R7:AA7)</f>
        <v>2929.94</v>
      </c>
      <c r="AC7" s="120">
        <f>IF(Q7&gt;2250,Q7*0.1,0)</f>
        <v>292.99400000000003</v>
      </c>
      <c r="AD7" s="115">
        <f t="shared" ref="AD7:AD37" si="3">+AB7-AC7</f>
        <v>2636.9459999999999</v>
      </c>
      <c r="AE7" s="121">
        <f t="shared" ref="AE7:AE37" si="4">IF(Q7&lt;3500,Q7*0.1,0)</f>
        <v>292.99400000000003</v>
      </c>
      <c r="AF7" s="120">
        <v>10.23</v>
      </c>
      <c r="AG7" s="120">
        <f t="shared" ref="AG7:AG38" si="5">+U7</f>
        <v>0</v>
      </c>
      <c r="AH7" s="122">
        <f t="shared" ref="AH7:AH38" si="6">+Q7+AE7+AF7+AG7</f>
        <v>3233.1640000000002</v>
      </c>
      <c r="AI7" s="210">
        <v>577.24</v>
      </c>
      <c r="AJ7" s="209">
        <v>2059.71</v>
      </c>
      <c r="AK7" s="194">
        <f t="shared" ref="AK7:AK72" si="7">+AI7+AJ7-AD7</f>
        <v>3.9999999999054126E-3</v>
      </c>
      <c r="AL7" s="124"/>
      <c r="AM7" s="124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193">
      <c r="A8" s="124" t="s">
        <v>71</v>
      </c>
      <c r="B8" s="110" t="s">
        <v>219</v>
      </c>
      <c r="C8" s="110" t="s">
        <v>252</v>
      </c>
      <c r="D8" s="110" t="s">
        <v>145</v>
      </c>
      <c r="E8" s="110" t="s">
        <v>74</v>
      </c>
      <c r="F8" s="110"/>
      <c r="G8" s="111"/>
      <c r="H8" s="111"/>
      <c r="I8" s="112">
        <v>1633.33</v>
      </c>
      <c r="J8" s="177"/>
      <c r="K8" s="112">
        <f t="shared" si="0"/>
        <v>1633.33</v>
      </c>
      <c r="L8" s="112"/>
      <c r="M8" s="112"/>
      <c r="N8" s="113"/>
      <c r="O8" s="113"/>
      <c r="P8" s="114"/>
      <c r="Q8" s="115">
        <f t="shared" si="1"/>
        <v>1633.33</v>
      </c>
      <c r="R8" s="116"/>
      <c r="S8" s="201">
        <v>334.75</v>
      </c>
      <c r="T8" s="117">
        <v>0</v>
      </c>
      <c r="U8" s="117"/>
      <c r="V8" s="117"/>
      <c r="W8" s="117"/>
      <c r="X8" s="118"/>
      <c r="Y8" s="118"/>
      <c r="Z8" s="119"/>
      <c r="AA8" s="119">
        <v>0</v>
      </c>
      <c r="AB8" s="115">
        <f t="shared" si="2"/>
        <v>1298.58</v>
      </c>
      <c r="AC8" s="120">
        <f t="shared" ref="AC8:AC73" si="8">IF(Q8&gt;2250,Q8*0.1,0)</f>
        <v>0</v>
      </c>
      <c r="AD8" s="115">
        <f t="shared" si="3"/>
        <v>1298.58</v>
      </c>
      <c r="AE8" s="121">
        <f t="shared" si="4"/>
        <v>163.333</v>
      </c>
      <c r="AF8" s="120">
        <v>10.23</v>
      </c>
      <c r="AG8" s="120">
        <f t="shared" si="5"/>
        <v>0</v>
      </c>
      <c r="AH8" s="122">
        <f t="shared" si="6"/>
        <v>1806.893</v>
      </c>
      <c r="AI8" s="207">
        <v>577.4</v>
      </c>
      <c r="AJ8" s="207">
        <v>721.18</v>
      </c>
      <c r="AK8" s="194">
        <f t="shared" si="7"/>
        <v>0</v>
      </c>
      <c r="AL8" s="124"/>
      <c r="AM8" s="124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>
      <c r="A9" s="124" t="s">
        <v>94</v>
      </c>
      <c r="B9" s="110" t="s">
        <v>196</v>
      </c>
      <c r="C9" s="110"/>
      <c r="D9" s="110" t="s">
        <v>126</v>
      </c>
      <c r="E9" s="110" t="s">
        <v>181</v>
      </c>
      <c r="F9" s="110"/>
      <c r="G9" s="111"/>
      <c r="H9" s="111"/>
      <c r="I9" s="112">
        <v>608.16</v>
      </c>
      <c r="J9" s="177"/>
      <c r="K9" s="112">
        <f t="shared" si="0"/>
        <v>608.16</v>
      </c>
      <c r="L9" s="112">
        <f>3846.71+2.59</f>
        <v>3849.3</v>
      </c>
      <c r="M9" s="112"/>
      <c r="N9" s="113"/>
      <c r="O9" s="113"/>
      <c r="P9" s="114"/>
      <c r="Q9" s="115">
        <f t="shared" si="1"/>
        <v>4457.46</v>
      </c>
      <c r="R9" s="116"/>
      <c r="S9" s="117"/>
      <c r="T9" s="117"/>
      <c r="U9" s="126">
        <f>Q9*4.9%</f>
        <v>218.41554000000002</v>
      </c>
      <c r="V9" s="126">
        <f>Q9*1%</f>
        <v>44.574600000000004</v>
      </c>
      <c r="W9" s="117"/>
      <c r="X9" s="118"/>
      <c r="Y9" s="118"/>
      <c r="Z9" s="119"/>
      <c r="AA9" s="119">
        <v>0</v>
      </c>
      <c r="AB9" s="115">
        <f t="shared" si="2"/>
        <v>4194.4698600000002</v>
      </c>
      <c r="AC9" s="120">
        <f t="shared" si="8"/>
        <v>445.74600000000004</v>
      </c>
      <c r="AD9" s="115">
        <f t="shared" si="3"/>
        <v>3748.7238600000001</v>
      </c>
      <c r="AE9" s="121">
        <f t="shared" si="4"/>
        <v>0</v>
      </c>
      <c r="AF9" s="120">
        <v>10.23</v>
      </c>
      <c r="AG9" s="120">
        <f t="shared" si="5"/>
        <v>218.41554000000002</v>
      </c>
      <c r="AH9" s="122">
        <f t="shared" si="6"/>
        <v>4686.1055399999996</v>
      </c>
      <c r="AI9" s="210">
        <v>577.4</v>
      </c>
      <c r="AJ9" s="209">
        <v>3171.32</v>
      </c>
      <c r="AK9" s="194">
        <f t="shared" si="7"/>
        <v>-3.8599999998041312E-3</v>
      </c>
      <c r="AL9" s="124"/>
      <c r="AM9" s="12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>
      <c r="A10" s="124" t="s">
        <v>92</v>
      </c>
      <c r="B10" s="110" t="s">
        <v>205</v>
      </c>
      <c r="C10" s="110"/>
      <c r="D10" s="110" t="s">
        <v>206</v>
      </c>
      <c r="E10" s="110" t="s">
        <v>167</v>
      </c>
      <c r="F10" s="110"/>
      <c r="G10" s="111"/>
      <c r="H10" s="111"/>
      <c r="I10" s="30"/>
      <c r="J10" s="177"/>
      <c r="K10" s="226">
        <v>633.62</v>
      </c>
      <c r="L10" s="112">
        <f>505.5+3.71</f>
        <v>509.21</v>
      </c>
      <c r="M10" s="112"/>
      <c r="N10" s="113"/>
      <c r="O10" s="113"/>
      <c r="P10" s="114"/>
      <c r="Q10" s="115">
        <f t="shared" si="1"/>
        <v>1142.83</v>
      </c>
      <c r="R10" s="116"/>
      <c r="S10" s="117"/>
      <c r="T10" s="117"/>
      <c r="U10" s="117"/>
      <c r="V10" s="117"/>
      <c r="W10" s="117"/>
      <c r="X10" s="118"/>
      <c r="Y10" s="118"/>
      <c r="Z10" s="119"/>
      <c r="AA10" s="119"/>
      <c r="AB10" s="115">
        <f t="shared" si="2"/>
        <v>1142.83</v>
      </c>
      <c r="AC10" s="120">
        <f t="shared" si="8"/>
        <v>0</v>
      </c>
      <c r="AD10" s="115">
        <f t="shared" si="3"/>
        <v>1142.83</v>
      </c>
      <c r="AE10" s="121">
        <f t="shared" si="4"/>
        <v>114.283</v>
      </c>
      <c r="AF10" s="120">
        <v>10.23</v>
      </c>
      <c r="AG10" s="120">
        <f t="shared" si="5"/>
        <v>0</v>
      </c>
      <c r="AH10" s="122">
        <f t="shared" si="6"/>
        <v>1267.3429999999998</v>
      </c>
      <c r="AI10" s="207">
        <v>577.4</v>
      </c>
      <c r="AJ10" s="207">
        <v>565.42999999999995</v>
      </c>
      <c r="AK10" s="194">
        <f t="shared" si="7"/>
        <v>0</v>
      </c>
      <c r="AL10" s="124"/>
      <c r="AM10" s="227" t="s">
        <v>352</v>
      </c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>
      <c r="A11" s="124" t="s">
        <v>71</v>
      </c>
      <c r="B11" s="110" t="s">
        <v>87</v>
      </c>
      <c r="C11" s="110" t="s">
        <v>252</v>
      </c>
      <c r="D11" s="110">
        <v>16</v>
      </c>
      <c r="E11" s="110" t="s">
        <v>74</v>
      </c>
      <c r="F11" s="110"/>
      <c r="G11" s="111"/>
      <c r="H11" s="111"/>
      <c r="I11" s="112">
        <v>1633.33</v>
      </c>
      <c r="J11" s="177"/>
      <c r="K11" s="112">
        <f t="shared" si="0"/>
        <v>1633.33</v>
      </c>
      <c r="L11" s="112"/>
      <c r="M11" s="112"/>
      <c r="N11" s="113"/>
      <c r="O11" s="113"/>
      <c r="P11" s="114"/>
      <c r="Q11" s="115">
        <f t="shared" si="1"/>
        <v>1633.33</v>
      </c>
      <c r="R11" s="116"/>
      <c r="S11" s="117"/>
      <c r="T11" s="117">
        <v>0</v>
      </c>
      <c r="U11" s="117"/>
      <c r="V11" s="117"/>
      <c r="W11" s="117"/>
      <c r="X11" s="118"/>
      <c r="Y11" s="118"/>
      <c r="Z11" s="119"/>
      <c r="AA11" s="119">
        <v>0</v>
      </c>
      <c r="AB11" s="115">
        <f t="shared" si="2"/>
        <v>1633.33</v>
      </c>
      <c r="AC11" s="120">
        <f t="shared" si="8"/>
        <v>0</v>
      </c>
      <c r="AD11" s="115">
        <f t="shared" si="3"/>
        <v>1633.33</v>
      </c>
      <c r="AE11" s="121">
        <f t="shared" si="4"/>
        <v>163.333</v>
      </c>
      <c r="AF11" s="120">
        <v>10.23</v>
      </c>
      <c r="AG11" s="120">
        <f t="shared" si="5"/>
        <v>0</v>
      </c>
      <c r="AH11" s="122">
        <f t="shared" si="6"/>
        <v>1806.893</v>
      </c>
      <c r="AI11" s="210">
        <v>577.4</v>
      </c>
      <c r="AJ11" s="209">
        <v>1055.93</v>
      </c>
      <c r="AK11" s="194">
        <f t="shared" si="7"/>
        <v>0</v>
      </c>
      <c r="AL11" s="124"/>
      <c r="AM11" s="124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84" customFormat="1">
      <c r="A12" s="124" t="s">
        <v>91</v>
      </c>
      <c r="B12" s="124" t="s">
        <v>269</v>
      </c>
      <c r="C12" s="124"/>
      <c r="D12" s="124"/>
      <c r="E12" s="124" t="s">
        <v>270</v>
      </c>
      <c r="F12" s="127">
        <v>42422</v>
      </c>
      <c r="G12" s="124"/>
      <c r="H12" s="124"/>
      <c r="I12" s="128">
        <v>608.16</v>
      </c>
      <c r="J12" s="178"/>
      <c r="K12" s="112">
        <f t="shared" si="0"/>
        <v>608.16</v>
      </c>
      <c r="L12" s="128">
        <f>1180.14+5.57</f>
        <v>1185.71</v>
      </c>
      <c r="M12" s="128"/>
      <c r="N12" s="128"/>
      <c r="O12" s="128"/>
      <c r="P12" s="114"/>
      <c r="Q12" s="115">
        <f t="shared" si="1"/>
        <v>1793.87</v>
      </c>
      <c r="R12" s="116"/>
      <c r="S12" s="117"/>
      <c r="T12" s="117">
        <v>0</v>
      </c>
      <c r="U12" s="117"/>
      <c r="V12" s="117"/>
      <c r="W12" s="117"/>
      <c r="X12" s="118"/>
      <c r="Y12" s="118"/>
      <c r="Z12" s="119"/>
      <c r="AA12" s="119">
        <v>0</v>
      </c>
      <c r="AB12" s="115">
        <f t="shared" si="2"/>
        <v>1793.87</v>
      </c>
      <c r="AC12" s="120">
        <f t="shared" si="8"/>
        <v>0</v>
      </c>
      <c r="AD12" s="115">
        <f t="shared" si="3"/>
        <v>1793.87</v>
      </c>
      <c r="AE12" s="167">
        <f t="shared" si="4"/>
        <v>179.387</v>
      </c>
      <c r="AF12" s="120">
        <v>10.23</v>
      </c>
      <c r="AG12" s="120">
        <f t="shared" si="5"/>
        <v>0</v>
      </c>
      <c r="AH12" s="122">
        <f t="shared" si="6"/>
        <v>1983.4869999999999</v>
      </c>
      <c r="AI12" s="207">
        <v>577.4</v>
      </c>
      <c r="AJ12" s="212">
        <v>1216.47</v>
      </c>
      <c r="AK12" s="194">
        <f t="shared" si="7"/>
        <v>0</v>
      </c>
      <c r="AL12" s="124">
        <v>1456104819</v>
      </c>
      <c r="AM12" s="12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39" customFormat="1">
      <c r="A13" s="124" t="s">
        <v>71</v>
      </c>
      <c r="B13" s="124" t="s">
        <v>222</v>
      </c>
      <c r="C13" s="124" t="s">
        <v>249</v>
      </c>
      <c r="D13" s="124" t="s">
        <v>146</v>
      </c>
      <c r="E13" s="124" t="s">
        <v>73</v>
      </c>
      <c r="F13" s="127">
        <v>42383</v>
      </c>
      <c r="G13" s="124"/>
      <c r="H13" s="124"/>
      <c r="I13" s="128">
        <v>513.33000000000004</v>
      </c>
      <c r="J13" s="178">
        <v>653.33000000000004</v>
      </c>
      <c r="K13" s="128">
        <f t="shared" si="0"/>
        <v>1166.6600000000001</v>
      </c>
      <c r="L13" s="128">
        <v>2729.85</v>
      </c>
      <c r="M13" s="128"/>
      <c r="N13" s="128"/>
      <c r="O13" s="128"/>
      <c r="P13" s="114"/>
      <c r="Q13" s="115">
        <f t="shared" si="1"/>
        <v>3896.51</v>
      </c>
      <c r="R13" s="116"/>
      <c r="S13" s="117"/>
      <c r="T13" s="117">
        <v>0</v>
      </c>
      <c r="U13" s="117"/>
      <c r="V13" s="117"/>
      <c r="W13" s="117"/>
      <c r="X13" s="118"/>
      <c r="Y13" s="118"/>
      <c r="Z13" s="119"/>
      <c r="AA13" s="125">
        <v>368.35</v>
      </c>
      <c r="AB13" s="115">
        <f t="shared" si="2"/>
        <v>3528.1600000000003</v>
      </c>
      <c r="AC13" s="120">
        <f t="shared" si="8"/>
        <v>389.65100000000007</v>
      </c>
      <c r="AD13" s="115">
        <f t="shared" si="3"/>
        <v>3138.509</v>
      </c>
      <c r="AE13" s="167">
        <f t="shared" si="4"/>
        <v>0</v>
      </c>
      <c r="AF13" s="120">
        <v>10.23</v>
      </c>
      <c r="AG13" s="120">
        <f t="shared" si="5"/>
        <v>0</v>
      </c>
      <c r="AH13" s="122">
        <f t="shared" si="6"/>
        <v>3906.7400000000002</v>
      </c>
      <c r="AI13" s="210">
        <v>209.05</v>
      </c>
      <c r="AJ13" s="209">
        <v>2929.46</v>
      </c>
      <c r="AK13" s="194">
        <f t="shared" si="7"/>
        <v>1.0000000002037268E-3</v>
      </c>
      <c r="AL13" s="124"/>
      <c r="AM13" s="124"/>
    </row>
    <row r="14" spans="1:193">
      <c r="A14" s="124" t="s">
        <v>70</v>
      </c>
      <c r="B14" s="124" t="s">
        <v>203</v>
      </c>
      <c r="C14" s="124" t="s">
        <v>297</v>
      </c>
      <c r="D14" s="124"/>
      <c r="E14" s="124" t="s">
        <v>173</v>
      </c>
      <c r="F14" s="127">
        <v>42417</v>
      </c>
      <c r="G14" s="124"/>
      <c r="H14" s="124"/>
      <c r="I14" s="128">
        <v>513.33000000000004</v>
      </c>
      <c r="J14" s="178">
        <v>653.33000000000004</v>
      </c>
      <c r="K14" s="128">
        <f t="shared" si="0"/>
        <v>1166.6600000000001</v>
      </c>
      <c r="L14" s="128"/>
      <c r="M14" s="128"/>
      <c r="N14" s="128"/>
      <c r="O14" s="128"/>
      <c r="P14" s="114"/>
      <c r="Q14" s="115">
        <f t="shared" si="1"/>
        <v>1166.6600000000001</v>
      </c>
      <c r="R14" s="116"/>
      <c r="S14" s="117"/>
      <c r="T14" s="117">
        <v>0</v>
      </c>
      <c r="U14" s="117"/>
      <c r="V14" s="117"/>
      <c r="W14" s="117"/>
      <c r="X14" s="131">
        <v>114.82</v>
      </c>
      <c r="Y14" s="118"/>
      <c r="Z14" s="119"/>
      <c r="AA14" s="119">
        <v>0</v>
      </c>
      <c r="AB14" s="115">
        <f t="shared" si="2"/>
        <v>1051.8400000000001</v>
      </c>
      <c r="AC14" s="120">
        <f t="shared" si="8"/>
        <v>0</v>
      </c>
      <c r="AD14" s="115">
        <f t="shared" si="3"/>
        <v>1051.8400000000001</v>
      </c>
      <c r="AE14" s="121">
        <f t="shared" si="4"/>
        <v>116.66600000000001</v>
      </c>
      <c r="AF14" s="120">
        <v>10.23</v>
      </c>
      <c r="AG14" s="120">
        <f t="shared" si="5"/>
        <v>0</v>
      </c>
      <c r="AH14" s="122">
        <f t="shared" si="6"/>
        <v>1293.556</v>
      </c>
      <c r="AI14" s="207">
        <v>462.58</v>
      </c>
      <c r="AJ14" s="207">
        <v>589.26</v>
      </c>
      <c r="AK14" s="194">
        <f t="shared" si="7"/>
        <v>0</v>
      </c>
      <c r="AL14" s="124"/>
      <c r="AM14" s="124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>
      <c r="A15" s="124" t="s">
        <v>94</v>
      </c>
      <c r="B15" s="124" t="s">
        <v>328</v>
      </c>
      <c r="C15" s="124"/>
      <c r="D15" s="110" t="s">
        <v>127</v>
      </c>
      <c r="E15" s="110" t="s">
        <v>174</v>
      </c>
      <c r="F15" s="110"/>
      <c r="G15" s="111"/>
      <c r="H15" s="111"/>
      <c r="I15" s="112">
        <v>623.36</v>
      </c>
      <c r="J15" s="177"/>
      <c r="K15" s="128">
        <f t="shared" si="0"/>
        <v>623.36</v>
      </c>
      <c r="L15" s="112">
        <f>2011.06+5.57-2016.63</f>
        <v>0</v>
      </c>
      <c r="M15" s="112"/>
      <c r="N15" s="113"/>
      <c r="O15" s="113"/>
      <c r="P15" s="114"/>
      <c r="Q15" s="115">
        <f t="shared" si="1"/>
        <v>623.36</v>
      </c>
      <c r="R15" s="116"/>
      <c r="S15" s="117"/>
      <c r="T15" s="126">
        <v>250</v>
      </c>
      <c r="U15" s="126">
        <f>Q15*4.9%</f>
        <v>30.544640000000001</v>
      </c>
      <c r="V15" s="126">
        <f>Q15*1%</f>
        <v>6.2336</v>
      </c>
      <c r="W15" s="117"/>
      <c r="X15" s="118"/>
      <c r="Y15" s="118"/>
      <c r="Z15" s="119"/>
      <c r="AA15" s="119">
        <v>0</v>
      </c>
      <c r="AB15" s="115">
        <f t="shared" si="2"/>
        <v>336.58175999999997</v>
      </c>
      <c r="AC15" s="120">
        <f t="shared" si="8"/>
        <v>0</v>
      </c>
      <c r="AD15" s="115">
        <f t="shared" si="3"/>
        <v>336.58175999999997</v>
      </c>
      <c r="AE15" s="121">
        <f t="shared" si="4"/>
        <v>62.336000000000006</v>
      </c>
      <c r="AF15" s="120">
        <v>10.23</v>
      </c>
      <c r="AG15" s="120">
        <f t="shared" si="5"/>
        <v>30.544640000000001</v>
      </c>
      <c r="AH15" s="122">
        <f t="shared" si="6"/>
        <v>726.47064</v>
      </c>
      <c r="AI15" s="208">
        <v>271.83</v>
      </c>
      <c r="AJ15" s="210">
        <v>64.75</v>
      </c>
      <c r="AK15" s="194">
        <f t="shared" si="7"/>
        <v>-1.7599999999902138E-3</v>
      </c>
      <c r="AL15" s="124"/>
      <c r="AM15" s="12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 s="39" customFormat="1">
      <c r="A16" s="124" t="s">
        <v>71</v>
      </c>
      <c r="B16" s="124" t="s">
        <v>316</v>
      </c>
      <c r="C16" s="124"/>
      <c r="D16" s="124"/>
      <c r="E16" s="124" t="s">
        <v>73</v>
      </c>
      <c r="F16" s="127">
        <v>42466</v>
      </c>
      <c r="G16" s="124"/>
      <c r="H16" s="124"/>
      <c r="I16" s="128">
        <v>513.33000000000004</v>
      </c>
      <c r="J16" s="178">
        <v>653.33000000000004</v>
      </c>
      <c r="K16" s="128">
        <f t="shared" si="0"/>
        <v>1166.6600000000001</v>
      </c>
      <c r="L16" s="128">
        <v>3367</v>
      </c>
      <c r="M16" s="128"/>
      <c r="N16" s="128"/>
      <c r="O16" s="128"/>
      <c r="P16" s="114"/>
      <c r="Q16" s="115">
        <f t="shared" si="1"/>
        <v>4533.66</v>
      </c>
      <c r="R16" s="116"/>
      <c r="S16" s="117"/>
      <c r="T16" s="164"/>
      <c r="U16" s="164"/>
      <c r="V16" s="164"/>
      <c r="W16" s="164"/>
      <c r="X16" s="165"/>
      <c r="Y16" s="165"/>
      <c r="Z16" s="149"/>
      <c r="AA16" s="149">
        <v>0</v>
      </c>
      <c r="AB16" s="115">
        <f t="shared" si="2"/>
        <v>4533.66</v>
      </c>
      <c r="AC16" s="120">
        <f t="shared" si="8"/>
        <v>453.36599999999999</v>
      </c>
      <c r="AD16" s="115">
        <f t="shared" si="3"/>
        <v>4080.2939999999999</v>
      </c>
      <c r="AE16" s="121">
        <f t="shared" ref="AE16" si="9">IF(Q16&lt;3500,Q16*0.1,0)</f>
        <v>0</v>
      </c>
      <c r="AF16" s="120">
        <v>10.23</v>
      </c>
      <c r="AG16" s="120">
        <f t="shared" ref="AG16" si="10">+U16</f>
        <v>0</v>
      </c>
      <c r="AH16" s="122">
        <f t="shared" si="6"/>
        <v>4543.8899999999994</v>
      </c>
      <c r="AI16" s="208">
        <v>577.4</v>
      </c>
      <c r="AJ16" s="211">
        <v>3502.89</v>
      </c>
      <c r="AK16" s="194">
        <f t="shared" si="7"/>
        <v>-3.9999999999054126E-3</v>
      </c>
      <c r="AL16" s="124">
        <v>2899146091</v>
      </c>
      <c r="AM16" s="129"/>
    </row>
    <row r="17" spans="1:193">
      <c r="A17" s="124" t="s">
        <v>69</v>
      </c>
      <c r="B17" s="110" t="s">
        <v>331</v>
      </c>
      <c r="C17" s="110"/>
      <c r="D17" s="110" t="s">
        <v>111</v>
      </c>
      <c r="E17" s="110" t="s">
        <v>169</v>
      </c>
      <c r="F17" s="110"/>
      <c r="G17" s="111"/>
      <c r="H17" s="111"/>
      <c r="I17" s="112">
        <v>933.33</v>
      </c>
      <c r="J17" s="177"/>
      <c r="K17" s="112">
        <f t="shared" si="0"/>
        <v>933.33</v>
      </c>
      <c r="L17" s="112">
        <v>550</v>
      </c>
      <c r="M17" s="112"/>
      <c r="N17" s="113"/>
      <c r="O17" s="113"/>
      <c r="P17" s="114"/>
      <c r="Q17" s="115">
        <f t="shared" si="1"/>
        <v>1483.33</v>
      </c>
      <c r="R17" s="116"/>
      <c r="S17" s="117">
        <v>58.91</v>
      </c>
      <c r="T17" s="117">
        <v>0</v>
      </c>
      <c r="U17" s="117"/>
      <c r="V17" s="117"/>
      <c r="W17" s="117"/>
      <c r="X17" s="118"/>
      <c r="Y17" s="118"/>
      <c r="Z17" s="130"/>
      <c r="AA17" s="119">
        <v>0</v>
      </c>
      <c r="AB17" s="115">
        <f t="shared" si="2"/>
        <v>1424.4199999999998</v>
      </c>
      <c r="AC17" s="120">
        <f t="shared" si="8"/>
        <v>0</v>
      </c>
      <c r="AD17" s="115">
        <f t="shared" si="3"/>
        <v>1424.4199999999998</v>
      </c>
      <c r="AE17" s="121">
        <f t="shared" si="4"/>
        <v>148.333</v>
      </c>
      <c r="AF17" s="120">
        <v>10.23</v>
      </c>
      <c r="AG17" s="120">
        <f t="shared" si="5"/>
        <v>0</v>
      </c>
      <c r="AH17" s="122">
        <f t="shared" si="6"/>
        <v>1641.893</v>
      </c>
      <c r="AI17" s="208">
        <v>577.4</v>
      </c>
      <c r="AJ17" s="208">
        <v>847.02</v>
      </c>
      <c r="AK17" s="194">
        <f t="shared" si="7"/>
        <v>0</v>
      </c>
      <c r="AL17" s="124"/>
      <c r="AM17" s="124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 s="39" customFormat="1" ht="15" customHeight="1">
      <c r="A18" s="124" t="s">
        <v>71</v>
      </c>
      <c r="B18" s="124" t="s">
        <v>261</v>
      </c>
      <c r="C18" s="124" t="s">
        <v>251</v>
      </c>
      <c r="D18" s="124" t="s">
        <v>147</v>
      </c>
      <c r="E18" s="124" t="s">
        <v>73</v>
      </c>
      <c r="F18" s="127">
        <v>41831</v>
      </c>
      <c r="G18" s="124"/>
      <c r="H18" s="124"/>
      <c r="I18" s="128">
        <v>513.33000000000004</v>
      </c>
      <c r="J18" s="179">
        <v>653.33000000000004</v>
      </c>
      <c r="K18" s="128">
        <f t="shared" si="0"/>
        <v>1166.6600000000001</v>
      </c>
      <c r="L18" s="128">
        <v>2439.02</v>
      </c>
      <c r="M18" s="128"/>
      <c r="N18" s="128"/>
      <c r="O18" s="128"/>
      <c r="P18" s="114"/>
      <c r="Q18" s="115">
        <f t="shared" si="1"/>
        <v>3605.6800000000003</v>
      </c>
      <c r="R18" s="116"/>
      <c r="S18" s="164">
        <v>58.91</v>
      </c>
      <c r="T18" s="126"/>
      <c r="U18" s="164"/>
      <c r="V18" s="164"/>
      <c r="W18" s="164"/>
      <c r="X18" s="165"/>
      <c r="Y18" s="131">
        <v>167.44</v>
      </c>
      <c r="Z18" s="149"/>
      <c r="AA18" s="168">
        <f>940.31+698.46</f>
        <v>1638.77</v>
      </c>
      <c r="AB18" s="115">
        <f t="shared" si="2"/>
        <v>1740.5600000000004</v>
      </c>
      <c r="AC18" s="120">
        <f t="shared" si="8"/>
        <v>360.56800000000004</v>
      </c>
      <c r="AD18" s="115">
        <f t="shared" si="3"/>
        <v>1379.9920000000004</v>
      </c>
      <c r="AE18" s="121">
        <f t="shared" si="4"/>
        <v>0</v>
      </c>
      <c r="AF18" s="120">
        <v>10.23</v>
      </c>
      <c r="AG18" s="120">
        <f t="shared" si="5"/>
        <v>0</v>
      </c>
      <c r="AH18" s="122">
        <f t="shared" si="6"/>
        <v>3615.9100000000003</v>
      </c>
      <c r="AI18" s="208">
        <v>409.96</v>
      </c>
      <c r="AJ18" s="207">
        <v>970.03</v>
      </c>
      <c r="AK18" s="194">
        <f t="shared" si="7"/>
        <v>-2.0000000004074536E-3</v>
      </c>
      <c r="AL18" s="124"/>
      <c r="AM18" s="124"/>
    </row>
    <row r="19" spans="1:193">
      <c r="A19" s="124" t="s">
        <v>94</v>
      </c>
      <c r="B19" s="110" t="s">
        <v>198</v>
      </c>
      <c r="C19" s="110"/>
      <c r="D19" s="110" t="s">
        <v>128</v>
      </c>
      <c r="E19" s="110" t="s">
        <v>162</v>
      </c>
      <c r="F19" s="110"/>
      <c r="G19" s="111"/>
      <c r="H19" s="111"/>
      <c r="I19" s="112">
        <v>511.28</v>
      </c>
      <c r="J19" s="177"/>
      <c r="K19" s="112">
        <f t="shared" si="0"/>
        <v>511.28</v>
      </c>
      <c r="L19" s="112">
        <f>2296.2+7.42</f>
        <v>2303.62</v>
      </c>
      <c r="M19" s="112"/>
      <c r="N19" s="113"/>
      <c r="O19" s="113"/>
      <c r="P19" s="114"/>
      <c r="Q19" s="115">
        <f t="shared" si="1"/>
        <v>2814.8999999999996</v>
      </c>
      <c r="R19" s="116"/>
      <c r="S19" s="117"/>
      <c r="T19" s="126">
        <v>700</v>
      </c>
      <c r="U19" s="126">
        <f>Q19*4.9%</f>
        <v>137.93009999999998</v>
      </c>
      <c r="V19" s="126">
        <f>Q19*1%</f>
        <v>28.148999999999997</v>
      </c>
      <c r="W19" s="117"/>
      <c r="X19" s="118"/>
      <c r="Y19" s="118"/>
      <c r="Z19" s="119"/>
      <c r="AA19" s="119">
        <v>0</v>
      </c>
      <c r="AB19" s="115">
        <f t="shared" si="2"/>
        <v>1948.8208999999997</v>
      </c>
      <c r="AC19" s="120">
        <f t="shared" si="8"/>
        <v>281.48999999999995</v>
      </c>
      <c r="AD19" s="115">
        <f t="shared" si="3"/>
        <v>1667.3308999999997</v>
      </c>
      <c r="AE19" s="121">
        <f t="shared" si="4"/>
        <v>281.48999999999995</v>
      </c>
      <c r="AF19" s="120">
        <v>10.23</v>
      </c>
      <c r="AG19" s="120">
        <f t="shared" si="5"/>
        <v>137.93009999999998</v>
      </c>
      <c r="AH19" s="122">
        <f t="shared" si="6"/>
        <v>3244.5500999999995</v>
      </c>
      <c r="AI19" s="210">
        <v>577.4</v>
      </c>
      <c r="AJ19" s="209">
        <v>1089.93</v>
      </c>
      <c r="AK19" s="194">
        <f t="shared" si="7"/>
        <v>-8.9999999977408152E-4</v>
      </c>
      <c r="AL19" s="124"/>
      <c r="AM19" s="124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</row>
    <row r="20" spans="1:193">
      <c r="A20" s="124" t="s">
        <v>71</v>
      </c>
      <c r="B20" s="110" t="s">
        <v>267</v>
      </c>
      <c r="C20" s="110" t="s">
        <v>252</v>
      </c>
      <c r="D20" s="110">
        <v>18</v>
      </c>
      <c r="E20" s="110" t="s">
        <v>74</v>
      </c>
      <c r="F20" s="110"/>
      <c r="G20" s="111"/>
      <c r="H20" s="111"/>
      <c r="I20" s="112">
        <v>1633.33</v>
      </c>
      <c r="J20" s="177"/>
      <c r="K20" s="112">
        <f t="shared" si="0"/>
        <v>1633.33</v>
      </c>
      <c r="L20" s="112"/>
      <c r="M20" s="112"/>
      <c r="N20" s="113"/>
      <c r="O20" s="113"/>
      <c r="P20" s="114"/>
      <c r="Q20" s="115">
        <f t="shared" si="1"/>
        <v>1633.33</v>
      </c>
      <c r="R20" s="116"/>
      <c r="S20" s="117"/>
      <c r="T20" s="126">
        <v>700</v>
      </c>
      <c r="U20" s="117"/>
      <c r="V20" s="117"/>
      <c r="W20" s="117"/>
      <c r="X20" s="118"/>
      <c r="Y20" s="118"/>
      <c r="Z20" s="125">
        <v>205.7</v>
      </c>
      <c r="AA20" s="119">
        <v>0</v>
      </c>
      <c r="AB20" s="115">
        <f t="shared" si="2"/>
        <v>727.62999999999988</v>
      </c>
      <c r="AC20" s="120">
        <f t="shared" si="8"/>
        <v>0</v>
      </c>
      <c r="AD20" s="115">
        <f t="shared" si="3"/>
        <v>727.62999999999988</v>
      </c>
      <c r="AE20" s="121">
        <f t="shared" si="4"/>
        <v>163.333</v>
      </c>
      <c r="AF20" s="120">
        <v>10.23</v>
      </c>
      <c r="AG20" s="120">
        <f t="shared" si="5"/>
        <v>0</v>
      </c>
      <c r="AH20" s="122">
        <f t="shared" si="6"/>
        <v>1806.893</v>
      </c>
      <c r="AI20" s="207">
        <v>577.4</v>
      </c>
      <c r="AJ20" s="207">
        <v>150.22999999999999</v>
      </c>
      <c r="AK20" s="194">
        <f t="shared" si="7"/>
        <v>0</v>
      </c>
      <c r="AL20" s="124"/>
      <c r="AM20" s="124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>
      <c r="A21" s="124" t="s">
        <v>94</v>
      </c>
      <c r="B21" s="110" t="s">
        <v>268</v>
      </c>
      <c r="C21" s="110"/>
      <c r="D21" s="110" t="s">
        <v>129</v>
      </c>
      <c r="E21" s="110" t="s">
        <v>175</v>
      </c>
      <c r="F21" s="110"/>
      <c r="G21" s="111"/>
      <c r="H21" s="111"/>
      <c r="I21" s="112">
        <v>1100</v>
      </c>
      <c r="J21" s="177"/>
      <c r="K21" s="112">
        <f t="shared" si="0"/>
        <v>1100</v>
      </c>
      <c r="L21" s="112">
        <v>698.1</v>
      </c>
      <c r="M21" s="112"/>
      <c r="N21" s="113"/>
      <c r="O21" s="113"/>
      <c r="P21" s="114"/>
      <c r="Q21" s="115">
        <f t="shared" si="1"/>
        <v>1798.1</v>
      </c>
      <c r="R21" s="116"/>
      <c r="S21" s="117"/>
      <c r="T21" s="126">
        <f>+Q21*1%</f>
        <v>17.980999999999998</v>
      </c>
      <c r="U21" s="126">
        <f>+Q21*4.9%</f>
        <v>88.106899999999996</v>
      </c>
      <c r="V21" s="117"/>
      <c r="W21" s="117"/>
      <c r="X21" s="118"/>
      <c r="Y21" s="118"/>
      <c r="Z21" s="119"/>
      <c r="AA21" s="119">
        <v>0</v>
      </c>
      <c r="AB21" s="115">
        <f t="shared" si="2"/>
        <v>1692.0120999999999</v>
      </c>
      <c r="AC21" s="120">
        <f t="shared" si="8"/>
        <v>0</v>
      </c>
      <c r="AD21" s="115">
        <f t="shared" si="3"/>
        <v>1692.0120999999999</v>
      </c>
      <c r="AE21" s="121">
        <f t="shared" si="4"/>
        <v>179.81</v>
      </c>
      <c r="AF21" s="120">
        <v>10.23</v>
      </c>
      <c r="AG21" s="120">
        <f t="shared" si="5"/>
        <v>88.106899999999996</v>
      </c>
      <c r="AH21" s="122">
        <f t="shared" si="6"/>
        <v>2076.2469000000001</v>
      </c>
      <c r="AI21" s="208">
        <v>577.4</v>
      </c>
      <c r="AJ21" s="209">
        <v>1114.6099999999999</v>
      </c>
      <c r="AK21" s="194">
        <f t="shared" si="7"/>
        <v>-2.1000000001549779E-3</v>
      </c>
      <c r="AL21" s="124"/>
      <c r="AM21" s="124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>
      <c r="A22" s="124" t="s">
        <v>70</v>
      </c>
      <c r="B22" s="110" t="s">
        <v>245</v>
      </c>
      <c r="C22" s="124" t="s">
        <v>297</v>
      </c>
      <c r="D22" s="110" t="s">
        <v>122</v>
      </c>
      <c r="E22" s="124" t="s">
        <v>173</v>
      </c>
      <c r="F22" s="132">
        <v>42432</v>
      </c>
      <c r="G22" s="111"/>
      <c r="H22" s="111"/>
      <c r="I22" s="112">
        <v>513.33000000000004</v>
      </c>
      <c r="J22" s="178">
        <v>653.33000000000004</v>
      </c>
      <c r="K22" s="112">
        <f t="shared" si="0"/>
        <v>1166.6600000000001</v>
      </c>
      <c r="L22" s="112"/>
      <c r="M22" s="112"/>
      <c r="N22" s="113"/>
      <c r="O22" s="113"/>
      <c r="P22" s="114"/>
      <c r="Q22" s="115">
        <f t="shared" si="1"/>
        <v>1166.6600000000001</v>
      </c>
      <c r="R22" s="116"/>
      <c r="S22" s="117"/>
      <c r="T22" s="117">
        <v>0</v>
      </c>
      <c r="U22" s="117"/>
      <c r="V22" s="117"/>
      <c r="W22" s="117"/>
      <c r="X22" s="118"/>
      <c r="Y22" s="118"/>
      <c r="Z22" s="119"/>
      <c r="AA22" s="125">
        <f>566.61+98.41</f>
        <v>665.02</v>
      </c>
      <c r="AB22" s="115">
        <f t="shared" si="2"/>
        <v>501.6400000000001</v>
      </c>
      <c r="AC22" s="120">
        <f t="shared" si="8"/>
        <v>0</v>
      </c>
      <c r="AD22" s="115">
        <f t="shared" si="3"/>
        <v>501.6400000000001</v>
      </c>
      <c r="AE22" s="121">
        <f t="shared" si="4"/>
        <v>116.66600000000001</v>
      </c>
      <c r="AF22" s="120">
        <v>10.23</v>
      </c>
      <c r="AG22" s="120">
        <f t="shared" si="5"/>
        <v>0</v>
      </c>
      <c r="AH22" s="122">
        <f t="shared" si="6"/>
        <v>1293.556</v>
      </c>
      <c r="AI22" s="208">
        <v>271.83</v>
      </c>
      <c r="AJ22" s="208">
        <v>229.81</v>
      </c>
      <c r="AK22" s="194">
        <f t="shared" si="7"/>
        <v>0</v>
      </c>
      <c r="AL22" s="124"/>
      <c r="AM22" s="124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>
      <c r="A23" s="124" t="s">
        <v>71</v>
      </c>
      <c r="B23" s="124" t="s">
        <v>294</v>
      </c>
      <c r="C23" s="124" t="s">
        <v>254</v>
      </c>
      <c r="D23" s="124"/>
      <c r="E23" s="124" t="s">
        <v>73</v>
      </c>
      <c r="F23" s="127">
        <v>42437</v>
      </c>
      <c r="G23" s="124"/>
      <c r="H23" s="124"/>
      <c r="I23" s="112">
        <v>513.33000000000004</v>
      </c>
      <c r="J23" s="177">
        <v>653.33000000000004</v>
      </c>
      <c r="K23" s="128">
        <f t="shared" si="0"/>
        <v>1166.6600000000001</v>
      </c>
      <c r="L23" s="128"/>
      <c r="M23" s="128"/>
      <c r="N23" s="128"/>
      <c r="O23" s="128"/>
      <c r="P23" s="114"/>
      <c r="Q23" s="115">
        <f t="shared" si="1"/>
        <v>1166.6600000000001</v>
      </c>
      <c r="R23" s="116"/>
      <c r="S23" s="117"/>
      <c r="T23" s="117">
        <v>0</v>
      </c>
      <c r="U23" s="117"/>
      <c r="V23" s="117"/>
      <c r="W23" s="117"/>
      <c r="X23" s="118"/>
      <c r="Y23" s="118"/>
      <c r="Z23" s="119"/>
      <c r="AA23" s="119">
        <v>0</v>
      </c>
      <c r="AB23" s="115">
        <f t="shared" si="2"/>
        <v>1166.6600000000001</v>
      </c>
      <c r="AC23" s="120">
        <f t="shared" si="8"/>
        <v>0</v>
      </c>
      <c r="AD23" s="115">
        <f t="shared" si="3"/>
        <v>1166.6600000000001</v>
      </c>
      <c r="AE23" s="121">
        <f t="shared" si="4"/>
        <v>116.66600000000001</v>
      </c>
      <c r="AF23" s="120">
        <v>10.23</v>
      </c>
      <c r="AG23" s="120">
        <f t="shared" si="5"/>
        <v>0</v>
      </c>
      <c r="AH23" s="122">
        <f t="shared" si="6"/>
        <v>1293.556</v>
      </c>
      <c r="AI23" s="210">
        <v>577.4</v>
      </c>
      <c r="AJ23" s="208">
        <v>589.26</v>
      </c>
      <c r="AK23" s="194">
        <f t="shared" si="7"/>
        <v>0</v>
      </c>
      <c r="AL23" s="124"/>
      <c r="AM23" s="12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>
      <c r="A24" s="124" t="s">
        <v>92</v>
      </c>
      <c r="B24" s="110" t="s">
        <v>209</v>
      </c>
      <c r="C24" s="110"/>
      <c r="D24" s="110" t="s">
        <v>100</v>
      </c>
      <c r="E24" s="110" t="s">
        <v>161</v>
      </c>
      <c r="F24" s="110"/>
      <c r="G24" s="110"/>
      <c r="H24" s="110"/>
      <c r="I24" s="128"/>
      <c r="J24" s="180"/>
      <c r="K24" s="226">
        <v>633.62</v>
      </c>
      <c r="L24" s="112">
        <f>2218.46+13.09</f>
        <v>2231.5500000000002</v>
      </c>
      <c r="M24" s="112"/>
      <c r="N24" s="112"/>
      <c r="O24" s="112"/>
      <c r="P24" s="114"/>
      <c r="Q24" s="115">
        <f t="shared" si="1"/>
        <v>2865.17</v>
      </c>
      <c r="R24" s="116"/>
      <c r="S24" s="117"/>
      <c r="T24" s="117">
        <v>0</v>
      </c>
      <c r="U24" s="117"/>
      <c r="V24" s="117"/>
      <c r="W24" s="117"/>
      <c r="X24" s="118"/>
      <c r="Y24" s="118"/>
      <c r="Z24" s="119"/>
      <c r="AA24" s="119">
        <v>0</v>
      </c>
      <c r="AB24" s="115">
        <f t="shared" si="2"/>
        <v>2865.17</v>
      </c>
      <c r="AC24" s="120">
        <f t="shared" si="8"/>
        <v>286.517</v>
      </c>
      <c r="AD24" s="115">
        <f t="shared" si="3"/>
        <v>2578.6530000000002</v>
      </c>
      <c r="AE24" s="121">
        <f t="shared" si="4"/>
        <v>286.517</v>
      </c>
      <c r="AF24" s="120">
        <v>10.23</v>
      </c>
      <c r="AG24" s="120">
        <f t="shared" si="5"/>
        <v>0</v>
      </c>
      <c r="AH24" s="122">
        <f t="shared" si="6"/>
        <v>3161.9169999999999</v>
      </c>
      <c r="AI24" s="207">
        <v>577.4</v>
      </c>
      <c r="AJ24" s="212">
        <v>2001.25</v>
      </c>
      <c r="AK24" s="194">
        <f t="shared" si="7"/>
        <v>-3.0000000001564331E-3</v>
      </c>
      <c r="AL24" s="124"/>
      <c r="AM24" s="227" t="s">
        <v>352</v>
      </c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 s="40" customFormat="1">
      <c r="A25" s="124" t="s">
        <v>70</v>
      </c>
      <c r="B25" s="110" t="s">
        <v>318</v>
      </c>
      <c r="C25" s="124" t="s">
        <v>297</v>
      </c>
      <c r="D25" s="110" t="s">
        <v>121</v>
      </c>
      <c r="E25" s="110" t="s">
        <v>173</v>
      </c>
      <c r="F25" s="132">
        <v>42304</v>
      </c>
      <c r="G25" s="111"/>
      <c r="H25" s="111"/>
      <c r="I25" s="112">
        <v>513.33000000000004</v>
      </c>
      <c r="J25" s="178">
        <v>653.33000000000004</v>
      </c>
      <c r="K25" s="112">
        <f t="shared" si="0"/>
        <v>1166.6600000000001</v>
      </c>
      <c r="L25" s="128"/>
      <c r="M25" s="112"/>
      <c r="N25" s="113"/>
      <c r="O25" s="113"/>
      <c r="P25" s="114"/>
      <c r="Q25" s="115">
        <f t="shared" si="1"/>
        <v>1166.6600000000001</v>
      </c>
      <c r="R25" s="116"/>
      <c r="S25" s="117"/>
      <c r="T25" s="117">
        <v>0</v>
      </c>
      <c r="U25" s="117"/>
      <c r="V25" s="117"/>
      <c r="W25" s="117"/>
      <c r="X25" s="118"/>
      <c r="Y25" s="118"/>
      <c r="Z25" s="119"/>
      <c r="AA25" s="119">
        <v>0</v>
      </c>
      <c r="AB25" s="115">
        <f t="shared" si="2"/>
        <v>1166.6600000000001</v>
      </c>
      <c r="AC25" s="120">
        <f t="shared" si="8"/>
        <v>0</v>
      </c>
      <c r="AD25" s="115">
        <f t="shared" si="3"/>
        <v>1166.6600000000001</v>
      </c>
      <c r="AE25" s="121">
        <f t="shared" si="4"/>
        <v>116.66600000000001</v>
      </c>
      <c r="AF25" s="120">
        <v>10.23</v>
      </c>
      <c r="AG25" s="120">
        <f t="shared" si="5"/>
        <v>0</v>
      </c>
      <c r="AH25" s="122">
        <f t="shared" si="6"/>
        <v>1293.556</v>
      </c>
      <c r="AI25" s="210">
        <v>577.4</v>
      </c>
      <c r="AJ25" s="210">
        <v>589.26</v>
      </c>
      <c r="AK25" s="194">
        <f t="shared" si="7"/>
        <v>0</v>
      </c>
      <c r="AL25" s="124"/>
      <c r="AM25" s="124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 s="39" customFormat="1">
      <c r="A26" s="124" t="s">
        <v>92</v>
      </c>
      <c r="B26" s="110" t="s">
        <v>321</v>
      </c>
      <c r="C26" s="110"/>
      <c r="D26" s="110" t="s">
        <v>114</v>
      </c>
      <c r="E26" s="110" t="s">
        <v>167</v>
      </c>
      <c r="F26" s="110"/>
      <c r="G26" s="110"/>
      <c r="H26" s="110"/>
      <c r="I26" s="112">
        <v>1100</v>
      </c>
      <c r="J26" s="180"/>
      <c r="K26" s="112">
        <f t="shared" si="0"/>
        <v>1100</v>
      </c>
      <c r="L26" s="112">
        <f>1361.7+5.57</f>
        <v>1367.27</v>
      </c>
      <c r="M26" s="112"/>
      <c r="N26" s="112"/>
      <c r="O26" s="112"/>
      <c r="P26" s="114"/>
      <c r="Q26" s="115">
        <f t="shared" si="1"/>
        <v>2467.27</v>
      </c>
      <c r="R26" s="116"/>
      <c r="S26" s="117"/>
      <c r="T26" s="117">
        <v>0</v>
      </c>
      <c r="U26" s="117"/>
      <c r="V26" s="117"/>
      <c r="W26" s="117"/>
      <c r="X26" s="118"/>
      <c r="Y26" s="118"/>
      <c r="Z26" s="119"/>
      <c r="AA26" s="119">
        <v>0</v>
      </c>
      <c r="AB26" s="115">
        <f t="shared" si="2"/>
        <v>2467.27</v>
      </c>
      <c r="AC26" s="120">
        <f t="shared" si="8"/>
        <v>246.727</v>
      </c>
      <c r="AD26" s="115">
        <f t="shared" si="3"/>
        <v>2220.5430000000001</v>
      </c>
      <c r="AE26" s="121">
        <f t="shared" si="4"/>
        <v>246.727</v>
      </c>
      <c r="AF26" s="120">
        <v>10.23</v>
      </c>
      <c r="AG26" s="120">
        <f t="shared" si="5"/>
        <v>0</v>
      </c>
      <c r="AH26" s="122">
        <f t="shared" si="6"/>
        <v>2724.2269999999999</v>
      </c>
      <c r="AI26" s="207">
        <v>577.4</v>
      </c>
      <c r="AJ26" s="212">
        <v>1643.14</v>
      </c>
      <c r="AK26" s="194">
        <f t="shared" si="7"/>
        <v>-3.0000000001564331E-3</v>
      </c>
      <c r="AL26" s="124"/>
      <c r="AM26" s="129"/>
    </row>
    <row r="27" spans="1:193">
      <c r="A27" s="124" t="s">
        <v>69</v>
      </c>
      <c r="B27" s="110" t="s">
        <v>227</v>
      </c>
      <c r="C27" s="110"/>
      <c r="D27" s="110" t="s">
        <v>112</v>
      </c>
      <c r="E27" s="110" t="s">
        <v>169</v>
      </c>
      <c r="F27" s="110"/>
      <c r="G27" s="110"/>
      <c r="H27" s="110"/>
      <c r="I27" s="112">
        <v>933.33</v>
      </c>
      <c r="J27" s="180"/>
      <c r="K27" s="112">
        <f t="shared" si="0"/>
        <v>933.33</v>
      </c>
      <c r="L27" s="112">
        <v>550</v>
      </c>
      <c r="M27" s="112"/>
      <c r="N27" s="112"/>
      <c r="O27" s="112"/>
      <c r="P27" s="114"/>
      <c r="Q27" s="115">
        <f t="shared" si="1"/>
        <v>1483.33</v>
      </c>
      <c r="R27" s="116"/>
      <c r="S27" s="117">
        <v>58.91</v>
      </c>
      <c r="T27" s="117">
        <v>0</v>
      </c>
      <c r="U27" s="117"/>
      <c r="V27" s="117"/>
      <c r="W27" s="117"/>
      <c r="X27" s="118"/>
      <c r="Y27" s="118"/>
      <c r="Z27" s="119"/>
      <c r="AA27" s="119">
        <v>0</v>
      </c>
      <c r="AB27" s="115">
        <f t="shared" si="2"/>
        <v>1424.4199999999998</v>
      </c>
      <c r="AC27" s="120">
        <f t="shared" si="8"/>
        <v>0</v>
      </c>
      <c r="AD27" s="115">
        <f t="shared" si="3"/>
        <v>1424.4199999999998</v>
      </c>
      <c r="AE27" s="121">
        <f t="shared" si="4"/>
        <v>148.333</v>
      </c>
      <c r="AF27" s="120">
        <v>10.23</v>
      </c>
      <c r="AG27" s="120">
        <f t="shared" si="5"/>
        <v>0</v>
      </c>
      <c r="AH27" s="122">
        <f t="shared" si="6"/>
        <v>1641.893</v>
      </c>
      <c r="AI27" s="210">
        <v>577.4</v>
      </c>
      <c r="AJ27" s="210">
        <v>847.02</v>
      </c>
      <c r="AK27" s="194">
        <f t="shared" si="7"/>
        <v>0</v>
      </c>
      <c r="AL27" s="124"/>
      <c r="AM27" s="124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</row>
    <row r="28" spans="1:193">
      <c r="A28" s="124" t="s">
        <v>253</v>
      </c>
      <c r="B28" s="110" t="s">
        <v>207</v>
      </c>
      <c r="C28" s="110"/>
      <c r="D28" s="110" t="s">
        <v>115</v>
      </c>
      <c r="E28" s="110" t="s">
        <v>171</v>
      </c>
      <c r="F28" s="132">
        <v>42205</v>
      </c>
      <c r="G28" s="110"/>
      <c r="H28" s="133"/>
      <c r="I28" s="112">
        <v>577.38</v>
      </c>
      <c r="J28" s="181">
        <v>1047.6199999999999</v>
      </c>
      <c r="K28" s="112">
        <f t="shared" si="0"/>
        <v>1625</v>
      </c>
      <c r="L28" s="112"/>
      <c r="M28" s="112"/>
      <c r="N28" s="112"/>
      <c r="O28" s="112"/>
      <c r="P28" s="114"/>
      <c r="Q28" s="115">
        <f t="shared" si="1"/>
        <v>1625</v>
      </c>
      <c r="R28" s="116"/>
      <c r="S28" s="117"/>
      <c r="T28" s="126">
        <v>200</v>
      </c>
      <c r="U28" s="117"/>
      <c r="V28" s="117"/>
      <c r="W28" s="117"/>
      <c r="X28" s="118"/>
      <c r="Y28" s="131">
        <v>168.06</v>
      </c>
      <c r="Z28" s="119"/>
      <c r="AA28" s="119">
        <v>0</v>
      </c>
      <c r="AB28" s="115">
        <f t="shared" si="2"/>
        <v>1256.94</v>
      </c>
      <c r="AC28" s="120">
        <f t="shared" si="8"/>
        <v>0</v>
      </c>
      <c r="AD28" s="115">
        <f t="shared" si="3"/>
        <v>1256.94</v>
      </c>
      <c r="AE28" s="121">
        <f t="shared" si="4"/>
        <v>162.5</v>
      </c>
      <c r="AF28" s="120">
        <v>10.23</v>
      </c>
      <c r="AG28" s="120">
        <f t="shared" si="5"/>
        <v>0</v>
      </c>
      <c r="AH28" s="122">
        <f t="shared" si="6"/>
        <v>1797.73</v>
      </c>
      <c r="AI28" s="207">
        <v>409.34</v>
      </c>
      <c r="AJ28" s="207">
        <v>847.6</v>
      </c>
      <c r="AK28" s="194">
        <f t="shared" si="7"/>
        <v>0</v>
      </c>
      <c r="AL28" s="124"/>
      <c r="AM28" s="124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</row>
    <row r="29" spans="1:193">
      <c r="A29" s="124" t="s">
        <v>253</v>
      </c>
      <c r="B29" s="124" t="s">
        <v>333</v>
      </c>
      <c r="C29" s="124"/>
      <c r="D29" s="124"/>
      <c r="E29" s="124" t="s">
        <v>171</v>
      </c>
      <c r="F29" s="127">
        <v>42476</v>
      </c>
      <c r="G29" s="124"/>
      <c r="H29" s="199"/>
      <c r="I29" s="112">
        <v>577.38</v>
      </c>
      <c r="J29" s="200">
        <v>822.62</v>
      </c>
      <c r="K29" s="112">
        <f t="shared" si="0"/>
        <v>1400</v>
      </c>
      <c r="L29" s="128">
        <v>400</v>
      </c>
      <c r="M29" s="128"/>
      <c r="N29" s="128"/>
      <c r="O29" s="128"/>
      <c r="P29" s="114"/>
      <c r="Q29" s="115">
        <f t="shared" si="1"/>
        <v>1800</v>
      </c>
      <c r="R29" s="116"/>
      <c r="S29" s="117"/>
      <c r="T29" s="164"/>
      <c r="U29" s="164"/>
      <c r="V29" s="164"/>
      <c r="W29" s="164"/>
      <c r="X29" s="165"/>
      <c r="Y29" s="165"/>
      <c r="Z29" s="149"/>
      <c r="AA29" s="149">
        <v>0</v>
      </c>
      <c r="AB29" s="115">
        <f t="shared" si="2"/>
        <v>1800</v>
      </c>
      <c r="AC29" s="120">
        <f t="shared" ref="AC29" si="11">IF(Q29&gt;2250,Q29*0.1,0)</f>
        <v>0</v>
      </c>
      <c r="AD29" s="115">
        <f t="shared" ref="AD29" si="12">+AB29-AC29</f>
        <v>1800</v>
      </c>
      <c r="AE29" s="121">
        <f t="shared" ref="AE29" si="13">IF(Q29&lt;3500,Q29*0.1,0)</f>
        <v>180</v>
      </c>
      <c r="AF29" s="120">
        <v>10.23</v>
      </c>
      <c r="AG29" s="120">
        <f t="shared" ref="AG29" si="14">+U29</f>
        <v>0</v>
      </c>
      <c r="AH29" s="122">
        <f t="shared" ref="AH29" si="15">+Q29+AE29+AF29+AG29</f>
        <v>1990.23</v>
      </c>
      <c r="AI29" s="210">
        <v>577.4</v>
      </c>
      <c r="AJ29" s="209">
        <v>1222.5999999999999</v>
      </c>
      <c r="AK29" s="194">
        <f t="shared" si="7"/>
        <v>0</v>
      </c>
      <c r="AL29" s="124">
        <v>2919685839</v>
      </c>
      <c r="AM29" s="12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 s="40" customFormat="1">
      <c r="A30" s="124" t="s">
        <v>94</v>
      </c>
      <c r="B30" s="110" t="s">
        <v>339</v>
      </c>
      <c r="C30" s="110"/>
      <c r="D30" s="110" t="s">
        <v>130</v>
      </c>
      <c r="E30" s="110" t="s">
        <v>181</v>
      </c>
      <c r="F30" s="110"/>
      <c r="G30" s="111"/>
      <c r="H30" s="111"/>
      <c r="I30" s="112">
        <v>608.16</v>
      </c>
      <c r="J30" s="177"/>
      <c r="K30" s="112">
        <f t="shared" si="0"/>
        <v>608.16</v>
      </c>
      <c r="L30" s="112">
        <f>1892.47+2.59</f>
        <v>1895.06</v>
      </c>
      <c r="M30" s="112"/>
      <c r="N30" s="113"/>
      <c r="O30" s="113"/>
      <c r="P30" s="114"/>
      <c r="Q30" s="115">
        <f t="shared" si="1"/>
        <v>2503.2199999999998</v>
      </c>
      <c r="R30" s="116"/>
      <c r="S30" s="117"/>
      <c r="T30" s="126">
        <v>500</v>
      </c>
      <c r="U30" s="126">
        <f>Q30*4.9%</f>
        <v>122.65777999999999</v>
      </c>
      <c r="V30" s="126">
        <f>Q30*1%</f>
        <v>25.0322</v>
      </c>
      <c r="W30" s="117"/>
      <c r="X30" s="118"/>
      <c r="Y30" s="118"/>
      <c r="Z30" s="119"/>
      <c r="AA30" s="119">
        <v>0</v>
      </c>
      <c r="AB30" s="115">
        <f>+Q30-SUM(R30:AA30)</f>
        <v>1855.5300199999997</v>
      </c>
      <c r="AC30" s="120">
        <f t="shared" si="8"/>
        <v>250.322</v>
      </c>
      <c r="AD30" s="115">
        <f>+AB30-AC30</f>
        <v>1605.2080199999996</v>
      </c>
      <c r="AE30" s="121">
        <f t="shared" si="4"/>
        <v>250.322</v>
      </c>
      <c r="AF30" s="120">
        <v>10.23</v>
      </c>
      <c r="AG30" s="120">
        <f t="shared" si="5"/>
        <v>122.65777999999999</v>
      </c>
      <c r="AH30" s="122">
        <f t="shared" si="6"/>
        <v>2886.4297799999999</v>
      </c>
      <c r="AI30" s="208">
        <v>577.4</v>
      </c>
      <c r="AJ30" s="211">
        <v>1027.81</v>
      </c>
      <c r="AK30" s="194">
        <f t="shared" si="7"/>
        <v>1.9800000004579488E-3</v>
      </c>
      <c r="AL30" s="124"/>
      <c r="AM30" s="124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40" customFormat="1">
      <c r="A31" s="124" t="s">
        <v>91</v>
      </c>
      <c r="B31" s="124" t="s">
        <v>337</v>
      </c>
      <c r="C31" s="124"/>
      <c r="D31" s="124"/>
      <c r="E31" s="124" t="s">
        <v>72</v>
      </c>
      <c r="F31" s="127">
        <v>42493</v>
      </c>
      <c r="G31" s="124"/>
      <c r="H31" s="124"/>
      <c r="I31" s="128">
        <v>1166.26</v>
      </c>
      <c r="J31" s="178"/>
      <c r="K31" s="128">
        <f>+I31+J31</f>
        <v>1166.26</v>
      </c>
      <c r="L31" s="128"/>
      <c r="M31" s="128"/>
      <c r="N31" s="128"/>
      <c r="O31" s="128"/>
      <c r="P31" s="171"/>
      <c r="Q31" s="115">
        <f t="shared" si="1"/>
        <v>1166.26</v>
      </c>
      <c r="R31" s="116"/>
      <c r="S31" s="117"/>
      <c r="T31" s="164"/>
      <c r="U31" s="164"/>
      <c r="V31" s="164"/>
      <c r="W31" s="164"/>
      <c r="X31" s="165"/>
      <c r="Y31" s="165"/>
      <c r="Z31" s="149"/>
      <c r="AA31" s="125">
        <v>332.07</v>
      </c>
      <c r="AB31" s="115">
        <f>+Q31-SUM(R31:AA31)</f>
        <v>834.19</v>
      </c>
      <c r="AC31" s="120">
        <f t="shared" ref="AC31" si="16">IF(Q31&gt;2250,Q31*0.1,0)</f>
        <v>0</v>
      </c>
      <c r="AD31" s="115">
        <f>+AB31-AC31</f>
        <v>834.19</v>
      </c>
      <c r="AE31" s="121">
        <f t="shared" ref="AE31" si="17">IF(Q31&lt;3500,Q31*0.1,0)</f>
        <v>116.626</v>
      </c>
      <c r="AF31" s="120">
        <v>10.23</v>
      </c>
      <c r="AG31" s="120">
        <f t="shared" ref="AG31" si="18">+U31</f>
        <v>0</v>
      </c>
      <c r="AH31" s="122">
        <f t="shared" ref="AH31" si="19">+Q31+AE31+AF31+AG31</f>
        <v>1293.116</v>
      </c>
      <c r="AI31" s="208">
        <v>245.33</v>
      </c>
      <c r="AJ31" s="208">
        <v>588.86</v>
      </c>
      <c r="AK31" s="194">
        <f t="shared" si="7"/>
        <v>0</v>
      </c>
      <c r="AL31" s="124">
        <v>2963469042</v>
      </c>
      <c r="AM31" s="12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40" customFormat="1">
      <c r="A32" s="124" t="s">
        <v>94</v>
      </c>
      <c r="B32" s="110" t="s">
        <v>229</v>
      </c>
      <c r="C32" s="110"/>
      <c r="D32" s="110" t="s">
        <v>131</v>
      </c>
      <c r="E32" s="110" t="s">
        <v>181</v>
      </c>
      <c r="F32" s="110"/>
      <c r="G32" s="111"/>
      <c r="H32" s="111"/>
      <c r="I32" s="112">
        <v>608.16</v>
      </c>
      <c r="J32" s="177"/>
      <c r="K32" s="112">
        <f t="shared" si="0"/>
        <v>608.16</v>
      </c>
      <c r="L32" s="112">
        <f>3957.47+2.97</f>
        <v>3960.4399999999996</v>
      </c>
      <c r="M32" s="112"/>
      <c r="N32" s="113"/>
      <c r="O32" s="113"/>
      <c r="P32" s="114"/>
      <c r="Q32" s="115">
        <f t="shared" si="1"/>
        <v>4568.5999999999995</v>
      </c>
      <c r="R32" s="116"/>
      <c r="S32" s="117"/>
      <c r="T32" s="164">
        <v>0</v>
      </c>
      <c r="U32" s="126">
        <f>Q32*4.9%</f>
        <v>223.86139999999997</v>
      </c>
      <c r="V32" s="126">
        <f>Q32*1%</f>
        <v>45.685999999999993</v>
      </c>
      <c r="W32" s="126">
        <v>300</v>
      </c>
      <c r="X32" s="118"/>
      <c r="Y32" s="118"/>
      <c r="Z32" s="130"/>
      <c r="AA32" s="119">
        <v>0</v>
      </c>
      <c r="AB32" s="115">
        <f t="shared" si="2"/>
        <v>3999.0525999999995</v>
      </c>
      <c r="AC32" s="120">
        <f t="shared" si="8"/>
        <v>456.85999999999996</v>
      </c>
      <c r="AD32" s="115">
        <f t="shared" si="3"/>
        <v>3542.1925999999994</v>
      </c>
      <c r="AE32" s="121">
        <f t="shared" si="4"/>
        <v>0</v>
      </c>
      <c r="AF32" s="120">
        <v>10.23</v>
      </c>
      <c r="AG32" s="120">
        <f t="shared" si="5"/>
        <v>223.86139999999997</v>
      </c>
      <c r="AH32" s="122">
        <f t="shared" si="6"/>
        <v>4802.6913999999988</v>
      </c>
      <c r="AI32" s="207">
        <v>577.4</v>
      </c>
      <c r="AJ32" s="212">
        <v>2964.79</v>
      </c>
      <c r="AK32" s="194">
        <f t="shared" si="7"/>
        <v>-2.5999999993473466E-3</v>
      </c>
      <c r="AL32" s="124"/>
      <c r="AM32" s="124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40" customFormat="1">
      <c r="A33" s="124" t="s">
        <v>91</v>
      </c>
      <c r="B33" s="110" t="s">
        <v>236</v>
      </c>
      <c r="C33" s="110"/>
      <c r="D33" s="110" t="s">
        <v>98</v>
      </c>
      <c r="E33" s="110" t="s">
        <v>72</v>
      </c>
      <c r="F33" s="132">
        <v>42024</v>
      </c>
      <c r="G33" s="110"/>
      <c r="H33" s="110"/>
      <c r="I33" s="112">
        <v>1166.26</v>
      </c>
      <c r="J33" s="176"/>
      <c r="K33" s="112">
        <f t="shared" si="0"/>
        <v>1166.26</v>
      </c>
      <c r="L33" s="112">
        <v>1073.0899999999999</v>
      </c>
      <c r="M33" s="112"/>
      <c r="N33" s="112"/>
      <c r="O33" s="112"/>
      <c r="P33" s="114"/>
      <c r="Q33" s="115">
        <f t="shared" si="1"/>
        <v>2239.35</v>
      </c>
      <c r="R33" s="116"/>
      <c r="S33" s="164"/>
      <c r="T33" s="117">
        <v>0</v>
      </c>
      <c r="U33" s="117"/>
      <c r="V33" s="117"/>
      <c r="W33" s="117"/>
      <c r="X33" s="118"/>
      <c r="Y33" s="118"/>
      <c r="Z33" s="119"/>
      <c r="AA33" s="119">
        <v>0</v>
      </c>
      <c r="AB33" s="115">
        <f t="shared" si="2"/>
        <v>2239.35</v>
      </c>
      <c r="AC33" s="120">
        <f t="shared" si="8"/>
        <v>0</v>
      </c>
      <c r="AD33" s="115">
        <f t="shared" si="3"/>
        <v>2239.35</v>
      </c>
      <c r="AE33" s="121">
        <f t="shared" si="4"/>
        <v>223.935</v>
      </c>
      <c r="AF33" s="120">
        <v>10.23</v>
      </c>
      <c r="AG33" s="120">
        <f t="shared" si="5"/>
        <v>0</v>
      </c>
      <c r="AH33" s="122">
        <f t="shared" si="6"/>
        <v>2473.5149999999999</v>
      </c>
      <c r="AI33" s="210">
        <v>577.4</v>
      </c>
      <c r="AJ33" s="209">
        <v>1661.95</v>
      </c>
      <c r="AK33" s="194">
        <f t="shared" si="7"/>
        <v>0</v>
      </c>
      <c r="AL33" s="124"/>
      <c r="AM33" s="124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</row>
    <row r="34" spans="1:193" s="39" customFormat="1">
      <c r="A34" s="124" t="s">
        <v>92</v>
      </c>
      <c r="B34" s="124" t="s">
        <v>306</v>
      </c>
      <c r="C34" s="124"/>
      <c r="D34" s="124"/>
      <c r="E34" s="124" t="s">
        <v>307</v>
      </c>
      <c r="F34" s="127">
        <v>42457</v>
      </c>
      <c r="G34" s="124"/>
      <c r="H34" s="124"/>
      <c r="I34" s="128"/>
      <c r="J34" s="182"/>
      <c r="K34" s="226">
        <v>785.71</v>
      </c>
      <c r="L34" s="128"/>
      <c r="M34" s="128"/>
      <c r="N34" s="128"/>
      <c r="O34" s="128"/>
      <c r="P34" s="114"/>
      <c r="Q34" s="115">
        <f t="shared" si="1"/>
        <v>785.71</v>
      </c>
      <c r="R34" s="116"/>
      <c r="S34" s="164"/>
      <c r="T34" s="164">
        <v>0</v>
      </c>
      <c r="U34" s="164"/>
      <c r="V34" s="164"/>
      <c r="W34" s="164"/>
      <c r="X34" s="165"/>
      <c r="Y34" s="165"/>
      <c r="Z34" s="149"/>
      <c r="AA34" s="149">
        <v>0</v>
      </c>
      <c r="AB34" s="115">
        <f t="shared" si="2"/>
        <v>785.71</v>
      </c>
      <c r="AC34" s="120">
        <f t="shared" si="8"/>
        <v>0</v>
      </c>
      <c r="AD34" s="115">
        <f t="shared" si="3"/>
        <v>785.71</v>
      </c>
      <c r="AE34" s="121">
        <f t="shared" si="4"/>
        <v>78.571000000000012</v>
      </c>
      <c r="AF34" s="120">
        <v>10.23</v>
      </c>
      <c r="AG34" s="120">
        <f>+U34</f>
        <v>0</v>
      </c>
      <c r="AH34" s="122">
        <f>+Q34+AE34+AF34+AG34</f>
        <v>874.51100000000008</v>
      </c>
      <c r="AI34" s="207">
        <v>577.4</v>
      </c>
      <c r="AJ34" s="207">
        <v>208.31</v>
      </c>
      <c r="AK34" s="194">
        <f t="shared" si="7"/>
        <v>0</v>
      </c>
      <c r="AL34" s="124"/>
      <c r="AM34" s="227" t="s">
        <v>353</v>
      </c>
    </row>
    <row r="35" spans="1:193" s="39" customFormat="1">
      <c r="A35" s="125" t="s">
        <v>94</v>
      </c>
      <c r="B35" s="125" t="s">
        <v>347</v>
      </c>
      <c r="C35" s="125"/>
      <c r="D35" s="125"/>
      <c r="E35" s="125" t="s">
        <v>166</v>
      </c>
      <c r="F35" s="220">
        <v>42495</v>
      </c>
      <c r="G35" s="125"/>
      <c r="H35" s="125"/>
      <c r="I35" s="126"/>
      <c r="J35" s="222"/>
      <c r="K35" s="126">
        <v>633.62</v>
      </c>
      <c r="L35" s="126">
        <f>1839.63+7.42</f>
        <v>1847.0500000000002</v>
      </c>
      <c r="M35" s="126"/>
      <c r="N35" s="126"/>
      <c r="O35" s="126"/>
      <c r="P35" s="218"/>
      <c r="Q35" s="219">
        <f t="shared" si="1"/>
        <v>2480.67</v>
      </c>
      <c r="R35" s="126"/>
      <c r="S35" s="126"/>
      <c r="T35" s="126"/>
      <c r="U35" s="126"/>
      <c r="V35" s="126"/>
      <c r="W35" s="126"/>
      <c r="X35" s="131"/>
      <c r="Y35" s="131"/>
      <c r="Z35" s="125"/>
      <c r="AA35" s="125">
        <v>456.92</v>
      </c>
      <c r="AB35" s="219">
        <f t="shared" si="2"/>
        <v>2023.75</v>
      </c>
      <c r="AC35" s="131">
        <f t="shared" ref="AC35" si="20">IF(Q35&gt;2250,Q35*0.1,0)</f>
        <v>248.06700000000001</v>
      </c>
      <c r="AD35" s="219">
        <f t="shared" ref="AD35" si="21">+AB35-AC35</f>
        <v>1775.683</v>
      </c>
      <c r="AE35" s="131">
        <f t="shared" ref="AE35" si="22">IF(Q35&lt;3500,Q35*0.1,0)</f>
        <v>248.06700000000001</v>
      </c>
      <c r="AF35" s="131">
        <v>10.23</v>
      </c>
      <c r="AG35" s="131">
        <f>+U35</f>
        <v>0</v>
      </c>
      <c r="AH35" s="219">
        <f>+Q35+AE35+AF35+AG35</f>
        <v>2738.9670000000001</v>
      </c>
      <c r="AI35" s="208">
        <v>120.48</v>
      </c>
      <c r="AJ35" s="209">
        <v>1655.2</v>
      </c>
      <c r="AK35" s="194">
        <f t="shared" si="7"/>
        <v>-2.9999999999290594E-3</v>
      </c>
      <c r="AL35" s="125">
        <v>1182020149</v>
      </c>
      <c r="AM35" s="221" t="s">
        <v>345</v>
      </c>
    </row>
    <row r="36" spans="1:193" s="39" customFormat="1">
      <c r="A36" s="124" t="s">
        <v>71</v>
      </c>
      <c r="B36" s="124" t="s">
        <v>332</v>
      </c>
      <c r="C36" s="124" t="s">
        <v>249</v>
      </c>
      <c r="D36" s="124"/>
      <c r="E36" s="124" t="s">
        <v>73</v>
      </c>
      <c r="F36" s="127">
        <v>42415</v>
      </c>
      <c r="G36" s="124"/>
      <c r="H36" s="124"/>
      <c r="I36" s="128">
        <v>513.33000000000004</v>
      </c>
      <c r="J36" s="182">
        <v>653.33000000000004</v>
      </c>
      <c r="K36" s="128">
        <f t="shared" si="0"/>
        <v>1166.6600000000001</v>
      </c>
      <c r="L36" s="128"/>
      <c r="M36" s="128"/>
      <c r="N36" s="128"/>
      <c r="O36" s="128"/>
      <c r="P36" s="114"/>
      <c r="Q36" s="115">
        <f t="shared" si="1"/>
        <v>1166.6600000000001</v>
      </c>
      <c r="R36" s="116"/>
      <c r="S36" s="164"/>
      <c r="T36" s="164">
        <v>0</v>
      </c>
      <c r="U36" s="164"/>
      <c r="V36" s="164"/>
      <c r="W36" s="164"/>
      <c r="X36" s="165"/>
      <c r="Y36" s="165"/>
      <c r="Z36" s="149"/>
      <c r="AA36" s="149">
        <v>0</v>
      </c>
      <c r="AB36" s="115">
        <f t="shared" si="2"/>
        <v>1166.6600000000001</v>
      </c>
      <c r="AC36" s="120">
        <f t="shared" si="8"/>
        <v>0</v>
      </c>
      <c r="AD36" s="115">
        <f t="shared" si="3"/>
        <v>1166.6600000000001</v>
      </c>
      <c r="AE36" s="121">
        <f t="shared" si="4"/>
        <v>116.66600000000001</v>
      </c>
      <c r="AF36" s="120">
        <v>10.23</v>
      </c>
      <c r="AG36" s="120">
        <f t="shared" si="5"/>
        <v>0</v>
      </c>
      <c r="AH36" s="122">
        <f t="shared" si="6"/>
        <v>1293.556</v>
      </c>
      <c r="AI36" s="207">
        <v>577.4</v>
      </c>
      <c r="AJ36" s="207">
        <v>589.26</v>
      </c>
      <c r="AK36" s="194">
        <f t="shared" si="7"/>
        <v>0</v>
      </c>
      <c r="AL36" s="124"/>
      <c r="AM36" s="124"/>
    </row>
    <row r="37" spans="1:193" s="39" customFormat="1">
      <c r="A37" s="124" t="s">
        <v>71</v>
      </c>
      <c r="B37" s="124" t="s">
        <v>329</v>
      </c>
      <c r="C37" s="124" t="s">
        <v>249</v>
      </c>
      <c r="D37" s="124" t="s">
        <v>148</v>
      </c>
      <c r="E37" s="124" t="s">
        <v>73</v>
      </c>
      <c r="F37" s="127">
        <v>41906</v>
      </c>
      <c r="G37" s="124"/>
      <c r="H37" s="124"/>
      <c r="I37" s="128">
        <v>513.33000000000004</v>
      </c>
      <c r="J37" s="182">
        <v>653.33000000000004</v>
      </c>
      <c r="K37" s="128">
        <f t="shared" si="0"/>
        <v>1166.6600000000001</v>
      </c>
      <c r="L37" s="128">
        <v>6158.73</v>
      </c>
      <c r="M37" s="128"/>
      <c r="N37" s="128"/>
      <c r="O37" s="128"/>
      <c r="P37" s="114"/>
      <c r="Q37" s="115">
        <f t="shared" si="1"/>
        <v>7325.3899999999994</v>
      </c>
      <c r="R37" s="116"/>
      <c r="S37" s="164">
        <v>58.91</v>
      </c>
      <c r="T37" s="164">
        <v>0</v>
      </c>
      <c r="U37" s="164"/>
      <c r="V37" s="164"/>
      <c r="W37" s="164"/>
      <c r="X37" s="165"/>
      <c r="Y37" s="165"/>
      <c r="Z37" s="149"/>
      <c r="AA37" s="125">
        <v>349.07</v>
      </c>
      <c r="AB37" s="115">
        <f t="shared" si="2"/>
        <v>6917.41</v>
      </c>
      <c r="AC37" s="120">
        <f t="shared" si="8"/>
        <v>732.53899999999999</v>
      </c>
      <c r="AD37" s="115">
        <f t="shared" si="3"/>
        <v>6184.8710000000001</v>
      </c>
      <c r="AE37" s="121">
        <f t="shared" si="4"/>
        <v>0</v>
      </c>
      <c r="AF37" s="120">
        <v>10.23</v>
      </c>
      <c r="AG37" s="120">
        <f t="shared" si="5"/>
        <v>0</v>
      </c>
      <c r="AH37" s="122">
        <f t="shared" si="6"/>
        <v>7335.619999999999</v>
      </c>
      <c r="AI37" s="210">
        <v>228.33</v>
      </c>
      <c r="AJ37" s="211">
        <v>5956.54</v>
      </c>
      <c r="AK37" s="194">
        <f t="shared" si="7"/>
        <v>-1.0000000002037268E-3</v>
      </c>
      <c r="AL37" s="124"/>
      <c r="AM37" s="124"/>
    </row>
    <row r="38" spans="1:193" s="39" customFormat="1">
      <c r="A38" s="187" t="s">
        <v>71</v>
      </c>
      <c r="B38" s="187" t="s">
        <v>250</v>
      </c>
      <c r="C38" s="187" t="s">
        <v>249</v>
      </c>
      <c r="D38" s="188"/>
      <c r="E38" s="187" t="s">
        <v>73</v>
      </c>
      <c r="F38" s="189">
        <v>42240</v>
      </c>
      <c r="G38" s="187"/>
      <c r="H38" s="187"/>
      <c r="I38" s="190"/>
      <c r="J38" s="191"/>
      <c r="K38" s="190">
        <f t="shared" si="0"/>
        <v>0</v>
      </c>
      <c r="L38" s="190"/>
      <c r="M38" s="190"/>
      <c r="N38" s="190"/>
      <c r="O38" s="190"/>
      <c r="P38" s="192"/>
      <c r="Q38" s="122">
        <f t="shared" si="1"/>
        <v>0</v>
      </c>
      <c r="R38" s="190"/>
      <c r="S38" s="190">
        <v>0</v>
      </c>
      <c r="T38" s="190"/>
      <c r="U38" s="190"/>
      <c r="V38" s="190"/>
      <c r="W38" s="190"/>
      <c r="X38" s="193"/>
      <c r="Y38" s="193"/>
      <c r="Z38" s="187"/>
      <c r="AA38" s="187">
        <v>0</v>
      </c>
      <c r="AB38" s="122">
        <f t="shared" si="2"/>
        <v>0</v>
      </c>
      <c r="AC38" s="193">
        <f t="shared" si="8"/>
        <v>0</v>
      </c>
      <c r="AD38" s="122">
        <f>+AB38-AC38</f>
        <v>0</v>
      </c>
      <c r="AE38" s="193">
        <f>IF(Q38&lt;3500,Q38*0.1,0)</f>
        <v>0</v>
      </c>
      <c r="AF38" s="193">
        <v>0</v>
      </c>
      <c r="AG38" s="193">
        <f t="shared" si="5"/>
        <v>0</v>
      </c>
      <c r="AH38" s="122">
        <f t="shared" si="6"/>
        <v>0</v>
      </c>
      <c r="AI38" s="206"/>
      <c r="AJ38" s="206"/>
      <c r="AK38" s="195">
        <f t="shared" si="7"/>
        <v>0</v>
      </c>
      <c r="AL38" s="187"/>
      <c r="AM38" s="170" t="s">
        <v>311</v>
      </c>
    </row>
    <row r="39" spans="1:193">
      <c r="A39" s="124" t="s">
        <v>92</v>
      </c>
      <c r="B39" s="110" t="s">
        <v>230</v>
      </c>
      <c r="C39" s="110"/>
      <c r="D39" s="110" t="s">
        <v>101</v>
      </c>
      <c r="E39" s="110" t="s">
        <v>162</v>
      </c>
      <c r="F39" s="110"/>
      <c r="G39" s="110"/>
      <c r="H39" s="110"/>
      <c r="I39" s="112">
        <v>739.23</v>
      </c>
      <c r="J39" s="180"/>
      <c r="K39" s="112">
        <f t="shared" ref="K39:K72" si="23">+I39+J39</f>
        <v>739.23</v>
      </c>
      <c r="L39" s="112">
        <f>2495.38+7.42</f>
        <v>2502.8000000000002</v>
      </c>
      <c r="M39" s="112"/>
      <c r="N39" s="112"/>
      <c r="O39" s="112"/>
      <c r="P39" s="114"/>
      <c r="Q39" s="115">
        <f t="shared" ref="Q39:Q74" si="24">SUM(K39:O39)-P39</f>
        <v>3242.03</v>
      </c>
      <c r="R39" s="116"/>
      <c r="S39" s="117"/>
      <c r="T39" s="117">
        <v>0</v>
      </c>
      <c r="U39" s="117"/>
      <c r="V39" s="117"/>
      <c r="W39" s="117"/>
      <c r="X39" s="118"/>
      <c r="Y39" s="118"/>
      <c r="Z39" s="119"/>
      <c r="AA39" s="149">
        <v>0</v>
      </c>
      <c r="AB39" s="115">
        <f t="shared" ref="AB39:AB74" si="25">+Q39-SUM(R39:AA39)</f>
        <v>3242.03</v>
      </c>
      <c r="AC39" s="120">
        <f t="shared" si="8"/>
        <v>324.20300000000003</v>
      </c>
      <c r="AD39" s="115">
        <f t="shared" ref="AD39:AD73" si="26">+AB39-AC39</f>
        <v>2917.8270000000002</v>
      </c>
      <c r="AE39" s="121">
        <f t="shared" ref="AE39:AE73" si="27">IF(Q39&lt;3500,Q39*0.1,0)</f>
        <v>324.20300000000003</v>
      </c>
      <c r="AF39" s="120">
        <v>10.23</v>
      </c>
      <c r="AG39" s="120">
        <f t="shared" ref="AG39:AG73" si="28">+U39</f>
        <v>0</v>
      </c>
      <c r="AH39" s="122">
        <f t="shared" ref="AH39:AH73" si="29">+Q39+AE39+AF39+AG39</f>
        <v>3576.4630000000002</v>
      </c>
      <c r="AI39" s="207">
        <v>577.4</v>
      </c>
      <c r="AJ39" s="212">
        <v>2340.4299999999998</v>
      </c>
      <c r="AK39" s="194">
        <f t="shared" si="7"/>
        <v>2.9999999997016857E-3</v>
      </c>
      <c r="AL39" s="124"/>
      <c r="AM39" s="124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</row>
    <row r="40" spans="1:193">
      <c r="A40" s="124" t="s">
        <v>71</v>
      </c>
      <c r="B40" s="110" t="s">
        <v>224</v>
      </c>
      <c r="C40" s="110" t="s">
        <v>251</v>
      </c>
      <c r="D40" s="110" t="s">
        <v>150</v>
      </c>
      <c r="E40" s="110" t="s">
        <v>73</v>
      </c>
      <c r="F40" s="110"/>
      <c r="G40" s="111"/>
      <c r="H40" s="111"/>
      <c r="I40" s="128">
        <v>513.33000000000004</v>
      </c>
      <c r="J40" s="179">
        <v>653.33000000000004</v>
      </c>
      <c r="K40" s="112">
        <f t="shared" si="23"/>
        <v>1166.6600000000001</v>
      </c>
      <c r="L40" s="112">
        <v>8203.9599999999991</v>
      </c>
      <c r="M40" s="112"/>
      <c r="N40" s="113"/>
      <c r="O40" s="113"/>
      <c r="P40" s="114"/>
      <c r="Q40" s="115">
        <f t="shared" si="24"/>
        <v>9370.619999999999</v>
      </c>
      <c r="R40" s="116"/>
      <c r="S40" s="117">
        <v>58.91</v>
      </c>
      <c r="T40" s="117">
        <v>0</v>
      </c>
      <c r="U40" s="117"/>
      <c r="V40" s="117"/>
      <c r="W40" s="117"/>
      <c r="X40" s="118"/>
      <c r="Y40" s="118"/>
      <c r="Z40" s="119"/>
      <c r="AA40" s="149">
        <v>0</v>
      </c>
      <c r="AB40" s="115">
        <f t="shared" si="25"/>
        <v>9311.7099999999991</v>
      </c>
      <c r="AC40" s="120">
        <f t="shared" si="8"/>
        <v>937.0619999999999</v>
      </c>
      <c r="AD40" s="115">
        <f t="shared" si="26"/>
        <v>8374.6479999999992</v>
      </c>
      <c r="AE40" s="121">
        <f t="shared" si="27"/>
        <v>0</v>
      </c>
      <c r="AF40" s="120">
        <v>10.23</v>
      </c>
      <c r="AG40" s="120">
        <f t="shared" si="28"/>
        <v>0</v>
      </c>
      <c r="AH40" s="122">
        <f t="shared" si="29"/>
        <v>9380.8499999999985</v>
      </c>
      <c r="AI40" s="210">
        <v>577.4</v>
      </c>
      <c r="AJ40" s="209">
        <v>7797.25</v>
      </c>
      <c r="AK40" s="194">
        <f t="shared" si="7"/>
        <v>2.0000000004074536E-3</v>
      </c>
      <c r="AL40" s="124"/>
      <c r="AM40" s="124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</row>
    <row r="41" spans="1:193">
      <c r="A41" s="124" t="s">
        <v>71</v>
      </c>
      <c r="B41" s="110" t="s">
        <v>330</v>
      </c>
      <c r="C41" s="110" t="s">
        <v>254</v>
      </c>
      <c r="D41" s="110" t="s">
        <v>151</v>
      </c>
      <c r="E41" s="110" t="s">
        <v>73</v>
      </c>
      <c r="F41" s="110"/>
      <c r="G41" s="111"/>
      <c r="H41" s="111"/>
      <c r="I41" s="112">
        <v>513.33000000000004</v>
      </c>
      <c r="J41" s="179">
        <v>653.33000000000004</v>
      </c>
      <c r="K41" s="112">
        <f t="shared" si="23"/>
        <v>1166.6600000000001</v>
      </c>
      <c r="L41" s="112"/>
      <c r="M41" s="112"/>
      <c r="N41" s="113"/>
      <c r="O41" s="113"/>
      <c r="P41" s="114"/>
      <c r="Q41" s="115">
        <f t="shared" si="24"/>
        <v>1166.6600000000001</v>
      </c>
      <c r="R41" s="116"/>
      <c r="S41" s="117"/>
      <c r="T41" s="117">
        <v>0</v>
      </c>
      <c r="U41" s="117"/>
      <c r="V41" s="117"/>
      <c r="W41" s="117"/>
      <c r="X41" s="118"/>
      <c r="Y41" s="118"/>
      <c r="Z41" s="119"/>
      <c r="AA41" s="125">
        <v>208.6</v>
      </c>
      <c r="AB41" s="115">
        <f t="shared" si="25"/>
        <v>958.06000000000006</v>
      </c>
      <c r="AC41" s="120">
        <f t="shared" si="8"/>
        <v>0</v>
      </c>
      <c r="AD41" s="115">
        <f t="shared" si="26"/>
        <v>958.06000000000006</v>
      </c>
      <c r="AE41" s="121">
        <f t="shared" si="27"/>
        <v>116.66600000000001</v>
      </c>
      <c r="AF41" s="120">
        <v>10.23</v>
      </c>
      <c r="AG41" s="120">
        <f t="shared" si="28"/>
        <v>0</v>
      </c>
      <c r="AH41" s="122">
        <f t="shared" si="29"/>
        <v>1293.556</v>
      </c>
      <c r="AI41" s="207">
        <v>368.8</v>
      </c>
      <c r="AJ41" s="207">
        <v>589.26</v>
      </c>
      <c r="AK41" s="194">
        <f t="shared" si="7"/>
        <v>0</v>
      </c>
      <c r="AL41" s="124"/>
      <c r="AM41" s="124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</row>
    <row r="42" spans="1:193">
      <c r="A42" s="124" t="s">
        <v>70</v>
      </c>
      <c r="B42" s="110" t="s">
        <v>84</v>
      </c>
      <c r="C42" s="124" t="s">
        <v>297</v>
      </c>
      <c r="D42" s="110" t="s">
        <v>123</v>
      </c>
      <c r="E42" s="110" t="s">
        <v>173</v>
      </c>
      <c r="F42" s="110"/>
      <c r="G42" s="111"/>
      <c r="H42" s="111"/>
      <c r="I42" s="112">
        <v>513.33000000000004</v>
      </c>
      <c r="J42" s="178">
        <v>653.33000000000004</v>
      </c>
      <c r="K42" s="112">
        <f t="shared" si="23"/>
        <v>1166.6600000000001</v>
      </c>
      <c r="L42" s="112"/>
      <c r="M42" s="112"/>
      <c r="N42" s="113"/>
      <c r="O42" s="113"/>
      <c r="P42" s="114"/>
      <c r="Q42" s="115">
        <f t="shared" si="24"/>
        <v>1166.6600000000001</v>
      </c>
      <c r="R42" s="116"/>
      <c r="S42" s="117">
        <v>58.91</v>
      </c>
      <c r="T42" s="117">
        <v>0</v>
      </c>
      <c r="U42" s="117"/>
      <c r="V42" s="117"/>
      <c r="W42" s="117"/>
      <c r="X42" s="118"/>
      <c r="Y42" s="118"/>
      <c r="Z42" s="119"/>
      <c r="AA42" s="119">
        <v>0</v>
      </c>
      <c r="AB42" s="115">
        <f t="shared" si="25"/>
        <v>1107.75</v>
      </c>
      <c r="AC42" s="120">
        <f t="shared" si="8"/>
        <v>0</v>
      </c>
      <c r="AD42" s="115">
        <f t="shared" si="26"/>
        <v>1107.75</v>
      </c>
      <c r="AE42" s="121">
        <f t="shared" si="27"/>
        <v>116.66600000000001</v>
      </c>
      <c r="AF42" s="120">
        <v>10.23</v>
      </c>
      <c r="AG42" s="120">
        <f t="shared" si="28"/>
        <v>0</v>
      </c>
      <c r="AH42" s="122">
        <f t="shared" si="29"/>
        <v>1293.556</v>
      </c>
      <c r="AI42" s="208">
        <v>577.4</v>
      </c>
      <c r="AJ42" s="210">
        <v>530.35</v>
      </c>
      <c r="AK42" s="194">
        <f t="shared" si="7"/>
        <v>0</v>
      </c>
      <c r="AL42" s="124"/>
      <c r="AM42" s="124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</row>
    <row r="43" spans="1:193">
      <c r="A43" s="125" t="s">
        <v>94</v>
      </c>
      <c r="B43" s="125" t="s">
        <v>343</v>
      </c>
      <c r="C43" s="125"/>
      <c r="D43" s="125"/>
      <c r="E43" s="125" t="s">
        <v>163</v>
      </c>
      <c r="F43" s="220">
        <v>42495</v>
      </c>
      <c r="G43" s="125"/>
      <c r="H43" s="125"/>
      <c r="I43" s="126"/>
      <c r="J43" s="217"/>
      <c r="K43" s="126">
        <v>633.62</v>
      </c>
      <c r="L43" s="126">
        <f>3824.68+13.09</f>
        <v>3837.77</v>
      </c>
      <c r="M43" s="126"/>
      <c r="N43" s="126"/>
      <c r="O43" s="126"/>
      <c r="P43" s="218"/>
      <c r="Q43" s="219">
        <f t="shared" si="24"/>
        <v>4471.3900000000003</v>
      </c>
      <c r="R43" s="126"/>
      <c r="S43" s="126"/>
      <c r="T43" s="126"/>
      <c r="U43" s="126"/>
      <c r="V43" s="126"/>
      <c r="W43" s="126"/>
      <c r="X43" s="131"/>
      <c r="Y43" s="131"/>
      <c r="Z43" s="125"/>
      <c r="AA43" s="125">
        <v>0</v>
      </c>
      <c r="AB43" s="219">
        <f t="shared" si="25"/>
        <v>4471.3900000000003</v>
      </c>
      <c r="AC43" s="131">
        <f t="shared" ref="AC43" si="30">IF(Q43&gt;2250,Q43*0.1,0)</f>
        <v>447.13900000000007</v>
      </c>
      <c r="AD43" s="219">
        <f t="shared" ref="AD43" si="31">+AB43-AC43</f>
        <v>4024.2510000000002</v>
      </c>
      <c r="AE43" s="131">
        <f t="shared" ref="AE43" si="32">IF(Q43&lt;3500,Q43*0.1,0)</f>
        <v>0</v>
      </c>
      <c r="AF43" s="131">
        <v>10.23</v>
      </c>
      <c r="AG43" s="131">
        <f t="shared" ref="AG43" si="33">+U43</f>
        <v>0</v>
      </c>
      <c r="AH43" s="219">
        <f t="shared" ref="AH43" si="34">+Q43+AE43+AF43+AG43</f>
        <v>4481.62</v>
      </c>
      <c r="AI43" s="213"/>
      <c r="AJ43" s="213"/>
      <c r="AK43" s="202"/>
      <c r="AL43" s="125" t="s">
        <v>344</v>
      </c>
      <c r="AM43" s="221" t="s">
        <v>345</v>
      </c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</row>
    <row r="44" spans="1:193">
      <c r="A44" s="124" t="s">
        <v>71</v>
      </c>
      <c r="B44" s="110" t="s">
        <v>256</v>
      </c>
      <c r="C44" s="110" t="s">
        <v>254</v>
      </c>
      <c r="D44" s="110" t="s">
        <v>152</v>
      </c>
      <c r="E44" s="110" t="s">
        <v>73</v>
      </c>
      <c r="F44" s="110"/>
      <c r="G44" s="111"/>
      <c r="H44" s="111"/>
      <c r="I44" s="112">
        <v>513.33000000000004</v>
      </c>
      <c r="J44" s="179">
        <v>653.33000000000004</v>
      </c>
      <c r="K44" s="112">
        <f t="shared" si="23"/>
        <v>1166.6600000000001</v>
      </c>
      <c r="L44" s="112">
        <v>2632.78</v>
      </c>
      <c r="M44" s="112"/>
      <c r="N44" s="113"/>
      <c r="O44" s="113"/>
      <c r="P44" s="114"/>
      <c r="Q44" s="115">
        <f t="shared" si="24"/>
        <v>3799.4400000000005</v>
      </c>
      <c r="R44" s="116"/>
      <c r="S44" s="117"/>
      <c r="T44" s="117">
        <v>0</v>
      </c>
      <c r="U44" s="117"/>
      <c r="V44" s="117"/>
      <c r="W44" s="117"/>
      <c r="X44" s="118"/>
      <c r="Y44" s="118"/>
      <c r="Z44" s="119"/>
      <c r="AA44" s="119">
        <v>0</v>
      </c>
      <c r="AB44" s="115">
        <f t="shared" si="25"/>
        <v>3799.4400000000005</v>
      </c>
      <c r="AC44" s="120">
        <f t="shared" si="8"/>
        <v>379.94400000000007</v>
      </c>
      <c r="AD44" s="115">
        <f t="shared" si="26"/>
        <v>3419.4960000000005</v>
      </c>
      <c r="AE44" s="121">
        <f t="shared" si="27"/>
        <v>0</v>
      </c>
      <c r="AF44" s="120">
        <v>10.23</v>
      </c>
      <c r="AG44" s="120">
        <f t="shared" si="28"/>
        <v>0</v>
      </c>
      <c r="AH44" s="122">
        <f t="shared" si="29"/>
        <v>3809.6700000000005</v>
      </c>
      <c r="AI44" s="203"/>
      <c r="AJ44" s="203"/>
      <c r="AK44" s="194">
        <v>0</v>
      </c>
      <c r="AL44" s="124"/>
      <c r="AM44" s="124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</row>
    <row r="45" spans="1:193" s="39" customFormat="1">
      <c r="A45" s="124" t="s">
        <v>71</v>
      </c>
      <c r="B45" s="110" t="s">
        <v>262</v>
      </c>
      <c r="C45" s="110"/>
      <c r="D45" s="110" t="s">
        <v>154</v>
      </c>
      <c r="E45" s="110" t="s">
        <v>73</v>
      </c>
      <c r="F45" s="110"/>
      <c r="G45" s="111"/>
      <c r="H45" s="111"/>
      <c r="I45" s="112">
        <v>513.33000000000004</v>
      </c>
      <c r="J45" s="179">
        <v>653.33000000000004</v>
      </c>
      <c r="K45" s="112">
        <f t="shared" si="23"/>
        <v>1166.6600000000001</v>
      </c>
      <c r="L45" s="112">
        <v>7876.47</v>
      </c>
      <c r="M45" s="112"/>
      <c r="N45" s="113"/>
      <c r="O45" s="113"/>
      <c r="P45" s="114"/>
      <c r="Q45" s="115">
        <f t="shared" si="24"/>
        <v>9043.130000000001</v>
      </c>
      <c r="R45" s="116"/>
      <c r="S45" s="117"/>
      <c r="T45" s="117">
        <v>0</v>
      </c>
      <c r="U45" s="117"/>
      <c r="V45" s="117"/>
      <c r="W45" s="117"/>
      <c r="X45" s="118"/>
      <c r="Y45" s="118"/>
      <c r="Z45" s="119"/>
      <c r="AA45" s="119">
        <v>0</v>
      </c>
      <c r="AB45" s="115">
        <f t="shared" si="25"/>
        <v>9043.130000000001</v>
      </c>
      <c r="AC45" s="120">
        <f t="shared" si="8"/>
        <v>904.3130000000001</v>
      </c>
      <c r="AD45" s="115">
        <f t="shared" si="26"/>
        <v>8138.8170000000009</v>
      </c>
      <c r="AE45" s="121">
        <f t="shared" si="27"/>
        <v>0</v>
      </c>
      <c r="AF45" s="120">
        <v>10.23</v>
      </c>
      <c r="AG45" s="120">
        <f t="shared" si="28"/>
        <v>0</v>
      </c>
      <c r="AH45" s="122">
        <f t="shared" si="29"/>
        <v>9053.36</v>
      </c>
      <c r="AI45" s="207">
        <v>577.4</v>
      </c>
      <c r="AJ45" s="212">
        <v>7561.42</v>
      </c>
      <c r="AK45" s="194">
        <f t="shared" si="7"/>
        <v>2.999999998792191E-3</v>
      </c>
      <c r="AL45" s="124"/>
      <c r="AM45" s="124"/>
    </row>
    <row r="46" spans="1:193">
      <c r="A46" s="124" t="s">
        <v>94</v>
      </c>
      <c r="B46" s="110" t="s">
        <v>192</v>
      </c>
      <c r="C46" s="110"/>
      <c r="D46" s="110" t="s">
        <v>132</v>
      </c>
      <c r="E46" s="110" t="s">
        <v>174</v>
      </c>
      <c r="F46" s="110"/>
      <c r="G46" s="111"/>
      <c r="H46" s="111"/>
      <c r="I46" s="112">
        <v>543.20000000000005</v>
      </c>
      <c r="J46" s="177"/>
      <c r="K46" s="112">
        <f t="shared" si="23"/>
        <v>543.20000000000005</v>
      </c>
      <c r="L46" s="112">
        <v>253.6</v>
      </c>
      <c r="M46" s="112"/>
      <c r="N46" s="113"/>
      <c r="O46" s="113"/>
      <c r="P46" s="114"/>
      <c r="Q46" s="115">
        <f t="shared" si="24"/>
        <v>796.80000000000007</v>
      </c>
      <c r="R46" s="116"/>
      <c r="S46" s="117"/>
      <c r="T46" s="126">
        <v>100</v>
      </c>
      <c r="U46" s="126">
        <f>Q46*4.9%</f>
        <v>39.043200000000006</v>
      </c>
      <c r="V46" s="126">
        <f>Q46*1%</f>
        <v>7.9680000000000009</v>
      </c>
      <c r="W46" s="117"/>
      <c r="X46" s="118"/>
      <c r="Y46" s="118"/>
      <c r="Z46" s="119"/>
      <c r="AA46" s="119">
        <v>0</v>
      </c>
      <c r="AB46" s="115">
        <f t="shared" si="25"/>
        <v>649.78880000000004</v>
      </c>
      <c r="AC46" s="120">
        <f t="shared" si="8"/>
        <v>0</v>
      </c>
      <c r="AD46" s="115">
        <f t="shared" si="26"/>
        <v>649.78880000000004</v>
      </c>
      <c r="AE46" s="121">
        <f t="shared" si="27"/>
        <v>79.680000000000007</v>
      </c>
      <c r="AF46" s="120">
        <v>10.23</v>
      </c>
      <c r="AG46" s="120">
        <f t="shared" si="28"/>
        <v>39.043200000000006</v>
      </c>
      <c r="AH46" s="122">
        <f t="shared" si="29"/>
        <v>925.75319999999999</v>
      </c>
      <c r="AI46" s="210">
        <v>577.4</v>
      </c>
      <c r="AJ46" s="210">
        <v>72.39</v>
      </c>
      <c r="AK46" s="194">
        <f t="shared" si="7"/>
        <v>1.199999999926149E-3</v>
      </c>
      <c r="AL46" s="124"/>
      <c r="AM46" s="124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</row>
    <row r="47" spans="1:193" s="39" customFormat="1">
      <c r="A47" s="124" t="s">
        <v>94</v>
      </c>
      <c r="B47" s="124" t="s">
        <v>264</v>
      </c>
      <c r="C47" s="124"/>
      <c r="D47" s="124" t="s">
        <v>265</v>
      </c>
      <c r="E47" s="110" t="s">
        <v>181</v>
      </c>
      <c r="F47" s="124"/>
      <c r="G47" s="124"/>
      <c r="H47" s="124"/>
      <c r="I47" s="128">
        <v>608.16</v>
      </c>
      <c r="J47" s="178"/>
      <c r="K47" s="128">
        <f t="shared" si="23"/>
        <v>608.16</v>
      </c>
      <c r="L47" s="128">
        <f>1541.19+2.59</f>
        <v>1543.78</v>
      </c>
      <c r="M47" s="128"/>
      <c r="N47" s="128"/>
      <c r="O47" s="128"/>
      <c r="P47" s="114"/>
      <c r="Q47" s="115">
        <f t="shared" si="24"/>
        <v>2151.94</v>
      </c>
      <c r="R47" s="116"/>
      <c r="S47" s="117"/>
      <c r="T47" s="117">
        <v>0</v>
      </c>
      <c r="U47" s="126">
        <f>Q47*4.9%</f>
        <v>105.44506000000001</v>
      </c>
      <c r="V47" s="126">
        <f>Q47*1%</f>
        <v>21.519400000000001</v>
      </c>
      <c r="W47" s="117"/>
      <c r="X47" s="118"/>
      <c r="Y47" s="118"/>
      <c r="Z47" s="119"/>
      <c r="AA47" s="119">
        <v>0</v>
      </c>
      <c r="AB47" s="115">
        <f t="shared" si="25"/>
        <v>2024.9755400000001</v>
      </c>
      <c r="AC47" s="120">
        <f t="shared" si="8"/>
        <v>0</v>
      </c>
      <c r="AD47" s="115">
        <f t="shared" si="26"/>
        <v>2024.9755400000001</v>
      </c>
      <c r="AE47" s="121">
        <f t="shared" si="27"/>
        <v>215.19400000000002</v>
      </c>
      <c r="AF47" s="120">
        <v>10.23</v>
      </c>
      <c r="AG47" s="120">
        <f t="shared" si="28"/>
        <v>105.44506000000001</v>
      </c>
      <c r="AH47" s="122">
        <f t="shared" si="29"/>
        <v>2482.80906</v>
      </c>
      <c r="AI47" s="207">
        <v>577.4</v>
      </c>
      <c r="AJ47" s="212">
        <v>1447.58</v>
      </c>
      <c r="AK47" s="194">
        <f t="shared" si="7"/>
        <v>4.4599999998808926E-3</v>
      </c>
      <c r="AL47" s="124">
        <v>2948910731</v>
      </c>
      <c r="AM47" s="129"/>
    </row>
    <row r="48" spans="1:193">
      <c r="A48" s="124" t="s">
        <v>94</v>
      </c>
      <c r="B48" s="110" t="s">
        <v>194</v>
      </c>
      <c r="C48" s="110"/>
      <c r="D48" s="110" t="s">
        <v>133</v>
      </c>
      <c r="E48" s="110" t="s">
        <v>177</v>
      </c>
      <c r="F48" s="110"/>
      <c r="G48" s="111"/>
      <c r="H48" s="111"/>
      <c r="I48" s="112">
        <v>608.16</v>
      </c>
      <c r="J48" s="177"/>
      <c r="K48" s="112">
        <f t="shared" si="23"/>
        <v>608.16</v>
      </c>
      <c r="L48" s="112">
        <f>2191.53+2.97</f>
        <v>2194.5</v>
      </c>
      <c r="M48" s="112"/>
      <c r="N48" s="113"/>
      <c r="O48" s="113"/>
      <c r="P48" s="114"/>
      <c r="Q48" s="115">
        <f t="shared" si="24"/>
        <v>2802.66</v>
      </c>
      <c r="R48" s="116"/>
      <c r="S48" s="117"/>
      <c r="T48" s="117"/>
      <c r="U48" s="126">
        <f>Q48*4.9%</f>
        <v>137.33034000000001</v>
      </c>
      <c r="V48" s="126">
        <f>Q48*1%</f>
        <v>28.026599999999998</v>
      </c>
      <c r="W48" s="117"/>
      <c r="X48" s="118"/>
      <c r="Y48" s="118"/>
      <c r="Z48" s="119"/>
      <c r="AA48" s="119">
        <v>0</v>
      </c>
      <c r="AB48" s="115">
        <f t="shared" si="25"/>
        <v>2637.3030599999997</v>
      </c>
      <c r="AC48" s="120">
        <f t="shared" si="8"/>
        <v>280.26600000000002</v>
      </c>
      <c r="AD48" s="115">
        <f t="shared" si="26"/>
        <v>2357.0370599999997</v>
      </c>
      <c r="AE48" s="121">
        <f t="shared" si="27"/>
        <v>280.26600000000002</v>
      </c>
      <c r="AF48" s="120">
        <v>10.23</v>
      </c>
      <c r="AG48" s="120">
        <f t="shared" si="28"/>
        <v>137.33034000000001</v>
      </c>
      <c r="AH48" s="122">
        <f t="shared" si="29"/>
        <v>3230.4863399999999</v>
      </c>
      <c r="AI48" s="210">
        <v>577.4</v>
      </c>
      <c r="AJ48" s="209">
        <v>1779.64</v>
      </c>
      <c r="AK48" s="194">
        <f t="shared" si="7"/>
        <v>2.9400000003079185E-3</v>
      </c>
      <c r="AL48" s="124"/>
      <c r="AM48" s="124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</row>
    <row r="49" spans="1:193">
      <c r="A49" s="124" t="s">
        <v>92</v>
      </c>
      <c r="B49" s="110" t="s">
        <v>233</v>
      </c>
      <c r="C49" s="110"/>
      <c r="D49" s="110" t="s">
        <v>102</v>
      </c>
      <c r="E49" s="110" t="s">
        <v>163</v>
      </c>
      <c r="F49" s="110"/>
      <c r="G49" s="110"/>
      <c r="H49" s="110"/>
      <c r="I49" s="112">
        <v>739.23</v>
      </c>
      <c r="J49" s="180"/>
      <c r="K49" s="112">
        <f t="shared" si="23"/>
        <v>739.23</v>
      </c>
      <c r="L49" s="112">
        <f>2122.86+13.09</f>
        <v>2135.9500000000003</v>
      </c>
      <c r="M49" s="112"/>
      <c r="N49" s="112"/>
      <c r="O49" s="112"/>
      <c r="P49" s="114"/>
      <c r="Q49" s="115">
        <f t="shared" si="24"/>
        <v>2875.1800000000003</v>
      </c>
      <c r="R49" s="116"/>
      <c r="S49" s="117"/>
      <c r="T49" s="117">
        <v>0</v>
      </c>
      <c r="U49" s="117"/>
      <c r="V49" s="117"/>
      <c r="W49" s="117"/>
      <c r="X49" s="118"/>
      <c r="Y49" s="118"/>
      <c r="Z49" s="119"/>
      <c r="AA49" s="119">
        <v>0</v>
      </c>
      <c r="AB49" s="115">
        <f t="shared" si="25"/>
        <v>2875.1800000000003</v>
      </c>
      <c r="AC49" s="120">
        <f t="shared" si="8"/>
        <v>287.51800000000003</v>
      </c>
      <c r="AD49" s="115">
        <f t="shared" si="26"/>
        <v>2587.6620000000003</v>
      </c>
      <c r="AE49" s="121">
        <f t="shared" si="27"/>
        <v>287.51800000000003</v>
      </c>
      <c r="AF49" s="120">
        <v>10.23</v>
      </c>
      <c r="AG49" s="120">
        <f t="shared" si="28"/>
        <v>0</v>
      </c>
      <c r="AH49" s="122">
        <f t="shared" si="29"/>
        <v>3172.9280000000003</v>
      </c>
      <c r="AI49" s="207">
        <v>577.4</v>
      </c>
      <c r="AJ49" s="212">
        <v>2010.26</v>
      </c>
      <c r="AK49" s="194">
        <f t="shared" si="7"/>
        <v>-2.0000000004074536E-3</v>
      </c>
      <c r="AL49" s="124"/>
      <c r="AM49" s="124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</row>
    <row r="50" spans="1:193" s="61" customFormat="1">
      <c r="A50" s="124" t="s">
        <v>94</v>
      </c>
      <c r="B50" s="124" t="s">
        <v>334</v>
      </c>
      <c r="C50" s="124"/>
      <c r="D50" s="124"/>
      <c r="E50" s="124" t="s">
        <v>163</v>
      </c>
      <c r="F50" s="127">
        <v>42416</v>
      </c>
      <c r="G50" s="124"/>
      <c r="H50" s="124"/>
      <c r="I50" s="128">
        <v>739.23</v>
      </c>
      <c r="J50" s="178"/>
      <c r="K50" s="112">
        <f t="shared" si="23"/>
        <v>739.23</v>
      </c>
      <c r="L50" s="128">
        <f>2845.1+13.09</f>
        <v>2858.19</v>
      </c>
      <c r="M50" s="128"/>
      <c r="N50" s="128"/>
      <c r="O50" s="128"/>
      <c r="P50" s="114"/>
      <c r="Q50" s="115">
        <f t="shared" si="24"/>
        <v>3597.42</v>
      </c>
      <c r="R50" s="116"/>
      <c r="S50" s="117"/>
      <c r="T50" s="117">
        <v>0</v>
      </c>
      <c r="U50" s="117"/>
      <c r="V50" s="126">
        <f>Q50*1%</f>
        <v>35.974200000000003</v>
      </c>
      <c r="W50" s="117"/>
      <c r="X50" s="118"/>
      <c r="Y50" s="118"/>
      <c r="Z50" s="119"/>
      <c r="AA50" s="119">
        <v>0</v>
      </c>
      <c r="AB50" s="115">
        <f t="shared" si="25"/>
        <v>3561.4458</v>
      </c>
      <c r="AC50" s="120">
        <f t="shared" si="8"/>
        <v>359.74200000000002</v>
      </c>
      <c r="AD50" s="115">
        <f t="shared" si="26"/>
        <v>3201.7037999999998</v>
      </c>
      <c r="AE50" s="121">
        <f t="shared" si="27"/>
        <v>0</v>
      </c>
      <c r="AF50" s="120">
        <v>10.23</v>
      </c>
      <c r="AG50" s="120">
        <f t="shared" si="28"/>
        <v>0</v>
      </c>
      <c r="AH50" s="122">
        <f t="shared" si="29"/>
        <v>3607.65</v>
      </c>
      <c r="AI50" s="210">
        <v>577.4</v>
      </c>
      <c r="AJ50" s="209">
        <v>2624.3</v>
      </c>
      <c r="AK50" s="194">
        <f t="shared" si="7"/>
        <v>-3.7999999995008693E-3</v>
      </c>
      <c r="AL50" s="124">
        <v>1296641458</v>
      </c>
      <c r="AM50" s="12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</row>
    <row r="51" spans="1:193" s="39" customFormat="1">
      <c r="A51" s="124" t="s">
        <v>92</v>
      </c>
      <c r="B51" s="124" t="s">
        <v>315</v>
      </c>
      <c r="C51" s="124"/>
      <c r="D51" s="124"/>
      <c r="E51" s="124" t="s">
        <v>164</v>
      </c>
      <c r="F51" s="127">
        <v>42471</v>
      </c>
      <c r="G51" s="124"/>
      <c r="H51" s="124"/>
      <c r="I51" s="128">
        <v>739.23</v>
      </c>
      <c r="J51" s="178"/>
      <c r="K51" s="128">
        <f t="shared" si="23"/>
        <v>739.23</v>
      </c>
      <c r="L51" s="128">
        <f>3119.62+7.42</f>
        <v>3127.04</v>
      </c>
      <c r="M51" s="128"/>
      <c r="N51" s="128"/>
      <c r="O51" s="128"/>
      <c r="P51" s="114"/>
      <c r="Q51" s="115">
        <f t="shared" si="24"/>
        <v>3866.27</v>
      </c>
      <c r="R51" s="116"/>
      <c r="S51" s="164"/>
      <c r="T51" s="164"/>
      <c r="U51" s="164"/>
      <c r="V51" s="164"/>
      <c r="W51" s="164"/>
      <c r="X51" s="165"/>
      <c r="Y51" s="165"/>
      <c r="Z51" s="149"/>
      <c r="AA51" s="149">
        <v>0</v>
      </c>
      <c r="AB51" s="115">
        <f t="shared" si="25"/>
        <v>3866.27</v>
      </c>
      <c r="AC51" s="120">
        <f t="shared" ref="AC51" si="35">IF(Q51&gt;2250,Q51*0.1,0)</f>
        <v>386.62700000000001</v>
      </c>
      <c r="AD51" s="115">
        <f t="shared" si="26"/>
        <v>3479.643</v>
      </c>
      <c r="AE51" s="121">
        <f t="shared" si="27"/>
        <v>0</v>
      </c>
      <c r="AF51" s="120">
        <v>10.23</v>
      </c>
      <c r="AG51" s="120">
        <f t="shared" ref="AG51" si="36">+U51</f>
        <v>0</v>
      </c>
      <c r="AH51" s="122">
        <f t="shared" si="29"/>
        <v>3876.5</v>
      </c>
      <c r="AI51" s="207">
        <v>577.4</v>
      </c>
      <c r="AJ51" s="212">
        <v>2902.24</v>
      </c>
      <c r="AK51" s="194">
        <f t="shared" si="7"/>
        <v>-3.0000000001564331E-3</v>
      </c>
      <c r="AL51" s="124">
        <v>2777556799</v>
      </c>
      <c r="AM51" s="129"/>
    </row>
    <row r="52" spans="1:193">
      <c r="A52" s="124" t="s">
        <v>93</v>
      </c>
      <c r="B52" s="124" t="s">
        <v>200</v>
      </c>
      <c r="C52" s="124"/>
      <c r="D52" s="124"/>
      <c r="E52" s="124" t="s">
        <v>171</v>
      </c>
      <c r="F52" s="127">
        <v>42413</v>
      </c>
      <c r="G52" s="124"/>
      <c r="H52" s="124"/>
      <c r="I52" s="128">
        <f>1237.24/15*7</f>
        <v>577.37866666666673</v>
      </c>
      <c r="J52" s="198">
        <v>1047.6199999999999</v>
      </c>
      <c r="K52" s="128">
        <f t="shared" si="23"/>
        <v>1624.9986666666666</v>
      </c>
      <c r="L52" s="128"/>
      <c r="M52" s="128"/>
      <c r="N52" s="128"/>
      <c r="O52" s="128"/>
      <c r="P52" s="114"/>
      <c r="Q52" s="115">
        <f t="shared" si="24"/>
        <v>1624.9986666666666</v>
      </c>
      <c r="R52" s="116"/>
      <c r="S52" s="117"/>
      <c r="T52" s="117">
        <v>0</v>
      </c>
      <c r="U52" s="117"/>
      <c r="V52" s="117"/>
      <c r="W52" s="117"/>
      <c r="X52" s="118"/>
      <c r="Y52" s="118"/>
      <c r="Z52" s="119"/>
      <c r="AA52" s="119">
        <v>0</v>
      </c>
      <c r="AB52" s="115">
        <f t="shared" si="25"/>
        <v>1624.9986666666666</v>
      </c>
      <c r="AC52" s="120">
        <f t="shared" si="8"/>
        <v>0</v>
      </c>
      <c r="AD52" s="115">
        <f t="shared" si="26"/>
        <v>1624.9986666666666</v>
      </c>
      <c r="AE52" s="121">
        <f t="shared" si="27"/>
        <v>162.49986666666666</v>
      </c>
      <c r="AF52" s="120">
        <v>10.23</v>
      </c>
      <c r="AG52" s="120">
        <f t="shared" si="28"/>
        <v>0</v>
      </c>
      <c r="AH52" s="122">
        <f t="shared" si="29"/>
        <v>1797.7285333333334</v>
      </c>
      <c r="AI52" s="210">
        <v>577.4</v>
      </c>
      <c r="AJ52" s="209">
        <v>1047.5999999999999</v>
      </c>
      <c r="AK52" s="194">
        <f t="shared" si="7"/>
        <v>1.3333333333775954E-3</v>
      </c>
      <c r="AL52" s="124"/>
      <c r="AM52" s="12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</row>
    <row r="53" spans="1:193">
      <c r="A53" s="124" t="s">
        <v>71</v>
      </c>
      <c r="B53" s="110" t="s">
        <v>326</v>
      </c>
      <c r="C53" s="110" t="s">
        <v>254</v>
      </c>
      <c r="D53" s="110" t="s">
        <v>153</v>
      </c>
      <c r="E53" s="110" t="s">
        <v>73</v>
      </c>
      <c r="F53" s="110"/>
      <c r="G53" s="111"/>
      <c r="H53" s="111"/>
      <c r="I53" s="112">
        <v>513.33000000000004</v>
      </c>
      <c r="J53" s="179">
        <v>653.33000000000004</v>
      </c>
      <c r="K53" s="112">
        <f t="shared" si="23"/>
        <v>1166.6600000000001</v>
      </c>
      <c r="L53" s="112">
        <v>6686.92</v>
      </c>
      <c r="M53" s="112"/>
      <c r="N53" s="113"/>
      <c r="O53" s="113"/>
      <c r="P53" s="114"/>
      <c r="Q53" s="115">
        <f t="shared" si="24"/>
        <v>7853.58</v>
      </c>
      <c r="R53" s="116"/>
      <c r="S53" s="117">
        <v>58.91</v>
      </c>
      <c r="T53" s="117">
        <v>0</v>
      </c>
      <c r="U53" s="117"/>
      <c r="V53" s="117"/>
      <c r="W53" s="117"/>
      <c r="X53" s="118"/>
      <c r="Y53" s="118"/>
      <c r="Z53" s="119"/>
      <c r="AA53" s="119">
        <v>0</v>
      </c>
      <c r="AB53" s="115">
        <f t="shared" si="25"/>
        <v>7794.67</v>
      </c>
      <c r="AC53" s="120">
        <f t="shared" si="8"/>
        <v>785.35800000000006</v>
      </c>
      <c r="AD53" s="115">
        <f t="shared" si="26"/>
        <v>7009.3119999999999</v>
      </c>
      <c r="AE53" s="121">
        <f t="shared" si="27"/>
        <v>0</v>
      </c>
      <c r="AF53" s="120">
        <v>10.23</v>
      </c>
      <c r="AG53" s="120">
        <f t="shared" si="28"/>
        <v>0</v>
      </c>
      <c r="AH53" s="122">
        <f t="shared" si="29"/>
        <v>7863.8099999999995</v>
      </c>
      <c r="AI53" s="207">
        <v>577.4</v>
      </c>
      <c r="AJ53" s="212">
        <v>6431.91</v>
      </c>
      <c r="AK53" s="194">
        <f t="shared" si="7"/>
        <v>-2.0000000004074536E-3</v>
      </c>
      <c r="AL53" s="124"/>
      <c r="AM53" s="124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</row>
    <row r="54" spans="1:193">
      <c r="A54" s="124" t="s">
        <v>71</v>
      </c>
      <c r="B54" s="110" t="s">
        <v>335</v>
      </c>
      <c r="C54" s="110" t="s">
        <v>251</v>
      </c>
      <c r="D54" s="110">
        <v>30</v>
      </c>
      <c r="E54" s="110" t="s">
        <v>73</v>
      </c>
      <c r="F54" s="110"/>
      <c r="G54" s="111"/>
      <c r="H54" s="111"/>
      <c r="I54" s="128">
        <v>513.33000000000004</v>
      </c>
      <c r="J54" s="179">
        <v>653.33000000000004</v>
      </c>
      <c r="K54" s="112">
        <f t="shared" si="23"/>
        <v>1166.6600000000001</v>
      </c>
      <c r="L54" s="112">
        <v>10018.280000000001</v>
      </c>
      <c r="M54" s="112"/>
      <c r="N54" s="113"/>
      <c r="O54" s="113"/>
      <c r="P54" s="114"/>
      <c r="Q54" s="115">
        <f t="shared" si="24"/>
        <v>11184.94</v>
      </c>
      <c r="R54" s="116"/>
      <c r="S54" s="117"/>
      <c r="T54" s="117">
        <v>0</v>
      </c>
      <c r="U54" s="117"/>
      <c r="V54" s="117"/>
      <c r="W54" s="117"/>
      <c r="X54" s="118"/>
      <c r="Y54" s="118"/>
      <c r="Z54" s="119"/>
      <c r="AA54" s="119">
        <v>0</v>
      </c>
      <c r="AB54" s="115">
        <f t="shared" si="25"/>
        <v>11184.94</v>
      </c>
      <c r="AC54" s="120">
        <f t="shared" si="8"/>
        <v>1118.4940000000001</v>
      </c>
      <c r="AD54" s="115">
        <f t="shared" si="26"/>
        <v>10066.446</v>
      </c>
      <c r="AE54" s="121">
        <f t="shared" si="27"/>
        <v>0</v>
      </c>
      <c r="AF54" s="120">
        <v>10.23</v>
      </c>
      <c r="AG54" s="120">
        <f t="shared" si="28"/>
        <v>0</v>
      </c>
      <c r="AH54" s="122">
        <f t="shared" si="29"/>
        <v>11195.17</v>
      </c>
      <c r="AI54" s="210">
        <v>577.4</v>
      </c>
      <c r="AJ54" s="209">
        <v>9489.0499999999993</v>
      </c>
      <c r="AK54" s="194">
        <f t="shared" si="7"/>
        <v>3.9999999989959178E-3</v>
      </c>
      <c r="AL54" s="124"/>
      <c r="AM54" s="124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</row>
    <row r="55" spans="1:193">
      <c r="A55" s="124" t="s">
        <v>71</v>
      </c>
      <c r="B55" s="110" t="s">
        <v>216</v>
      </c>
      <c r="C55" s="110" t="s">
        <v>249</v>
      </c>
      <c r="D55" s="110" t="s">
        <v>155</v>
      </c>
      <c r="E55" s="110" t="s">
        <v>73</v>
      </c>
      <c r="F55" s="132">
        <v>42408</v>
      </c>
      <c r="G55" s="111"/>
      <c r="H55" s="111"/>
      <c r="I55" s="112">
        <v>513.33000000000004</v>
      </c>
      <c r="J55" s="177">
        <v>653.33000000000004</v>
      </c>
      <c r="K55" s="112">
        <f t="shared" si="23"/>
        <v>1166.6600000000001</v>
      </c>
      <c r="L55" s="112">
        <v>198.54</v>
      </c>
      <c r="M55" s="112"/>
      <c r="N55" s="113"/>
      <c r="O55" s="113"/>
      <c r="P55" s="114"/>
      <c r="Q55" s="115">
        <f t="shared" si="24"/>
        <v>1365.2</v>
      </c>
      <c r="R55" s="116"/>
      <c r="S55" s="117"/>
      <c r="T55" s="117">
        <v>0</v>
      </c>
      <c r="U55" s="117"/>
      <c r="V55" s="117"/>
      <c r="W55" s="117"/>
      <c r="X55" s="118"/>
      <c r="Y55" s="118"/>
      <c r="Z55" s="130"/>
      <c r="AA55" s="148">
        <f>875.69+407.49</f>
        <v>1283.18</v>
      </c>
      <c r="AB55" s="115">
        <f t="shared" si="25"/>
        <v>82.019999999999982</v>
      </c>
      <c r="AC55" s="120">
        <f t="shared" si="8"/>
        <v>0</v>
      </c>
      <c r="AD55" s="115">
        <f t="shared" si="26"/>
        <v>82.019999999999982</v>
      </c>
      <c r="AE55" s="121">
        <f t="shared" si="27"/>
        <v>136.52000000000001</v>
      </c>
      <c r="AF55" s="120">
        <v>10.23</v>
      </c>
      <c r="AG55" s="120">
        <f t="shared" si="28"/>
        <v>0</v>
      </c>
      <c r="AH55" s="122">
        <f t="shared" si="29"/>
        <v>1511.95</v>
      </c>
      <c r="AI55" s="207">
        <v>82.02</v>
      </c>
      <c r="AJ55" s="204"/>
      <c r="AK55" s="194">
        <f t="shared" si="7"/>
        <v>0</v>
      </c>
      <c r="AL55" s="124"/>
      <c r="AM55" s="124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</row>
    <row r="56" spans="1:193" s="84" customFormat="1">
      <c r="A56" s="124" t="s">
        <v>70</v>
      </c>
      <c r="B56" s="110" t="s">
        <v>225</v>
      </c>
      <c r="C56" s="124" t="s">
        <v>297</v>
      </c>
      <c r="D56" s="110" t="s">
        <v>124</v>
      </c>
      <c r="E56" s="110" t="s">
        <v>173</v>
      </c>
      <c r="F56" s="132">
        <v>42352</v>
      </c>
      <c r="G56" s="111"/>
      <c r="H56" s="111"/>
      <c r="I56" s="112">
        <v>513.33000000000004</v>
      </c>
      <c r="J56" s="178">
        <v>653.33000000000004</v>
      </c>
      <c r="K56" s="112">
        <f t="shared" si="23"/>
        <v>1166.6600000000001</v>
      </c>
      <c r="L56" s="112"/>
      <c r="M56" s="112"/>
      <c r="N56" s="113"/>
      <c r="O56" s="113"/>
      <c r="P56" s="114"/>
      <c r="Q56" s="115">
        <f t="shared" si="24"/>
        <v>1166.6600000000001</v>
      </c>
      <c r="R56" s="116"/>
      <c r="S56" s="117"/>
      <c r="T56" s="117">
        <v>0</v>
      </c>
      <c r="U56" s="117"/>
      <c r="V56" s="117"/>
      <c r="W56" s="117"/>
      <c r="X56" s="131">
        <f>532.3+28.61</f>
        <v>560.91</v>
      </c>
      <c r="Y56" s="118"/>
      <c r="Z56" s="119"/>
      <c r="AA56" s="119">
        <v>0</v>
      </c>
      <c r="AB56" s="115">
        <f t="shared" si="25"/>
        <v>605.75000000000011</v>
      </c>
      <c r="AC56" s="120">
        <f t="shared" si="8"/>
        <v>0</v>
      </c>
      <c r="AD56" s="115">
        <f t="shared" si="26"/>
        <v>605.75000000000011</v>
      </c>
      <c r="AE56" s="121">
        <f t="shared" si="27"/>
        <v>116.66600000000001</v>
      </c>
      <c r="AF56" s="120">
        <v>10.23</v>
      </c>
      <c r="AG56" s="120">
        <f t="shared" si="28"/>
        <v>0</v>
      </c>
      <c r="AH56" s="122">
        <f t="shared" si="29"/>
        <v>1293.556</v>
      </c>
      <c r="AI56" s="210">
        <v>16.489999999999998</v>
      </c>
      <c r="AJ56" s="207">
        <v>589.26</v>
      </c>
      <c r="AK56" s="194">
        <f t="shared" si="7"/>
        <v>0</v>
      </c>
      <c r="AL56" s="124"/>
      <c r="AM56" s="124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</row>
    <row r="57" spans="1:193">
      <c r="A57" s="124" t="s">
        <v>94</v>
      </c>
      <c r="B57" s="124" t="s">
        <v>301</v>
      </c>
      <c r="C57" s="124"/>
      <c r="D57" s="124"/>
      <c r="E57" s="124" t="s">
        <v>174</v>
      </c>
      <c r="F57" s="127">
        <v>42444</v>
      </c>
      <c r="G57" s="124"/>
      <c r="H57" s="124"/>
      <c r="I57" s="128">
        <v>608.16</v>
      </c>
      <c r="J57" s="177"/>
      <c r="K57" s="128">
        <f t="shared" si="23"/>
        <v>608.16</v>
      </c>
      <c r="L57" s="128">
        <v>292.7</v>
      </c>
      <c r="M57" s="128"/>
      <c r="N57" s="128"/>
      <c r="O57" s="128"/>
      <c r="P57" s="114"/>
      <c r="Q57" s="115">
        <f t="shared" si="24"/>
        <v>900.8599999999999</v>
      </c>
      <c r="R57" s="116"/>
      <c r="S57" s="117"/>
      <c r="T57" s="117"/>
      <c r="U57" s="117"/>
      <c r="V57" s="117"/>
      <c r="W57" s="117"/>
      <c r="X57" s="118"/>
      <c r="Y57" s="118"/>
      <c r="Z57" s="119"/>
      <c r="AA57" s="119">
        <v>0</v>
      </c>
      <c r="AB57" s="115">
        <f t="shared" si="25"/>
        <v>900.8599999999999</v>
      </c>
      <c r="AC57" s="120">
        <f t="shared" si="8"/>
        <v>0</v>
      </c>
      <c r="AD57" s="115">
        <f t="shared" si="26"/>
        <v>900.8599999999999</v>
      </c>
      <c r="AE57" s="121">
        <f t="shared" si="27"/>
        <v>90.085999999999999</v>
      </c>
      <c r="AF57" s="120">
        <v>10.23</v>
      </c>
      <c r="AG57" s="120">
        <f t="shared" si="28"/>
        <v>0</v>
      </c>
      <c r="AH57" s="122">
        <f t="shared" si="29"/>
        <v>1001.1759999999999</v>
      </c>
      <c r="AI57" s="208">
        <v>577.4</v>
      </c>
      <c r="AJ57" s="210">
        <v>323.45999999999998</v>
      </c>
      <c r="AK57" s="194">
        <f t="shared" si="7"/>
        <v>0</v>
      </c>
      <c r="AL57" s="147">
        <v>1159718206</v>
      </c>
      <c r="AM57" s="147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</row>
    <row r="58" spans="1:193">
      <c r="A58" s="125" t="s">
        <v>94</v>
      </c>
      <c r="B58" s="125" t="s">
        <v>350</v>
      </c>
      <c r="C58" s="125"/>
      <c r="D58" s="125"/>
      <c r="E58" s="125" t="s">
        <v>270</v>
      </c>
      <c r="F58" s="220">
        <v>42494</v>
      </c>
      <c r="G58" s="125"/>
      <c r="H58" s="125"/>
      <c r="I58" s="126">
        <v>1100</v>
      </c>
      <c r="J58" s="217"/>
      <c r="K58" s="126">
        <f t="shared" si="23"/>
        <v>1100</v>
      </c>
      <c r="L58" s="126">
        <f>1329.12+5.57</f>
        <v>1334.6899999999998</v>
      </c>
      <c r="M58" s="126"/>
      <c r="N58" s="126"/>
      <c r="O58" s="126"/>
      <c r="P58" s="218"/>
      <c r="Q58" s="219">
        <f t="shared" si="24"/>
        <v>2434.6899999999996</v>
      </c>
      <c r="R58" s="126"/>
      <c r="S58" s="126"/>
      <c r="T58" s="126"/>
      <c r="U58" s="126"/>
      <c r="V58" s="126"/>
      <c r="W58" s="126"/>
      <c r="X58" s="131"/>
      <c r="Y58" s="131"/>
      <c r="Z58" s="125"/>
      <c r="AA58" s="125">
        <v>0</v>
      </c>
      <c r="AB58" s="219">
        <f t="shared" ref="AB58" si="37">+Q58-SUM(R58:AA58)</f>
        <v>2434.6899999999996</v>
      </c>
      <c r="AC58" s="131">
        <f t="shared" ref="AC58" si="38">IF(Q58&gt;2250,Q58*0.1,0)</f>
        <v>243.46899999999997</v>
      </c>
      <c r="AD58" s="219">
        <f t="shared" ref="AD58" si="39">+AB58-AC58</f>
        <v>2191.2209999999995</v>
      </c>
      <c r="AE58" s="131">
        <f t="shared" ref="AE58" si="40">IF(Q58&lt;3500,Q58*0.1,0)</f>
        <v>243.46899999999997</v>
      </c>
      <c r="AF58" s="131">
        <v>10.23</v>
      </c>
      <c r="AG58" s="131">
        <f t="shared" ref="AG58" si="41">+U58</f>
        <v>0</v>
      </c>
      <c r="AH58" s="219">
        <f t="shared" ref="AH58" si="42">+Q58+AE58+AF58+AG58</f>
        <v>2688.3889999999997</v>
      </c>
      <c r="AI58" s="208">
        <v>577.35</v>
      </c>
      <c r="AJ58" s="212">
        <v>1613.87</v>
      </c>
      <c r="AK58" s="194">
        <f t="shared" si="7"/>
        <v>-9.9999999974897946E-4</v>
      </c>
      <c r="AL58" s="224">
        <v>2858432805</v>
      </c>
      <c r="AM58" s="225" t="s">
        <v>351</v>
      </c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</row>
    <row r="59" spans="1:193">
      <c r="A59" s="124" t="s">
        <v>93</v>
      </c>
      <c r="B59" s="124" t="s">
        <v>295</v>
      </c>
      <c r="C59" s="124"/>
      <c r="D59" s="124" t="s">
        <v>296</v>
      </c>
      <c r="E59" s="124" t="s">
        <v>171</v>
      </c>
      <c r="F59" s="127"/>
      <c r="G59" s="124"/>
      <c r="H59" s="124"/>
      <c r="I59" s="128">
        <f>1237.24/15*7</f>
        <v>577.37866666666673</v>
      </c>
      <c r="J59" s="196">
        <v>1047.6199999999999</v>
      </c>
      <c r="K59" s="128">
        <f t="shared" si="23"/>
        <v>1624.9986666666666</v>
      </c>
      <c r="L59" s="128">
        <v>866.67</v>
      </c>
      <c r="M59" s="128"/>
      <c r="N59" s="128"/>
      <c r="O59" s="128"/>
      <c r="P59" s="114"/>
      <c r="Q59" s="115">
        <f t="shared" si="24"/>
        <v>2491.6686666666665</v>
      </c>
      <c r="R59" s="116"/>
      <c r="S59" s="117"/>
      <c r="T59" s="117"/>
      <c r="U59" s="117"/>
      <c r="V59" s="117"/>
      <c r="W59" s="117"/>
      <c r="X59" s="118"/>
      <c r="Y59" s="118"/>
      <c r="Z59" s="119"/>
      <c r="AA59" s="119">
        <v>0</v>
      </c>
      <c r="AB59" s="115">
        <f t="shared" si="25"/>
        <v>2491.6686666666665</v>
      </c>
      <c r="AC59" s="120">
        <f t="shared" si="8"/>
        <v>249.16686666666666</v>
      </c>
      <c r="AD59" s="115">
        <f t="shared" si="26"/>
        <v>2242.5018</v>
      </c>
      <c r="AE59" s="121">
        <f t="shared" si="27"/>
        <v>249.16686666666666</v>
      </c>
      <c r="AF59" s="120">
        <v>10.23</v>
      </c>
      <c r="AG59" s="120">
        <f t="shared" si="28"/>
        <v>0</v>
      </c>
      <c r="AH59" s="122">
        <f t="shared" si="29"/>
        <v>2751.065533333333</v>
      </c>
      <c r="AI59" s="207">
        <v>577.4</v>
      </c>
      <c r="AJ59" s="209">
        <v>1665.1</v>
      </c>
      <c r="AK59" s="194">
        <f t="shared" si="7"/>
        <v>-1.8000000000029104E-3</v>
      </c>
      <c r="AL59" s="124"/>
      <c r="AM59" s="12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</row>
    <row r="60" spans="1:193">
      <c r="A60" s="147" t="s">
        <v>71</v>
      </c>
      <c r="B60" s="110" t="s">
        <v>302</v>
      </c>
      <c r="C60" s="124" t="s">
        <v>297</v>
      </c>
      <c r="D60" s="138" t="s">
        <v>291</v>
      </c>
      <c r="E60" s="124" t="s">
        <v>173</v>
      </c>
      <c r="F60" s="110"/>
      <c r="G60" s="110"/>
      <c r="H60" s="110"/>
      <c r="I60" s="112">
        <v>513.33000000000004</v>
      </c>
      <c r="J60" s="197">
        <v>653.33000000000004</v>
      </c>
      <c r="K60" s="112">
        <f t="shared" si="23"/>
        <v>1166.6600000000001</v>
      </c>
      <c r="L60" s="128">
        <v>1653.33</v>
      </c>
      <c r="M60" s="112"/>
      <c r="N60" s="112"/>
      <c r="O60" s="112"/>
      <c r="P60" s="114"/>
      <c r="Q60" s="115">
        <f t="shared" si="24"/>
        <v>2819.99</v>
      </c>
      <c r="R60" s="116"/>
      <c r="S60" s="117"/>
      <c r="T60" s="117"/>
      <c r="U60" s="117"/>
      <c r="V60" s="117"/>
      <c r="W60" s="117"/>
      <c r="X60" s="118"/>
      <c r="Y60" s="118"/>
      <c r="Z60" s="119"/>
      <c r="AA60" s="119">
        <v>0</v>
      </c>
      <c r="AB60" s="115">
        <f t="shared" si="25"/>
        <v>2819.99</v>
      </c>
      <c r="AC60" s="120">
        <f t="shared" si="8"/>
        <v>281.99899999999997</v>
      </c>
      <c r="AD60" s="115">
        <f t="shared" si="26"/>
        <v>2537.991</v>
      </c>
      <c r="AE60" s="121">
        <f t="shared" si="27"/>
        <v>281.99899999999997</v>
      </c>
      <c r="AF60" s="120">
        <v>10.23</v>
      </c>
      <c r="AG60" s="120">
        <f t="shared" si="28"/>
        <v>0</v>
      </c>
      <c r="AH60" s="122">
        <f t="shared" si="29"/>
        <v>3112.2189999999996</v>
      </c>
      <c r="AI60" s="210">
        <v>577.4</v>
      </c>
      <c r="AJ60" s="212">
        <v>1960.59</v>
      </c>
      <c r="AK60" s="194">
        <f t="shared" si="7"/>
        <v>-1.0000000002037268E-3</v>
      </c>
      <c r="AL60" s="124"/>
      <c r="AM60" s="124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</row>
    <row r="61" spans="1:193">
      <c r="A61" s="124" t="s">
        <v>71</v>
      </c>
      <c r="B61" s="110" t="s">
        <v>263</v>
      </c>
      <c r="C61" s="110" t="s">
        <v>251</v>
      </c>
      <c r="D61" s="110" t="s">
        <v>156</v>
      </c>
      <c r="E61" s="110" t="s">
        <v>73</v>
      </c>
      <c r="F61" s="110"/>
      <c r="G61" s="111"/>
      <c r="H61" s="111"/>
      <c r="I61" s="112">
        <v>513.33000000000004</v>
      </c>
      <c r="J61" s="179">
        <v>653.33000000000004</v>
      </c>
      <c r="K61" s="112">
        <f t="shared" si="23"/>
        <v>1166.6600000000001</v>
      </c>
      <c r="L61" s="112"/>
      <c r="M61" s="112"/>
      <c r="N61" s="113"/>
      <c r="O61" s="113"/>
      <c r="P61" s="114"/>
      <c r="Q61" s="115">
        <f t="shared" si="24"/>
        <v>1166.6600000000001</v>
      </c>
      <c r="R61" s="116"/>
      <c r="S61" s="117"/>
      <c r="T61" s="117">
        <v>0</v>
      </c>
      <c r="U61" s="117"/>
      <c r="V61" s="117"/>
      <c r="W61" s="117"/>
      <c r="X61" s="131">
        <v>460.45</v>
      </c>
      <c r="Y61" s="118"/>
      <c r="Z61" s="119"/>
      <c r="AA61" s="125">
        <v>517.25</v>
      </c>
      <c r="AB61" s="115">
        <f t="shared" si="25"/>
        <v>188.96000000000004</v>
      </c>
      <c r="AC61" s="120">
        <f t="shared" si="8"/>
        <v>0</v>
      </c>
      <c r="AD61" s="115">
        <f t="shared" si="26"/>
        <v>188.96000000000004</v>
      </c>
      <c r="AE61" s="121">
        <f t="shared" si="27"/>
        <v>116.66600000000001</v>
      </c>
      <c r="AF61" s="120">
        <v>10.23</v>
      </c>
      <c r="AG61" s="120">
        <f t="shared" si="28"/>
        <v>0</v>
      </c>
      <c r="AH61" s="122">
        <f t="shared" si="29"/>
        <v>1293.556</v>
      </c>
      <c r="AI61" s="207">
        <v>116.95</v>
      </c>
      <c r="AJ61" s="210">
        <v>72.010000000000005</v>
      </c>
      <c r="AK61" s="194">
        <f t="shared" si="7"/>
        <v>0</v>
      </c>
      <c r="AL61" s="124"/>
      <c r="AM61" s="124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</row>
    <row r="62" spans="1:193">
      <c r="A62" s="124" t="s">
        <v>94</v>
      </c>
      <c r="B62" s="110" t="s">
        <v>243</v>
      </c>
      <c r="C62" s="110"/>
      <c r="D62" s="110" t="s">
        <v>134</v>
      </c>
      <c r="E62" s="110" t="s">
        <v>178</v>
      </c>
      <c r="F62" s="110"/>
      <c r="G62" s="111"/>
      <c r="H62" s="111"/>
      <c r="I62" s="112">
        <v>1100</v>
      </c>
      <c r="J62" s="177"/>
      <c r="K62" s="112">
        <f t="shared" si="23"/>
        <v>1100</v>
      </c>
      <c r="L62" s="112">
        <v>338</v>
      </c>
      <c r="M62" s="112"/>
      <c r="N62" s="113"/>
      <c r="O62" s="113"/>
      <c r="P62" s="114"/>
      <c r="Q62" s="115">
        <f t="shared" si="24"/>
        <v>1438</v>
      </c>
      <c r="R62" s="116"/>
      <c r="S62" s="117"/>
      <c r="T62" s="126">
        <f>+Q62*1%</f>
        <v>14.38</v>
      </c>
      <c r="U62" s="126">
        <f>+Q62*4.9%</f>
        <v>70.462000000000003</v>
      </c>
      <c r="V62" s="117"/>
      <c r="W62" s="117"/>
      <c r="X62" s="118"/>
      <c r="Y62" s="118"/>
      <c r="Z62" s="119"/>
      <c r="AA62" s="119">
        <v>0</v>
      </c>
      <c r="AB62" s="115">
        <f t="shared" si="25"/>
        <v>1353.1579999999999</v>
      </c>
      <c r="AC62" s="120">
        <f t="shared" si="8"/>
        <v>0</v>
      </c>
      <c r="AD62" s="115">
        <f t="shared" si="26"/>
        <v>1353.1579999999999</v>
      </c>
      <c r="AE62" s="121">
        <f t="shared" si="27"/>
        <v>143.80000000000001</v>
      </c>
      <c r="AF62" s="120">
        <v>10.23</v>
      </c>
      <c r="AG62" s="120">
        <f t="shared" si="28"/>
        <v>70.462000000000003</v>
      </c>
      <c r="AH62" s="122">
        <f t="shared" si="29"/>
        <v>1662.492</v>
      </c>
      <c r="AI62" s="210">
        <v>577.4</v>
      </c>
      <c r="AJ62" s="207">
        <v>775.76</v>
      </c>
      <c r="AK62" s="194">
        <f t="shared" si="7"/>
        <v>1.9999999999527063E-3</v>
      </c>
      <c r="AL62" s="124"/>
      <c r="AM62" s="124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</row>
    <row r="63" spans="1:193">
      <c r="A63" s="124" t="s">
        <v>92</v>
      </c>
      <c r="B63" s="110" t="s">
        <v>322</v>
      </c>
      <c r="C63" s="110"/>
      <c r="D63" s="110" t="s">
        <v>103</v>
      </c>
      <c r="E63" s="110" t="s">
        <v>163</v>
      </c>
      <c r="F63" s="110"/>
      <c r="G63" s="110"/>
      <c r="H63" s="110"/>
      <c r="I63" s="112">
        <v>739.23</v>
      </c>
      <c r="J63" s="180"/>
      <c r="K63" s="112">
        <f t="shared" si="23"/>
        <v>739.23</v>
      </c>
      <c r="L63" s="112">
        <f>1775.81+13.09</f>
        <v>1788.8999999999999</v>
      </c>
      <c r="M63" s="112"/>
      <c r="N63" s="112"/>
      <c r="O63" s="112"/>
      <c r="P63" s="114"/>
      <c r="Q63" s="115">
        <f t="shared" si="24"/>
        <v>2528.13</v>
      </c>
      <c r="R63" s="116"/>
      <c r="S63" s="117"/>
      <c r="T63" s="117">
        <v>0</v>
      </c>
      <c r="U63" s="117"/>
      <c r="V63" s="117"/>
      <c r="W63" s="117"/>
      <c r="X63" s="118"/>
      <c r="Y63" s="118"/>
      <c r="Z63" s="119"/>
      <c r="AA63" s="119">
        <v>0</v>
      </c>
      <c r="AB63" s="115">
        <f t="shared" si="25"/>
        <v>2528.13</v>
      </c>
      <c r="AC63" s="120">
        <f t="shared" si="8"/>
        <v>252.81300000000002</v>
      </c>
      <c r="AD63" s="115">
        <f t="shared" si="26"/>
        <v>2275.317</v>
      </c>
      <c r="AE63" s="121">
        <f t="shared" si="27"/>
        <v>252.81300000000002</v>
      </c>
      <c r="AF63" s="120">
        <v>10.23</v>
      </c>
      <c r="AG63" s="120">
        <f t="shared" si="28"/>
        <v>0</v>
      </c>
      <c r="AH63" s="122">
        <f t="shared" si="29"/>
        <v>2791.1730000000002</v>
      </c>
      <c r="AI63" s="207">
        <v>577.4</v>
      </c>
      <c r="AJ63" s="209">
        <v>1697.92</v>
      </c>
      <c r="AK63" s="194">
        <f t="shared" si="7"/>
        <v>3.0000000001564331E-3</v>
      </c>
      <c r="AL63" s="124"/>
      <c r="AM63" s="12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</row>
    <row r="64" spans="1:193">
      <c r="A64" s="124" t="s">
        <v>94</v>
      </c>
      <c r="B64" s="110" t="s">
        <v>208</v>
      </c>
      <c r="C64" s="110"/>
      <c r="D64" s="110" t="s">
        <v>135</v>
      </c>
      <c r="E64" s="110" t="s">
        <v>179</v>
      </c>
      <c r="F64" s="110"/>
      <c r="G64" s="111"/>
      <c r="H64" s="111"/>
      <c r="I64" s="112"/>
      <c r="J64" s="177"/>
      <c r="K64" s="226">
        <v>86.88</v>
      </c>
      <c r="L64" s="112"/>
      <c r="M64" s="112"/>
      <c r="N64" s="113"/>
      <c r="O64" s="113">
        <v>2957.25</v>
      </c>
      <c r="P64" s="114"/>
      <c r="Q64" s="115">
        <f t="shared" si="24"/>
        <v>3044.13</v>
      </c>
      <c r="R64" s="116"/>
      <c r="S64" s="117"/>
      <c r="T64" s="117"/>
      <c r="U64" s="126">
        <f>Q64*4.9%</f>
        <v>149.16237000000001</v>
      </c>
      <c r="V64" s="126">
        <f>Q64*1%</f>
        <v>30.441300000000002</v>
      </c>
      <c r="W64" s="117"/>
      <c r="X64" s="118"/>
      <c r="Y64" s="118"/>
      <c r="Z64" s="119"/>
      <c r="AA64" s="119">
        <v>0</v>
      </c>
      <c r="AB64" s="115">
        <f t="shared" si="25"/>
        <v>2864.5263300000001</v>
      </c>
      <c r="AC64" s="120">
        <f t="shared" si="8"/>
        <v>304.41300000000001</v>
      </c>
      <c r="AD64" s="115">
        <f t="shared" si="26"/>
        <v>2560.1133300000001</v>
      </c>
      <c r="AE64" s="121">
        <f t="shared" si="27"/>
        <v>304.41300000000001</v>
      </c>
      <c r="AF64" s="120">
        <v>10.23</v>
      </c>
      <c r="AG64" s="120">
        <f t="shared" si="28"/>
        <v>149.16237000000001</v>
      </c>
      <c r="AH64" s="122">
        <f t="shared" si="29"/>
        <v>3507.9353700000001</v>
      </c>
      <c r="AI64" s="210">
        <v>577.24</v>
      </c>
      <c r="AJ64" s="212">
        <v>1982.87</v>
      </c>
      <c r="AK64" s="194">
        <f t="shared" si="7"/>
        <v>-3.3300000004601316E-3</v>
      </c>
      <c r="AL64" s="124"/>
      <c r="AM64" s="124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</row>
    <row r="65" spans="1:193" s="39" customFormat="1">
      <c r="A65" s="124" t="s">
        <v>94</v>
      </c>
      <c r="B65" s="110" t="s">
        <v>199</v>
      </c>
      <c r="C65" s="110"/>
      <c r="D65" s="110" t="s">
        <v>136</v>
      </c>
      <c r="E65" s="110" t="s">
        <v>270</v>
      </c>
      <c r="F65" s="110"/>
      <c r="G65" s="111"/>
      <c r="H65" s="111"/>
      <c r="I65" s="112">
        <v>511.28</v>
      </c>
      <c r="J65" s="177"/>
      <c r="K65" s="112">
        <f t="shared" si="23"/>
        <v>511.28</v>
      </c>
      <c r="L65" s="112">
        <f>2189.4+7.42</f>
        <v>2196.8200000000002</v>
      </c>
      <c r="M65" s="112"/>
      <c r="N65" s="113"/>
      <c r="O65" s="113"/>
      <c r="P65" s="114"/>
      <c r="Q65" s="115">
        <f t="shared" si="24"/>
        <v>2708.1000000000004</v>
      </c>
      <c r="R65" s="116"/>
      <c r="S65" s="117"/>
      <c r="T65" s="126">
        <v>100</v>
      </c>
      <c r="U65" s="126">
        <f>Q65*4.9%</f>
        <v>132.69690000000003</v>
      </c>
      <c r="V65" s="126">
        <f>Q65*1%</f>
        <v>27.081000000000003</v>
      </c>
      <c r="W65" s="117"/>
      <c r="X65" s="118"/>
      <c r="Y65" s="118"/>
      <c r="Z65" s="119"/>
      <c r="AA65" s="119">
        <v>0</v>
      </c>
      <c r="AB65" s="115">
        <f t="shared" si="25"/>
        <v>2448.3221000000003</v>
      </c>
      <c r="AC65" s="120">
        <f t="shared" si="8"/>
        <v>270.81000000000006</v>
      </c>
      <c r="AD65" s="115">
        <f t="shared" si="26"/>
        <v>2177.5121000000004</v>
      </c>
      <c r="AE65" s="121">
        <f t="shared" si="27"/>
        <v>270.81000000000006</v>
      </c>
      <c r="AF65" s="120">
        <v>10.23</v>
      </c>
      <c r="AG65" s="120">
        <f t="shared" si="28"/>
        <v>132.69690000000003</v>
      </c>
      <c r="AH65" s="122">
        <f t="shared" si="29"/>
        <v>3121.8369000000002</v>
      </c>
      <c r="AI65" s="207">
        <v>577.4</v>
      </c>
      <c r="AJ65" s="209">
        <v>1600.11</v>
      </c>
      <c r="AK65" s="194">
        <f t="shared" si="7"/>
        <v>-2.1000000006097252E-3</v>
      </c>
      <c r="AL65" s="124"/>
      <c r="AM65" s="124"/>
    </row>
    <row r="66" spans="1:193" s="39" customFormat="1">
      <c r="A66" s="124" t="s">
        <v>92</v>
      </c>
      <c r="B66" s="124" t="s">
        <v>338</v>
      </c>
      <c r="C66" s="124"/>
      <c r="D66" s="124"/>
      <c r="E66" s="124" t="s">
        <v>270</v>
      </c>
      <c r="F66" s="127">
        <v>42493</v>
      </c>
      <c r="G66" s="124"/>
      <c r="H66" s="124"/>
      <c r="I66" s="128">
        <v>1100</v>
      </c>
      <c r="J66" s="178"/>
      <c r="K66" s="128">
        <f t="shared" si="23"/>
        <v>1100</v>
      </c>
      <c r="L66" s="126">
        <f>492.34+2.97</f>
        <v>495.31</v>
      </c>
      <c r="M66" s="128"/>
      <c r="N66" s="128"/>
      <c r="O66" s="128"/>
      <c r="P66" s="171"/>
      <c r="Q66" s="115">
        <f t="shared" si="24"/>
        <v>1595.31</v>
      </c>
      <c r="R66" s="116"/>
      <c r="S66" s="117"/>
      <c r="T66" s="164"/>
      <c r="U66" s="164"/>
      <c r="V66" s="164"/>
      <c r="W66" s="164"/>
      <c r="X66" s="165"/>
      <c r="Y66" s="165"/>
      <c r="Z66" s="149"/>
      <c r="AA66" s="149">
        <v>0</v>
      </c>
      <c r="AB66" s="115">
        <f t="shared" si="25"/>
        <v>1595.31</v>
      </c>
      <c r="AC66" s="120">
        <f t="shared" ref="AC66" si="43">IF(Q66&gt;2250,Q66*0.1,0)</f>
        <v>0</v>
      </c>
      <c r="AD66" s="115">
        <f t="shared" ref="AD66" si="44">+AB66-AC66</f>
        <v>1595.31</v>
      </c>
      <c r="AE66" s="121">
        <f t="shared" ref="AE66" si="45">IF(Q66&lt;3500,Q66*0.1,0)</f>
        <v>159.53100000000001</v>
      </c>
      <c r="AF66" s="120">
        <v>10.23</v>
      </c>
      <c r="AG66" s="120">
        <f t="shared" ref="AG66" si="46">+U66</f>
        <v>0</v>
      </c>
      <c r="AH66" s="122">
        <f t="shared" ref="AH66" si="47">+Q66+AE66+AF66+AG66</f>
        <v>1765.0709999999999</v>
      </c>
      <c r="AI66" s="210">
        <v>577.4</v>
      </c>
      <c r="AJ66" s="212">
        <v>1017.91</v>
      </c>
      <c r="AK66" s="202">
        <f t="shared" si="7"/>
        <v>0</v>
      </c>
      <c r="AL66" s="124">
        <v>2999103732</v>
      </c>
      <c r="AM66" s="129"/>
    </row>
    <row r="67" spans="1:193">
      <c r="A67" s="124" t="s">
        <v>71</v>
      </c>
      <c r="B67" s="110" t="s">
        <v>287</v>
      </c>
      <c r="C67" s="110" t="s">
        <v>254</v>
      </c>
      <c r="D67" s="110" t="s">
        <v>157</v>
      </c>
      <c r="E67" s="110" t="s">
        <v>73</v>
      </c>
      <c r="F67" s="110"/>
      <c r="G67" s="111"/>
      <c r="H67" s="111"/>
      <c r="I67" s="112">
        <v>513.33000000000004</v>
      </c>
      <c r="J67" s="179">
        <v>653.33000000000004</v>
      </c>
      <c r="K67" s="112">
        <f t="shared" si="23"/>
        <v>1166.6600000000001</v>
      </c>
      <c r="L67" s="112">
        <v>973.45</v>
      </c>
      <c r="M67" s="112"/>
      <c r="N67" s="113"/>
      <c r="O67" s="113"/>
      <c r="P67" s="114"/>
      <c r="Q67" s="115">
        <f t="shared" si="24"/>
        <v>2140.11</v>
      </c>
      <c r="R67" s="116"/>
      <c r="S67" s="117"/>
      <c r="T67" s="117">
        <v>0</v>
      </c>
      <c r="U67" s="117"/>
      <c r="V67" s="117"/>
      <c r="W67" s="117"/>
      <c r="X67" s="118"/>
      <c r="Y67" s="118"/>
      <c r="Z67" s="119"/>
      <c r="AA67" s="119">
        <v>0</v>
      </c>
      <c r="AB67" s="115">
        <f t="shared" si="25"/>
        <v>2140.11</v>
      </c>
      <c r="AC67" s="120">
        <f t="shared" si="8"/>
        <v>0</v>
      </c>
      <c r="AD67" s="115">
        <f t="shared" si="26"/>
        <v>2140.11</v>
      </c>
      <c r="AE67" s="121">
        <f t="shared" si="27"/>
        <v>214.01100000000002</v>
      </c>
      <c r="AF67" s="120">
        <v>10.23</v>
      </c>
      <c r="AG67" s="120">
        <f t="shared" si="28"/>
        <v>0</v>
      </c>
      <c r="AH67" s="122">
        <f t="shared" si="29"/>
        <v>2364.3510000000001</v>
      </c>
      <c r="AI67" s="207">
        <v>577.4</v>
      </c>
      <c r="AJ67" s="209">
        <v>1562.71</v>
      </c>
      <c r="AK67" s="194">
        <f t="shared" si="7"/>
        <v>0</v>
      </c>
      <c r="AL67" s="124"/>
      <c r="AM67" s="124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</row>
    <row r="68" spans="1:193" s="84" customFormat="1">
      <c r="A68" s="124" t="s">
        <v>92</v>
      </c>
      <c r="B68" s="110" t="s">
        <v>78</v>
      </c>
      <c r="C68" s="110"/>
      <c r="D68" s="110" t="s">
        <v>104</v>
      </c>
      <c r="E68" s="110" t="s">
        <v>164</v>
      </c>
      <c r="F68" s="110"/>
      <c r="G68" s="110"/>
      <c r="H68" s="111"/>
      <c r="I68" s="112"/>
      <c r="J68" s="177"/>
      <c r="K68" s="226">
        <v>528.02</v>
      </c>
      <c r="L68" s="112">
        <f>1506.69+7.42</f>
        <v>1514.1100000000001</v>
      </c>
      <c r="M68" s="112"/>
      <c r="N68" s="134"/>
      <c r="O68" s="113"/>
      <c r="P68" s="114"/>
      <c r="Q68" s="115">
        <f t="shared" si="24"/>
        <v>2042.13</v>
      </c>
      <c r="R68" s="116"/>
      <c r="S68" s="117"/>
      <c r="T68" s="117">
        <v>0</v>
      </c>
      <c r="U68" s="117"/>
      <c r="V68" s="117"/>
      <c r="W68" s="117"/>
      <c r="X68" s="118"/>
      <c r="Y68" s="118"/>
      <c r="Z68" s="119"/>
      <c r="AA68" s="119">
        <v>0</v>
      </c>
      <c r="AB68" s="115">
        <f t="shared" si="25"/>
        <v>2042.13</v>
      </c>
      <c r="AC68" s="120">
        <f t="shared" si="8"/>
        <v>0</v>
      </c>
      <c r="AD68" s="115">
        <f t="shared" si="26"/>
        <v>2042.13</v>
      </c>
      <c r="AE68" s="121">
        <f t="shared" si="27"/>
        <v>204.21300000000002</v>
      </c>
      <c r="AF68" s="120">
        <v>10.23</v>
      </c>
      <c r="AG68" s="120">
        <f t="shared" si="28"/>
        <v>0</v>
      </c>
      <c r="AH68" s="122">
        <f t="shared" si="29"/>
        <v>2256.5730000000003</v>
      </c>
      <c r="AI68" s="210">
        <v>577.4</v>
      </c>
      <c r="AJ68" s="212">
        <v>1464.73</v>
      </c>
      <c r="AK68" s="194">
        <f t="shared" si="7"/>
        <v>0</v>
      </c>
      <c r="AL68" s="124"/>
      <c r="AM68" s="227" t="s">
        <v>353</v>
      </c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</row>
    <row r="69" spans="1:193" s="39" customFormat="1">
      <c r="A69" s="124" t="s">
        <v>91</v>
      </c>
      <c r="B69" s="124" t="s">
        <v>314</v>
      </c>
      <c r="C69" s="124"/>
      <c r="D69" s="124"/>
      <c r="E69" s="124" t="s">
        <v>72</v>
      </c>
      <c r="F69" s="127">
        <v>42472</v>
      </c>
      <c r="G69" s="124"/>
      <c r="H69" s="124"/>
      <c r="I69" s="128">
        <v>1166.26</v>
      </c>
      <c r="J69" s="178"/>
      <c r="K69" s="128">
        <f t="shared" si="23"/>
        <v>1166.26</v>
      </c>
      <c r="L69" s="128">
        <v>833.41</v>
      </c>
      <c r="M69" s="128"/>
      <c r="N69" s="135"/>
      <c r="O69" s="128"/>
      <c r="P69" s="114"/>
      <c r="Q69" s="115">
        <f t="shared" si="24"/>
        <v>1999.67</v>
      </c>
      <c r="R69" s="116"/>
      <c r="S69" s="164"/>
      <c r="T69" s="164"/>
      <c r="U69" s="164"/>
      <c r="V69" s="164"/>
      <c r="W69" s="164"/>
      <c r="X69" s="165"/>
      <c r="Y69" s="165"/>
      <c r="Z69" s="149"/>
      <c r="AA69" s="149">
        <v>0</v>
      </c>
      <c r="AB69" s="115">
        <f t="shared" si="25"/>
        <v>1999.67</v>
      </c>
      <c r="AC69" s="120">
        <f t="shared" ref="AC69" si="48">IF(Q69&gt;2250,Q69*0.1,0)</f>
        <v>0</v>
      </c>
      <c r="AD69" s="115">
        <f t="shared" ref="AD69" si="49">+AB69-AC69</f>
        <v>1999.67</v>
      </c>
      <c r="AE69" s="121">
        <f t="shared" ref="AE69" si="50">IF(Q69&lt;3500,Q69*0.1,0)</f>
        <v>199.96700000000001</v>
      </c>
      <c r="AF69" s="120">
        <v>10.23</v>
      </c>
      <c r="AG69" s="120">
        <f t="shared" ref="AG69" si="51">+U69</f>
        <v>0</v>
      </c>
      <c r="AH69" s="122">
        <f t="shared" si="29"/>
        <v>2209.8670000000002</v>
      </c>
      <c r="AI69" s="207">
        <v>577.4</v>
      </c>
      <c r="AJ69" s="209">
        <v>1422.27</v>
      </c>
      <c r="AK69" s="194">
        <f t="shared" si="7"/>
        <v>0</v>
      </c>
      <c r="AL69" s="124">
        <v>1123036669</v>
      </c>
      <c r="AM69" s="129"/>
    </row>
    <row r="70" spans="1:193">
      <c r="A70" s="124" t="s">
        <v>92</v>
      </c>
      <c r="B70" s="110" t="s">
        <v>232</v>
      </c>
      <c r="C70" s="110"/>
      <c r="D70" s="110" t="s">
        <v>105</v>
      </c>
      <c r="E70" s="110" t="s">
        <v>163</v>
      </c>
      <c r="F70" s="110"/>
      <c r="G70" s="110"/>
      <c r="H70" s="111"/>
      <c r="I70" s="112">
        <v>739.23</v>
      </c>
      <c r="J70" s="177"/>
      <c r="K70" s="112">
        <f t="shared" si="23"/>
        <v>739.23</v>
      </c>
      <c r="L70" s="112">
        <f>3524.78+13.09</f>
        <v>3537.8700000000003</v>
      </c>
      <c r="M70" s="112"/>
      <c r="N70" s="113"/>
      <c r="O70" s="113"/>
      <c r="P70" s="114"/>
      <c r="Q70" s="115">
        <f t="shared" si="24"/>
        <v>4277.1000000000004</v>
      </c>
      <c r="R70" s="116"/>
      <c r="S70" s="117"/>
      <c r="T70" s="117">
        <v>0</v>
      </c>
      <c r="U70" s="117"/>
      <c r="V70" s="117"/>
      <c r="W70" s="117"/>
      <c r="X70" s="118"/>
      <c r="Y70" s="118"/>
      <c r="Z70" s="119"/>
      <c r="AA70" s="119">
        <v>0</v>
      </c>
      <c r="AB70" s="115">
        <f t="shared" si="25"/>
        <v>4277.1000000000004</v>
      </c>
      <c r="AC70" s="120">
        <f t="shared" si="8"/>
        <v>427.71000000000004</v>
      </c>
      <c r="AD70" s="115">
        <f t="shared" si="26"/>
        <v>3849.3900000000003</v>
      </c>
      <c r="AE70" s="121">
        <f t="shared" si="27"/>
        <v>0</v>
      </c>
      <c r="AF70" s="120">
        <v>10.23</v>
      </c>
      <c r="AG70" s="120">
        <f t="shared" si="28"/>
        <v>0</v>
      </c>
      <c r="AH70" s="122">
        <f t="shared" si="29"/>
        <v>4287.33</v>
      </c>
      <c r="AI70" s="210">
        <v>577.4</v>
      </c>
      <c r="AJ70" s="212">
        <v>3271.99</v>
      </c>
      <c r="AK70" s="194">
        <f t="shared" si="7"/>
        <v>0</v>
      </c>
      <c r="AL70" s="124"/>
      <c r="AM70" s="124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</row>
    <row r="71" spans="1:193">
      <c r="A71" s="124" t="s">
        <v>92</v>
      </c>
      <c r="B71" s="124" t="s">
        <v>272</v>
      </c>
      <c r="C71" s="124"/>
      <c r="D71" s="124"/>
      <c r="E71" s="124" t="s">
        <v>163</v>
      </c>
      <c r="F71" s="127">
        <v>42422</v>
      </c>
      <c r="G71" s="124"/>
      <c r="H71" s="124"/>
      <c r="I71" s="112">
        <v>739.23</v>
      </c>
      <c r="J71" s="177"/>
      <c r="K71" s="112">
        <f t="shared" si="23"/>
        <v>739.23</v>
      </c>
      <c r="L71" s="112">
        <f>4244.41+13.09</f>
        <v>4257.5</v>
      </c>
      <c r="M71" s="112"/>
      <c r="N71" s="113"/>
      <c r="O71" s="113"/>
      <c r="P71" s="114"/>
      <c r="Q71" s="115">
        <f t="shared" si="24"/>
        <v>4996.7299999999996</v>
      </c>
      <c r="R71" s="116"/>
      <c r="S71" s="117"/>
      <c r="T71" s="117">
        <v>0</v>
      </c>
      <c r="U71" s="117"/>
      <c r="V71" s="117"/>
      <c r="W71" s="117"/>
      <c r="X71" s="118"/>
      <c r="Y71" s="118"/>
      <c r="Z71" s="119"/>
      <c r="AA71" s="119">
        <v>0</v>
      </c>
      <c r="AB71" s="115">
        <f t="shared" si="25"/>
        <v>4996.7299999999996</v>
      </c>
      <c r="AC71" s="120">
        <f t="shared" si="8"/>
        <v>499.673</v>
      </c>
      <c r="AD71" s="115">
        <f t="shared" si="26"/>
        <v>4497.0569999999998</v>
      </c>
      <c r="AE71" s="121">
        <f t="shared" si="27"/>
        <v>0</v>
      </c>
      <c r="AF71" s="120">
        <v>10.23</v>
      </c>
      <c r="AG71" s="120">
        <f t="shared" si="28"/>
        <v>0</v>
      </c>
      <c r="AH71" s="122">
        <f t="shared" si="29"/>
        <v>5006.9599999999991</v>
      </c>
      <c r="AI71" s="207">
        <v>577.4</v>
      </c>
      <c r="AJ71" s="209">
        <v>3919.66</v>
      </c>
      <c r="AK71" s="194">
        <f t="shared" si="7"/>
        <v>2.9999999997016857E-3</v>
      </c>
      <c r="AL71" s="124"/>
      <c r="AM71" s="12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</row>
    <row r="72" spans="1:193">
      <c r="A72" s="124" t="s">
        <v>94</v>
      </c>
      <c r="B72" s="110" t="s">
        <v>310</v>
      </c>
      <c r="C72" s="110"/>
      <c r="D72" s="110" t="s">
        <v>137</v>
      </c>
      <c r="E72" s="110" t="s">
        <v>181</v>
      </c>
      <c r="F72" s="110"/>
      <c r="G72" s="111"/>
      <c r="H72" s="111"/>
      <c r="I72" s="112">
        <v>608.16</v>
      </c>
      <c r="J72" s="177"/>
      <c r="K72" s="112">
        <f t="shared" si="23"/>
        <v>608.16</v>
      </c>
      <c r="L72" s="112">
        <f>401.4+2.59</f>
        <v>403.98999999999995</v>
      </c>
      <c r="M72" s="112"/>
      <c r="N72" s="113"/>
      <c r="O72" s="113"/>
      <c r="P72" s="114"/>
      <c r="Q72" s="115">
        <f t="shared" si="24"/>
        <v>1012.1499999999999</v>
      </c>
      <c r="R72" s="116"/>
      <c r="S72" s="117"/>
      <c r="T72" s="117"/>
      <c r="U72" s="126">
        <f>Q72*4.9%</f>
        <v>49.595349999999996</v>
      </c>
      <c r="V72" s="126">
        <f>Q72*1%</f>
        <v>10.121499999999999</v>
      </c>
      <c r="W72" s="117"/>
      <c r="X72" s="118"/>
      <c r="Y72" s="118"/>
      <c r="Z72" s="119"/>
      <c r="AA72" s="119">
        <v>0</v>
      </c>
      <c r="AB72" s="115">
        <f t="shared" si="25"/>
        <v>952.43314999999984</v>
      </c>
      <c r="AC72" s="120">
        <f t="shared" si="8"/>
        <v>0</v>
      </c>
      <c r="AD72" s="115">
        <f t="shared" si="26"/>
        <v>952.43314999999984</v>
      </c>
      <c r="AE72" s="121">
        <f t="shared" si="27"/>
        <v>101.21499999999999</v>
      </c>
      <c r="AF72" s="120">
        <v>10.23</v>
      </c>
      <c r="AG72" s="120">
        <f t="shared" si="28"/>
        <v>49.595349999999996</v>
      </c>
      <c r="AH72" s="122">
        <f t="shared" si="29"/>
        <v>1173.1903499999999</v>
      </c>
      <c r="AI72" s="210">
        <v>577.4</v>
      </c>
      <c r="AJ72" s="207">
        <v>375.03</v>
      </c>
      <c r="AK72" s="194">
        <f t="shared" si="7"/>
        <v>-3.1499999998914063E-3</v>
      </c>
      <c r="AL72" s="124"/>
      <c r="AM72" s="12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</row>
    <row r="73" spans="1:193">
      <c r="A73" s="124" t="s">
        <v>94</v>
      </c>
      <c r="B73" s="110" t="s">
        <v>325</v>
      </c>
      <c r="C73" s="110"/>
      <c r="D73" s="110" t="s">
        <v>138</v>
      </c>
      <c r="E73" s="110" t="s">
        <v>181</v>
      </c>
      <c r="F73" s="110"/>
      <c r="G73" s="111"/>
      <c r="H73" s="111"/>
      <c r="I73" s="112"/>
      <c r="J73" s="177"/>
      <c r="K73" s="226">
        <v>521.28</v>
      </c>
      <c r="L73" s="112">
        <f>1848.17+2.59</f>
        <v>1850.76</v>
      </c>
      <c r="M73" s="112"/>
      <c r="N73" s="113"/>
      <c r="O73" s="113"/>
      <c r="P73" s="114"/>
      <c r="Q73" s="115">
        <f t="shared" si="24"/>
        <v>2372.04</v>
      </c>
      <c r="R73" s="116"/>
      <c r="S73" s="117"/>
      <c r="T73" s="126">
        <v>200</v>
      </c>
      <c r="U73" s="126">
        <f>Q73*4.9%</f>
        <v>116.22996000000001</v>
      </c>
      <c r="V73" s="126">
        <f>Q73*1%</f>
        <v>23.720400000000001</v>
      </c>
      <c r="W73" s="126">
        <v>321.74</v>
      </c>
      <c r="X73" s="118"/>
      <c r="Y73" s="118"/>
      <c r="Z73" s="119"/>
      <c r="AA73" s="119">
        <v>0</v>
      </c>
      <c r="AB73" s="115">
        <f t="shared" si="25"/>
        <v>1710.3496399999999</v>
      </c>
      <c r="AC73" s="120">
        <f t="shared" si="8"/>
        <v>237.20400000000001</v>
      </c>
      <c r="AD73" s="115">
        <f t="shared" si="26"/>
        <v>1473.14564</v>
      </c>
      <c r="AE73" s="121">
        <f t="shared" si="27"/>
        <v>237.20400000000001</v>
      </c>
      <c r="AF73" s="120">
        <v>10.23</v>
      </c>
      <c r="AG73" s="120">
        <f t="shared" si="28"/>
        <v>116.22996000000001</v>
      </c>
      <c r="AH73" s="122">
        <f t="shared" si="29"/>
        <v>2735.7039600000003</v>
      </c>
      <c r="AI73" s="207">
        <v>577.4</v>
      </c>
      <c r="AJ73" s="210">
        <v>895.75</v>
      </c>
      <c r="AK73" s="194">
        <f t="shared" ref="AK73:AK98" si="52">+AI73+AJ73-AD73</f>
        <v>4.3600000001333683E-3</v>
      </c>
      <c r="AL73" s="124"/>
      <c r="AM73" s="227" t="s">
        <v>352</v>
      </c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</row>
    <row r="74" spans="1:193" s="39" customFormat="1">
      <c r="A74" s="124" t="s">
        <v>71</v>
      </c>
      <c r="B74" s="124" t="s">
        <v>217</v>
      </c>
      <c r="C74" s="124" t="s">
        <v>251</v>
      </c>
      <c r="D74" s="137" t="s">
        <v>218</v>
      </c>
      <c r="E74" s="124" t="s">
        <v>73</v>
      </c>
      <c r="F74" s="127">
        <v>42396</v>
      </c>
      <c r="G74" s="124"/>
      <c r="H74" s="124"/>
      <c r="I74" s="128">
        <v>513.33000000000004</v>
      </c>
      <c r="J74" s="179">
        <v>653.33000000000004</v>
      </c>
      <c r="K74" s="128">
        <f t="shared" ref="K74:K97" si="53">+I74+J74</f>
        <v>1166.6600000000001</v>
      </c>
      <c r="L74" s="128">
        <f>7674.56-1000</f>
        <v>6674.56</v>
      </c>
      <c r="M74" s="128"/>
      <c r="N74" s="128"/>
      <c r="O74" s="128"/>
      <c r="P74" s="114"/>
      <c r="Q74" s="115">
        <f t="shared" si="24"/>
        <v>7841.22</v>
      </c>
      <c r="R74" s="116"/>
      <c r="S74" s="117"/>
      <c r="T74" s="164"/>
      <c r="U74" s="164"/>
      <c r="V74" s="164"/>
      <c r="W74" s="164"/>
      <c r="X74" s="131">
        <f>1035.49+789.75</f>
        <v>1825.24</v>
      </c>
      <c r="Y74" s="165"/>
      <c r="Z74" s="149"/>
      <c r="AA74" s="125">
        <v>291.5</v>
      </c>
      <c r="AB74" s="115">
        <f t="shared" si="25"/>
        <v>5724.4800000000005</v>
      </c>
      <c r="AC74" s="120">
        <f t="shared" ref="AC74" si="54">IF(Q74&gt;2250,Q74*0.1,0)</f>
        <v>784.12200000000007</v>
      </c>
      <c r="AD74" s="115">
        <f t="shared" ref="AD74" si="55">+AB74-AC74</f>
        <v>4940.3580000000002</v>
      </c>
      <c r="AE74" s="121">
        <f t="shared" ref="AE74" si="56">IF(Q74&lt;3500,Q74*0.1,0)</f>
        <v>0</v>
      </c>
      <c r="AF74" s="120">
        <v>10.23</v>
      </c>
      <c r="AG74" s="120">
        <f t="shared" ref="AG74" si="57">+U74</f>
        <v>0</v>
      </c>
      <c r="AH74" s="122">
        <f t="shared" ref="AH74" si="58">+Q74+AE74+AF74+AG74</f>
        <v>7851.45</v>
      </c>
      <c r="AI74" s="208">
        <v>285.89999999999998</v>
      </c>
      <c r="AJ74" s="212">
        <v>4654.46</v>
      </c>
      <c r="AK74" s="194">
        <f t="shared" si="52"/>
        <v>1.9999999994979589E-3</v>
      </c>
      <c r="AL74" s="124"/>
      <c r="AM74" s="124"/>
    </row>
    <row r="75" spans="1:193">
      <c r="A75" s="124" t="s">
        <v>94</v>
      </c>
      <c r="B75" s="110" t="s">
        <v>195</v>
      </c>
      <c r="C75" s="110"/>
      <c r="D75" s="110" t="s">
        <v>140</v>
      </c>
      <c r="E75" s="110" t="s">
        <v>174</v>
      </c>
      <c r="F75" s="110"/>
      <c r="G75" s="111"/>
      <c r="H75" s="111"/>
      <c r="I75" s="112">
        <v>608.16</v>
      </c>
      <c r="J75" s="177"/>
      <c r="K75" s="112">
        <f t="shared" si="53"/>
        <v>608.16</v>
      </c>
      <c r="L75" s="112">
        <v>464.3</v>
      </c>
      <c r="M75" s="112"/>
      <c r="N75" s="113"/>
      <c r="O75" s="113"/>
      <c r="P75" s="114"/>
      <c r="Q75" s="115">
        <f t="shared" ref="Q75:Q98" si="59">SUM(K75:O75)-P75</f>
        <v>1072.46</v>
      </c>
      <c r="R75" s="116"/>
      <c r="S75" s="117"/>
      <c r="T75" s="117">
        <v>0</v>
      </c>
      <c r="U75" s="126">
        <f>Q75*4.9%</f>
        <v>52.550540000000005</v>
      </c>
      <c r="V75" s="126">
        <f>Q75*1%</f>
        <v>10.724600000000001</v>
      </c>
      <c r="W75" s="117"/>
      <c r="X75" s="118"/>
      <c r="Y75" s="118"/>
      <c r="Z75" s="119"/>
      <c r="AA75" s="119">
        <v>0</v>
      </c>
      <c r="AB75" s="115">
        <f t="shared" ref="AB75:AB97" si="60">+Q75-SUM(R75:AA75)</f>
        <v>1009.1848600000001</v>
      </c>
      <c r="AC75" s="120">
        <f t="shared" ref="AC75:AC98" si="61">IF(Q75&gt;2250,Q75*0.1,0)</f>
        <v>0</v>
      </c>
      <c r="AD75" s="115">
        <f t="shared" ref="AD75:AD97" si="62">+AB75-AC75</f>
        <v>1009.1848600000001</v>
      </c>
      <c r="AE75" s="121">
        <f t="shared" ref="AE75:AE98" si="63">IF(Q75&lt;3500,Q75*0.1,0)</f>
        <v>107.24600000000001</v>
      </c>
      <c r="AF75" s="120">
        <v>10.23</v>
      </c>
      <c r="AG75" s="120">
        <f t="shared" ref="AG75:AG98" si="64">+U75</f>
        <v>52.550540000000005</v>
      </c>
      <c r="AH75" s="122">
        <f t="shared" ref="AH75:AH98" si="65">+Q75+AE75+AF75+AG75</f>
        <v>1242.4865400000001</v>
      </c>
      <c r="AI75" s="208">
        <v>577.4</v>
      </c>
      <c r="AJ75" s="208">
        <v>431.78</v>
      </c>
      <c r="AK75" s="194">
        <f t="shared" si="52"/>
        <v>-4.8600000001215449E-3</v>
      </c>
      <c r="AL75" s="124"/>
      <c r="AM75" s="124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</row>
    <row r="76" spans="1:193">
      <c r="A76" s="124" t="s">
        <v>71</v>
      </c>
      <c r="B76" s="110" t="s">
        <v>300</v>
      </c>
      <c r="C76" s="110"/>
      <c r="D76" s="110"/>
      <c r="E76" s="110" t="s">
        <v>73</v>
      </c>
      <c r="F76" s="132">
        <v>42443</v>
      </c>
      <c r="G76" s="111"/>
      <c r="H76" s="111"/>
      <c r="I76" s="112">
        <v>513.33000000000004</v>
      </c>
      <c r="J76" s="179">
        <v>653.33000000000004</v>
      </c>
      <c r="K76" s="112">
        <f t="shared" si="53"/>
        <v>1166.6600000000001</v>
      </c>
      <c r="L76" s="112"/>
      <c r="M76" s="112"/>
      <c r="N76" s="113"/>
      <c r="O76" s="113"/>
      <c r="P76" s="114"/>
      <c r="Q76" s="115">
        <f t="shared" si="59"/>
        <v>1166.6600000000001</v>
      </c>
      <c r="R76" s="116"/>
      <c r="S76" s="117"/>
      <c r="T76" s="117"/>
      <c r="U76" s="126"/>
      <c r="V76" s="126"/>
      <c r="W76" s="117"/>
      <c r="X76" s="118"/>
      <c r="Y76" s="118"/>
      <c r="Z76" s="119"/>
      <c r="AA76" s="125">
        <f>930.16+236.5</f>
        <v>1166.6599999999999</v>
      </c>
      <c r="AB76" s="115">
        <f t="shared" si="60"/>
        <v>0</v>
      </c>
      <c r="AC76" s="120">
        <f t="shared" si="61"/>
        <v>0</v>
      </c>
      <c r="AD76" s="115">
        <f t="shared" si="62"/>
        <v>0</v>
      </c>
      <c r="AE76" s="121">
        <f t="shared" si="63"/>
        <v>116.66600000000001</v>
      </c>
      <c r="AF76" s="120">
        <v>10.23</v>
      </c>
      <c r="AG76" s="120">
        <f t="shared" si="64"/>
        <v>0</v>
      </c>
      <c r="AH76" s="122">
        <f t="shared" si="65"/>
        <v>1293.556</v>
      </c>
      <c r="AI76" s="204"/>
      <c r="AJ76" s="205"/>
      <c r="AK76" s="203">
        <f t="shared" si="52"/>
        <v>0</v>
      </c>
      <c r="AL76" s="124">
        <v>2713019144</v>
      </c>
      <c r="AM76" s="147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</row>
    <row r="77" spans="1:193">
      <c r="A77" s="187" t="s">
        <v>91</v>
      </c>
      <c r="B77" s="187" t="s">
        <v>244</v>
      </c>
      <c r="C77" s="187"/>
      <c r="D77" s="187" t="s">
        <v>117</v>
      </c>
      <c r="E77" s="187" t="s">
        <v>171</v>
      </c>
      <c r="F77" s="189">
        <v>42321</v>
      </c>
      <c r="G77" s="187"/>
      <c r="H77" s="187"/>
      <c r="I77" s="190"/>
      <c r="J77" s="214"/>
      <c r="K77" s="190">
        <v>0</v>
      </c>
      <c r="L77" s="226">
        <v>866.66666666666663</v>
      </c>
      <c r="M77" s="190"/>
      <c r="N77" s="190"/>
      <c r="O77" s="190"/>
      <c r="P77" s="192"/>
      <c r="Q77" s="122">
        <f t="shared" si="59"/>
        <v>866.66666666666663</v>
      </c>
      <c r="R77" s="190"/>
      <c r="S77" s="190"/>
      <c r="T77" s="190">
        <v>0</v>
      </c>
      <c r="U77" s="190"/>
      <c r="V77" s="190"/>
      <c r="W77" s="190"/>
      <c r="X77" s="193"/>
      <c r="Y77" s="193"/>
      <c r="Z77" s="187"/>
      <c r="AA77" s="187">
        <v>0</v>
      </c>
      <c r="AB77" s="122">
        <f t="shared" si="60"/>
        <v>866.66666666666663</v>
      </c>
      <c r="AC77" s="193">
        <f t="shared" si="61"/>
        <v>0</v>
      </c>
      <c r="AD77" s="122">
        <f t="shared" si="62"/>
        <v>866.66666666666663</v>
      </c>
      <c r="AE77" s="193">
        <f t="shared" si="63"/>
        <v>86.666666666666671</v>
      </c>
      <c r="AF77" s="193">
        <v>0</v>
      </c>
      <c r="AG77" s="193">
        <f t="shared" si="64"/>
        <v>0</v>
      </c>
      <c r="AH77" s="122">
        <f t="shared" si="65"/>
        <v>953.33333333333326</v>
      </c>
      <c r="AI77" s="208">
        <v>577.4</v>
      </c>
      <c r="AJ77" s="208">
        <v>289.27</v>
      </c>
      <c r="AK77" s="195">
        <f t="shared" si="52"/>
        <v>3.3333333333303017E-3</v>
      </c>
      <c r="AL77" s="187"/>
      <c r="AM77" s="170" t="s">
        <v>342</v>
      </c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</row>
    <row r="78" spans="1:193">
      <c r="A78" s="124" t="s">
        <v>92</v>
      </c>
      <c r="B78" s="124" t="s">
        <v>320</v>
      </c>
      <c r="C78" s="124"/>
      <c r="D78" s="124"/>
      <c r="E78" s="124" t="s">
        <v>163</v>
      </c>
      <c r="F78" s="127">
        <v>42416</v>
      </c>
      <c r="G78" s="124"/>
      <c r="H78" s="124"/>
      <c r="I78" s="128"/>
      <c r="J78" s="178"/>
      <c r="K78" s="226">
        <v>528.02</v>
      </c>
      <c r="L78" s="128">
        <f>854.4+2.97</f>
        <v>857.37</v>
      </c>
      <c r="M78" s="128"/>
      <c r="N78" s="128"/>
      <c r="O78" s="128"/>
      <c r="P78" s="114"/>
      <c r="Q78" s="115">
        <f t="shared" si="59"/>
        <v>1385.3899999999999</v>
      </c>
      <c r="R78" s="116"/>
      <c r="S78" s="117"/>
      <c r="T78" s="117">
        <v>0</v>
      </c>
      <c r="U78" s="117"/>
      <c r="V78" s="117"/>
      <c r="W78" s="117"/>
      <c r="X78" s="118"/>
      <c r="Y78" s="118"/>
      <c r="Z78" s="119"/>
      <c r="AA78" s="119">
        <v>0</v>
      </c>
      <c r="AB78" s="115">
        <f t="shared" si="60"/>
        <v>1385.3899999999999</v>
      </c>
      <c r="AC78" s="120">
        <f t="shared" si="61"/>
        <v>0</v>
      </c>
      <c r="AD78" s="115">
        <f t="shared" si="62"/>
        <v>1385.3899999999999</v>
      </c>
      <c r="AE78" s="121">
        <f t="shared" si="63"/>
        <v>138.53899999999999</v>
      </c>
      <c r="AF78" s="120">
        <v>10.23</v>
      </c>
      <c r="AG78" s="120">
        <f t="shared" si="64"/>
        <v>0</v>
      </c>
      <c r="AH78" s="122">
        <f t="shared" si="65"/>
        <v>1534.1589999999999</v>
      </c>
      <c r="AI78" s="207">
        <v>577.4</v>
      </c>
      <c r="AJ78" s="210">
        <v>807.99</v>
      </c>
      <c r="AK78" s="194">
        <f t="shared" si="52"/>
        <v>0</v>
      </c>
      <c r="AL78" s="124"/>
      <c r="AM78" s="227" t="s">
        <v>353</v>
      </c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</row>
    <row r="79" spans="1:193">
      <c r="A79" s="124" t="s">
        <v>94</v>
      </c>
      <c r="B79" s="110" t="s">
        <v>214</v>
      </c>
      <c r="C79" s="110"/>
      <c r="D79" s="110" t="s">
        <v>139</v>
      </c>
      <c r="E79" s="110" t="s">
        <v>182</v>
      </c>
      <c r="F79" s="110"/>
      <c r="G79" s="111"/>
      <c r="H79" s="111"/>
      <c r="I79" s="112">
        <v>511.28</v>
      </c>
      <c r="J79" s="177"/>
      <c r="K79" s="112">
        <f t="shared" si="53"/>
        <v>511.28</v>
      </c>
      <c r="L79" s="112">
        <f>1441.8+7.42</f>
        <v>1449.22</v>
      </c>
      <c r="M79" s="112"/>
      <c r="N79" s="113"/>
      <c r="O79" s="113"/>
      <c r="P79" s="114"/>
      <c r="Q79" s="115">
        <f t="shared" si="59"/>
        <v>1960.5</v>
      </c>
      <c r="R79" s="116"/>
      <c r="S79" s="117"/>
      <c r="T79" s="126">
        <v>300</v>
      </c>
      <c r="U79" s="117"/>
      <c r="V79" s="117"/>
      <c r="W79" s="117"/>
      <c r="X79" s="118"/>
      <c r="Y79" s="118"/>
      <c r="Z79" s="119"/>
      <c r="AA79" s="125">
        <v>845</v>
      </c>
      <c r="AB79" s="115">
        <f t="shared" si="60"/>
        <v>815.5</v>
      </c>
      <c r="AC79" s="120">
        <f t="shared" si="61"/>
        <v>0</v>
      </c>
      <c r="AD79" s="115">
        <f t="shared" si="62"/>
        <v>815.5</v>
      </c>
      <c r="AE79" s="121">
        <f t="shared" si="63"/>
        <v>196.05</v>
      </c>
      <c r="AF79" s="120">
        <v>10.23</v>
      </c>
      <c r="AG79" s="120">
        <f t="shared" si="64"/>
        <v>0</v>
      </c>
      <c r="AH79" s="122">
        <f t="shared" si="65"/>
        <v>2166.7800000000002</v>
      </c>
      <c r="AI79" s="210">
        <v>577.4</v>
      </c>
      <c r="AJ79" s="207">
        <v>238.1</v>
      </c>
      <c r="AK79" s="194">
        <f t="shared" si="52"/>
        <v>0</v>
      </c>
      <c r="AL79" s="124"/>
      <c r="AM79" s="124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</row>
    <row r="80" spans="1:193">
      <c r="A80" s="124" t="s">
        <v>91</v>
      </c>
      <c r="B80" s="110" t="s">
        <v>239</v>
      </c>
      <c r="C80" s="110"/>
      <c r="D80" s="110" t="s">
        <v>99</v>
      </c>
      <c r="E80" s="110" t="s">
        <v>72</v>
      </c>
      <c r="F80" s="132">
        <v>42065</v>
      </c>
      <c r="G80" s="110"/>
      <c r="H80" s="110"/>
      <c r="I80" s="112">
        <v>1166.26</v>
      </c>
      <c r="J80" s="176"/>
      <c r="K80" s="112">
        <f t="shared" si="53"/>
        <v>1166.26</v>
      </c>
      <c r="L80" s="112">
        <v>3849.26</v>
      </c>
      <c r="M80" s="112"/>
      <c r="N80" s="112"/>
      <c r="O80" s="112"/>
      <c r="P80" s="114"/>
      <c r="Q80" s="115">
        <f t="shared" si="59"/>
        <v>5015.5200000000004</v>
      </c>
      <c r="R80" s="116"/>
      <c r="S80" s="117"/>
      <c r="T80" s="117">
        <v>0</v>
      </c>
      <c r="U80" s="117"/>
      <c r="V80" s="117"/>
      <c r="W80" s="117"/>
      <c r="X80" s="118"/>
      <c r="Y80" s="118"/>
      <c r="Z80" s="119"/>
      <c r="AA80" s="119">
        <v>0</v>
      </c>
      <c r="AB80" s="115">
        <f t="shared" si="60"/>
        <v>5015.5200000000004</v>
      </c>
      <c r="AC80" s="120">
        <f t="shared" si="61"/>
        <v>501.55200000000008</v>
      </c>
      <c r="AD80" s="115">
        <f t="shared" si="62"/>
        <v>4513.9680000000008</v>
      </c>
      <c r="AE80" s="121">
        <f t="shared" si="63"/>
        <v>0</v>
      </c>
      <c r="AF80" s="120">
        <v>10.23</v>
      </c>
      <c r="AG80" s="120">
        <f t="shared" si="64"/>
        <v>0</v>
      </c>
      <c r="AH80" s="122">
        <f t="shared" si="65"/>
        <v>5025.75</v>
      </c>
      <c r="AI80" s="208">
        <v>577.4</v>
      </c>
      <c r="AJ80" s="209">
        <v>3936.57</v>
      </c>
      <c r="AK80" s="194">
        <f t="shared" si="52"/>
        <v>1.9999999994979589E-3</v>
      </c>
      <c r="AL80" s="124"/>
      <c r="AM80" s="124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</row>
    <row r="81" spans="1:193">
      <c r="A81" s="124" t="s">
        <v>93</v>
      </c>
      <c r="B81" s="110" t="s">
        <v>317</v>
      </c>
      <c r="C81" s="110" t="s">
        <v>323</v>
      </c>
      <c r="D81" s="110" t="s">
        <v>119</v>
      </c>
      <c r="E81" s="110" t="s">
        <v>168</v>
      </c>
      <c r="F81" s="132">
        <v>42392</v>
      </c>
      <c r="G81" s="110"/>
      <c r="H81" s="110"/>
      <c r="I81" s="112">
        <v>1100</v>
      </c>
      <c r="J81" s="180"/>
      <c r="K81" s="112">
        <f t="shared" si="53"/>
        <v>1100</v>
      </c>
      <c r="L81" s="112"/>
      <c r="M81" s="112"/>
      <c r="N81" s="112"/>
      <c r="O81" s="112"/>
      <c r="P81" s="114"/>
      <c r="Q81" s="115">
        <f t="shared" si="59"/>
        <v>1100</v>
      </c>
      <c r="R81" s="116"/>
      <c r="S81" s="117"/>
      <c r="T81" s="117">
        <v>0</v>
      </c>
      <c r="U81" s="117"/>
      <c r="V81" s="117"/>
      <c r="W81" s="117"/>
      <c r="X81" s="118"/>
      <c r="Y81" s="118"/>
      <c r="Z81" s="119"/>
      <c r="AA81" s="119">
        <v>0</v>
      </c>
      <c r="AB81" s="115">
        <f t="shared" si="60"/>
        <v>1100</v>
      </c>
      <c r="AC81" s="120">
        <f t="shared" si="61"/>
        <v>0</v>
      </c>
      <c r="AD81" s="115">
        <f t="shared" si="62"/>
        <v>1100</v>
      </c>
      <c r="AE81" s="121">
        <f t="shared" si="63"/>
        <v>110</v>
      </c>
      <c r="AF81" s="120">
        <v>10.23</v>
      </c>
      <c r="AG81" s="120">
        <f t="shared" si="64"/>
        <v>0</v>
      </c>
      <c r="AH81" s="122">
        <f t="shared" si="65"/>
        <v>1220.23</v>
      </c>
      <c r="AI81" s="210">
        <v>577.4</v>
      </c>
      <c r="AJ81" s="207">
        <v>522.6</v>
      </c>
      <c r="AK81" s="194">
        <f t="shared" si="52"/>
        <v>0</v>
      </c>
      <c r="AL81" s="124"/>
      <c r="AM81" s="12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</row>
    <row r="82" spans="1:193">
      <c r="A82" s="124" t="s">
        <v>71</v>
      </c>
      <c r="B82" s="110" t="s">
        <v>89</v>
      </c>
      <c r="C82" s="110" t="s">
        <v>249</v>
      </c>
      <c r="D82" s="110" t="s">
        <v>158</v>
      </c>
      <c r="E82" s="110" t="s">
        <v>73</v>
      </c>
      <c r="F82" s="110"/>
      <c r="G82" s="111"/>
      <c r="H82" s="111"/>
      <c r="I82" s="112">
        <v>513.33000000000004</v>
      </c>
      <c r="J82" s="179">
        <v>653.33000000000004</v>
      </c>
      <c r="K82" s="112">
        <f t="shared" si="53"/>
        <v>1166.6600000000001</v>
      </c>
      <c r="L82" s="112"/>
      <c r="M82" s="112"/>
      <c r="N82" s="113"/>
      <c r="O82" s="113"/>
      <c r="P82" s="114"/>
      <c r="Q82" s="115">
        <f t="shared" si="59"/>
        <v>1166.6600000000001</v>
      </c>
      <c r="R82" s="116"/>
      <c r="S82" s="117">
        <v>58.91</v>
      </c>
      <c r="T82" s="117">
        <v>0</v>
      </c>
      <c r="U82" s="117"/>
      <c r="V82" s="117"/>
      <c r="W82" s="117"/>
      <c r="X82" s="118"/>
      <c r="Y82" s="118"/>
      <c r="Z82" s="119"/>
      <c r="AA82" s="119">
        <v>0</v>
      </c>
      <c r="AB82" s="115">
        <f t="shared" si="60"/>
        <v>1107.75</v>
      </c>
      <c r="AC82" s="120">
        <f t="shared" si="61"/>
        <v>0</v>
      </c>
      <c r="AD82" s="115">
        <f t="shared" si="62"/>
        <v>1107.75</v>
      </c>
      <c r="AE82" s="121">
        <f t="shared" si="63"/>
        <v>116.66600000000001</v>
      </c>
      <c r="AF82" s="120">
        <v>10.23</v>
      </c>
      <c r="AG82" s="120">
        <f t="shared" si="64"/>
        <v>0</v>
      </c>
      <c r="AH82" s="122">
        <f t="shared" si="65"/>
        <v>1293.556</v>
      </c>
      <c r="AI82" s="207">
        <v>577.4</v>
      </c>
      <c r="AJ82" s="210">
        <v>530.35</v>
      </c>
      <c r="AK82" s="194">
        <f t="shared" si="52"/>
        <v>0</v>
      </c>
      <c r="AL82" s="124"/>
      <c r="AM82" s="124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</row>
    <row r="83" spans="1:193" s="61" customFormat="1">
      <c r="A83" s="124" t="s">
        <v>94</v>
      </c>
      <c r="B83" s="110" t="s">
        <v>327</v>
      </c>
      <c r="C83" s="110"/>
      <c r="D83" s="110" t="s">
        <v>141</v>
      </c>
      <c r="E83" s="110" t="s">
        <v>183</v>
      </c>
      <c r="F83" s="110"/>
      <c r="G83" s="111"/>
      <c r="H83" s="111"/>
      <c r="I83" s="112">
        <v>543.20000000000005</v>
      </c>
      <c r="J83" s="177"/>
      <c r="K83" s="112">
        <f t="shared" si="53"/>
        <v>543.20000000000005</v>
      </c>
      <c r="L83" s="112">
        <v>781.1</v>
      </c>
      <c r="M83" s="112"/>
      <c r="N83" s="113"/>
      <c r="O83" s="113"/>
      <c r="P83" s="114"/>
      <c r="Q83" s="115">
        <f t="shared" si="59"/>
        <v>1324.3000000000002</v>
      </c>
      <c r="R83" s="116"/>
      <c r="S83" s="117"/>
      <c r="T83" s="117">
        <v>0</v>
      </c>
      <c r="U83" s="126">
        <f>Q83*4.9%</f>
        <v>64.89070000000001</v>
      </c>
      <c r="V83" s="126">
        <f>Q83*1%</f>
        <v>13.243000000000002</v>
      </c>
      <c r="W83" s="117"/>
      <c r="X83" s="118"/>
      <c r="Y83" s="118"/>
      <c r="Z83" s="119"/>
      <c r="AA83" s="119">
        <v>0</v>
      </c>
      <c r="AB83" s="115">
        <f t="shared" si="60"/>
        <v>1246.1663000000001</v>
      </c>
      <c r="AC83" s="120">
        <f t="shared" si="61"/>
        <v>0</v>
      </c>
      <c r="AD83" s="115">
        <f t="shared" si="62"/>
        <v>1246.1663000000001</v>
      </c>
      <c r="AE83" s="121">
        <f t="shared" si="63"/>
        <v>132.43000000000004</v>
      </c>
      <c r="AF83" s="120">
        <v>10.23</v>
      </c>
      <c r="AG83" s="120">
        <f t="shared" si="64"/>
        <v>64.89070000000001</v>
      </c>
      <c r="AH83" s="122">
        <f t="shared" si="65"/>
        <v>1531.8507000000002</v>
      </c>
      <c r="AI83" s="210">
        <v>577.4</v>
      </c>
      <c r="AJ83" s="207">
        <v>668.77</v>
      </c>
      <c r="AK83" s="194">
        <f t="shared" si="52"/>
        <v>3.6999999999807187E-3</v>
      </c>
      <c r="AL83" s="124"/>
      <c r="AM83" s="124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</row>
    <row r="84" spans="1:193">
      <c r="A84" s="124" t="s">
        <v>94</v>
      </c>
      <c r="B84" s="110" t="s">
        <v>193</v>
      </c>
      <c r="C84" s="110"/>
      <c r="D84" s="110" t="s">
        <v>142</v>
      </c>
      <c r="E84" s="110" t="s">
        <v>181</v>
      </c>
      <c r="F84" s="110"/>
      <c r="G84" s="111"/>
      <c r="H84" s="111"/>
      <c r="I84" s="112"/>
      <c r="J84" s="177"/>
      <c r="K84" s="226">
        <v>521.28</v>
      </c>
      <c r="L84" s="112">
        <f>1046.25+3.73</f>
        <v>1049.98</v>
      </c>
      <c r="M84" s="112"/>
      <c r="N84" s="113"/>
      <c r="O84" s="113"/>
      <c r="P84" s="114"/>
      <c r="Q84" s="115">
        <f t="shared" si="59"/>
        <v>1571.26</v>
      </c>
      <c r="R84" s="116"/>
      <c r="S84" s="117"/>
      <c r="T84" s="126">
        <v>200</v>
      </c>
      <c r="U84" s="126">
        <f>Q84*4.9%</f>
        <v>76.991740000000007</v>
      </c>
      <c r="V84" s="126">
        <f>Q84*1%</f>
        <v>15.7126</v>
      </c>
      <c r="W84" s="126">
        <v>257.64</v>
      </c>
      <c r="X84" s="118"/>
      <c r="Y84" s="118"/>
      <c r="Z84" s="125">
        <v>201.24</v>
      </c>
      <c r="AA84" s="119">
        <v>0</v>
      </c>
      <c r="AB84" s="115">
        <f t="shared" si="60"/>
        <v>819.67565999999999</v>
      </c>
      <c r="AC84" s="120">
        <f t="shared" si="61"/>
        <v>0</v>
      </c>
      <c r="AD84" s="115">
        <f t="shared" si="62"/>
        <v>819.67565999999999</v>
      </c>
      <c r="AE84" s="121">
        <f t="shared" si="63"/>
        <v>157.126</v>
      </c>
      <c r="AF84" s="120">
        <v>10.23</v>
      </c>
      <c r="AG84" s="120">
        <f t="shared" si="64"/>
        <v>76.991740000000007</v>
      </c>
      <c r="AH84" s="122">
        <f t="shared" si="65"/>
        <v>1815.6077399999999</v>
      </c>
      <c r="AI84" s="207">
        <v>577.4</v>
      </c>
      <c r="AJ84" s="210">
        <v>242.28</v>
      </c>
      <c r="AK84" s="194">
        <f t="shared" si="52"/>
        <v>4.3399999999564898E-3</v>
      </c>
      <c r="AL84" s="124"/>
      <c r="AM84" s="227" t="s">
        <v>352</v>
      </c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</row>
    <row r="85" spans="1:193">
      <c r="A85" s="124" t="s">
        <v>92</v>
      </c>
      <c r="B85" s="110" t="s">
        <v>211</v>
      </c>
      <c r="C85" s="110"/>
      <c r="D85" s="110" t="s">
        <v>107</v>
      </c>
      <c r="E85" s="110" t="s">
        <v>165</v>
      </c>
      <c r="F85" s="110"/>
      <c r="G85" s="110"/>
      <c r="H85" s="110"/>
      <c r="I85" s="112">
        <v>739.23</v>
      </c>
      <c r="J85" s="180"/>
      <c r="K85" s="112">
        <f t="shared" si="53"/>
        <v>739.23</v>
      </c>
      <c r="L85" s="112">
        <f>2504.99+7.42</f>
        <v>2512.41</v>
      </c>
      <c r="M85" s="112"/>
      <c r="N85" s="113"/>
      <c r="O85" s="113"/>
      <c r="P85" s="114"/>
      <c r="Q85" s="115">
        <f t="shared" si="59"/>
        <v>3251.64</v>
      </c>
      <c r="R85" s="116"/>
      <c r="S85" s="117"/>
      <c r="T85" s="126">
        <v>150</v>
      </c>
      <c r="U85" s="117"/>
      <c r="V85" s="117"/>
      <c r="W85" s="117"/>
      <c r="X85" s="118"/>
      <c r="Y85" s="118"/>
      <c r="Z85" s="119"/>
      <c r="AA85" s="119">
        <v>0</v>
      </c>
      <c r="AB85" s="115">
        <f t="shared" si="60"/>
        <v>3101.64</v>
      </c>
      <c r="AC85" s="120">
        <f t="shared" si="61"/>
        <v>325.16399999999999</v>
      </c>
      <c r="AD85" s="115">
        <f t="shared" si="62"/>
        <v>2776.4759999999997</v>
      </c>
      <c r="AE85" s="121">
        <f t="shared" si="63"/>
        <v>325.16399999999999</v>
      </c>
      <c r="AF85" s="120">
        <v>10.23</v>
      </c>
      <c r="AG85" s="120">
        <f t="shared" si="64"/>
        <v>0</v>
      </c>
      <c r="AH85" s="122">
        <f t="shared" si="65"/>
        <v>3587.0340000000001</v>
      </c>
      <c r="AI85" s="210">
        <v>577.4</v>
      </c>
      <c r="AJ85" s="212">
        <v>2199.08</v>
      </c>
      <c r="AK85" s="194">
        <f t="shared" si="52"/>
        <v>4.0000000003601599E-3</v>
      </c>
      <c r="AL85" s="124"/>
      <c r="AM85" s="124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</row>
    <row r="86" spans="1:193">
      <c r="A86" s="125" t="s">
        <v>94</v>
      </c>
      <c r="B86" s="125" t="s">
        <v>346</v>
      </c>
      <c r="C86" s="125"/>
      <c r="D86" s="125"/>
      <c r="E86" s="125" t="s">
        <v>174</v>
      </c>
      <c r="F86" s="220">
        <v>42493</v>
      </c>
      <c r="G86" s="125"/>
      <c r="H86" s="125"/>
      <c r="I86" s="126"/>
      <c r="J86" s="217"/>
      <c r="K86" s="126">
        <v>584.32000000000005</v>
      </c>
      <c r="L86" s="128">
        <v>289.89999999999998</v>
      </c>
      <c r="M86" s="126"/>
      <c r="N86" s="126"/>
      <c r="O86" s="126"/>
      <c r="P86" s="218"/>
      <c r="Q86" s="219">
        <f t="shared" si="59"/>
        <v>874.22</v>
      </c>
      <c r="R86" s="126"/>
      <c r="S86" s="126"/>
      <c r="T86" s="126"/>
      <c r="U86" s="126"/>
      <c r="V86" s="126"/>
      <c r="W86" s="126"/>
      <c r="X86" s="131"/>
      <c r="Y86" s="131"/>
      <c r="Z86" s="125"/>
      <c r="AA86" s="125">
        <v>0</v>
      </c>
      <c r="AB86" s="219">
        <f t="shared" ref="AB86" si="66">+Q86-SUM(R86:AA86)</f>
        <v>874.22</v>
      </c>
      <c r="AC86" s="131">
        <f t="shared" ref="AC86" si="67">IF(Q86&gt;2250,Q86*0.1,0)</f>
        <v>0</v>
      </c>
      <c r="AD86" s="219">
        <f t="shared" ref="AD86" si="68">+AB86-AC86</f>
        <v>874.22</v>
      </c>
      <c r="AE86" s="131">
        <f t="shared" ref="AE86" si="69">IF(Q86&lt;3500,Q86*0.1,0)</f>
        <v>87.422000000000011</v>
      </c>
      <c r="AF86" s="131">
        <v>10.23</v>
      </c>
      <c r="AG86" s="131">
        <f t="shared" ref="AG86" si="70">+U86</f>
        <v>0</v>
      </c>
      <c r="AH86" s="219">
        <f t="shared" ref="AH86" si="71">+Q86+AE86+AF86+AG86</f>
        <v>971.87200000000007</v>
      </c>
      <c r="AI86" s="213" t="s">
        <v>354</v>
      </c>
      <c r="AJ86" s="223" t="s">
        <v>355</v>
      </c>
      <c r="AK86" s="202"/>
      <c r="AL86" s="125" t="s">
        <v>349</v>
      </c>
      <c r="AM86" s="221" t="s">
        <v>348</v>
      </c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</row>
    <row r="87" spans="1:193">
      <c r="A87" s="124" t="s">
        <v>93</v>
      </c>
      <c r="B87" s="110" t="s">
        <v>299</v>
      </c>
      <c r="C87" s="110"/>
      <c r="D87" s="110" t="s">
        <v>120</v>
      </c>
      <c r="E87" s="110" t="s">
        <v>171</v>
      </c>
      <c r="F87" s="132">
        <v>42333</v>
      </c>
      <c r="G87" s="111"/>
      <c r="H87" s="111"/>
      <c r="I87" s="112">
        <v>577.38</v>
      </c>
      <c r="J87" s="181">
        <v>1047.6199999999999</v>
      </c>
      <c r="K87" s="112">
        <f t="shared" si="53"/>
        <v>1625</v>
      </c>
      <c r="L87" s="112">
        <v>866.67</v>
      </c>
      <c r="M87" s="112"/>
      <c r="N87" s="113"/>
      <c r="O87" s="113"/>
      <c r="P87" s="114"/>
      <c r="Q87" s="115">
        <f t="shared" si="59"/>
        <v>2491.67</v>
      </c>
      <c r="R87" s="116"/>
      <c r="S87" s="117"/>
      <c r="T87" s="117">
        <v>0</v>
      </c>
      <c r="U87" s="117"/>
      <c r="V87" s="117"/>
      <c r="W87" s="117"/>
      <c r="X87" s="118"/>
      <c r="Y87" s="118"/>
      <c r="Z87" s="119"/>
      <c r="AA87" s="125">
        <v>351.55</v>
      </c>
      <c r="AB87" s="115">
        <f t="shared" si="60"/>
        <v>2140.12</v>
      </c>
      <c r="AC87" s="120">
        <f t="shared" si="61"/>
        <v>249.16700000000003</v>
      </c>
      <c r="AD87" s="115">
        <f t="shared" si="62"/>
        <v>1890.953</v>
      </c>
      <c r="AE87" s="121">
        <f t="shared" si="63"/>
        <v>249.16700000000003</v>
      </c>
      <c r="AF87" s="120">
        <v>10.23</v>
      </c>
      <c r="AG87" s="120">
        <f t="shared" si="64"/>
        <v>0</v>
      </c>
      <c r="AH87" s="122">
        <f t="shared" si="65"/>
        <v>2751.067</v>
      </c>
      <c r="AI87" s="207">
        <v>225.85</v>
      </c>
      <c r="AJ87" s="209">
        <v>1665.1</v>
      </c>
      <c r="AK87" s="194">
        <f t="shared" si="52"/>
        <v>-3.0000000001564331E-3</v>
      </c>
      <c r="AL87" s="124"/>
      <c r="AM87" s="124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</row>
    <row r="88" spans="1:193" s="39" customFormat="1">
      <c r="A88" s="124" t="s">
        <v>71</v>
      </c>
      <c r="B88" s="124" t="s">
        <v>309</v>
      </c>
      <c r="C88" s="124"/>
      <c r="D88" s="124"/>
      <c r="E88" s="124" t="s">
        <v>73</v>
      </c>
      <c r="F88" s="127">
        <v>42459</v>
      </c>
      <c r="G88" s="124"/>
      <c r="H88" s="124"/>
      <c r="I88" s="128">
        <v>513.33000000000004</v>
      </c>
      <c r="J88" s="179">
        <v>653.33000000000004</v>
      </c>
      <c r="K88" s="128">
        <f t="shared" si="53"/>
        <v>1166.6600000000001</v>
      </c>
      <c r="L88" s="128">
        <v>221.47</v>
      </c>
      <c r="M88" s="128"/>
      <c r="N88" s="128"/>
      <c r="O88" s="128"/>
      <c r="P88" s="114"/>
      <c r="Q88" s="115">
        <f t="shared" si="59"/>
        <v>1388.13</v>
      </c>
      <c r="R88" s="116"/>
      <c r="S88" s="164"/>
      <c r="T88" s="164"/>
      <c r="U88" s="164"/>
      <c r="V88" s="164"/>
      <c r="W88" s="164"/>
      <c r="X88" s="165"/>
      <c r="Y88" s="165"/>
      <c r="Z88" s="149"/>
      <c r="AA88" s="149"/>
      <c r="AB88" s="115">
        <f t="shared" si="60"/>
        <v>1388.13</v>
      </c>
      <c r="AC88" s="120">
        <f>IF(Q88&gt;2250,Q88*0.1,0)</f>
        <v>0</v>
      </c>
      <c r="AD88" s="115">
        <f>+AB88-AC88</f>
        <v>1388.13</v>
      </c>
      <c r="AE88" s="121">
        <f>IF(Q88&lt;3500,Q88*0.1,0)</f>
        <v>138.81300000000002</v>
      </c>
      <c r="AF88" s="120">
        <v>10.23</v>
      </c>
      <c r="AG88" s="120">
        <f>+U88</f>
        <v>0</v>
      </c>
      <c r="AH88" s="122">
        <f t="shared" si="65"/>
        <v>1537.1730000000002</v>
      </c>
      <c r="AI88" s="210">
        <v>577.4</v>
      </c>
      <c r="AJ88" s="207">
        <v>810.73</v>
      </c>
      <c r="AK88" s="194">
        <f t="shared" si="52"/>
        <v>0</v>
      </c>
      <c r="AL88" s="124"/>
      <c r="AM88" s="129"/>
    </row>
    <row r="89" spans="1:193">
      <c r="A89" s="124" t="s">
        <v>92</v>
      </c>
      <c r="B89" s="110" t="s">
        <v>271</v>
      </c>
      <c r="C89" s="110"/>
      <c r="D89" s="110" t="s">
        <v>106</v>
      </c>
      <c r="E89" s="110" t="s">
        <v>163</v>
      </c>
      <c r="F89" s="110"/>
      <c r="G89" s="110"/>
      <c r="H89" s="110"/>
      <c r="I89" s="112">
        <v>739.23</v>
      </c>
      <c r="J89" s="180"/>
      <c r="K89" s="128">
        <f t="shared" si="53"/>
        <v>739.23</v>
      </c>
      <c r="L89" s="112">
        <f>1117.12+5.57</f>
        <v>1122.6899999999998</v>
      </c>
      <c r="M89" s="112"/>
      <c r="N89" s="113"/>
      <c r="O89" s="113"/>
      <c r="P89" s="114"/>
      <c r="Q89" s="115">
        <f t="shared" si="59"/>
        <v>1861.9199999999998</v>
      </c>
      <c r="R89" s="116"/>
      <c r="S89" s="117"/>
      <c r="T89" s="117">
        <v>0</v>
      </c>
      <c r="U89" s="117"/>
      <c r="V89" s="117"/>
      <c r="W89" s="117"/>
      <c r="X89" s="118"/>
      <c r="Y89" s="118"/>
      <c r="Z89" s="119"/>
      <c r="AA89" s="119">
        <v>0</v>
      </c>
      <c r="AB89" s="115">
        <f t="shared" si="60"/>
        <v>1861.9199999999998</v>
      </c>
      <c r="AC89" s="120">
        <f t="shared" si="61"/>
        <v>0</v>
      </c>
      <c r="AD89" s="115">
        <f t="shared" si="62"/>
        <v>1861.9199999999998</v>
      </c>
      <c r="AE89" s="121">
        <f t="shared" si="63"/>
        <v>186.19200000000001</v>
      </c>
      <c r="AF89" s="120">
        <v>10.23</v>
      </c>
      <c r="AG89" s="120">
        <f t="shared" si="64"/>
        <v>0</v>
      </c>
      <c r="AH89" s="122">
        <f t="shared" si="65"/>
        <v>2058.3420000000001</v>
      </c>
      <c r="AI89" s="207">
        <v>577.4</v>
      </c>
      <c r="AJ89" s="209">
        <v>1284.52</v>
      </c>
      <c r="AK89" s="194">
        <f t="shared" si="52"/>
        <v>0</v>
      </c>
      <c r="AL89" s="124"/>
      <c r="AM89" s="12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</row>
    <row r="90" spans="1:193">
      <c r="A90" s="124" t="s">
        <v>92</v>
      </c>
      <c r="B90" s="110" t="s">
        <v>79</v>
      </c>
      <c r="C90" s="110"/>
      <c r="D90" s="110" t="s">
        <v>108</v>
      </c>
      <c r="E90" s="110" t="s">
        <v>166</v>
      </c>
      <c r="F90" s="110"/>
      <c r="G90" s="110"/>
      <c r="H90" s="110"/>
      <c r="I90" s="112">
        <v>739.23</v>
      </c>
      <c r="J90" s="180"/>
      <c r="K90" s="112">
        <f t="shared" si="53"/>
        <v>739.23</v>
      </c>
      <c r="L90" s="112">
        <f>2088.15+13.09</f>
        <v>2101.2400000000002</v>
      </c>
      <c r="M90" s="112"/>
      <c r="N90" s="112"/>
      <c r="O90" s="112"/>
      <c r="P90" s="114"/>
      <c r="Q90" s="115">
        <f t="shared" si="59"/>
        <v>2840.4700000000003</v>
      </c>
      <c r="R90" s="116"/>
      <c r="S90" s="117"/>
      <c r="T90" s="117">
        <v>0</v>
      </c>
      <c r="U90" s="117"/>
      <c r="V90" s="117"/>
      <c r="W90" s="117"/>
      <c r="X90" s="118"/>
      <c r="Y90" s="118"/>
      <c r="Z90" s="119"/>
      <c r="AA90" s="119">
        <v>0</v>
      </c>
      <c r="AB90" s="115">
        <f t="shared" si="60"/>
        <v>2840.4700000000003</v>
      </c>
      <c r="AC90" s="120">
        <f t="shared" si="61"/>
        <v>284.04700000000003</v>
      </c>
      <c r="AD90" s="115">
        <f t="shared" si="62"/>
        <v>2556.4230000000002</v>
      </c>
      <c r="AE90" s="121">
        <f t="shared" si="63"/>
        <v>284.04700000000003</v>
      </c>
      <c r="AF90" s="120">
        <v>10.23</v>
      </c>
      <c r="AG90" s="120">
        <f t="shared" si="64"/>
        <v>0</v>
      </c>
      <c r="AH90" s="122">
        <f t="shared" si="65"/>
        <v>3134.7470000000003</v>
      </c>
      <c r="AI90" s="210">
        <v>577.4</v>
      </c>
      <c r="AJ90" s="212">
        <v>1979.02</v>
      </c>
      <c r="AK90" s="194">
        <f t="shared" si="52"/>
        <v>-3.0000000001564331E-3</v>
      </c>
      <c r="AL90" s="124"/>
      <c r="AM90" s="124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</row>
    <row r="91" spans="1:193">
      <c r="A91" s="124" t="s">
        <v>91</v>
      </c>
      <c r="B91" s="124" t="s">
        <v>241</v>
      </c>
      <c r="C91" s="124"/>
      <c r="D91" s="136"/>
      <c r="E91" s="110" t="s">
        <v>242</v>
      </c>
      <c r="F91" s="132">
        <v>42328</v>
      </c>
      <c r="G91" s="111"/>
      <c r="H91" s="111"/>
      <c r="I91" s="128">
        <v>1166.26</v>
      </c>
      <c r="J91" s="177"/>
      <c r="K91" s="112">
        <f t="shared" si="53"/>
        <v>1166.26</v>
      </c>
      <c r="L91" s="112">
        <v>1457.86</v>
      </c>
      <c r="M91" s="112"/>
      <c r="N91" s="113"/>
      <c r="O91" s="113"/>
      <c r="P91" s="114"/>
      <c r="Q91" s="115">
        <f t="shared" si="59"/>
        <v>2624.12</v>
      </c>
      <c r="R91" s="116"/>
      <c r="S91" s="117"/>
      <c r="T91" s="117"/>
      <c r="U91" s="117"/>
      <c r="V91" s="117"/>
      <c r="W91" s="117"/>
      <c r="X91" s="118"/>
      <c r="Y91" s="118"/>
      <c r="Z91" s="119"/>
      <c r="AA91" s="119">
        <v>0</v>
      </c>
      <c r="AB91" s="115">
        <f t="shared" si="60"/>
        <v>2624.12</v>
      </c>
      <c r="AC91" s="120">
        <f t="shared" si="61"/>
        <v>262.41199999999998</v>
      </c>
      <c r="AD91" s="115">
        <f t="shared" si="62"/>
        <v>2361.7080000000001</v>
      </c>
      <c r="AE91" s="121">
        <f t="shared" si="63"/>
        <v>262.41199999999998</v>
      </c>
      <c r="AF91" s="120">
        <v>10.23</v>
      </c>
      <c r="AG91" s="120">
        <f t="shared" si="64"/>
        <v>0</v>
      </c>
      <c r="AH91" s="122">
        <f t="shared" si="65"/>
        <v>2896.7619999999997</v>
      </c>
      <c r="AI91" s="207">
        <v>577.4</v>
      </c>
      <c r="AJ91" s="209">
        <v>1784.31</v>
      </c>
      <c r="AK91" s="194">
        <f t="shared" si="52"/>
        <v>1.9999999999527063E-3</v>
      </c>
      <c r="AL91" s="124"/>
      <c r="AM91" s="124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</row>
    <row r="92" spans="1:193" s="39" customFormat="1">
      <c r="A92" s="124" t="s">
        <v>71</v>
      </c>
      <c r="B92" s="124" t="s">
        <v>319</v>
      </c>
      <c r="C92" s="124" t="s">
        <v>251</v>
      </c>
      <c r="D92" s="124" t="s">
        <v>159</v>
      </c>
      <c r="E92" s="124" t="s">
        <v>73</v>
      </c>
      <c r="F92" s="127">
        <v>42327</v>
      </c>
      <c r="G92" s="124"/>
      <c r="H92" s="124"/>
      <c r="I92" s="128">
        <v>513.33000000000004</v>
      </c>
      <c r="J92" s="179">
        <v>653.33000000000004</v>
      </c>
      <c r="K92" s="128">
        <f t="shared" si="53"/>
        <v>1166.6600000000001</v>
      </c>
      <c r="L92" s="128"/>
      <c r="M92" s="128"/>
      <c r="N92" s="128"/>
      <c r="O92" s="128"/>
      <c r="P92" s="114"/>
      <c r="Q92" s="115">
        <f t="shared" si="59"/>
        <v>1166.6600000000001</v>
      </c>
      <c r="R92" s="116"/>
      <c r="S92" s="164"/>
      <c r="T92" s="164">
        <v>0</v>
      </c>
      <c r="U92" s="164"/>
      <c r="V92" s="164"/>
      <c r="W92" s="164"/>
      <c r="X92" s="131">
        <v>537.87</v>
      </c>
      <c r="Y92" s="165"/>
      <c r="Z92" s="149"/>
      <c r="AA92" s="169">
        <v>499.12</v>
      </c>
      <c r="AB92" s="115">
        <f t="shared" si="60"/>
        <v>129.67000000000007</v>
      </c>
      <c r="AC92" s="120">
        <f t="shared" si="61"/>
        <v>0</v>
      </c>
      <c r="AD92" s="115">
        <f t="shared" si="62"/>
        <v>129.67000000000007</v>
      </c>
      <c r="AE92" s="121">
        <f t="shared" si="63"/>
        <v>116.66600000000001</v>
      </c>
      <c r="AF92" s="120">
        <v>10.23</v>
      </c>
      <c r="AG92" s="120">
        <f t="shared" si="64"/>
        <v>0</v>
      </c>
      <c r="AH92" s="122">
        <f t="shared" si="65"/>
        <v>1293.556</v>
      </c>
      <c r="AI92" s="210">
        <v>39.53</v>
      </c>
      <c r="AJ92" s="207">
        <v>90.14</v>
      </c>
      <c r="AK92" s="194">
        <f t="shared" si="52"/>
        <v>0</v>
      </c>
      <c r="AL92" s="124"/>
      <c r="AM92" s="124"/>
    </row>
    <row r="93" spans="1:193">
      <c r="A93" s="124" t="s">
        <v>70</v>
      </c>
      <c r="B93" s="110" t="s">
        <v>275</v>
      </c>
      <c r="C93" s="110" t="s">
        <v>252</v>
      </c>
      <c r="D93" s="110" t="s">
        <v>125</v>
      </c>
      <c r="E93" s="110" t="s">
        <v>298</v>
      </c>
      <c r="F93" s="110"/>
      <c r="G93" s="111"/>
      <c r="H93" s="111"/>
      <c r="I93" s="112">
        <v>1633.33</v>
      </c>
      <c r="J93" s="177"/>
      <c r="K93" s="112">
        <f t="shared" si="53"/>
        <v>1633.33</v>
      </c>
      <c r="L93" s="112"/>
      <c r="M93" s="112"/>
      <c r="N93" s="113"/>
      <c r="O93" s="113"/>
      <c r="P93" s="114"/>
      <c r="Q93" s="115">
        <f t="shared" si="59"/>
        <v>1633.33</v>
      </c>
      <c r="R93" s="116"/>
      <c r="S93" s="117">
        <v>58.91</v>
      </c>
      <c r="T93" s="117">
        <v>0</v>
      </c>
      <c r="U93" s="117"/>
      <c r="V93" s="117"/>
      <c r="W93" s="117"/>
      <c r="X93" s="118"/>
      <c r="Y93" s="118"/>
      <c r="Z93" s="119"/>
      <c r="AA93" s="119">
        <v>0</v>
      </c>
      <c r="AB93" s="115">
        <f t="shared" si="60"/>
        <v>1574.4199999999998</v>
      </c>
      <c r="AC93" s="120">
        <f t="shared" si="61"/>
        <v>0</v>
      </c>
      <c r="AD93" s="115">
        <f t="shared" si="62"/>
        <v>1574.4199999999998</v>
      </c>
      <c r="AE93" s="121">
        <f t="shared" si="63"/>
        <v>163.333</v>
      </c>
      <c r="AF93" s="120">
        <v>10.23</v>
      </c>
      <c r="AG93" s="120">
        <f t="shared" si="64"/>
        <v>0</v>
      </c>
      <c r="AH93" s="122">
        <f t="shared" si="65"/>
        <v>1806.893</v>
      </c>
      <c r="AI93" s="207">
        <v>577.4</v>
      </c>
      <c r="AJ93" s="210">
        <v>997.02</v>
      </c>
      <c r="AK93" s="194">
        <f t="shared" si="52"/>
        <v>0</v>
      </c>
      <c r="AL93" s="124"/>
      <c r="AM93" s="124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</row>
    <row r="94" spans="1:193">
      <c r="A94" s="124" t="s">
        <v>94</v>
      </c>
      <c r="B94" s="110" t="s">
        <v>324</v>
      </c>
      <c r="C94" s="110"/>
      <c r="D94" s="110" t="s">
        <v>143</v>
      </c>
      <c r="E94" s="110" t="s">
        <v>179</v>
      </c>
      <c r="F94" s="110"/>
      <c r="G94" s="111"/>
      <c r="H94" s="111"/>
      <c r="I94" s="112">
        <v>608.16</v>
      </c>
      <c r="J94" s="177"/>
      <c r="K94" s="112">
        <f t="shared" si="53"/>
        <v>608.16</v>
      </c>
      <c r="L94" s="112">
        <f>3777.54+3.71</f>
        <v>3781.25</v>
      </c>
      <c r="M94" s="112"/>
      <c r="N94" s="113"/>
      <c r="O94" s="113"/>
      <c r="P94" s="114"/>
      <c r="Q94" s="115">
        <f t="shared" si="59"/>
        <v>4389.41</v>
      </c>
      <c r="R94" s="116"/>
      <c r="S94" s="117"/>
      <c r="T94" s="126">
        <v>200</v>
      </c>
      <c r="U94" s="126">
        <f>Q94*4.9%</f>
        <v>215.08108999999999</v>
      </c>
      <c r="V94" s="126">
        <f>Q94*1%</f>
        <v>43.894100000000002</v>
      </c>
      <c r="W94" s="117"/>
      <c r="X94" s="118"/>
      <c r="Y94" s="118"/>
      <c r="Z94" s="119"/>
      <c r="AA94" s="119">
        <v>0</v>
      </c>
      <c r="AB94" s="115">
        <f t="shared" si="60"/>
        <v>3930.4348099999997</v>
      </c>
      <c r="AC94" s="120">
        <f t="shared" si="61"/>
        <v>438.94100000000003</v>
      </c>
      <c r="AD94" s="115">
        <f t="shared" si="62"/>
        <v>3491.4938099999999</v>
      </c>
      <c r="AE94" s="121">
        <f t="shared" si="63"/>
        <v>0</v>
      </c>
      <c r="AF94" s="120">
        <v>10.23</v>
      </c>
      <c r="AG94" s="120">
        <f t="shared" si="64"/>
        <v>215.08108999999999</v>
      </c>
      <c r="AH94" s="122">
        <f t="shared" si="65"/>
        <v>4614.7210899999991</v>
      </c>
      <c r="AI94" s="210">
        <v>577.4</v>
      </c>
      <c r="AJ94" s="212">
        <v>2914.09</v>
      </c>
      <c r="AK94" s="194">
        <f t="shared" si="52"/>
        <v>-3.8099999997029954E-3</v>
      </c>
      <c r="AL94" s="124"/>
      <c r="AM94" s="124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  <c r="GE94" s="39"/>
      <c r="GF94" s="39"/>
      <c r="GG94" s="39"/>
      <c r="GH94" s="39"/>
      <c r="GI94" s="39"/>
      <c r="GJ94" s="39"/>
      <c r="GK94" s="39"/>
    </row>
    <row r="95" spans="1:193" s="39" customFormat="1">
      <c r="A95" s="124" t="s">
        <v>71</v>
      </c>
      <c r="B95" s="124" t="s">
        <v>90</v>
      </c>
      <c r="C95" s="124" t="s">
        <v>254</v>
      </c>
      <c r="D95" s="124" t="s">
        <v>160</v>
      </c>
      <c r="E95" s="124" t="s">
        <v>73</v>
      </c>
      <c r="F95" s="127">
        <v>42333</v>
      </c>
      <c r="G95" s="124"/>
      <c r="H95" s="124"/>
      <c r="I95" s="128">
        <v>513.33000000000004</v>
      </c>
      <c r="J95" s="179">
        <v>653.33000000000004</v>
      </c>
      <c r="K95" s="128">
        <f t="shared" si="53"/>
        <v>1166.6600000000001</v>
      </c>
      <c r="L95" s="128"/>
      <c r="M95" s="128"/>
      <c r="N95" s="128"/>
      <c r="O95" s="128"/>
      <c r="P95" s="114"/>
      <c r="Q95" s="115">
        <f t="shared" si="59"/>
        <v>1166.6600000000001</v>
      </c>
      <c r="R95" s="116"/>
      <c r="S95" s="164"/>
      <c r="T95" s="164">
        <v>0</v>
      </c>
      <c r="U95" s="164"/>
      <c r="V95" s="164"/>
      <c r="W95" s="164"/>
      <c r="X95" s="165"/>
      <c r="Y95" s="165"/>
      <c r="Z95" s="149"/>
      <c r="AA95" s="149">
        <v>0</v>
      </c>
      <c r="AB95" s="115">
        <f t="shared" si="60"/>
        <v>1166.6600000000001</v>
      </c>
      <c r="AC95" s="120">
        <f t="shared" si="61"/>
        <v>0</v>
      </c>
      <c r="AD95" s="115">
        <f t="shared" si="62"/>
        <v>1166.6600000000001</v>
      </c>
      <c r="AE95" s="121">
        <f t="shared" si="63"/>
        <v>116.66600000000001</v>
      </c>
      <c r="AF95" s="120">
        <v>10.23</v>
      </c>
      <c r="AG95" s="120">
        <f t="shared" si="64"/>
        <v>0</v>
      </c>
      <c r="AH95" s="122">
        <f t="shared" si="65"/>
        <v>1293.556</v>
      </c>
      <c r="AI95" s="207">
        <v>577.4</v>
      </c>
      <c r="AJ95" s="208">
        <v>589.26</v>
      </c>
      <c r="AK95" s="194">
        <f t="shared" si="52"/>
        <v>0</v>
      </c>
      <c r="AL95" s="124"/>
      <c r="AM95" s="124"/>
    </row>
    <row r="96" spans="1:193" s="39" customFormat="1">
      <c r="A96" s="124" t="s">
        <v>91</v>
      </c>
      <c r="B96" s="110" t="s">
        <v>80</v>
      </c>
      <c r="C96" s="110"/>
      <c r="D96" s="110" t="s">
        <v>110</v>
      </c>
      <c r="E96" s="110" t="s">
        <v>168</v>
      </c>
      <c r="F96" s="110"/>
      <c r="G96" s="110"/>
      <c r="H96" s="110"/>
      <c r="I96" s="112">
        <v>1100</v>
      </c>
      <c r="J96" s="180"/>
      <c r="K96" s="112">
        <f t="shared" si="53"/>
        <v>1100</v>
      </c>
      <c r="L96" s="112"/>
      <c r="M96" s="112"/>
      <c r="N96" s="112"/>
      <c r="O96" s="112"/>
      <c r="P96" s="114"/>
      <c r="Q96" s="115">
        <f t="shared" si="59"/>
        <v>1100</v>
      </c>
      <c r="R96" s="116"/>
      <c r="S96" s="117"/>
      <c r="T96" s="117">
        <v>0</v>
      </c>
      <c r="U96" s="117"/>
      <c r="V96" s="117"/>
      <c r="W96" s="117"/>
      <c r="X96" s="118"/>
      <c r="Y96" s="118"/>
      <c r="Z96" s="119"/>
      <c r="AA96" s="119">
        <v>0</v>
      </c>
      <c r="AB96" s="115">
        <f t="shared" si="60"/>
        <v>1100</v>
      </c>
      <c r="AC96" s="120">
        <f t="shared" si="61"/>
        <v>0</v>
      </c>
      <c r="AD96" s="115">
        <f t="shared" si="62"/>
        <v>1100</v>
      </c>
      <c r="AE96" s="121">
        <f t="shared" si="63"/>
        <v>110</v>
      </c>
      <c r="AF96" s="120">
        <v>10.23</v>
      </c>
      <c r="AG96" s="120">
        <f t="shared" si="64"/>
        <v>0</v>
      </c>
      <c r="AH96" s="122">
        <f t="shared" si="65"/>
        <v>1220.23</v>
      </c>
      <c r="AI96" s="207">
        <v>577.4</v>
      </c>
      <c r="AJ96" s="208">
        <v>522.6</v>
      </c>
      <c r="AK96" s="194">
        <f t="shared" si="52"/>
        <v>0</v>
      </c>
      <c r="AL96" s="124"/>
      <c r="AM96" s="124"/>
    </row>
    <row r="97" spans="1:193">
      <c r="A97" s="124" t="s">
        <v>92</v>
      </c>
      <c r="B97" s="110" t="s">
        <v>210</v>
      </c>
      <c r="C97" s="110"/>
      <c r="D97" s="110" t="s">
        <v>109</v>
      </c>
      <c r="E97" s="110" t="s">
        <v>166</v>
      </c>
      <c r="F97" s="110"/>
      <c r="G97" s="110"/>
      <c r="H97" s="110"/>
      <c r="I97" s="112">
        <v>739.23</v>
      </c>
      <c r="J97" s="180"/>
      <c r="K97" s="112">
        <f t="shared" si="53"/>
        <v>739.23</v>
      </c>
      <c r="L97" s="112">
        <f>3638.72+13.09</f>
        <v>3651.81</v>
      </c>
      <c r="M97" s="112"/>
      <c r="N97" s="112"/>
      <c r="O97" s="112"/>
      <c r="P97" s="114"/>
      <c r="Q97" s="115">
        <f t="shared" si="59"/>
        <v>4391.04</v>
      </c>
      <c r="R97" s="116"/>
      <c r="S97" s="117"/>
      <c r="T97" s="164"/>
      <c r="U97" s="117"/>
      <c r="V97" s="117"/>
      <c r="W97" s="117"/>
      <c r="X97" s="118"/>
      <c r="Y97" s="118"/>
      <c r="Z97" s="119"/>
      <c r="AA97" s="119">
        <v>0</v>
      </c>
      <c r="AB97" s="115">
        <f t="shared" si="60"/>
        <v>4391.04</v>
      </c>
      <c r="AC97" s="120">
        <f t="shared" si="61"/>
        <v>439.10400000000004</v>
      </c>
      <c r="AD97" s="115">
        <f t="shared" si="62"/>
        <v>3951.9359999999997</v>
      </c>
      <c r="AE97" s="121">
        <f t="shared" si="63"/>
        <v>0</v>
      </c>
      <c r="AF97" s="120">
        <v>10.23</v>
      </c>
      <c r="AG97" s="120">
        <f t="shared" si="64"/>
        <v>0</v>
      </c>
      <c r="AH97" s="122">
        <f t="shared" si="65"/>
        <v>4401.2699999999995</v>
      </c>
      <c r="AI97" s="208">
        <v>577.4</v>
      </c>
      <c r="AJ97" s="209">
        <v>3374.54</v>
      </c>
      <c r="AK97" s="194">
        <f t="shared" si="52"/>
        <v>4.0000000003601599E-3</v>
      </c>
      <c r="AL97" s="124"/>
      <c r="AM97" s="124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39"/>
      <c r="GB97" s="39"/>
      <c r="GC97" s="39"/>
      <c r="GD97" s="39"/>
      <c r="GE97" s="39"/>
      <c r="GF97" s="39"/>
      <c r="GG97" s="39"/>
      <c r="GH97" s="39"/>
      <c r="GI97" s="39"/>
      <c r="GJ97" s="39"/>
      <c r="GK97" s="39"/>
    </row>
    <row r="98" spans="1:193">
      <c r="A98" s="129"/>
      <c r="B98" s="110"/>
      <c r="C98" s="110"/>
      <c r="D98" s="111"/>
      <c r="E98" s="110"/>
      <c r="F98" s="110"/>
      <c r="G98" s="110"/>
      <c r="H98" s="110"/>
      <c r="I98" s="112"/>
      <c r="J98" s="180"/>
      <c r="K98" s="112"/>
      <c r="L98" s="112"/>
      <c r="M98" s="112"/>
      <c r="N98" s="112"/>
      <c r="O98" s="112"/>
      <c r="P98" s="114"/>
      <c r="Q98" s="115">
        <f t="shared" si="59"/>
        <v>0</v>
      </c>
      <c r="R98" s="116"/>
      <c r="S98" s="117"/>
      <c r="T98" s="117"/>
      <c r="U98" s="117"/>
      <c r="V98" s="117"/>
      <c r="W98" s="117"/>
      <c r="X98" s="118"/>
      <c r="Y98" s="118"/>
      <c r="Z98" s="118"/>
      <c r="AA98" s="118"/>
      <c r="AB98" s="115"/>
      <c r="AC98" s="120">
        <f t="shared" si="61"/>
        <v>0</v>
      </c>
      <c r="AD98" s="115"/>
      <c r="AE98" s="121">
        <f t="shared" si="63"/>
        <v>0</v>
      </c>
      <c r="AF98" s="120"/>
      <c r="AG98" s="120">
        <f t="shared" si="64"/>
        <v>0</v>
      </c>
      <c r="AH98" s="122">
        <f t="shared" si="65"/>
        <v>0</v>
      </c>
      <c r="AI98" s="128"/>
      <c r="AJ98" s="128"/>
      <c r="AK98" s="194">
        <f t="shared" si="52"/>
        <v>0</v>
      </c>
      <c r="AL98" s="124"/>
      <c r="AM98" s="124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</row>
    <row r="99" spans="1:193" s="39" customFormat="1">
      <c r="A99" s="106"/>
      <c r="B99" s="107"/>
      <c r="C99" s="107"/>
      <c r="D99" s="107"/>
      <c r="E99" s="107"/>
      <c r="F99" s="107"/>
      <c r="G99" s="107"/>
      <c r="H99" s="107"/>
      <c r="I99" s="108"/>
      <c r="J99" s="183"/>
      <c r="K99" s="108"/>
      <c r="L99" s="108"/>
      <c r="M99" s="108"/>
      <c r="N99" s="108"/>
      <c r="O99" s="108"/>
      <c r="P99" s="108"/>
      <c r="Q99" s="109"/>
      <c r="R99" s="108"/>
      <c r="S99" s="108"/>
      <c r="T99" s="108"/>
      <c r="U99" s="108"/>
      <c r="V99" s="108"/>
      <c r="W99" s="108"/>
      <c r="X99" s="139"/>
      <c r="Y99" s="139"/>
      <c r="Z99" s="139"/>
      <c r="AA99" s="139"/>
      <c r="AB99" s="109"/>
      <c r="AC99" s="139"/>
      <c r="AD99" s="109"/>
      <c r="AE99" s="139"/>
      <c r="AF99" s="139"/>
      <c r="AG99" s="139"/>
      <c r="AH99" s="109"/>
      <c r="AI99" s="160"/>
      <c r="AJ99" s="160"/>
      <c r="AK99" s="101"/>
    </row>
    <row r="100" spans="1:193">
      <c r="B100" s="140" t="s">
        <v>17</v>
      </c>
      <c r="C100" s="140"/>
      <c r="D100" s="140"/>
      <c r="E100" s="140"/>
      <c r="F100" s="140"/>
      <c r="G100" s="140"/>
      <c r="H100" s="140"/>
      <c r="I100" s="112"/>
      <c r="J100" s="184"/>
      <c r="K100" s="141">
        <f>SUM(K7:K99)</f>
        <v>86044.077333333407</v>
      </c>
      <c r="L100" s="141">
        <f>SUM(L7:L99)</f>
        <v>146662.1666666666</v>
      </c>
      <c r="M100" s="141"/>
      <c r="N100" s="141">
        <f>SUM(N7:N99)</f>
        <v>622.36</v>
      </c>
      <c r="O100" s="141">
        <f>SUM(O7:O99)</f>
        <v>2957.25</v>
      </c>
      <c r="P100" s="141">
        <f>SUM(P7:P99)</f>
        <v>0</v>
      </c>
      <c r="Q100" s="141">
        <f>SUM(Q7:Q99)</f>
        <v>236285.85400000011</v>
      </c>
      <c r="R100" s="141">
        <f>SUM(R7:R99)</f>
        <v>0</v>
      </c>
      <c r="S100" s="141"/>
      <c r="T100" s="142">
        <f t="shared" ref="T100:AK100" si="72">SUM(T7:T99)</f>
        <v>3632.3609999999999</v>
      </c>
      <c r="U100" s="142">
        <f t="shared" si="72"/>
        <v>2030.9956099999999</v>
      </c>
      <c r="V100" s="142">
        <f t="shared" si="72"/>
        <v>418.10210000000001</v>
      </c>
      <c r="W100" s="142">
        <f t="shared" si="72"/>
        <v>879.38</v>
      </c>
      <c r="X100" s="141">
        <f t="shared" si="72"/>
        <v>3499.29</v>
      </c>
      <c r="Y100" s="141">
        <f t="shared" si="72"/>
        <v>335.5</v>
      </c>
      <c r="Z100" s="141">
        <f t="shared" si="72"/>
        <v>406.94</v>
      </c>
      <c r="AA100" s="141">
        <f t="shared" si="72"/>
        <v>8973.0600000000013</v>
      </c>
      <c r="AB100" s="141">
        <f t="shared" si="72"/>
        <v>215245.28529000012</v>
      </c>
      <c r="AC100" s="141">
        <f t="shared" si="72"/>
        <v>16707.279866666668</v>
      </c>
      <c r="AD100" s="141">
        <f t="shared" si="72"/>
        <v>198538.00542333341</v>
      </c>
      <c r="AE100" s="141">
        <f t="shared" si="72"/>
        <v>12380.074400000001</v>
      </c>
      <c r="AF100" s="141">
        <f t="shared" si="72"/>
        <v>910.47000000000105</v>
      </c>
      <c r="AG100" s="141">
        <f t="shared" si="72"/>
        <v>2030.9956099999999</v>
      </c>
      <c r="AH100" s="141">
        <f t="shared" si="72"/>
        <v>251607.39401000016</v>
      </c>
      <c r="AI100" s="161">
        <f t="shared" si="72"/>
        <v>44181.90000000006</v>
      </c>
      <c r="AJ100" s="161">
        <f t="shared" si="72"/>
        <v>146038.14000000007</v>
      </c>
      <c r="AK100" s="143">
        <f t="shared" si="72"/>
        <v>1.5766666634817739E-3</v>
      </c>
      <c r="AL100" s="110"/>
      <c r="AM100" s="110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</row>
    <row r="101" spans="1:193">
      <c r="AH101" s="24">
        <f>AH100*0.16</f>
        <v>40257.18304160003</v>
      </c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</row>
    <row r="102" spans="1:193">
      <c r="A102" s="242" t="s">
        <v>292</v>
      </c>
      <c r="B102" s="242"/>
      <c r="C102" s="144"/>
      <c r="D102" s="110"/>
      <c r="E102" s="110"/>
      <c r="F102" s="110"/>
      <c r="G102" s="110"/>
      <c r="H102" s="110"/>
      <c r="I102" s="112"/>
      <c r="J102" s="180"/>
      <c r="K102" s="112"/>
      <c r="L102" s="112"/>
      <c r="M102" s="112"/>
      <c r="N102" s="112"/>
      <c r="O102" s="112"/>
      <c r="P102" s="112"/>
      <c r="Q102" s="141"/>
      <c r="R102" s="112"/>
      <c r="S102" s="112"/>
      <c r="T102" s="128"/>
      <c r="U102" s="128"/>
      <c r="V102" s="128"/>
      <c r="W102" s="128"/>
      <c r="X102" s="112"/>
      <c r="Y102" s="112"/>
      <c r="Z102" s="112"/>
      <c r="AA102" s="112"/>
      <c r="AB102" s="141"/>
      <c r="AC102" s="112"/>
      <c r="AD102" s="141"/>
      <c r="AE102" s="112"/>
      <c r="AF102" s="112"/>
      <c r="AG102" s="112"/>
      <c r="AH102" s="141">
        <f>+AH100+AH101</f>
        <v>291864.57705160021</v>
      </c>
      <c r="AI102" s="161"/>
      <c r="AJ102" s="161"/>
      <c r="AK102" s="143"/>
      <c r="AL102" s="110"/>
      <c r="AM102" s="110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</row>
    <row r="103" spans="1:193">
      <c r="A103" s="124" t="s">
        <v>94</v>
      </c>
      <c r="B103" s="110" t="s">
        <v>293</v>
      </c>
      <c r="C103" s="110"/>
      <c r="D103" s="111"/>
      <c r="E103" s="110"/>
      <c r="F103" s="110"/>
      <c r="G103" s="110"/>
      <c r="H103" s="110"/>
      <c r="I103" s="112"/>
      <c r="J103" s="180"/>
      <c r="K103" s="128">
        <v>623.36</v>
      </c>
      <c r="L103" s="112">
        <f>2359.66+5.57</f>
        <v>2365.23</v>
      </c>
      <c r="M103" s="112"/>
      <c r="N103" s="112"/>
      <c r="O103" s="112"/>
      <c r="P103" s="112"/>
      <c r="Q103" s="115">
        <f>SUM(K103:P103)</f>
        <v>2988.59</v>
      </c>
      <c r="R103" s="116"/>
      <c r="S103" s="116"/>
      <c r="T103" s="128"/>
      <c r="U103" s="126">
        <f>Q103*4.9%</f>
        <v>146.44091</v>
      </c>
      <c r="V103" s="126">
        <f>Q103*1%</f>
        <v>29.885900000000003</v>
      </c>
      <c r="W103" s="128"/>
      <c r="X103" s="145"/>
      <c r="Y103" s="145"/>
      <c r="Z103" s="145"/>
      <c r="AA103" s="145"/>
      <c r="AB103" s="115">
        <f t="shared" ref="AB103:AB104" si="73">+Q103-SUM(R103:AA103)</f>
        <v>2812.2631900000001</v>
      </c>
      <c r="AC103" s="120">
        <f>+AB103*0.05</f>
        <v>140.61315950000002</v>
      </c>
      <c r="AD103" s="115">
        <f>+AB103-X103-AA103</f>
        <v>2812.2631900000001</v>
      </c>
      <c r="AE103" s="121">
        <f>IF(AB103&lt;3000,AB103*0.1,0)</f>
        <v>281.22631900000005</v>
      </c>
      <c r="AF103" s="120">
        <v>0</v>
      </c>
      <c r="AG103" s="120"/>
      <c r="AH103" s="115">
        <f>+AB103+AE103+AF103</f>
        <v>3093.489509</v>
      </c>
      <c r="AI103" s="162"/>
      <c r="AJ103" s="162"/>
      <c r="AK103" s="146"/>
      <c r="AL103" s="110"/>
      <c r="AM103" s="12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</row>
    <row r="104" spans="1:193">
      <c r="A104" s="124" t="s">
        <v>94</v>
      </c>
      <c r="B104" s="111" t="s">
        <v>313</v>
      </c>
      <c r="C104" s="111"/>
      <c r="D104" s="111"/>
      <c r="E104" s="111"/>
      <c r="F104" s="111"/>
      <c r="G104" s="111"/>
      <c r="H104" s="111"/>
      <c r="I104" s="113"/>
      <c r="J104" s="177"/>
      <c r="K104" s="128">
        <v>1166.6600000000001</v>
      </c>
      <c r="L104" s="113">
        <f>3188.48-750</f>
        <v>2438.48</v>
      </c>
      <c r="M104" s="113"/>
      <c r="N104" s="113"/>
      <c r="O104" s="113"/>
      <c r="P104" s="113"/>
      <c r="Q104" s="115">
        <f>SUM(K104:P104)</f>
        <v>3605.1400000000003</v>
      </c>
      <c r="R104" s="116"/>
      <c r="S104" s="116"/>
      <c r="T104" s="128"/>
      <c r="U104" s="128"/>
      <c r="V104" s="128"/>
      <c r="W104" s="128"/>
      <c r="X104" s="145"/>
      <c r="Y104" s="145"/>
      <c r="Z104" s="131">
        <v>364.96</v>
      </c>
      <c r="AA104" s="145"/>
      <c r="AB104" s="115">
        <f t="shared" si="73"/>
        <v>3240.1800000000003</v>
      </c>
      <c r="AC104" s="120">
        <f>+AB104*0.05</f>
        <v>162.00900000000001</v>
      </c>
      <c r="AD104" s="115">
        <f>+AB104-X104-AA104</f>
        <v>3240.1800000000003</v>
      </c>
      <c r="AE104" s="121">
        <f>IF(AB104&lt;3000,AB104*0.1,0)</f>
        <v>0</v>
      </c>
      <c r="AF104" s="120">
        <v>0</v>
      </c>
      <c r="AG104" s="120"/>
      <c r="AH104" s="115">
        <f>+AB104+AE104+AF104</f>
        <v>3240.1800000000003</v>
      </c>
      <c r="AI104" s="162"/>
      <c r="AJ104" s="162"/>
      <c r="AK104" s="146"/>
      <c r="AL104" s="110"/>
      <c r="AM104" s="110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</row>
    <row r="105" spans="1:193">
      <c r="AH105" s="24">
        <f>SUM(AH103:AH104)</f>
        <v>6333.6695090000003</v>
      </c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</row>
    <row r="106" spans="1:193">
      <c r="B106" s="55"/>
      <c r="C106" s="55"/>
      <c r="D106" s="55"/>
      <c r="AH106" s="24">
        <f>+AH105*0.16</f>
        <v>1013.3871214400001</v>
      </c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</row>
    <row r="107" spans="1:193">
      <c r="A107" s="240" t="s">
        <v>312</v>
      </c>
      <c r="B107" s="240"/>
      <c r="C107" s="55"/>
      <c r="D107" s="55"/>
      <c r="AH107" s="24">
        <f>+AH105+AH106</f>
        <v>7347.0566304399999</v>
      </c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</row>
    <row r="108" spans="1:193" s="39" customFormat="1">
      <c r="A108" s="124" t="s">
        <v>71</v>
      </c>
      <c r="B108" s="124" t="s">
        <v>250</v>
      </c>
      <c r="C108" s="124" t="s">
        <v>249</v>
      </c>
      <c r="D108" s="137"/>
      <c r="E108" s="124" t="s">
        <v>73</v>
      </c>
      <c r="F108" s="127">
        <v>42240</v>
      </c>
      <c r="G108" s="124"/>
      <c r="H108" s="124"/>
      <c r="I108" s="128"/>
      <c r="J108" s="178"/>
      <c r="K108" s="128">
        <f t="shared" ref="K108" si="74">+I108+J108</f>
        <v>0</v>
      </c>
      <c r="L108" s="128"/>
      <c r="M108" s="128"/>
      <c r="N108" s="128"/>
      <c r="O108" s="128"/>
      <c r="P108" s="171"/>
      <c r="Q108" s="186">
        <f t="shared" ref="Q108" si="75">SUM(K108:O108)-P108</f>
        <v>0</v>
      </c>
      <c r="R108" s="128"/>
      <c r="S108" s="128">
        <v>58.91</v>
      </c>
      <c r="T108" s="128"/>
      <c r="U108" s="128"/>
      <c r="V108" s="128"/>
      <c r="W108" s="128"/>
      <c r="X108" s="120"/>
      <c r="Y108" s="120"/>
      <c r="Z108" s="124"/>
      <c r="AA108" s="124">
        <v>0</v>
      </c>
      <c r="AB108" s="186">
        <f t="shared" ref="AB108:AB109" si="76">+Q108-SUM(R108:AA108)</f>
        <v>-58.91</v>
      </c>
      <c r="AC108" s="120">
        <f t="shared" ref="AC108:AC109" si="77">IF(Q108&gt;2250,Q108*0.1,0)</f>
        <v>0</v>
      </c>
      <c r="AD108" s="186">
        <f>+AB108-AC108</f>
        <v>-58.91</v>
      </c>
      <c r="AE108" s="120">
        <f>IF(Q108&lt;3500,Q108*0.1,0)</f>
        <v>0</v>
      </c>
      <c r="AF108" s="120">
        <v>10.23</v>
      </c>
      <c r="AG108" s="120">
        <f t="shared" ref="AG108:AG109" si="78">+U108</f>
        <v>0</v>
      </c>
      <c r="AH108" s="186">
        <f t="shared" ref="AH108:AH109" si="79">+Q108+AE108+AF108+AG108</f>
        <v>10.23</v>
      </c>
      <c r="AI108" s="163"/>
      <c r="AJ108" s="166"/>
      <c r="AK108" s="123">
        <f t="shared" ref="AK108:AK109" si="80">+AI108+AJ108-AD108</f>
        <v>58.91</v>
      </c>
      <c r="AL108" s="124"/>
      <c r="AM108" s="170" t="s">
        <v>311</v>
      </c>
    </row>
    <row r="109" spans="1:193">
      <c r="A109" s="124" t="s">
        <v>91</v>
      </c>
      <c r="B109" s="124" t="s">
        <v>244</v>
      </c>
      <c r="C109" s="124"/>
      <c r="D109" s="124" t="s">
        <v>117</v>
      </c>
      <c r="E109" s="124" t="s">
        <v>171</v>
      </c>
      <c r="F109" s="127">
        <v>42321</v>
      </c>
      <c r="G109" s="124"/>
      <c r="H109" s="124"/>
      <c r="I109" s="128"/>
      <c r="J109" s="200"/>
      <c r="K109" s="128">
        <v>0</v>
      </c>
      <c r="L109" s="128"/>
      <c r="M109" s="128"/>
      <c r="N109" s="128"/>
      <c r="O109" s="128"/>
      <c r="P109" s="171"/>
      <c r="Q109" s="186">
        <f t="shared" ref="Q109" si="81">SUM(K109:O109)-P109</f>
        <v>0</v>
      </c>
      <c r="R109" s="128"/>
      <c r="S109" s="128"/>
      <c r="T109" s="128">
        <v>0</v>
      </c>
      <c r="U109" s="128"/>
      <c r="V109" s="128"/>
      <c r="W109" s="128"/>
      <c r="X109" s="120"/>
      <c r="Y109" s="120"/>
      <c r="Z109" s="124"/>
      <c r="AA109" s="124">
        <v>0</v>
      </c>
      <c r="AB109" s="186">
        <f t="shared" si="76"/>
        <v>0</v>
      </c>
      <c r="AC109" s="120">
        <f t="shared" si="77"/>
        <v>0</v>
      </c>
      <c r="AD109" s="186">
        <f t="shared" ref="AD109" si="82">+AB109-AC109</f>
        <v>0</v>
      </c>
      <c r="AE109" s="120">
        <f t="shared" ref="AE109" si="83">IF(Q109&lt;3500,Q109*0.1,0)</f>
        <v>0</v>
      </c>
      <c r="AF109" s="120">
        <v>0</v>
      </c>
      <c r="AG109" s="120">
        <f t="shared" si="78"/>
        <v>0</v>
      </c>
      <c r="AH109" s="186">
        <f t="shared" si="79"/>
        <v>0</v>
      </c>
      <c r="AI109" s="215"/>
      <c r="AJ109" s="216"/>
      <c r="AK109" s="194">
        <f t="shared" si="80"/>
        <v>0</v>
      </c>
      <c r="AL109" s="124"/>
      <c r="AM109" s="170" t="s">
        <v>311</v>
      </c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</row>
    <row r="110" spans="1:193"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</row>
    <row r="111" spans="1:193"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</row>
    <row r="112" spans="1:193"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</row>
    <row r="113" spans="1:193"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</row>
    <row r="114" spans="1:193"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</row>
    <row r="115" spans="1:193"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</row>
    <row r="116" spans="1:193">
      <c r="A116" s="41" t="s">
        <v>57</v>
      </c>
      <c r="B116" s="23"/>
      <c r="C116" s="23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</row>
    <row r="117" spans="1:193">
      <c r="A117" s="41" t="s">
        <v>58</v>
      </c>
      <c r="B117" s="23"/>
      <c r="C117" s="23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</row>
    <row r="118" spans="1:193">
      <c r="A118" s="41" t="s">
        <v>59</v>
      </c>
      <c r="B118" s="23"/>
      <c r="C118" s="23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</row>
    <row r="119" spans="1:193">
      <c r="A119" s="41" t="s">
        <v>60</v>
      </c>
      <c r="B119" s="23"/>
      <c r="C119" s="23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</row>
    <row r="120" spans="1:193">
      <c r="A120" s="41" t="s">
        <v>61</v>
      </c>
      <c r="B120" s="23"/>
      <c r="C120" s="23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</row>
    <row r="121" spans="1:193">
      <c r="A121" s="41" t="s">
        <v>62</v>
      </c>
      <c r="B121" s="23"/>
      <c r="C121" s="23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</row>
    <row r="122" spans="1:193"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  <c r="GE122" s="39"/>
      <c r="GF122" s="39"/>
      <c r="GG122" s="39"/>
      <c r="GH122" s="39"/>
      <c r="GI122" s="39"/>
      <c r="GJ122" s="39"/>
      <c r="GK122" s="39"/>
    </row>
    <row r="123" spans="1:193"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39"/>
    </row>
    <row r="125" spans="1:193">
      <c r="B125" s="27"/>
      <c r="C125" s="70"/>
    </row>
    <row r="126" spans="1:193">
      <c r="B126" s="27"/>
      <c r="C126" s="70"/>
    </row>
    <row r="127" spans="1:193">
      <c r="B127" s="27"/>
      <c r="C127" s="70"/>
    </row>
  </sheetData>
  <sheetProtection selectLockedCells="1" selectUnlockedCells="1"/>
  <autoFilter ref="A5:AM98">
    <filterColumn colId="34" showButton="0"/>
    <sortState ref="A8:AN94">
      <sortCondition ref="B5:B94"/>
    </sortState>
  </autoFilter>
  <mergeCells count="37">
    <mergeCell ref="A107:B107"/>
    <mergeCell ref="AM5:AM6"/>
    <mergeCell ref="A102:B102"/>
    <mergeCell ref="AH5:AH6"/>
    <mergeCell ref="AI5:AJ5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N5:N6"/>
    <mergeCell ref="O5:O6"/>
    <mergeCell ref="P5:P6"/>
    <mergeCell ref="Q5:Q6"/>
    <mergeCell ref="R5:R6"/>
    <mergeCell ref="T5:T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1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1" sqref="E31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2" width="13.5703125" style="23" customWidth="1"/>
    <col min="33" max="33" width="15.42578125" style="24" customWidth="1"/>
    <col min="34" max="35" width="0" style="41" hidden="1" customWidth="1"/>
    <col min="36" max="36" width="15.28515625" style="41" hidden="1" customWidth="1"/>
    <col min="37" max="38" width="0" style="41" hidden="1" customWidth="1"/>
    <col min="39" max="39" width="13.85546875" style="41" customWidth="1"/>
    <col min="40" max="40" width="34.85546875" style="41" customWidth="1"/>
    <col min="41" max="54" width="11.5703125" style="39"/>
    <col min="55" max="16384" width="11.5703125" style="41"/>
  </cols>
  <sheetData>
    <row r="1" spans="1:5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5"/>
      <c r="AH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260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5"/>
      <c r="AH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259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230" t="s">
        <v>39</v>
      </c>
      <c r="B5" s="232" t="s">
        <v>40</v>
      </c>
      <c r="C5" s="230"/>
      <c r="D5" s="232" t="s">
        <v>41</v>
      </c>
      <c r="E5" s="232" t="s">
        <v>0</v>
      </c>
      <c r="F5" s="230" t="s">
        <v>246</v>
      </c>
      <c r="G5" s="234" t="s">
        <v>67</v>
      </c>
      <c r="H5" s="234" t="s">
        <v>65</v>
      </c>
      <c r="I5" s="236" t="s">
        <v>66</v>
      </c>
      <c r="J5" s="228" t="s">
        <v>68</v>
      </c>
      <c r="K5" s="234" t="s">
        <v>34</v>
      </c>
      <c r="L5" s="228" t="s">
        <v>75</v>
      </c>
      <c r="M5" s="95"/>
      <c r="N5" s="234" t="s">
        <v>35</v>
      </c>
      <c r="O5" s="234" t="s">
        <v>36</v>
      </c>
      <c r="P5" s="234" t="s">
        <v>63</v>
      </c>
      <c r="Q5" s="234" t="s">
        <v>37</v>
      </c>
      <c r="R5" s="234" t="s">
        <v>38</v>
      </c>
      <c r="S5" s="88"/>
      <c r="T5" s="238" t="s">
        <v>186</v>
      </c>
      <c r="U5" s="238" t="s">
        <v>213</v>
      </c>
      <c r="V5" s="238" t="s">
        <v>212</v>
      </c>
      <c r="W5" s="238" t="s">
        <v>187</v>
      </c>
      <c r="X5" s="234" t="s">
        <v>30</v>
      </c>
      <c r="Y5" s="234" t="s">
        <v>56</v>
      </c>
      <c r="Z5" s="234" t="s">
        <v>55</v>
      </c>
      <c r="AA5" s="234" t="s">
        <v>32</v>
      </c>
      <c r="AB5" s="234" t="s">
        <v>64</v>
      </c>
      <c r="AC5" s="234" t="s">
        <v>27</v>
      </c>
      <c r="AD5" s="234" t="s">
        <v>31</v>
      </c>
      <c r="AE5" s="234" t="s">
        <v>26</v>
      </c>
      <c r="AF5" s="234" t="s">
        <v>28</v>
      </c>
      <c r="AG5" s="234" t="s">
        <v>29</v>
      </c>
      <c r="AH5" s="234" t="s">
        <v>188</v>
      </c>
      <c r="AI5" s="234" t="s">
        <v>189</v>
      </c>
      <c r="AJ5" s="247" t="s">
        <v>190</v>
      </c>
      <c r="AK5" s="248"/>
      <c r="AL5" s="241" t="s">
        <v>191</v>
      </c>
      <c r="AM5" s="241" t="s">
        <v>257</v>
      </c>
      <c r="AN5" s="241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66" customFormat="1" ht="39" customHeight="1">
      <c r="A6" s="246"/>
      <c r="B6" s="232"/>
      <c r="C6" s="246"/>
      <c r="D6" s="232"/>
      <c r="E6" s="232"/>
      <c r="F6" s="246"/>
      <c r="G6" s="234"/>
      <c r="H6" s="234"/>
      <c r="I6" s="251"/>
      <c r="J6" s="252"/>
      <c r="K6" s="234"/>
      <c r="L6" s="252"/>
      <c r="M6" s="96" t="s">
        <v>288</v>
      </c>
      <c r="N6" s="234"/>
      <c r="O6" s="234"/>
      <c r="P6" s="234"/>
      <c r="Q6" s="234"/>
      <c r="R6" s="234"/>
      <c r="S6" s="89" t="s">
        <v>276</v>
      </c>
      <c r="T6" s="249"/>
      <c r="U6" s="249"/>
      <c r="V6" s="249"/>
      <c r="W6" s="249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64" t="s">
        <v>66</v>
      </c>
      <c r="AK6" s="64" t="s">
        <v>68</v>
      </c>
      <c r="AL6" s="241"/>
      <c r="AM6" s="241"/>
      <c r="AN6" s="241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40" customFormat="1">
      <c r="A7" s="27" t="s">
        <v>91</v>
      </c>
      <c r="B7" s="27" t="s">
        <v>238</v>
      </c>
      <c r="C7" s="27"/>
      <c r="D7" s="27" t="s">
        <v>95</v>
      </c>
      <c r="E7" s="27" t="s">
        <v>72</v>
      </c>
      <c r="F7" s="27"/>
      <c r="G7" s="28"/>
      <c r="H7" s="28"/>
      <c r="I7" s="30">
        <v>1166.26</v>
      </c>
      <c r="J7" s="29"/>
      <c r="K7" s="30">
        <f t="shared" ref="K7:K38" si="0">+I7+J7</f>
        <v>1166.26</v>
      </c>
      <c r="L7" s="30">
        <v>3954.17</v>
      </c>
      <c r="M7" s="30">
        <v>0</v>
      </c>
      <c r="N7" s="31"/>
      <c r="O7" s="31"/>
      <c r="P7" s="32"/>
      <c r="Q7" s="33">
        <f t="shared" ref="Q7:Q38" si="1">SUM(K7:O7)-P7</f>
        <v>5120.43</v>
      </c>
      <c r="R7" s="34"/>
      <c r="S7" s="45"/>
      <c r="T7" s="45">
        <v>0</v>
      </c>
      <c r="U7" s="45"/>
      <c r="V7" s="45"/>
      <c r="W7" s="45"/>
      <c r="X7" s="36"/>
      <c r="Y7" s="36"/>
      <c r="Z7" s="35"/>
      <c r="AA7" s="35">
        <v>0</v>
      </c>
      <c r="AB7" s="33">
        <f t="shared" ref="AB7:AB13" si="2">+Q7-SUM(R7:AA7)</f>
        <v>5120.43</v>
      </c>
      <c r="AC7" s="37">
        <f>IF(Q7&gt;4500,Q7*0.1,0)</f>
        <v>512.04300000000001</v>
      </c>
      <c r="AD7" s="33">
        <f t="shared" ref="AD7:AD13" si="3">+AB7-AC7</f>
        <v>4608.3870000000006</v>
      </c>
      <c r="AE7" s="38">
        <f t="shared" ref="AE7:AE38" si="4">IF(Q7&lt;4500,Q7*0.1,0)</f>
        <v>0</v>
      </c>
      <c r="AF7" s="37">
        <v>10.23</v>
      </c>
      <c r="AG7" s="67">
        <f t="shared" ref="AG7:AG38" si="5">+Q7+AE7+AF7</f>
        <v>5130.66</v>
      </c>
      <c r="AH7" s="39"/>
      <c r="AI7" s="56"/>
      <c r="AJ7" s="39"/>
      <c r="AK7" s="39"/>
      <c r="AL7" s="56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>
      <c r="A8" s="27" t="s">
        <v>71</v>
      </c>
      <c r="B8" s="27" t="s">
        <v>219</v>
      </c>
      <c r="C8" s="27" t="s">
        <v>252</v>
      </c>
      <c r="D8" s="27" t="s">
        <v>145</v>
      </c>
      <c r="E8" s="27" t="s">
        <v>74</v>
      </c>
      <c r="F8" s="27"/>
      <c r="G8" s="28"/>
      <c r="H8" s="28"/>
      <c r="I8" s="30">
        <v>1633.33</v>
      </c>
      <c r="J8" s="28"/>
      <c r="K8" s="30">
        <f t="shared" si="0"/>
        <v>1633.33</v>
      </c>
      <c r="L8" s="30">
        <v>60706.45</v>
      </c>
      <c r="M8" s="30"/>
      <c r="N8" s="31"/>
      <c r="O8" s="31"/>
      <c r="P8" s="32"/>
      <c r="Q8" s="33">
        <f t="shared" si="1"/>
        <v>62339.78</v>
      </c>
      <c r="R8" s="34"/>
      <c r="S8" s="45"/>
      <c r="T8" s="45">
        <v>0</v>
      </c>
      <c r="U8" s="45"/>
      <c r="V8" s="45"/>
      <c r="W8" s="45"/>
      <c r="X8" s="36"/>
      <c r="Y8" s="36"/>
      <c r="Z8" s="35"/>
      <c r="AA8" s="35">
        <v>0</v>
      </c>
      <c r="AB8" s="33">
        <f t="shared" si="2"/>
        <v>62339.78</v>
      </c>
      <c r="AC8" s="37">
        <f>IF(Q8&gt;4500,Q8*0.1,0)</f>
        <v>6233.9780000000001</v>
      </c>
      <c r="AD8" s="33">
        <f t="shared" si="3"/>
        <v>56105.801999999996</v>
      </c>
      <c r="AE8" s="38">
        <f t="shared" si="4"/>
        <v>0</v>
      </c>
      <c r="AF8" s="37">
        <v>10.23</v>
      </c>
      <c r="AG8" s="67">
        <f t="shared" si="5"/>
        <v>62350.01</v>
      </c>
      <c r="AH8" s="39"/>
      <c r="AI8" s="56"/>
      <c r="AJ8" s="39"/>
      <c r="AK8" s="39"/>
      <c r="AL8" s="56"/>
      <c r="AM8" s="39"/>
      <c r="AN8" s="39"/>
    </row>
    <row r="9" spans="1:54">
      <c r="A9" s="62" t="s">
        <v>94</v>
      </c>
      <c r="B9" s="27" t="s">
        <v>196</v>
      </c>
      <c r="C9" s="27"/>
      <c r="D9" s="27" t="s">
        <v>126</v>
      </c>
      <c r="E9" s="27" t="s">
        <v>174</v>
      </c>
      <c r="F9" s="27"/>
      <c r="G9" s="28"/>
      <c r="H9" s="28"/>
      <c r="I9" s="30">
        <v>608.16</v>
      </c>
      <c r="J9" s="28"/>
      <c r="K9" s="30">
        <f t="shared" si="0"/>
        <v>608.16</v>
      </c>
      <c r="L9" s="30">
        <v>4993.21</v>
      </c>
      <c r="M9" s="30"/>
      <c r="N9" s="31"/>
      <c r="O9" s="31"/>
      <c r="P9" s="32"/>
      <c r="Q9" s="33">
        <f t="shared" si="1"/>
        <v>5601.37</v>
      </c>
      <c r="R9" s="34"/>
      <c r="S9" s="45"/>
      <c r="T9" s="45"/>
      <c r="U9" s="75">
        <f>Q9*4.9%</f>
        <v>274.46713</v>
      </c>
      <c r="V9" s="75">
        <f>Q9*1%</f>
        <v>56.0137</v>
      </c>
      <c r="W9" s="45"/>
      <c r="X9" s="36"/>
      <c r="Y9" s="36"/>
      <c r="Z9" s="35"/>
      <c r="AA9" s="35">
        <v>0</v>
      </c>
      <c r="AB9" s="33">
        <f t="shared" si="2"/>
        <v>5270.8891700000004</v>
      </c>
      <c r="AC9" s="37">
        <f>IF(Q9&gt;4500,Q9*0.1,0)</f>
        <v>560.13700000000006</v>
      </c>
      <c r="AD9" s="33">
        <f t="shared" si="3"/>
        <v>4710.7521700000007</v>
      </c>
      <c r="AE9" s="38">
        <f t="shared" si="4"/>
        <v>0</v>
      </c>
      <c r="AF9" s="37">
        <v>10.23</v>
      </c>
      <c r="AG9" s="67">
        <f t="shared" si="5"/>
        <v>5611.5999999999995</v>
      </c>
      <c r="AH9" s="39"/>
      <c r="AI9" s="56"/>
      <c r="AJ9" s="39"/>
      <c r="AK9" s="39"/>
      <c r="AL9" s="56"/>
      <c r="AM9" s="39"/>
      <c r="AN9" s="39"/>
    </row>
    <row r="10" spans="1:54">
      <c r="A10" s="62" t="s">
        <v>92</v>
      </c>
      <c r="B10" s="27" t="s">
        <v>205</v>
      </c>
      <c r="C10" s="27"/>
      <c r="D10" s="27" t="s">
        <v>206</v>
      </c>
      <c r="E10" s="27" t="s">
        <v>167</v>
      </c>
      <c r="F10" s="27"/>
      <c r="G10" s="28"/>
      <c r="H10" s="28"/>
      <c r="I10" s="30">
        <v>739.23</v>
      </c>
      <c r="J10" s="28"/>
      <c r="K10" s="30">
        <f t="shared" si="0"/>
        <v>739.23</v>
      </c>
      <c r="L10" s="30"/>
      <c r="M10" s="30"/>
      <c r="N10" s="31"/>
      <c r="O10" s="31"/>
      <c r="P10" s="32"/>
      <c r="Q10" s="33">
        <f t="shared" si="1"/>
        <v>739.23</v>
      </c>
      <c r="R10" s="34"/>
      <c r="S10" s="45"/>
      <c r="T10" s="45"/>
      <c r="U10" s="45"/>
      <c r="V10" s="45"/>
      <c r="W10" s="45"/>
      <c r="X10" s="36"/>
      <c r="Y10" s="36"/>
      <c r="Z10" s="35"/>
      <c r="AA10" s="35"/>
      <c r="AB10" s="33">
        <f t="shared" si="2"/>
        <v>739.23</v>
      </c>
      <c r="AC10" s="37"/>
      <c r="AD10" s="33">
        <f t="shared" si="3"/>
        <v>739.23</v>
      </c>
      <c r="AE10" s="38">
        <f t="shared" si="4"/>
        <v>73.923000000000002</v>
      </c>
      <c r="AF10" s="37">
        <v>10.23</v>
      </c>
      <c r="AG10" s="67">
        <f t="shared" si="5"/>
        <v>823.38300000000004</v>
      </c>
      <c r="AH10" s="39"/>
      <c r="AI10" s="56"/>
      <c r="AJ10" s="39"/>
      <c r="AK10" s="39"/>
      <c r="AL10" s="56"/>
      <c r="AM10" s="39"/>
      <c r="AN10" s="39"/>
    </row>
    <row r="11" spans="1:54">
      <c r="A11" s="27" t="s">
        <v>91</v>
      </c>
      <c r="B11" s="27" t="s">
        <v>235</v>
      </c>
      <c r="C11" s="27"/>
      <c r="D11" s="27" t="s">
        <v>96</v>
      </c>
      <c r="E11" s="27" t="s">
        <v>72</v>
      </c>
      <c r="F11" s="27"/>
      <c r="G11" s="27"/>
      <c r="H11" s="27"/>
      <c r="I11" s="30">
        <v>1166.6600000000001</v>
      </c>
      <c r="J11" s="29"/>
      <c r="K11" s="30">
        <f t="shared" si="0"/>
        <v>1166.6600000000001</v>
      </c>
      <c r="L11" s="30">
        <v>1433.64</v>
      </c>
      <c r="M11" s="30"/>
      <c r="N11" s="30"/>
      <c r="O11" s="30"/>
      <c r="P11" s="32"/>
      <c r="Q11" s="33">
        <f t="shared" si="1"/>
        <v>2600.3000000000002</v>
      </c>
      <c r="R11" s="34"/>
      <c r="S11" s="45"/>
      <c r="T11" s="45">
        <v>0</v>
      </c>
      <c r="U11" s="45"/>
      <c r="V11" s="45"/>
      <c r="W11" s="45"/>
      <c r="X11" s="36"/>
      <c r="Y11" s="36"/>
      <c r="Z11" s="35"/>
      <c r="AA11" s="35">
        <v>0</v>
      </c>
      <c r="AB11" s="33">
        <f t="shared" si="2"/>
        <v>2600.3000000000002</v>
      </c>
      <c r="AC11" s="37">
        <f t="shared" ref="AC11:AC42" si="6">IF(Q11&gt;4500,Q11*0.1,0)</f>
        <v>0</v>
      </c>
      <c r="AD11" s="33">
        <f t="shared" si="3"/>
        <v>2600.3000000000002</v>
      </c>
      <c r="AE11" s="38">
        <f t="shared" si="4"/>
        <v>260.03000000000003</v>
      </c>
      <c r="AF11" s="37">
        <v>10.23</v>
      </c>
      <c r="AG11" s="67">
        <f t="shared" si="5"/>
        <v>2870.5600000000004</v>
      </c>
      <c r="AH11" s="39"/>
      <c r="AI11" s="56"/>
      <c r="AJ11" s="39"/>
      <c r="AK11" s="39"/>
      <c r="AL11" s="56"/>
      <c r="AM11" s="39"/>
      <c r="AN11" s="39"/>
    </row>
    <row r="12" spans="1:54">
      <c r="A12" s="27" t="s">
        <v>71</v>
      </c>
      <c r="B12" s="27" t="s">
        <v>87</v>
      </c>
      <c r="C12" s="27" t="s">
        <v>252</v>
      </c>
      <c r="D12" s="27">
        <v>16</v>
      </c>
      <c r="E12" s="27" t="s">
        <v>184</v>
      </c>
      <c r="F12" s="27"/>
      <c r="G12" s="28"/>
      <c r="H12" s="28"/>
      <c r="I12" s="30">
        <v>1633.33</v>
      </c>
      <c r="J12" s="28"/>
      <c r="K12" s="30">
        <f t="shared" si="0"/>
        <v>1633.33</v>
      </c>
      <c r="L12" s="30">
        <v>13631.88</v>
      </c>
      <c r="M12" s="30"/>
      <c r="N12" s="31"/>
      <c r="O12" s="31"/>
      <c r="P12" s="32"/>
      <c r="Q12" s="33">
        <f t="shared" si="1"/>
        <v>15265.21</v>
      </c>
      <c r="R12" s="34"/>
      <c r="S12" s="45"/>
      <c r="T12" s="45">
        <v>0</v>
      </c>
      <c r="U12" s="45"/>
      <c r="V12" s="45"/>
      <c r="W12" s="45"/>
      <c r="X12" s="36"/>
      <c r="Y12" s="36"/>
      <c r="Z12" s="35"/>
      <c r="AA12" s="35">
        <v>0</v>
      </c>
      <c r="AB12" s="33">
        <f t="shared" si="2"/>
        <v>15265.21</v>
      </c>
      <c r="AC12" s="37">
        <f t="shared" si="6"/>
        <v>1526.521</v>
      </c>
      <c r="AD12" s="33">
        <f t="shared" si="3"/>
        <v>13738.688999999998</v>
      </c>
      <c r="AE12" s="38">
        <f t="shared" si="4"/>
        <v>0</v>
      </c>
      <c r="AF12" s="37">
        <v>10.23</v>
      </c>
      <c r="AG12" s="67">
        <f t="shared" si="5"/>
        <v>15275.439999999999</v>
      </c>
      <c r="AH12" s="39"/>
      <c r="AI12" s="56"/>
      <c r="AJ12" s="39"/>
      <c r="AK12" s="39"/>
      <c r="AL12" s="56"/>
      <c r="AM12" s="39"/>
      <c r="AN12" s="39"/>
    </row>
    <row r="13" spans="1:54" s="84" customFormat="1">
      <c r="A13" s="79" t="s">
        <v>91</v>
      </c>
      <c r="B13" s="79" t="s">
        <v>269</v>
      </c>
      <c r="C13" s="79"/>
      <c r="D13" s="79"/>
      <c r="E13" s="79" t="s">
        <v>270</v>
      </c>
      <c r="F13" s="87">
        <v>42422</v>
      </c>
      <c r="G13" s="79"/>
      <c r="H13" s="79"/>
      <c r="I13" s="80">
        <v>0</v>
      </c>
      <c r="J13" s="79">
        <v>483.75</v>
      </c>
      <c r="K13" s="80">
        <f t="shared" si="0"/>
        <v>483.75</v>
      </c>
      <c r="L13" s="80">
        <v>0</v>
      </c>
      <c r="M13" s="80"/>
      <c r="N13" s="80"/>
      <c r="O13" s="80"/>
      <c r="P13" s="81"/>
      <c r="Q13" s="82">
        <f t="shared" si="1"/>
        <v>483.75</v>
      </c>
      <c r="R13" s="80"/>
      <c r="S13" s="45"/>
      <c r="T13" s="80"/>
      <c r="U13" s="80"/>
      <c r="V13" s="80"/>
      <c r="W13" s="80"/>
      <c r="X13" s="83"/>
      <c r="Y13" s="83"/>
      <c r="Z13" s="79"/>
      <c r="AA13" s="79"/>
      <c r="AB13" s="82">
        <f t="shared" si="2"/>
        <v>483.75</v>
      </c>
      <c r="AC13" s="83">
        <f t="shared" si="6"/>
        <v>0</v>
      </c>
      <c r="AD13" s="82">
        <f t="shared" si="3"/>
        <v>483.75</v>
      </c>
      <c r="AE13" s="83">
        <f t="shared" si="4"/>
        <v>48.375</v>
      </c>
      <c r="AF13" s="83">
        <v>10.23</v>
      </c>
      <c r="AG13" s="82">
        <f t="shared" si="5"/>
        <v>542.35500000000002</v>
      </c>
      <c r="AI13" s="85"/>
      <c r="AL13" s="85"/>
      <c r="AM13" s="84">
        <v>1456104819</v>
      </c>
      <c r="AN13" s="78" t="s">
        <v>282</v>
      </c>
    </row>
    <row r="14" spans="1:54" s="39" customFormat="1">
      <c r="A14" s="63" t="s">
        <v>70</v>
      </c>
      <c r="B14" s="63" t="s">
        <v>203</v>
      </c>
      <c r="C14" s="63" t="s">
        <v>248</v>
      </c>
      <c r="D14" s="63"/>
      <c r="E14" s="63" t="s">
        <v>173</v>
      </c>
      <c r="F14" s="72">
        <v>42417</v>
      </c>
      <c r="G14" s="63"/>
      <c r="H14" s="63"/>
      <c r="I14" s="53">
        <v>513.33000000000004</v>
      </c>
      <c r="J14" s="63">
        <v>653.33000000000004</v>
      </c>
      <c r="K14" s="53">
        <f t="shared" si="0"/>
        <v>1166.6600000000001</v>
      </c>
      <c r="L14" s="53">
        <v>164</v>
      </c>
      <c r="M14" s="53"/>
      <c r="N14" s="53"/>
      <c r="O14" s="53"/>
      <c r="P14" s="73"/>
      <c r="Q14" s="33">
        <f t="shared" si="1"/>
        <v>1330.66</v>
      </c>
      <c r="R14" s="34"/>
      <c r="S14" s="45"/>
      <c r="T14" s="45">
        <v>0</v>
      </c>
      <c r="U14" s="45"/>
      <c r="V14" s="45"/>
      <c r="W14" s="45"/>
      <c r="X14" s="36"/>
      <c r="Y14" s="36"/>
      <c r="Z14" s="35"/>
      <c r="AA14" s="35">
        <v>0</v>
      </c>
      <c r="AB14" s="33">
        <f>+Q14-SUM(R14:AA14)</f>
        <v>1330.66</v>
      </c>
      <c r="AC14" s="37">
        <f>IF(Q14&gt;4500,Q14*0.1,0)</f>
        <v>0</v>
      </c>
      <c r="AD14" s="33">
        <f>+AB14-AC14</f>
        <v>1330.66</v>
      </c>
      <c r="AE14" s="38">
        <f>IF(Q14&lt;4500,Q14*0.1,0)</f>
        <v>133.066</v>
      </c>
      <c r="AF14" s="37">
        <v>10.23</v>
      </c>
      <c r="AG14" s="67">
        <f>+Q14+AE14+AF14</f>
        <v>1473.9560000000001</v>
      </c>
      <c r="AI14" s="56"/>
      <c r="AL14" s="56"/>
    </row>
    <row r="15" spans="1:54">
      <c r="A15" s="27" t="s">
        <v>71</v>
      </c>
      <c r="B15" s="27" t="s">
        <v>222</v>
      </c>
      <c r="C15" s="27" t="s">
        <v>249</v>
      </c>
      <c r="D15" s="27" t="s">
        <v>146</v>
      </c>
      <c r="E15" s="27" t="s">
        <v>73</v>
      </c>
      <c r="F15" s="57"/>
      <c r="G15" s="28"/>
      <c r="H15" s="28"/>
      <c r="I15" s="30">
        <v>513.33000000000004</v>
      </c>
      <c r="J15" s="28">
        <v>653.33000000000004</v>
      </c>
      <c r="K15" s="30">
        <f t="shared" si="0"/>
        <v>1166.6600000000001</v>
      </c>
      <c r="L15" s="30">
        <v>1508.49</v>
      </c>
      <c r="M15" s="30"/>
      <c r="N15" s="31"/>
      <c r="O15" s="31"/>
      <c r="P15" s="32"/>
      <c r="Q15" s="33">
        <f t="shared" si="1"/>
        <v>2675.15</v>
      </c>
      <c r="R15" s="34"/>
      <c r="S15" s="45"/>
      <c r="T15" s="45">
        <v>0</v>
      </c>
      <c r="U15" s="45"/>
      <c r="V15" s="45"/>
      <c r="W15" s="45"/>
      <c r="X15" s="36"/>
      <c r="Y15" s="36"/>
      <c r="Z15" s="35"/>
      <c r="AA15" s="35">
        <v>368.35</v>
      </c>
      <c r="AB15" s="33">
        <f t="shared" ref="AB15:AB45" si="7">+Q15-SUM(R15:AA15)</f>
        <v>2306.8000000000002</v>
      </c>
      <c r="AC15" s="37">
        <f t="shared" si="6"/>
        <v>0</v>
      </c>
      <c r="AD15" s="33">
        <f t="shared" ref="AD15:AD44" si="8">+AB15-AC15</f>
        <v>2306.8000000000002</v>
      </c>
      <c r="AE15" s="38">
        <f t="shared" si="4"/>
        <v>267.51500000000004</v>
      </c>
      <c r="AF15" s="37">
        <v>10.23</v>
      </c>
      <c r="AG15" s="67">
        <f t="shared" si="5"/>
        <v>2952.895</v>
      </c>
      <c r="AH15" s="39"/>
      <c r="AI15" s="56"/>
      <c r="AJ15" s="39"/>
      <c r="AK15" s="39"/>
      <c r="AL15" s="56"/>
      <c r="AM15" s="39"/>
      <c r="AN15" s="39"/>
    </row>
    <row r="16" spans="1:54">
      <c r="A16" s="62" t="s">
        <v>94</v>
      </c>
      <c r="B16" s="63" t="s">
        <v>234</v>
      </c>
      <c r="C16" s="63"/>
      <c r="D16" s="27" t="s">
        <v>127</v>
      </c>
      <c r="E16" s="27" t="s">
        <v>174</v>
      </c>
      <c r="F16" s="27"/>
      <c r="G16" s="28"/>
      <c r="H16" s="28"/>
      <c r="I16" s="30">
        <v>608.16</v>
      </c>
      <c r="J16" s="28"/>
      <c r="K16" s="30">
        <f t="shared" si="0"/>
        <v>608.16</v>
      </c>
      <c r="L16" s="30"/>
      <c r="M16" s="30"/>
      <c r="N16" s="31"/>
      <c r="O16" s="31"/>
      <c r="P16" s="32"/>
      <c r="Q16" s="33">
        <f t="shared" si="1"/>
        <v>608.16</v>
      </c>
      <c r="R16" s="34"/>
      <c r="S16" s="45"/>
      <c r="T16" s="75">
        <v>150</v>
      </c>
      <c r="U16" s="75">
        <f>Q16*4.9%</f>
        <v>29.79984</v>
      </c>
      <c r="V16" s="75">
        <f>Q16*1%</f>
        <v>6.0815999999999999</v>
      </c>
      <c r="W16" s="45"/>
      <c r="X16" s="36"/>
      <c r="Y16" s="36"/>
      <c r="Z16" s="35"/>
      <c r="AA16" s="35">
        <v>0</v>
      </c>
      <c r="AB16" s="33">
        <f t="shared" si="7"/>
        <v>422.27855999999997</v>
      </c>
      <c r="AC16" s="37">
        <f t="shared" si="6"/>
        <v>0</v>
      </c>
      <c r="AD16" s="33">
        <f t="shared" si="8"/>
        <v>422.27855999999997</v>
      </c>
      <c r="AE16" s="38">
        <f t="shared" si="4"/>
        <v>60.816000000000003</v>
      </c>
      <c r="AF16" s="37">
        <v>10.23</v>
      </c>
      <c r="AG16" s="67">
        <f t="shared" si="5"/>
        <v>679.20600000000002</v>
      </c>
      <c r="AH16" s="39"/>
      <c r="AI16" s="56"/>
      <c r="AJ16" s="39"/>
      <c r="AK16" s="39"/>
      <c r="AL16" s="56"/>
      <c r="AM16" s="39"/>
      <c r="AN16" s="39"/>
    </row>
    <row r="17" spans="1:54">
      <c r="A17" s="27" t="s">
        <v>70</v>
      </c>
      <c r="B17" s="27" t="s">
        <v>247</v>
      </c>
      <c r="C17" s="27" t="s">
        <v>248</v>
      </c>
      <c r="D17" s="27" t="s">
        <v>144</v>
      </c>
      <c r="E17" s="27" t="s">
        <v>73</v>
      </c>
      <c r="F17" s="68">
        <v>42326</v>
      </c>
      <c r="G17" s="28"/>
      <c r="H17" s="28"/>
      <c r="I17" s="30">
        <v>513.33000000000004</v>
      </c>
      <c r="J17" s="28"/>
      <c r="K17" s="30">
        <f t="shared" si="0"/>
        <v>513.33000000000004</v>
      </c>
      <c r="L17" s="30">
        <v>513.33000000000004</v>
      </c>
      <c r="M17" s="30">
        <v>66.069999999999993</v>
      </c>
      <c r="N17" s="31"/>
      <c r="O17" s="31"/>
      <c r="P17" s="32"/>
      <c r="Q17" s="33">
        <f t="shared" si="1"/>
        <v>1092.73</v>
      </c>
      <c r="R17" s="34"/>
      <c r="S17" s="45"/>
      <c r="T17" s="45">
        <v>0</v>
      </c>
      <c r="U17" s="45"/>
      <c r="V17" s="45"/>
      <c r="W17" s="45"/>
      <c r="X17" s="36"/>
      <c r="Y17" s="36"/>
      <c r="Z17" s="35"/>
      <c r="AA17" s="97">
        <f>+Q17*0.25+125</f>
        <v>398.1825</v>
      </c>
      <c r="AB17" s="33">
        <f t="shared" si="7"/>
        <v>694.54750000000001</v>
      </c>
      <c r="AC17" s="37">
        <f t="shared" si="6"/>
        <v>0</v>
      </c>
      <c r="AD17" s="33">
        <f t="shared" si="8"/>
        <v>694.54750000000001</v>
      </c>
      <c r="AE17" s="38">
        <f t="shared" si="4"/>
        <v>109.27300000000001</v>
      </c>
      <c r="AF17" s="37">
        <v>10.23</v>
      </c>
      <c r="AG17" s="67">
        <f t="shared" si="5"/>
        <v>1212.2329999999999</v>
      </c>
      <c r="AH17" s="39"/>
      <c r="AI17" s="91"/>
      <c r="AJ17" s="39"/>
      <c r="AK17" s="39"/>
      <c r="AL17" s="56"/>
      <c r="AM17" s="39"/>
      <c r="AN17" s="39">
        <f>622.79+125</f>
        <v>747.79</v>
      </c>
      <c r="AO17" s="39" t="s">
        <v>278</v>
      </c>
    </row>
    <row r="18" spans="1:54">
      <c r="A18" s="27" t="s">
        <v>69</v>
      </c>
      <c r="B18" s="27" t="s">
        <v>277</v>
      </c>
      <c r="C18" s="27"/>
      <c r="D18" s="27" t="s">
        <v>111</v>
      </c>
      <c r="E18" s="27" t="s">
        <v>169</v>
      </c>
      <c r="F18" s="27"/>
      <c r="G18" s="28"/>
      <c r="H18" s="28"/>
      <c r="I18" s="30">
        <v>933.33</v>
      </c>
      <c r="J18" s="28"/>
      <c r="K18" s="30">
        <f t="shared" si="0"/>
        <v>933.33</v>
      </c>
      <c r="L18" s="30">
        <v>550</v>
      </c>
      <c r="M18" s="30"/>
      <c r="N18" s="31"/>
      <c r="O18" s="31"/>
      <c r="P18" s="32"/>
      <c r="Q18" s="33">
        <f t="shared" si="1"/>
        <v>1483.33</v>
      </c>
      <c r="R18" s="34"/>
      <c r="S18" s="45">
        <v>58.91</v>
      </c>
      <c r="T18" s="45">
        <v>0</v>
      </c>
      <c r="U18" s="45"/>
      <c r="V18" s="45"/>
      <c r="W18" s="45"/>
      <c r="X18" s="36"/>
      <c r="Y18" s="36"/>
      <c r="Z18" s="90"/>
      <c r="AA18" s="35">
        <v>0</v>
      </c>
      <c r="AB18" s="33">
        <f t="shared" si="7"/>
        <v>1424.4199999999998</v>
      </c>
      <c r="AC18" s="37">
        <f t="shared" si="6"/>
        <v>0</v>
      </c>
      <c r="AD18" s="33">
        <f t="shared" si="8"/>
        <v>1424.4199999999998</v>
      </c>
      <c r="AE18" s="38">
        <f t="shared" si="4"/>
        <v>148.333</v>
      </c>
      <c r="AF18" s="37">
        <v>10.23</v>
      </c>
      <c r="AG18" s="67">
        <f t="shared" si="5"/>
        <v>1641.893</v>
      </c>
      <c r="AH18" s="39"/>
      <c r="AI18" s="56"/>
      <c r="AJ18" s="39"/>
      <c r="AK18" s="39"/>
      <c r="AL18" s="56"/>
      <c r="AM18" s="39"/>
      <c r="AN18" s="39" t="s">
        <v>283</v>
      </c>
    </row>
    <row r="19" spans="1:54">
      <c r="A19" s="27" t="s">
        <v>71</v>
      </c>
      <c r="B19" s="27" t="s">
        <v>261</v>
      </c>
      <c r="C19" s="27" t="s">
        <v>251</v>
      </c>
      <c r="D19" s="27" t="s">
        <v>147</v>
      </c>
      <c r="E19" s="27" t="s">
        <v>73</v>
      </c>
      <c r="F19" s="27"/>
      <c r="G19" s="28"/>
      <c r="H19" s="28"/>
      <c r="I19" s="30">
        <v>513.33000000000004</v>
      </c>
      <c r="J19" s="28"/>
      <c r="K19" s="30">
        <f t="shared" si="0"/>
        <v>513.33000000000004</v>
      </c>
      <c r="L19" s="30">
        <f>513.33+10425.49</f>
        <v>10938.82</v>
      </c>
      <c r="M19" s="30"/>
      <c r="N19" s="31"/>
      <c r="O19" s="31"/>
      <c r="P19" s="32"/>
      <c r="Q19" s="33">
        <f t="shared" si="1"/>
        <v>11452.15</v>
      </c>
      <c r="R19" s="34"/>
      <c r="S19" s="45">
        <v>58.91</v>
      </c>
      <c r="T19" s="75">
        <v>500</v>
      </c>
      <c r="U19" s="45"/>
      <c r="V19" s="45"/>
      <c r="W19" s="45"/>
      <c r="X19" s="36"/>
      <c r="Y19" s="36">
        <v>167.44</v>
      </c>
      <c r="Z19" s="35"/>
      <c r="AA19" s="43">
        <v>1697.06</v>
      </c>
      <c r="AB19" s="33">
        <f t="shared" si="7"/>
        <v>9028.74</v>
      </c>
      <c r="AC19" s="37">
        <f t="shared" si="6"/>
        <v>1145.2149999999999</v>
      </c>
      <c r="AD19" s="33">
        <f t="shared" si="8"/>
        <v>7883.5249999999996</v>
      </c>
      <c r="AE19" s="38">
        <f t="shared" si="4"/>
        <v>0</v>
      </c>
      <c r="AF19" s="37">
        <v>10.23</v>
      </c>
      <c r="AG19" s="67">
        <f t="shared" si="5"/>
        <v>11462.38</v>
      </c>
      <c r="AH19" s="39"/>
      <c r="AI19" s="56"/>
      <c r="AJ19" s="39"/>
      <c r="AK19" s="39"/>
      <c r="AL19" s="56"/>
      <c r="AM19" s="39"/>
      <c r="AN19" s="39"/>
    </row>
    <row r="20" spans="1:54">
      <c r="A20" s="27" t="s">
        <v>91</v>
      </c>
      <c r="B20" s="27" t="s">
        <v>237</v>
      </c>
      <c r="C20" s="27"/>
      <c r="D20" s="27" t="s">
        <v>97</v>
      </c>
      <c r="E20" s="27" t="s">
        <v>72</v>
      </c>
      <c r="F20" s="27"/>
      <c r="G20" s="27"/>
      <c r="H20" s="27"/>
      <c r="I20" s="30">
        <v>1166.26</v>
      </c>
      <c r="J20" s="29"/>
      <c r="K20" s="30">
        <f t="shared" si="0"/>
        <v>1166.26</v>
      </c>
      <c r="L20" s="30"/>
      <c r="M20" s="30"/>
      <c r="N20" s="30"/>
      <c r="O20" s="30"/>
      <c r="P20" s="32"/>
      <c r="Q20" s="33">
        <f t="shared" si="1"/>
        <v>1166.26</v>
      </c>
      <c r="R20" s="34"/>
      <c r="S20" s="45"/>
      <c r="T20" s="45">
        <v>0</v>
      </c>
      <c r="U20" s="45"/>
      <c r="V20" s="45"/>
      <c r="W20" s="45"/>
      <c r="X20" s="36"/>
      <c r="Y20" s="36"/>
      <c r="Z20" s="35"/>
      <c r="AA20" s="35">
        <v>0</v>
      </c>
      <c r="AB20" s="33">
        <f t="shared" si="7"/>
        <v>1166.26</v>
      </c>
      <c r="AC20" s="37">
        <f t="shared" si="6"/>
        <v>0</v>
      </c>
      <c r="AD20" s="33">
        <f t="shared" si="8"/>
        <v>1166.26</v>
      </c>
      <c r="AE20" s="38">
        <f t="shared" si="4"/>
        <v>116.626</v>
      </c>
      <c r="AF20" s="37">
        <v>10.23</v>
      </c>
      <c r="AG20" s="67">
        <f t="shared" si="5"/>
        <v>1293.116</v>
      </c>
      <c r="AH20" s="39"/>
      <c r="AI20" s="56"/>
      <c r="AJ20" s="39"/>
      <c r="AK20" s="39"/>
      <c r="AL20" s="56"/>
      <c r="AM20" s="39"/>
      <c r="AN20" s="39"/>
    </row>
    <row r="21" spans="1:54">
      <c r="A21" s="62" t="s">
        <v>94</v>
      </c>
      <c r="B21" s="27" t="s">
        <v>198</v>
      </c>
      <c r="C21" s="27"/>
      <c r="D21" s="27" t="s">
        <v>128</v>
      </c>
      <c r="E21" s="27" t="s">
        <v>162</v>
      </c>
      <c r="F21" s="27"/>
      <c r="G21" s="28"/>
      <c r="H21" s="28"/>
      <c r="I21" s="30">
        <v>511.28</v>
      </c>
      <c r="J21" s="28"/>
      <c r="K21" s="30">
        <f t="shared" si="0"/>
        <v>511.28</v>
      </c>
      <c r="L21" s="30">
        <v>2243.33</v>
      </c>
      <c r="M21" s="30"/>
      <c r="N21" s="31"/>
      <c r="O21" s="31"/>
      <c r="P21" s="32"/>
      <c r="Q21" s="33">
        <f t="shared" si="1"/>
        <v>2754.6099999999997</v>
      </c>
      <c r="R21" s="34"/>
      <c r="S21" s="45"/>
      <c r="T21" s="75">
        <v>0</v>
      </c>
      <c r="U21" s="75">
        <f>Q21*4.9%</f>
        <v>134.97588999999999</v>
      </c>
      <c r="V21" s="75">
        <f>Q21*1%</f>
        <v>27.546099999999996</v>
      </c>
      <c r="W21" s="45"/>
      <c r="X21" s="36"/>
      <c r="Y21" s="36"/>
      <c r="Z21" s="35"/>
      <c r="AA21" s="35">
        <v>0</v>
      </c>
      <c r="AB21" s="33">
        <f t="shared" si="7"/>
        <v>2592.0880099999995</v>
      </c>
      <c r="AC21" s="37">
        <f t="shared" si="6"/>
        <v>0</v>
      </c>
      <c r="AD21" s="33">
        <f t="shared" si="8"/>
        <v>2592.0880099999995</v>
      </c>
      <c r="AE21" s="38">
        <f t="shared" si="4"/>
        <v>275.46099999999996</v>
      </c>
      <c r="AF21" s="37">
        <v>10.23</v>
      </c>
      <c r="AG21" s="67">
        <f t="shared" si="5"/>
        <v>3040.3009999999995</v>
      </c>
      <c r="AH21" s="39"/>
      <c r="AI21" s="56"/>
      <c r="AJ21" s="39"/>
      <c r="AK21" s="39"/>
      <c r="AL21" s="56"/>
      <c r="AM21" s="39"/>
      <c r="AN21" s="39"/>
    </row>
    <row r="22" spans="1:54">
      <c r="A22" s="27" t="s">
        <v>71</v>
      </c>
      <c r="B22" s="27" t="s">
        <v>267</v>
      </c>
      <c r="C22" s="27" t="s">
        <v>252</v>
      </c>
      <c r="D22" s="27">
        <v>18</v>
      </c>
      <c r="E22" s="27" t="s">
        <v>185</v>
      </c>
      <c r="F22" s="27"/>
      <c r="G22" s="28"/>
      <c r="H22" s="28"/>
      <c r="I22" s="30">
        <v>1633.33</v>
      </c>
      <c r="J22" s="28"/>
      <c r="K22" s="30">
        <f t="shared" si="0"/>
        <v>1633.33</v>
      </c>
      <c r="L22" s="30">
        <v>13971.02</v>
      </c>
      <c r="M22" s="30"/>
      <c r="N22" s="31"/>
      <c r="O22" s="31"/>
      <c r="P22" s="32"/>
      <c r="Q22" s="33">
        <f t="shared" si="1"/>
        <v>15604.35</v>
      </c>
      <c r="R22" s="34"/>
      <c r="S22" s="45"/>
      <c r="T22" s="75">
        <v>700</v>
      </c>
      <c r="U22" s="45"/>
      <c r="V22" s="45"/>
      <c r="W22" s="45"/>
      <c r="X22" s="36"/>
      <c r="Y22" s="36"/>
      <c r="Z22" s="35">
        <v>205.7</v>
      </c>
      <c r="AA22" s="35">
        <v>0</v>
      </c>
      <c r="AB22" s="33">
        <f t="shared" si="7"/>
        <v>14698.65</v>
      </c>
      <c r="AC22" s="37">
        <f t="shared" si="6"/>
        <v>1560.4350000000002</v>
      </c>
      <c r="AD22" s="33">
        <f t="shared" si="8"/>
        <v>13138.215</v>
      </c>
      <c r="AE22" s="38">
        <f t="shared" si="4"/>
        <v>0</v>
      </c>
      <c r="AF22" s="37">
        <v>10.23</v>
      </c>
      <c r="AG22" s="67">
        <f t="shared" si="5"/>
        <v>15614.58</v>
      </c>
      <c r="AH22" s="39"/>
      <c r="AI22" s="56"/>
      <c r="AJ22" s="39"/>
      <c r="AK22" s="39"/>
      <c r="AL22" s="56"/>
      <c r="AM22" s="39"/>
      <c r="AN22" s="39"/>
    </row>
    <row r="23" spans="1:54">
      <c r="A23" s="27" t="s">
        <v>94</v>
      </c>
      <c r="B23" s="27" t="s">
        <v>268</v>
      </c>
      <c r="C23" s="27"/>
      <c r="D23" s="27" t="s">
        <v>129</v>
      </c>
      <c r="E23" s="27" t="s">
        <v>175</v>
      </c>
      <c r="F23" s="27"/>
      <c r="G23" s="28"/>
      <c r="H23" s="28"/>
      <c r="I23" s="30">
        <v>1100</v>
      </c>
      <c r="J23" s="28"/>
      <c r="K23" s="30">
        <f t="shared" si="0"/>
        <v>1100</v>
      </c>
      <c r="L23" s="30">
        <v>314.3</v>
      </c>
      <c r="M23" s="30"/>
      <c r="N23" s="31"/>
      <c r="O23" s="31"/>
      <c r="P23" s="32"/>
      <c r="Q23" s="33">
        <f t="shared" si="1"/>
        <v>1414.3</v>
      </c>
      <c r="R23" s="34"/>
      <c r="S23" s="45"/>
      <c r="T23" s="75">
        <f>+Q23*1%</f>
        <v>14.143000000000001</v>
      </c>
      <c r="U23" s="75">
        <f>+Q23*4.9%</f>
        <v>69.300700000000006</v>
      </c>
      <c r="V23" s="45"/>
      <c r="W23" s="45"/>
      <c r="X23" s="36"/>
      <c r="Y23" s="36"/>
      <c r="Z23" s="35"/>
      <c r="AA23" s="35">
        <v>0</v>
      </c>
      <c r="AB23" s="33">
        <f t="shared" si="7"/>
        <v>1330.8562999999999</v>
      </c>
      <c r="AC23" s="37">
        <f t="shared" si="6"/>
        <v>0</v>
      </c>
      <c r="AD23" s="33">
        <f t="shared" si="8"/>
        <v>1330.8562999999999</v>
      </c>
      <c r="AE23" s="38">
        <f t="shared" si="4"/>
        <v>141.43</v>
      </c>
      <c r="AF23" s="37">
        <v>10.23</v>
      </c>
      <c r="AG23" s="67">
        <f t="shared" si="5"/>
        <v>1565.96</v>
      </c>
      <c r="AH23" s="39"/>
      <c r="AI23" s="56"/>
      <c r="AJ23" s="39"/>
      <c r="AK23" s="39"/>
      <c r="AL23" s="56"/>
      <c r="AM23" s="39"/>
      <c r="AN23" s="39"/>
    </row>
    <row r="24" spans="1:54">
      <c r="A24" s="27" t="s">
        <v>69</v>
      </c>
      <c r="B24" s="27" t="s">
        <v>228</v>
      </c>
      <c r="C24" s="27"/>
      <c r="D24" s="27" t="s">
        <v>113</v>
      </c>
      <c r="E24" s="27" t="s">
        <v>169</v>
      </c>
      <c r="F24" s="27"/>
      <c r="G24" s="28"/>
      <c r="H24" s="28"/>
      <c r="I24" s="30">
        <v>933.33</v>
      </c>
      <c r="J24" s="28"/>
      <c r="K24" s="30">
        <f t="shared" si="0"/>
        <v>933.33</v>
      </c>
      <c r="L24" s="30">
        <v>550</v>
      </c>
      <c r="M24" s="30"/>
      <c r="N24" s="31"/>
      <c r="O24" s="31"/>
      <c r="P24" s="32"/>
      <c r="Q24" s="33">
        <f t="shared" si="1"/>
        <v>1483.33</v>
      </c>
      <c r="R24" s="34"/>
      <c r="S24" s="45">
        <v>38.28</v>
      </c>
      <c r="T24" s="45">
        <v>0</v>
      </c>
      <c r="U24" s="45"/>
      <c r="V24" s="45"/>
      <c r="W24" s="45"/>
      <c r="X24" s="36"/>
      <c r="Y24" s="36"/>
      <c r="Z24" s="35"/>
      <c r="AA24" s="35">
        <f>357.73+148.47</f>
        <v>506.20000000000005</v>
      </c>
      <c r="AB24" s="33">
        <f t="shared" si="7"/>
        <v>938.84999999999991</v>
      </c>
      <c r="AC24" s="37">
        <f t="shared" si="6"/>
        <v>0</v>
      </c>
      <c r="AD24" s="33">
        <f t="shared" si="8"/>
        <v>938.84999999999991</v>
      </c>
      <c r="AE24" s="38">
        <f t="shared" si="4"/>
        <v>148.333</v>
      </c>
      <c r="AF24" s="37">
        <v>10.23</v>
      </c>
      <c r="AG24" s="67">
        <f t="shared" si="5"/>
        <v>1641.893</v>
      </c>
      <c r="AH24" s="39"/>
      <c r="AI24" s="56"/>
      <c r="AJ24" s="39"/>
      <c r="AK24" s="39"/>
      <c r="AL24" s="56"/>
      <c r="AM24" s="39"/>
      <c r="AN24" s="39" t="s">
        <v>283</v>
      </c>
    </row>
    <row r="25" spans="1:54">
      <c r="A25" s="27" t="s">
        <v>70</v>
      </c>
      <c r="B25" s="27" t="s">
        <v>245</v>
      </c>
      <c r="C25" s="27" t="s">
        <v>248</v>
      </c>
      <c r="D25" s="27" t="s">
        <v>122</v>
      </c>
      <c r="E25" s="27" t="s">
        <v>73</v>
      </c>
      <c r="F25" s="68">
        <v>42432</v>
      </c>
      <c r="G25" s="28"/>
      <c r="H25" s="28"/>
      <c r="I25" s="30">
        <v>513.33000000000004</v>
      </c>
      <c r="J25" s="28">
        <v>653.33000000000004</v>
      </c>
      <c r="K25" s="30">
        <f t="shared" si="0"/>
        <v>1166.6600000000001</v>
      </c>
      <c r="L25" s="30">
        <f>1792.44+1000+1500</f>
        <v>4292.4400000000005</v>
      </c>
      <c r="M25" s="30"/>
      <c r="N25" s="31"/>
      <c r="O25" s="31"/>
      <c r="P25" s="32"/>
      <c r="Q25" s="33">
        <f t="shared" si="1"/>
        <v>5459.1</v>
      </c>
      <c r="R25" s="34"/>
      <c r="S25" s="45"/>
      <c r="T25" s="45">
        <v>0</v>
      </c>
      <c r="U25" s="45"/>
      <c r="V25" s="45"/>
      <c r="W25" s="45"/>
      <c r="X25" s="36"/>
      <c r="Y25" s="36"/>
      <c r="Z25" s="35"/>
      <c r="AA25" s="35">
        <f>797.62</f>
        <v>797.62</v>
      </c>
      <c r="AB25" s="33">
        <f t="shared" si="7"/>
        <v>4661.4800000000005</v>
      </c>
      <c r="AC25" s="37">
        <f t="shared" si="6"/>
        <v>545.91000000000008</v>
      </c>
      <c r="AD25" s="33">
        <f t="shared" si="8"/>
        <v>4115.5700000000006</v>
      </c>
      <c r="AE25" s="38">
        <f t="shared" si="4"/>
        <v>0</v>
      </c>
      <c r="AF25" s="37">
        <v>10.23</v>
      </c>
      <c r="AG25" s="67">
        <f t="shared" si="5"/>
        <v>5469.33</v>
      </c>
      <c r="AH25" s="39"/>
      <c r="AI25" s="56"/>
      <c r="AJ25" s="39"/>
      <c r="AK25" s="39"/>
      <c r="AL25" s="56"/>
      <c r="AM25" s="39"/>
      <c r="AN25" s="39"/>
    </row>
    <row r="26" spans="1:54">
      <c r="A26" s="62" t="s">
        <v>92</v>
      </c>
      <c r="B26" s="27" t="s">
        <v>209</v>
      </c>
      <c r="C26" s="27"/>
      <c r="D26" s="27" t="s">
        <v>100</v>
      </c>
      <c r="E26" s="27" t="s">
        <v>161</v>
      </c>
      <c r="F26" s="27"/>
      <c r="G26" s="27"/>
      <c r="H26" s="27"/>
      <c r="I26" s="76">
        <v>739.23</v>
      </c>
      <c r="J26" s="27"/>
      <c r="K26" s="30">
        <f t="shared" si="0"/>
        <v>739.23</v>
      </c>
      <c r="L26" s="30">
        <v>2507.88</v>
      </c>
      <c r="M26" s="30"/>
      <c r="N26" s="30"/>
      <c r="O26" s="30"/>
      <c r="P26" s="32"/>
      <c r="Q26" s="33">
        <f t="shared" si="1"/>
        <v>3247.11</v>
      </c>
      <c r="R26" s="34"/>
      <c r="S26" s="45"/>
      <c r="T26" s="45">
        <v>0</v>
      </c>
      <c r="U26" s="45"/>
      <c r="V26" s="45"/>
      <c r="W26" s="45"/>
      <c r="X26" s="36"/>
      <c r="Y26" s="36"/>
      <c r="Z26" s="35"/>
      <c r="AA26" s="35">
        <v>0</v>
      </c>
      <c r="AB26" s="33">
        <f t="shared" si="7"/>
        <v>3247.11</v>
      </c>
      <c r="AC26" s="37">
        <f t="shared" si="6"/>
        <v>0</v>
      </c>
      <c r="AD26" s="33">
        <f t="shared" si="8"/>
        <v>3247.11</v>
      </c>
      <c r="AE26" s="38">
        <f t="shared" si="4"/>
        <v>324.71100000000001</v>
      </c>
      <c r="AF26" s="37">
        <v>10.23</v>
      </c>
      <c r="AG26" s="67">
        <f t="shared" si="5"/>
        <v>3582.0509999999999</v>
      </c>
      <c r="AH26" s="39"/>
      <c r="AI26" s="56"/>
      <c r="AJ26" s="39"/>
      <c r="AK26" s="39"/>
      <c r="AL26" s="56"/>
      <c r="AM26" s="39"/>
      <c r="AN26" s="39"/>
    </row>
    <row r="27" spans="1:54">
      <c r="A27" s="27" t="s">
        <v>70</v>
      </c>
      <c r="B27" s="27" t="s">
        <v>220</v>
      </c>
      <c r="C27" s="27" t="s">
        <v>248</v>
      </c>
      <c r="D27" s="27" t="s">
        <v>121</v>
      </c>
      <c r="E27" s="27" t="s">
        <v>173</v>
      </c>
      <c r="F27" s="68">
        <v>42304</v>
      </c>
      <c r="G27" s="28"/>
      <c r="H27" s="28"/>
      <c r="I27" s="30">
        <v>513.33000000000004</v>
      </c>
      <c r="J27" s="28"/>
      <c r="K27" s="30">
        <f t="shared" si="0"/>
        <v>513.33000000000004</v>
      </c>
      <c r="L27" s="30">
        <v>513.33000000000004</v>
      </c>
      <c r="M27" s="30">
        <v>66.069999999999993</v>
      </c>
      <c r="N27" s="31"/>
      <c r="O27" s="31"/>
      <c r="P27" s="32"/>
      <c r="Q27" s="33">
        <f t="shared" si="1"/>
        <v>1092.73</v>
      </c>
      <c r="R27" s="34"/>
      <c r="S27" s="45"/>
      <c r="T27" s="45">
        <v>0</v>
      </c>
      <c r="U27" s="45"/>
      <c r="V27" s="45"/>
      <c r="W27" s="45"/>
      <c r="X27" s="36"/>
      <c r="Y27" s="36"/>
      <c r="Z27" s="35"/>
      <c r="AA27" s="35">
        <v>0</v>
      </c>
      <c r="AB27" s="33">
        <f t="shared" si="7"/>
        <v>1092.73</v>
      </c>
      <c r="AC27" s="37">
        <f t="shared" si="6"/>
        <v>0</v>
      </c>
      <c r="AD27" s="33">
        <f t="shared" si="8"/>
        <v>1092.73</v>
      </c>
      <c r="AE27" s="38">
        <f t="shared" si="4"/>
        <v>109.27300000000001</v>
      </c>
      <c r="AF27" s="37">
        <v>10.23</v>
      </c>
      <c r="AG27" s="67">
        <f t="shared" si="5"/>
        <v>1212.2329999999999</v>
      </c>
      <c r="AH27" s="39"/>
      <c r="AI27" s="56"/>
      <c r="AJ27" s="39"/>
      <c r="AK27" s="39"/>
      <c r="AL27" s="56"/>
      <c r="AM27" s="39"/>
      <c r="AN27" s="39"/>
    </row>
    <row r="28" spans="1:54" s="40" customFormat="1">
      <c r="A28" s="27" t="s">
        <v>92</v>
      </c>
      <c r="B28" s="27" t="s">
        <v>240</v>
      </c>
      <c r="C28" s="27"/>
      <c r="D28" s="27" t="s">
        <v>114</v>
      </c>
      <c r="E28" s="27" t="s">
        <v>167</v>
      </c>
      <c r="F28" s="27"/>
      <c r="G28" s="27"/>
      <c r="H28" s="27"/>
      <c r="I28" s="30">
        <v>1100</v>
      </c>
      <c r="J28" s="27"/>
      <c r="K28" s="30">
        <f t="shared" si="0"/>
        <v>1100</v>
      </c>
      <c r="L28" s="30">
        <v>1052.97</v>
      </c>
      <c r="M28" s="30"/>
      <c r="N28" s="30"/>
      <c r="O28" s="30"/>
      <c r="P28" s="32"/>
      <c r="Q28" s="33">
        <f t="shared" si="1"/>
        <v>2152.9700000000003</v>
      </c>
      <c r="R28" s="34"/>
      <c r="S28" s="45"/>
      <c r="T28" s="45">
        <v>0</v>
      </c>
      <c r="U28" s="45"/>
      <c r="V28" s="45"/>
      <c r="W28" s="45"/>
      <c r="X28" s="36"/>
      <c r="Y28" s="36"/>
      <c r="Z28" s="35"/>
      <c r="AA28" s="35">
        <v>0</v>
      </c>
      <c r="AB28" s="33">
        <f t="shared" si="7"/>
        <v>2152.9700000000003</v>
      </c>
      <c r="AC28" s="37">
        <f t="shared" si="6"/>
        <v>0</v>
      </c>
      <c r="AD28" s="33">
        <f t="shared" si="8"/>
        <v>2152.9700000000003</v>
      </c>
      <c r="AE28" s="38">
        <f t="shared" si="4"/>
        <v>215.29700000000003</v>
      </c>
      <c r="AF28" s="37">
        <v>10.23</v>
      </c>
      <c r="AG28" s="67">
        <f t="shared" si="5"/>
        <v>2378.4970000000003</v>
      </c>
      <c r="AH28" s="39"/>
      <c r="AI28" s="56"/>
      <c r="AJ28" s="39"/>
      <c r="AK28" s="39"/>
      <c r="AL28" s="56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>
      <c r="A29" s="27" t="s">
        <v>69</v>
      </c>
      <c r="B29" s="27" t="s">
        <v>227</v>
      </c>
      <c r="C29" s="27"/>
      <c r="D29" s="27" t="s">
        <v>112</v>
      </c>
      <c r="E29" s="27" t="s">
        <v>170</v>
      </c>
      <c r="F29" s="27"/>
      <c r="G29" s="27"/>
      <c r="H29" s="27"/>
      <c r="I29" s="30">
        <v>933.33</v>
      </c>
      <c r="J29" s="27"/>
      <c r="K29" s="30">
        <f t="shared" si="0"/>
        <v>933.33</v>
      </c>
      <c r="L29" s="30">
        <v>550</v>
      </c>
      <c r="M29" s="30"/>
      <c r="N29" s="30"/>
      <c r="O29" s="30"/>
      <c r="P29" s="32"/>
      <c r="Q29" s="33">
        <f t="shared" si="1"/>
        <v>1483.33</v>
      </c>
      <c r="R29" s="34"/>
      <c r="S29" s="45">
        <v>58.91</v>
      </c>
      <c r="T29" s="45">
        <v>0</v>
      </c>
      <c r="U29" s="45"/>
      <c r="V29" s="45"/>
      <c r="W29" s="45"/>
      <c r="X29" s="36"/>
      <c r="Y29" s="36"/>
      <c r="Z29" s="35"/>
      <c r="AA29" s="35">
        <v>0</v>
      </c>
      <c r="AB29" s="33">
        <f t="shared" si="7"/>
        <v>1424.4199999999998</v>
      </c>
      <c r="AC29" s="37">
        <f t="shared" si="6"/>
        <v>0</v>
      </c>
      <c r="AD29" s="33">
        <f t="shared" si="8"/>
        <v>1424.4199999999998</v>
      </c>
      <c r="AE29" s="38">
        <f t="shared" si="4"/>
        <v>148.333</v>
      </c>
      <c r="AF29" s="37">
        <v>10.23</v>
      </c>
      <c r="AG29" s="67">
        <f t="shared" si="5"/>
        <v>1641.893</v>
      </c>
      <c r="AH29" s="39"/>
      <c r="AI29" s="56"/>
      <c r="AJ29" s="39"/>
      <c r="AK29" s="39"/>
      <c r="AL29" s="56"/>
      <c r="AM29" s="39"/>
      <c r="AN29" s="39" t="s">
        <v>283</v>
      </c>
    </row>
    <row r="30" spans="1:54">
      <c r="A30" s="27" t="s">
        <v>253</v>
      </c>
      <c r="B30" s="27" t="s">
        <v>207</v>
      </c>
      <c r="C30" s="27"/>
      <c r="D30" s="27" t="s">
        <v>115</v>
      </c>
      <c r="E30" s="27" t="s">
        <v>171</v>
      </c>
      <c r="F30" s="27"/>
      <c r="G30" s="27"/>
      <c r="H30" s="27"/>
      <c r="I30" s="30">
        <v>1516.67</v>
      </c>
      <c r="J30" s="27"/>
      <c r="K30" s="30">
        <f t="shared" si="0"/>
        <v>1516.67</v>
      </c>
      <c r="L30" s="30"/>
      <c r="M30" s="30"/>
      <c r="N30" s="30"/>
      <c r="O30" s="30"/>
      <c r="P30" s="32"/>
      <c r="Q30" s="33">
        <f t="shared" si="1"/>
        <v>1516.67</v>
      </c>
      <c r="R30" s="34"/>
      <c r="S30" s="45"/>
      <c r="T30" s="75">
        <v>200</v>
      </c>
      <c r="U30" s="45"/>
      <c r="V30" s="45"/>
      <c r="W30" s="45"/>
      <c r="X30" s="36"/>
      <c r="Y30" s="36"/>
      <c r="Z30" s="35"/>
      <c r="AA30" s="35">
        <v>0</v>
      </c>
      <c r="AB30" s="33">
        <f t="shared" si="7"/>
        <v>1316.67</v>
      </c>
      <c r="AC30" s="37">
        <f t="shared" si="6"/>
        <v>0</v>
      </c>
      <c r="AD30" s="33">
        <f t="shared" si="8"/>
        <v>1316.67</v>
      </c>
      <c r="AE30" s="38">
        <f t="shared" si="4"/>
        <v>151.667</v>
      </c>
      <c r="AF30" s="37">
        <v>10.23</v>
      </c>
      <c r="AG30" s="67">
        <f t="shared" si="5"/>
        <v>1678.567</v>
      </c>
      <c r="AH30" s="39"/>
      <c r="AI30" s="56"/>
      <c r="AJ30" s="39"/>
      <c r="AK30" s="39"/>
      <c r="AL30" s="56"/>
      <c r="AM30" s="39"/>
      <c r="AN30" s="39" t="s">
        <v>280</v>
      </c>
    </row>
    <row r="31" spans="1:54" s="40" customFormat="1">
      <c r="A31" s="62" t="s">
        <v>94</v>
      </c>
      <c r="B31" s="27" t="s">
        <v>231</v>
      </c>
      <c r="C31" s="27"/>
      <c r="D31" s="27" t="s">
        <v>130</v>
      </c>
      <c r="E31" s="27" t="s">
        <v>174</v>
      </c>
      <c r="F31" s="27"/>
      <c r="G31" s="28"/>
      <c r="H31" s="28"/>
      <c r="I31" s="30">
        <v>608.16</v>
      </c>
      <c r="J31" s="28"/>
      <c r="K31" s="30">
        <f t="shared" si="0"/>
        <v>608.16</v>
      </c>
      <c r="L31" s="30">
        <v>3595.22</v>
      </c>
      <c r="M31" s="30"/>
      <c r="N31" s="31"/>
      <c r="O31" s="31"/>
      <c r="P31" s="32"/>
      <c r="Q31" s="33">
        <f t="shared" si="1"/>
        <v>4203.38</v>
      </c>
      <c r="R31" s="34"/>
      <c r="S31" s="45"/>
      <c r="T31" s="75">
        <v>500</v>
      </c>
      <c r="U31" s="75">
        <f>Q31*4.9%</f>
        <v>205.96562</v>
      </c>
      <c r="V31" s="75">
        <f>Q31*1%</f>
        <v>42.033799999999999</v>
      </c>
      <c r="W31" s="45"/>
      <c r="X31" s="36"/>
      <c r="Y31" s="36"/>
      <c r="Z31" s="35"/>
      <c r="AA31" s="35">
        <v>0</v>
      </c>
      <c r="AB31" s="33">
        <f t="shared" si="7"/>
        <v>3455.38058</v>
      </c>
      <c r="AC31" s="37">
        <f t="shared" si="6"/>
        <v>0</v>
      </c>
      <c r="AD31" s="33">
        <f t="shared" si="8"/>
        <v>3455.38058</v>
      </c>
      <c r="AE31" s="38">
        <f t="shared" si="4"/>
        <v>420.33800000000002</v>
      </c>
      <c r="AF31" s="37">
        <v>10.23</v>
      </c>
      <c r="AG31" s="67">
        <f t="shared" si="5"/>
        <v>4633.9479999999994</v>
      </c>
      <c r="AH31" s="39"/>
      <c r="AI31" s="56"/>
      <c r="AJ31" s="39"/>
      <c r="AK31" s="39"/>
      <c r="AL31" s="56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s="40" customFormat="1">
      <c r="A32" s="62" t="s">
        <v>94</v>
      </c>
      <c r="B32" s="27" t="s">
        <v>229</v>
      </c>
      <c r="C32" s="27"/>
      <c r="D32" s="27" t="s">
        <v>131</v>
      </c>
      <c r="E32" s="27" t="s">
        <v>176</v>
      </c>
      <c r="F32" s="27"/>
      <c r="G32" s="28"/>
      <c r="H32" s="28"/>
      <c r="I32" s="30">
        <v>608.16</v>
      </c>
      <c r="J32" s="28"/>
      <c r="K32" s="30">
        <f t="shared" si="0"/>
        <v>608.16</v>
      </c>
      <c r="L32" s="30">
        <v>2998.94</v>
      </c>
      <c r="M32" s="30"/>
      <c r="N32" s="31"/>
      <c r="O32" s="31"/>
      <c r="P32" s="32"/>
      <c r="Q32" s="33">
        <f t="shared" si="1"/>
        <v>3607.1</v>
      </c>
      <c r="R32" s="34"/>
      <c r="S32" s="45"/>
      <c r="T32" s="75">
        <v>1000</v>
      </c>
      <c r="U32" s="75">
        <f>Q32*4.9%</f>
        <v>176.74790000000002</v>
      </c>
      <c r="V32" s="75">
        <f>Q32*1%</f>
        <v>36.070999999999998</v>
      </c>
      <c r="W32" s="45">
        <v>300</v>
      </c>
      <c r="X32" s="36"/>
      <c r="Y32" s="36"/>
      <c r="Z32" s="90"/>
      <c r="AA32" s="35">
        <v>0</v>
      </c>
      <c r="AB32" s="33">
        <f t="shared" si="7"/>
        <v>2094.2811000000002</v>
      </c>
      <c r="AC32" s="37">
        <f t="shared" si="6"/>
        <v>0</v>
      </c>
      <c r="AD32" s="33">
        <f t="shared" si="8"/>
        <v>2094.2811000000002</v>
      </c>
      <c r="AE32" s="38">
        <f t="shared" si="4"/>
        <v>360.71000000000004</v>
      </c>
      <c r="AF32" s="37">
        <v>10.23</v>
      </c>
      <c r="AG32" s="67">
        <f t="shared" si="5"/>
        <v>3978.04</v>
      </c>
      <c r="AH32" s="39"/>
      <c r="AI32" s="56"/>
      <c r="AJ32" s="39"/>
      <c r="AK32" s="39"/>
      <c r="AL32" s="56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s="40" customFormat="1">
      <c r="A33" s="27" t="s">
        <v>91</v>
      </c>
      <c r="B33" s="27" t="s">
        <v>236</v>
      </c>
      <c r="C33" s="27"/>
      <c r="D33" s="27" t="s">
        <v>98</v>
      </c>
      <c r="E33" s="27" t="s">
        <v>72</v>
      </c>
      <c r="F33" s="27"/>
      <c r="G33" s="27"/>
      <c r="H33" s="27"/>
      <c r="I33" s="30">
        <v>1166.26</v>
      </c>
      <c r="J33" s="29"/>
      <c r="K33" s="30">
        <f t="shared" si="0"/>
        <v>1166.26</v>
      </c>
      <c r="L33" s="30">
        <v>1218.03</v>
      </c>
      <c r="M33" s="30"/>
      <c r="N33" s="30"/>
      <c r="O33" s="30"/>
      <c r="P33" s="32"/>
      <c r="Q33" s="33">
        <f t="shared" si="1"/>
        <v>2384.29</v>
      </c>
      <c r="R33" s="34"/>
      <c r="S33" s="45"/>
      <c r="T33" s="45">
        <v>0</v>
      </c>
      <c r="U33" s="45"/>
      <c r="V33" s="45"/>
      <c r="W33" s="45"/>
      <c r="X33" s="36"/>
      <c r="Y33" s="36"/>
      <c r="Z33" s="35"/>
      <c r="AA33" s="35">
        <v>0</v>
      </c>
      <c r="AB33" s="33">
        <f t="shared" si="7"/>
        <v>2384.29</v>
      </c>
      <c r="AC33" s="37">
        <f t="shared" si="6"/>
        <v>0</v>
      </c>
      <c r="AD33" s="33">
        <f t="shared" si="8"/>
        <v>2384.29</v>
      </c>
      <c r="AE33" s="38">
        <f t="shared" si="4"/>
        <v>238.429</v>
      </c>
      <c r="AF33" s="37">
        <v>10.23</v>
      </c>
      <c r="AG33" s="67">
        <f t="shared" si="5"/>
        <v>2632.9490000000001</v>
      </c>
      <c r="AH33" s="39"/>
      <c r="AI33" s="56"/>
      <c r="AJ33" s="39"/>
      <c r="AK33" s="39"/>
      <c r="AL33" s="56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s="84" customFormat="1">
      <c r="A34" s="79" t="s">
        <v>92</v>
      </c>
      <c r="B34" s="79" t="s">
        <v>281</v>
      </c>
      <c r="C34" s="79"/>
      <c r="D34" s="79"/>
      <c r="E34" s="79" t="s">
        <v>167</v>
      </c>
      <c r="F34" s="87">
        <v>42422</v>
      </c>
      <c r="G34" s="79"/>
      <c r="H34" s="79"/>
      <c r="I34" s="80">
        <v>0</v>
      </c>
      <c r="J34" s="86">
        <v>475.39</v>
      </c>
      <c r="K34" s="80">
        <f t="shared" si="0"/>
        <v>475.39</v>
      </c>
      <c r="L34" s="80">
        <v>0</v>
      </c>
      <c r="M34" s="80"/>
      <c r="N34" s="80"/>
      <c r="O34" s="80"/>
      <c r="P34" s="81"/>
      <c r="Q34" s="82">
        <f t="shared" si="1"/>
        <v>475.39</v>
      </c>
      <c r="R34" s="80"/>
      <c r="S34" s="80"/>
      <c r="T34" s="80"/>
      <c r="U34" s="80"/>
      <c r="V34" s="80"/>
      <c r="W34" s="80"/>
      <c r="X34" s="83"/>
      <c r="Y34" s="83"/>
      <c r="Z34" s="79"/>
      <c r="AA34" s="79"/>
      <c r="AB34" s="82">
        <f t="shared" si="7"/>
        <v>475.39</v>
      </c>
      <c r="AC34" s="83">
        <f t="shared" si="6"/>
        <v>0</v>
      </c>
      <c r="AD34" s="82">
        <f t="shared" si="8"/>
        <v>475.39</v>
      </c>
      <c r="AE34" s="83">
        <f t="shared" si="4"/>
        <v>47.539000000000001</v>
      </c>
      <c r="AF34" s="83">
        <v>10.23</v>
      </c>
      <c r="AG34" s="82">
        <f t="shared" si="5"/>
        <v>533.15899999999999</v>
      </c>
      <c r="AI34" s="85"/>
      <c r="AL34" s="85"/>
      <c r="AM34" s="84">
        <v>1182316935</v>
      </c>
      <c r="AN34" s="78" t="s">
        <v>282</v>
      </c>
    </row>
    <row r="35" spans="1:54" s="39" customFormat="1">
      <c r="A35" s="63" t="s">
        <v>71</v>
      </c>
      <c r="B35" s="63" t="s">
        <v>204</v>
      </c>
      <c r="C35" s="63" t="s">
        <v>249</v>
      </c>
      <c r="D35" s="63"/>
      <c r="E35" s="63" t="s">
        <v>73</v>
      </c>
      <c r="F35" s="72">
        <v>42415</v>
      </c>
      <c r="G35" s="63"/>
      <c r="H35" s="63"/>
      <c r="I35" s="53">
        <v>513.33000000000004</v>
      </c>
      <c r="J35" s="74">
        <v>653.33000000000004</v>
      </c>
      <c r="K35" s="53">
        <f t="shared" si="0"/>
        <v>1166.6600000000001</v>
      </c>
      <c r="L35" s="53"/>
      <c r="M35" s="53"/>
      <c r="N35" s="53"/>
      <c r="O35" s="53"/>
      <c r="P35" s="73"/>
      <c r="Q35" s="33">
        <f>SUM(K35:O35)-P35</f>
        <v>1166.6600000000001</v>
      </c>
      <c r="R35" s="34"/>
      <c r="S35" s="45"/>
      <c r="T35" s="45">
        <v>0</v>
      </c>
      <c r="U35" s="45"/>
      <c r="V35" s="45"/>
      <c r="W35" s="45"/>
      <c r="X35" s="36"/>
      <c r="Y35" s="36"/>
      <c r="Z35" s="35"/>
      <c r="AA35" s="35">
        <v>0</v>
      </c>
      <c r="AB35" s="33">
        <f>+Q35-SUM(R35:AA35)</f>
        <v>1166.6600000000001</v>
      </c>
      <c r="AC35" s="37">
        <f>IF(Q35&gt;4500,Q35*0.1,0)</f>
        <v>0</v>
      </c>
      <c r="AD35" s="33">
        <f>+AB35-AC35</f>
        <v>1166.6600000000001</v>
      </c>
      <c r="AE35" s="38">
        <f>IF(Q35&lt;4500,Q35*0.1,0)</f>
        <v>116.66600000000001</v>
      </c>
      <c r="AF35" s="37">
        <v>10.23</v>
      </c>
      <c r="AG35" s="67">
        <f>+Q35+AE35+AF35</f>
        <v>1293.556</v>
      </c>
      <c r="AI35" s="56"/>
      <c r="AL35" s="56"/>
    </row>
    <row r="36" spans="1:54">
      <c r="A36" s="27" t="s">
        <v>71</v>
      </c>
      <c r="B36" s="27" t="s">
        <v>226</v>
      </c>
      <c r="C36" s="27" t="s">
        <v>249</v>
      </c>
      <c r="D36" s="27" t="s">
        <v>148</v>
      </c>
      <c r="E36" s="27" t="s">
        <v>73</v>
      </c>
      <c r="F36" s="27"/>
      <c r="G36" s="28"/>
      <c r="H36" s="28"/>
      <c r="I36" s="53">
        <v>513.33000000000004</v>
      </c>
      <c r="J36" s="28"/>
      <c r="K36" s="30">
        <f t="shared" si="0"/>
        <v>513.33000000000004</v>
      </c>
      <c r="L36" s="30">
        <f>479+10921.01</f>
        <v>11400.01</v>
      </c>
      <c r="M36" s="30"/>
      <c r="N36" s="31"/>
      <c r="O36" s="31"/>
      <c r="P36" s="32"/>
      <c r="Q36" s="33">
        <f t="shared" si="1"/>
        <v>11913.34</v>
      </c>
      <c r="R36" s="34"/>
      <c r="S36" s="45">
        <v>58.91</v>
      </c>
      <c r="T36" s="45">
        <v>0</v>
      </c>
      <c r="U36" s="45"/>
      <c r="V36" s="45"/>
      <c r="W36" s="45"/>
      <c r="X36" s="36"/>
      <c r="Y36" s="36"/>
      <c r="Z36" s="35"/>
      <c r="AA36" s="35">
        <v>349.07</v>
      </c>
      <c r="AB36" s="33">
        <f t="shared" si="7"/>
        <v>11505.36</v>
      </c>
      <c r="AC36" s="37">
        <f t="shared" si="6"/>
        <v>1191.3340000000001</v>
      </c>
      <c r="AD36" s="33">
        <f t="shared" si="8"/>
        <v>10314.026</v>
      </c>
      <c r="AE36" s="38">
        <f t="shared" si="4"/>
        <v>0</v>
      </c>
      <c r="AF36" s="37">
        <v>10.23</v>
      </c>
      <c r="AG36" s="67">
        <f t="shared" si="5"/>
        <v>11923.57</v>
      </c>
      <c r="AH36" s="39"/>
      <c r="AI36" s="56"/>
      <c r="AJ36" s="39"/>
      <c r="AK36" s="39"/>
      <c r="AL36" s="56"/>
      <c r="AM36" s="39"/>
      <c r="AN36" s="39"/>
    </row>
    <row r="37" spans="1:54">
      <c r="A37" s="27" t="s">
        <v>71</v>
      </c>
      <c r="B37" s="27" t="s">
        <v>223</v>
      </c>
      <c r="C37" s="27" t="s">
        <v>249</v>
      </c>
      <c r="D37" s="27" t="s">
        <v>149</v>
      </c>
      <c r="E37" s="27" t="s">
        <v>73</v>
      </c>
      <c r="F37" s="27"/>
      <c r="G37" s="28"/>
      <c r="H37" s="28"/>
      <c r="I37" s="53">
        <v>513.33000000000004</v>
      </c>
      <c r="J37" s="28"/>
      <c r="K37" s="30">
        <f t="shared" si="0"/>
        <v>513.33000000000004</v>
      </c>
      <c r="L37" s="30">
        <v>782.63</v>
      </c>
      <c r="M37" s="30"/>
      <c r="N37" s="31"/>
      <c r="O37" s="31"/>
      <c r="P37" s="32"/>
      <c r="Q37" s="33">
        <f t="shared" si="1"/>
        <v>1295.96</v>
      </c>
      <c r="R37" s="34"/>
      <c r="S37" s="45">
        <v>58.91</v>
      </c>
      <c r="T37" s="45">
        <v>0</v>
      </c>
      <c r="U37" s="45"/>
      <c r="V37" s="45"/>
      <c r="W37" s="45"/>
      <c r="X37" s="36"/>
      <c r="Y37" s="36"/>
      <c r="Z37" s="35"/>
      <c r="AA37" s="35">
        <v>0</v>
      </c>
      <c r="AB37" s="33">
        <f t="shared" si="7"/>
        <v>1237.05</v>
      </c>
      <c r="AC37" s="37">
        <f t="shared" si="6"/>
        <v>0</v>
      </c>
      <c r="AD37" s="33">
        <f t="shared" si="8"/>
        <v>1237.05</v>
      </c>
      <c r="AE37" s="38">
        <f t="shared" si="4"/>
        <v>129.596</v>
      </c>
      <c r="AF37" s="37">
        <v>10.23</v>
      </c>
      <c r="AG37" s="67">
        <f t="shared" si="5"/>
        <v>1435.7860000000001</v>
      </c>
      <c r="AH37" s="39"/>
      <c r="AI37" s="56"/>
      <c r="AJ37" s="39"/>
      <c r="AK37" s="39"/>
      <c r="AL37" s="56"/>
      <c r="AM37" s="39"/>
      <c r="AN37" s="39"/>
    </row>
    <row r="38" spans="1:54">
      <c r="A38" s="62" t="s">
        <v>92</v>
      </c>
      <c r="B38" s="27" t="s">
        <v>230</v>
      </c>
      <c r="C38" s="27"/>
      <c r="D38" s="27" t="s">
        <v>101</v>
      </c>
      <c r="E38" s="27" t="s">
        <v>162</v>
      </c>
      <c r="F38" s="27"/>
      <c r="G38" s="27"/>
      <c r="H38" s="27"/>
      <c r="I38" s="30">
        <v>739.23</v>
      </c>
      <c r="J38" s="27"/>
      <c r="K38" s="30">
        <f t="shared" si="0"/>
        <v>739.23</v>
      </c>
      <c r="L38" s="30">
        <v>1893.56</v>
      </c>
      <c r="M38" s="30"/>
      <c r="N38" s="30"/>
      <c r="O38" s="30"/>
      <c r="P38" s="32"/>
      <c r="Q38" s="33">
        <f t="shared" si="1"/>
        <v>2632.79</v>
      </c>
      <c r="R38" s="34"/>
      <c r="S38" s="45"/>
      <c r="T38" s="45">
        <v>0</v>
      </c>
      <c r="U38" s="45"/>
      <c r="V38" s="45"/>
      <c r="W38" s="45"/>
      <c r="X38" s="36"/>
      <c r="Y38" s="36"/>
      <c r="Z38" s="35"/>
      <c r="AA38" s="35">
        <v>0</v>
      </c>
      <c r="AB38" s="33">
        <f t="shared" si="7"/>
        <v>2632.79</v>
      </c>
      <c r="AC38" s="37">
        <f t="shared" si="6"/>
        <v>0</v>
      </c>
      <c r="AD38" s="33">
        <f t="shared" si="8"/>
        <v>2632.79</v>
      </c>
      <c r="AE38" s="38">
        <f t="shared" si="4"/>
        <v>263.279</v>
      </c>
      <c r="AF38" s="37">
        <v>10.23</v>
      </c>
      <c r="AG38" s="67">
        <f t="shared" si="5"/>
        <v>2906.299</v>
      </c>
      <c r="AH38" s="39"/>
      <c r="AI38" s="56"/>
      <c r="AJ38" s="39"/>
      <c r="AK38" s="39"/>
      <c r="AL38" s="56"/>
      <c r="AM38" s="39"/>
      <c r="AN38" s="39"/>
    </row>
    <row r="39" spans="1:54">
      <c r="A39" s="27" t="s">
        <v>71</v>
      </c>
      <c r="B39" s="27" t="s">
        <v>224</v>
      </c>
      <c r="C39" s="27" t="s">
        <v>251</v>
      </c>
      <c r="D39" s="27" t="s">
        <v>150</v>
      </c>
      <c r="E39" s="27" t="s">
        <v>73</v>
      </c>
      <c r="F39" s="27"/>
      <c r="G39" s="28"/>
      <c r="H39" s="28"/>
      <c r="I39" s="53">
        <v>513.33000000000004</v>
      </c>
      <c r="J39" s="28"/>
      <c r="K39" s="30">
        <f t="shared" ref="K39:K71" si="9">+I39+J39</f>
        <v>513.33000000000004</v>
      </c>
      <c r="L39" s="30">
        <f>182.34+5581.29</f>
        <v>5763.63</v>
      </c>
      <c r="M39" s="30"/>
      <c r="N39" s="31"/>
      <c r="O39" s="31"/>
      <c r="P39" s="32"/>
      <c r="Q39" s="33">
        <f t="shared" ref="Q39:Q71" si="10">SUM(K39:O39)-P39</f>
        <v>6276.96</v>
      </c>
      <c r="R39" s="34"/>
      <c r="S39" s="45">
        <v>58.91</v>
      </c>
      <c r="T39" s="45">
        <v>0</v>
      </c>
      <c r="U39" s="45"/>
      <c r="V39" s="45"/>
      <c r="W39" s="45"/>
      <c r="X39" s="36"/>
      <c r="Y39" s="36"/>
      <c r="Z39" s="35"/>
      <c r="AA39" s="35">
        <v>0</v>
      </c>
      <c r="AB39" s="33">
        <f t="shared" si="7"/>
        <v>6218.05</v>
      </c>
      <c r="AC39" s="37">
        <f t="shared" si="6"/>
        <v>627.69600000000003</v>
      </c>
      <c r="AD39" s="33">
        <f t="shared" si="8"/>
        <v>5590.3540000000003</v>
      </c>
      <c r="AE39" s="38">
        <f t="shared" ref="AE39:AE72" si="11">IF(Q39&lt;4500,Q39*0.1,0)</f>
        <v>0</v>
      </c>
      <c r="AF39" s="37">
        <v>10.23</v>
      </c>
      <c r="AG39" s="67">
        <f t="shared" ref="AG39:AG72" si="12">+Q39+AE39+AF39</f>
        <v>6287.19</v>
      </c>
      <c r="AH39" s="39"/>
      <c r="AI39" s="56"/>
      <c r="AJ39" s="39"/>
      <c r="AK39" s="39"/>
      <c r="AL39" s="56"/>
      <c r="AM39" s="39"/>
      <c r="AN39" s="39"/>
    </row>
    <row r="40" spans="1:54">
      <c r="A40" s="27" t="s">
        <v>71</v>
      </c>
      <c r="B40" s="27" t="s">
        <v>255</v>
      </c>
      <c r="C40" s="27" t="s">
        <v>254</v>
      </c>
      <c r="D40" s="27" t="s">
        <v>151</v>
      </c>
      <c r="E40" s="27" t="s">
        <v>73</v>
      </c>
      <c r="F40" s="27"/>
      <c r="G40" s="28"/>
      <c r="H40" s="28"/>
      <c r="I40" s="30">
        <v>513.33000000000004</v>
      </c>
      <c r="J40" s="28"/>
      <c r="K40" s="30">
        <f t="shared" si="9"/>
        <v>513.33000000000004</v>
      </c>
      <c r="L40" s="30">
        <f>513.33+7214.56+1000</f>
        <v>8727.89</v>
      </c>
      <c r="M40" s="30"/>
      <c r="N40" s="31"/>
      <c r="O40" s="31"/>
      <c r="P40" s="32"/>
      <c r="Q40" s="33">
        <f t="shared" si="10"/>
        <v>9241.2199999999993</v>
      </c>
      <c r="R40" s="34"/>
      <c r="S40" s="45"/>
      <c r="T40" s="45">
        <v>0</v>
      </c>
      <c r="U40" s="45"/>
      <c r="V40" s="45"/>
      <c r="W40" s="45"/>
      <c r="X40" s="36"/>
      <c r="Y40" s="36"/>
      <c r="Z40" s="35"/>
      <c r="AA40" s="35">
        <v>208.6</v>
      </c>
      <c r="AB40" s="33">
        <f t="shared" si="7"/>
        <v>9032.619999999999</v>
      </c>
      <c r="AC40" s="37">
        <f t="shared" si="6"/>
        <v>924.12199999999996</v>
      </c>
      <c r="AD40" s="33">
        <f t="shared" si="8"/>
        <v>8108.4979999999987</v>
      </c>
      <c r="AE40" s="38">
        <f t="shared" si="11"/>
        <v>0</v>
      </c>
      <c r="AF40" s="37">
        <v>10.23</v>
      </c>
      <c r="AG40" s="67">
        <f t="shared" si="12"/>
        <v>9251.4499999999989</v>
      </c>
      <c r="AH40" s="39"/>
      <c r="AI40" s="56"/>
      <c r="AJ40" s="39"/>
      <c r="AK40" s="39"/>
      <c r="AL40" s="56"/>
      <c r="AM40" s="39"/>
      <c r="AN40" s="39"/>
    </row>
    <row r="41" spans="1:54">
      <c r="A41" s="27" t="s">
        <v>70</v>
      </c>
      <c r="B41" s="27" t="s">
        <v>84</v>
      </c>
      <c r="C41" s="27" t="s">
        <v>248</v>
      </c>
      <c r="D41" s="27" t="s">
        <v>123</v>
      </c>
      <c r="E41" s="27" t="s">
        <v>173</v>
      </c>
      <c r="F41" s="27"/>
      <c r="G41" s="28"/>
      <c r="H41" s="28"/>
      <c r="I41" s="30">
        <v>513.33000000000004</v>
      </c>
      <c r="J41" s="28"/>
      <c r="K41" s="30">
        <f t="shared" si="9"/>
        <v>513.33000000000004</v>
      </c>
      <c r="L41" s="30"/>
      <c r="M41" s="30">
        <v>56.63</v>
      </c>
      <c r="N41" s="31"/>
      <c r="O41" s="31"/>
      <c r="P41" s="32"/>
      <c r="Q41" s="33">
        <f t="shared" si="10"/>
        <v>569.96</v>
      </c>
      <c r="R41" s="34"/>
      <c r="S41" s="45">
        <v>58.91</v>
      </c>
      <c r="T41" s="45">
        <v>0</v>
      </c>
      <c r="U41" s="45"/>
      <c r="V41" s="45"/>
      <c r="W41" s="45"/>
      <c r="X41" s="36"/>
      <c r="Y41" s="36"/>
      <c r="Z41" s="35"/>
      <c r="AA41" s="35">
        <v>0</v>
      </c>
      <c r="AB41" s="33">
        <f t="shared" si="7"/>
        <v>511.05000000000007</v>
      </c>
      <c r="AC41" s="37">
        <f t="shared" si="6"/>
        <v>0</v>
      </c>
      <c r="AD41" s="33">
        <f t="shared" si="8"/>
        <v>511.05000000000007</v>
      </c>
      <c r="AE41" s="38">
        <f t="shared" si="11"/>
        <v>56.996000000000009</v>
      </c>
      <c r="AF41" s="37">
        <v>10.23</v>
      </c>
      <c r="AG41" s="67">
        <f t="shared" si="12"/>
        <v>637.18600000000004</v>
      </c>
      <c r="AH41" s="39"/>
      <c r="AI41" s="56"/>
      <c r="AJ41" s="39"/>
      <c r="AK41" s="39"/>
      <c r="AL41" s="56"/>
      <c r="AM41" s="39"/>
      <c r="AN41" s="39"/>
    </row>
    <row r="42" spans="1:54">
      <c r="A42" s="27" t="s">
        <v>71</v>
      </c>
      <c r="B42" s="27" t="s">
        <v>256</v>
      </c>
      <c r="C42" s="27" t="s">
        <v>254</v>
      </c>
      <c r="D42" s="27" t="s">
        <v>152</v>
      </c>
      <c r="E42" s="27" t="s">
        <v>73</v>
      </c>
      <c r="F42" s="27"/>
      <c r="G42" s="28"/>
      <c r="H42" s="28"/>
      <c r="I42" s="30">
        <v>513.33000000000004</v>
      </c>
      <c r="J42" s="28"/>
      <c r="K42" s="30">
        <f t="shared" si="9"/>
        <v>513.33000000000004</v>
      </c>
      <c r="L42" s="30">
        <f>513.33+3459.51+1000</f>
        <v>4972.84</v>
      </c>
      <c r="M42" s="30"/>
      <c r="N42" s="31"/>
      <c r="O42" s="31"/>
      <c r="P42" s="32"/>
      <c r="Q42" s="33">
        <f t="shared" si="10"/>
        <v>5486.17</v>
      </c>
      <c r="R42" s="34"/>
      <c r="S42" s="45"/>
      <c r="T42" s="45">
        <v>0</v>
      </c>
      <c r="U42" s="45"/>
      <c r="V42" s="45"/>
      <c r="W42" s="45"/>
      <c r="X42" s="36"/>
      <c r="Y42" s="36"/>
      <c r="Z42" s="35"/>
      <c r="AA42" s="35">
        <v>0</v>
      </c>
      <c r="AB42" s="33">
        <f t="shared" si="7"/>
        <v>5486.17</v>
      </c>
      <c r="AC42" s="37">
        <f t="shared" si="6"/>
        <v>548.61700000000008</v>
      </c>
      <c r="AD42" s="33">
        <f t="shared" si="8"/>
        <v>4937.5529999999999</v>
      </c>
      <c r="AE42" s="38">
        <f t="shared" si="11"/>
        <v>0</v>
      </c>
      <c r="AF42" s="37">
        <v>10.23</v>
      </c>
      <c r="AG42" s="67">
        <f t="shared" si="12"/>
        <v>5496.4</v>
      </c>
      <c r="AH42" s="39"/>
      <c r="AI42" s="56"/>
      <c r="AJ42" s="39"/>
      <c r="AK42" s="39"/>
      <c r="AL42" s="56"/>
      <c r="AM42" s="39"/>
      <c r="AN42" s="39"/>
    </row>
    <row r="43" spans="1:54">
      <c r="A43" s="27" t="s">
        <v>91</v>
      </c>
      <c r="B43" s="27" t="s">
        <v>81</v>
      </c>
      <c r="C43" s="27"/>
      <c r="D43" s="27" t="s">
        <v>116</v>
      </c>
      <c r="E43" s="27" t="s">
        <v>172</v>
      </c>
      <c r="F43" s="27"/>
      <c r="G43" s="27"/>
      <c r="H43" s="27"/>
      <c r="I43" s="30">
        <v>1633.33</v>
      </c>
      <c r="J43" s="27"/>
      <c r="K43" s="30">
        <f t="shared" si="9"/>
        <v>1633.33</v>
      </c>
      <c r="L43" s="30"/>
      <c r="M43" s="30"/>
      <c r="N43" s="30"/>
      <c r="O43" s="30"/>
      <c r="P43" s="32"/>
      <c r="Q43" s="33">
        <f t="shared" si="10"/>
        <v>1633.33</v>
      </c>
      <c r="R43" s="34"/>
      <c r="S43" s="45"/>
      <c r="T43" s="45">
        <v>0</v>
      </c>
      <c r="U43" s="45"/>
      <c r="V43" s="45"/>
      <c r="W43" s="45"/>
      <c r="X43" s="36"/>
      <c r="Y43" s="36"/>
      <c r="Z43" s="35"/>
      <c r="AA43" s="35">
        <v>0</v>
      </c>
      <c r="AB43" s="33">
        <f t="shared" si="7"/>
        <v>1633.33</v>
      </c>
      <c r="AC43" s="37">
        <f t="shared" ref="AC43:AC75" si="13">IF(Q43&gt;4500,Q43*0.1,0)</f>
        <v>0</v>
      </c>
      <c r="AD43" s="33">
        <f t="shared" si="8"/>
        <v>1633.33</v>
      </c>
      <c r="AE43" s="38">
        <f t="shared" si="11"/>
        <v>163.333</v>
      </c>
      <c r="AF43" s="37">
        <v>10.23</v>
      </c>
      <c r="AG43" s="67">
        <f t="shared" si="12"/>
        <v>1806.893</v>
      </c>
      <c r="AH43" s="39"/>
      <c r="AI43" s="56"/>
      <c r="AJ43" s="39"/>
      <c r="AK43" s="39"/>
      <c r="AL43" s="56"/>
      <c r="AM43" s="39"/>
      <c r="AN43" s="39"/>
    </row>
    <row r="44" spans="1:54">
      <c r="A44" s="27" t="s">
        <v>71</v>
      </c>
      <c r="B44" s="27" t="s">
        <v>262</v>
      </c>
      <c r="C44" s="27"/>
      <c r="D44" s="27" t="s">
        <v>154</v>
      </c>
      <c r="E44" s="27" t="s">
        <v>73</v>
      </c>
      <c r="F44" s="27"/>
      <c r="G44" s="28"/>
      <c r="H44" s="28"/>
      <c r="I44" s="30">
        <v>513.33000000000004</v>
      </c>
      <c r="J44" s="28"/>
      <c r="K44" s="30">
        <f t="shared" si="9"/>
        <v>513.33000000000004</v>
      </c>
      <c r="L44" s="30">
        <f>513.33+14319.74</f>
        <v>14833.07</v>
      </c>
      <c r="M44" s="30"/>
      <c r="N44" s="31"/>
      <c r="O44" s="31"/>
      <c r="P44" s="32"/>
      <c r="Q44" s="33">
        <f t="shared" si="10"/>
        <v>15346.4</v>
      </c>
      <c r="R44" s="34"/>
      <c r="S44" s="45"/>
      <c r="T44" s="45">
        <v>0</v>
      </c>
      <c r="U44" s="45"/>
      <c r="V44" s="45"/>
      <c r="W44" s="45"/>
      <c r="X44" s="36"/>
      <c r="Y44" s="36"/>
      <c r="Z44" s="35"/>
      <c r="AA44" s="35">
        <v>0</v>
      </c>
      <c r="AB44" s="33">
        <f t="shared" si="7"/>
        <v>15346.4</v>
      </c>
      <c r="AC44" s="37">
        <f t="shared" si="13"/>
        <v>1534.64</v>
      </c>
      <c r="AD44" s="33">
        <f t="shared" si="8"/>
        <v>13811.76</v>
      </c>
      <c r="AE44" s="38">
        <f t="shared" si="11"/>
        <v>0</v>
      </c>
      <c r="AF44" s="37">
        <v>10.23</v>
      </c>
      <c r="AG44" s="67">
        <f t="shared" si="12"/>
        <v>15356.63</v>
      </c>
      <c r="AH44" s="39"/>
      <c r="AI44" s="56"/>
      <c r="AJ44" s="39"/>
      <c r="AK44" s="39"/>
      <c r="AL44" s="56"/>
      <c r="AM44" s="39"/>
      <c r="AN44" s="39"/>
    </row>
    <row r="45" spans="1:54" s="61" customFormat="1">
      <c r="A45" s="57" t="s">
        <v>93</v>
      </c>
      <c r="B45" s="57" t="s">
        <v>200</v>
      </c>
      <c r="C45" s="57"/>
      <c r="D45" s="57"/>
      <c r="E45" s="57" t="s">
        <v>171</v>
      </c>
      <c r="F45" s="98">
        <v>42413</v>
      </c>
      <c r="G45" s="57"/>
      <c r="H45" s="57"/>
      <c r="I45" s="58">
        <v>1400</v>
      </c>
      <c r="J45" s="57"/>
      <c r="K45" s="58">
        <f t="shared" si="9"/>
        <v>1400</v>
      </c>
      <c r="L45" s="58"/>
      <c r="M45" s="58"/>
      <c r="N45" s="58"/>
      <c r="O45" s="58"/>
      <c r="P45" s="92"/>
      <c r="Q45" s="59">
        <f t="shared" si="10"/>
        <v>1400</v>
      </c>
      <c r="R45" s="58"/>
      <c r="S45" s="58"/>
      <c r="T45" s="58"/>
      <c r="U45" s="58"/>
      <c r="V45" s="58"/>
      <c r="W45" s="58"/>
      <c r="X45" s="60"/>
      <c r="Y45" s="60"/>
      <c r="Z45" s="57"/>
      <c r="AA45" s="57"/>
      <c r="AB45" s="59">
        <f t="shared" si="7"/>
        <v>1400</v>
      </c>
      <c r="AC45" s="60">
        <f t="shared" si="13"/>
        <v>0</v>
      </c>
      <c r="AD45" s="59">
        <f t="shared" ref="AD45:AD76" si="14">+AB45-AC45</f>
        <v>1400</v>
      </c>
      <c r="AE45" s="60">
        <f t="shared" si="11"/>
        <v>140</v>
      </c>
      <c r="AF45" s="60">
        <v>10.23</v>
      </c>
      <c r="AG45" s="59">
        <f t="shared" si="12"/>
        <v>1550.23</v>
      </c>
      <c r="AI45" s="93"/>
      <c r="AL45" s="93"/>
      <c r="AM45" s="61" t="s">
        <v>289</v>
      </c>
    </row>
    <row r="46" spans="1:54">
      <c r="A46" s="62" t="s">
        <v>94</v>
      </c>
      <c r="B46" s="27" t="s">
        <v>192</v>
      </c>
      <c r="C46" s="27"/>
      <c r="D46" s="27" t="s">
        <v>132</v>
      </c>
      <c r="E46" s="27" t="s">
        <v>174</v>
      </c>
      <c r="F46" s="27"/>
      <c r="G46" s="28"/>
      <c r="H46" s="28"/>
      <c r="I46" s="30">
        <v>608.16</v>
      </c>
      <c r="J46" s="28"/>
      <c r="K46" s="30">
        <f t="shared" si="9"/>
        <v>608.16</v>
      </c>
      <c r="L46" s="30">
        <v>309.60000000000002</v>
      </c>
      <c r="M46" s="30"/>
      <c r="N46" s="31"/>
      <c r="O46" s="31"/>
      <c r="P46" s="32"/>
      <c r="Q46" s="33">
        <f t="shared" si="10"/>
        <v>917.76</v>
      </c>
      <c r="R46" s="34"/>
      <c r="S46" s="45"/>
      <c r="T46" s="75">
        <v>100</v>
      </c>
      <c r="U46" s="75">
        <f>Q46*4.9%</f>
        <v>44.970240000000004</v>
      </c>
      <c r="V46" s="75">
        <f>Q46*1%</f>
        <v>9.1776</v>
      </c>
      <c r="W46" s="45"/>
      <c r="X46" s="36"/>
      <c r="Y46" s="36"/>
      <c r="Z46" s="35"/>
      <c r="AA46" s="35">
        <v>0</v>
      </c>
      <c r="AB46" s="33">
        <f t="shared" ref="AB46:AB78" si="15">+Q46-SUM(R46:AA46)</f>
        <v>763.61216000000002</v>
      </c>
      <c r="AC46" s="37">
        <f t="shared" si="13"/>
        <v>0</v>
      </c>
      <c r="AD46" s="33">
        <f t="shared" si="14"/>
        <v>763.61216000000002</v>
      </c>
      <c r="AE46" s="38">
        <f t="shared" si="11"/>
        <v>91.77600000000001</v>
      </c>
      <c r="AF46" s="37">
        <v>10.23</v>
      </c>
      <c r="AG46" s="67">
        <f t="shared" si="12"/>
        <v>1019.7660000000001</v>
      </c>
      <c r="AH46" s="39"/>
      <c r="AI46" s="56"/>
      <c r="AJ46" s="39"/>
      <c r="AK46" s="39"/>
      <c r="AL46" s="56"/>
      <c r="AM46" s="39"/>
      <c r="AN46" s="39"/>
    </row>
    <row r="47" spans="1:54" s="61" customFormat="1">
      <c r="A47" s="57" t="s">
        <v>91</v>
      </c>
      <c r="B47" s="57" t="s">
        <v>264</v>
      </c>
      <c r="C47" s="57"/>
      <c r="D47" s="57" t="s">
        <v>265</v>
      </c>
      <c r="E47" s="57" t="s">
        <v>174</v>
      </c>
      <c r="F47" s="57"/>
      <c r="G47" s="57"/>
      <c r="H47" s="57"/>
      <c r="I47" s="58">
        <v>608.16</v>
      </c>
      <c r="J47" s="57"/>
      <c r="K47" s="58">
        <f t="shared" si="9"/>
        <v>608.16</v>
      </c>
      <c r="L47" s="58">
        <v>801.03</v>
      </c>
      <c r="M47" s="58"/>
      <c r="N47" s="58"/>
      <c r="O47" s="58"/>
      <c r="P47" s="92"/>
      <c r="Q47" s="59">
        <f t="shared" si="10"/>
        <v>1409.19</v>
      </c>
      <c r="R47" s="58"/>
      <c r="S47" s="58"/>
      <c r="T47" s="58"/>
      <c r="U47" s="58"/>
      <c r="V47" s="58"/>
      <c r="W47" s="58"/>
      <c r="X47" s="60"/>
      <c r="Y47" s="60"/>
      <c r="Z47" s="57"/>
      <c r="AA47" s="57"/>
      <c r="AB47" s="59">
        <f t="shared" si="15"/>
        <v>1409.19</v>
      </c>
      <c r="AC47" s="60">
        <f t="shared" si="13"/>
        <v>0</v>
      </c>
      <c r="AD47" s="59">
        <f t="shared" si="14"/>
        <v>1409.19</v>
      </c>
      <c r="AE47" s="60">
        <f t="shared" si="11"/>
        <v>140.91900000000001</v>
      </c>
      <c r="AF47" s="60">
        <v>10.23</v>
      </c>
      <c r="AG47" s="59">
        <f t="shared" si="12"/>
        <v>1560.3390000000002</v>
      </c>
      <c r="AI47" s="93"/>
      <c r="AL47" s="93"/>
      <c r="AM47" s="61">
        <v>2948910731</v>
      </c>
      <c r="AN47" s="94" t="s">
        <v>284</v>
      </c>
    </row>
    <row r="48" spans="1:54">
      <c r="A48" s="62" t="s">
        <v>94</v>
      </c>
      <c r="B48" s="27" t="s">
        <v>194</v>
      </c>
      <c r="C48" s="27"/>
      <c r="D48" s="27" t="s">
        <v>133</v>
      </c>
      <c r="E48" s="27" t="s">
        <v>177</v>
      </c>
      <c r="F48" s="27"/>
      <c r="G48" s="28"/>
      <c r="H48" s="28"/>
      <c r="I48" s="30">
        <v>608.16</v>
      </c>
      <c r="J48" s="28"/>
      <c r="K48" s="30">
        <f t="shared" si="9"/>
        <v>608.16</v>
      </c>
      <c r="L48" s="30">
        <v>1886.62</v>
      </c>
      <c r="M48" s="30"/>
      <c r="N48" s="31"/>
      <c r="O48" s="31"/>
      <c r="P48" s="32"/>
      <c r="Q48" s="33">
        <f t="shared" si="10"/>
        <v>2494.7799999999997</v>
      </c>
      <c r="R48" s="34"/>
      <c r="S48" s="45"/>
      <c r="T48" s="45"/>
      <c r="U48" s="75">
        <f>Q48*4.9%</f>
        <v>122.24422</v>
      </c>
      <c r="V48" s="75">
        <f>Q48*1%</f>
        <v>24.947799999999997</v>
      </c>
      <c r="W48" s="45"/>
      <c r="X48" s="36"/>
      <c r="Y48" s="36"/>
      <c r="Z48" s="35"/>
      <c r="AA48" s="35">
        <v>0</v>
      </c>
      <c r="AB48" s="33">
        <f t="shared" si="15"/>
        <v>2347.5879799999998</v>
      </c>
      <c r="AC48" s="37">
        <f t="shared" si="13"/>
        <v>0</v>
      </c>
      <c r="AD48" s="33">
        <f t="shared" si="14"/>
        <v>2347.5879799999998</v>
      </c>
      <c r="AE48" s="38">
        <f t="shared" si="11"/>
        <v>249.47799999999998</v>
      </c>
      <c r="AF48" s="37">
        <v>10.23</v>
      </c>
      <c r="AG48" s="67">
        <f t="shared" si="12"/>
        <v>2754.4879999999998</v>
      </c>
      <c r="AH48" s="39"/>
      <c r="AI48" s="56"/>
      <c r="AJ48" s="39"/>
      <c r="AK48" s="39"/>
      <c r="AL48" s="56"/>
      <c r="AM48" s="39"/>
      <c r="AN48" s="39"/>
    </row>
    <row r="49" spans="1:54">
      <c r="A49" s="62" t="s">
        <v>92</v>
      </c>
      <c r="B49" s="27" t="s">
        <v>233</v>
      </c>
      <c r="C49" s="27"/>
      <c r="D49" s="27" t="s">
        <v>102</v>
      </c>
      <c r="E49" s="27" t="s">
        <v>163</v>
      </c>
      <c r="F49" s="27"/>
      <c r="G49" s="27"/>
      <c r="H49" s="27"/>
      <c r="I49" s="30">
        <v>739.23</v>
      </c>
      <c r="J49" s="27"/>
      <c r="K49" s="30">
        <f t="shared" si="9"/>
        <v>739.23</v>
      </c>
      <c r="L49" s="30">
        <v>2866.06</v>
      </c>
      <c r="M49" s="30"/>
      <c r="N49" s="30"/>
      <c r="O49" s="30"/>
      <c r="P49" s="32"/>
      <c r="Q49" s="33">
        <f t="shared" si="10"/>
        <v>3605.29</v>
      </c>
      <c r="R49" s="34"/>
      <c r="S49" s="45"/>
      <c r="T49" s="45">
        <v>0</v>
      </c>
      <c r="U49" s="45"/>
      <c r="V49" s="45"/>
      <c r="W49" s="45"/>
      <c r="X49" s="36"/>
      <c r="Y49" s="36"/>
      <c r="Z49" s="35"/>
      <c r="AA49" s="35">
        <v>0</v>
      </c>
      <c r="AB49" s="33">
        <f t="shared" si="15"/>
        <v>3605.29</v>
      </c>
      <c r="AC49" s="37">
        <f t="shared" si="13"/>
        <v>0</v>
      </c>
      <c r="AD49" s="33">
        <f t="shared" si="14"/>
        <v>3605.29</v>
      </c>
      <c r="AE49" s="38">
        <f t="shared" si="11"/>
        <v>360.529</v>
      </c>
      <c r="AF49" s="37">
        <v>10.23</v>
      </c>
      <c r="AG49" s="67">
        <f t="shared" si="12"/>
        <v>3976.049</v>
      </c>
      <c r="AH49" s="39"/>
      <c r="AI49" s="56"/>
      <c r="AJ49" s="39"/>
      <c r="AK49" s="39"/>
      <c r="AL49" s="56"/>
      <c r="AM49" s="39"/>
      <c r="AN49" s="39"/>
    </row>
    <row r="50" spans="1:54" s="61" customFormat="1">
      <c r="A50" s="62" t="s">
        <v>94</v>
      </c>
      <c r="B50" s="63" t="s">
        <v>202</v>
      </c>
      <c r="C50" s="63"/>
      <c r="D50" s="63"/>
      <c r="E50" s="63" t="s">
        <v>163</v>
      </c>
      <c r="F50" s="72">
        <v>42416</v>
      </c>
      <c r="G50" s="63"/>
      <c r="H50" s="63"/>
      <c r="I50" s="53">
        <v>739.23</v>
      </c>
      <c r="J50" s="63"/>
      <c r="K50" s="53">
        <f t="shared" si="9"/>
        <v>739.23</v>
      </c>
      <c r="L50" s="53">
        <v>2438.48</v>
      </c>
      <c r="M50" s="53"/>
      <c r="N50" s="53"/>
      <c r="O50" s="53"/>
      <c r="P50" s="73"/>
      <c r="Q50" s="59">
        <f t="shared" si="10"/>
        <v>3177.71</v>
      </c>
      <c r="R50" s="58"/>
      <c r="S50" s="45"/>
      <c r="T50" s="58"/>
      <c r="U50" s="58"/>
      <c r="V50" s="58">
        <f>Q50*1%</f>
        <v>31.777100000000001</v>
      </c>
      <c r="W50" s="58"/>
      <c r="X50" s="60"/>
      <c r="Y50" s="60"/>
      <c r="Z50" s="57"/>
      <c r="AA50" s="57"/>
      <c r="AB50" s="59">
        <f t="shared" si="15"/>
        <v>3145.9329000000002</v>
      </c>
      <c r="AC50" s="60">
        <f t="shared" si="13"/>
        <v>0</v>
      </c>
      <c r="AD50" s="59">
        <f t="shared" si="14"/>
        <v>3145.9329000000002</v>
      </c>
      <c r="AE50" s="60">
        <f t="shared" si="11"/>
        <v>317.77100000000002</v>
      </c>
      <c r="AF50" s="37">
        <v>10.23</v>
      </c>
      <c r="AG50" s="67">
        <f t="shared" si="12"/>
        <v>3505.7110000000002</v>
      </c>
      <c r="AH50" s="39"/>
      <c r="AI50" s="56"/>
      <c r="AJ50" s="39"/>
      <c r="AK50" s="39"/>
      <c r="AL50" s="56"/>
      <c r="AM50" s="39">
        <v>1296641458</v>
      </c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>
      <c r="A51" s="27" t="s">
        <v>71</v>
      </c>
      <c r="B51" s="27" t="s">
        <v>88</v>
      </c>
      <c r="C51" s="27" t="s">
        <v>254</v>
      </c>
      <c r="D51" s="27" t="s">
        <v>153</v>
      </c>
      <c r="E51" s="27" t="s">
        <v>73</v>
      </c>
      <c r="F51" s="27"/>
      <c r="G51" s="28"/>
      <c r="H51" s="28"/>
      <c r="I51" s="30">
        <v>513.33000000000004</v>
      </c>
      <c r="J51" s="28"/>
      <c r="K51" s="30">
        <f t="shared" si="9"/>
        <v>513.33000000000004</v>
      </c>
      <c r="L51" s="30">
        <f>513.33+20087.68</f>
        <v>20601.010000000002</v>
      </c>
      <c r="M51" s="30"/>
      <c r="N51" s="31"/>
      <c r="O51" s="31"/>
      <c r="P51" s="32"/>
      <c r="Q51" s="33">
        <f t="shared" si="10"/>
        <v>21114.340000000004</v>
      </c>
      <c r="R51" s="34"/>
      <c r="S51" s="45">
        <v>58.91</v>
      </c>
      <c r="T51" s="45">
        <v>0</v>
      </c>
      <c r="U51" s="45"/>
      <c r="V51" s="45"/>
      <c r="W51" s="45"/>
      <c r="X51" s="36"/>
      <c r="Y51" s="36"/>
      <c r="Z51" s="35"/>
      <c r="AA51" s="35">
        <v>0</v>
      </c>
      <c r="AB51" s="33">
        <f t="shared" si="15"/>
        <v>21055.430000000004</v>
      </c>
      <c r="AC51" s="37">
        <f t="shared" si="13"/>
        <v>2111.4340000000007</v>
      </c>
      <c r="AD51" s="33">
        <f t="shared" si="14"/>
        <v>18943.996000000003</v>
      </c>
      <c r="AE51" s="38">
        <f t="shared" si="11"/>
        <v>0</v>
      </c>
      <c r="AF51" s="37">
        <v>10.23</v>
      </c>
      <c r="AG51" s="67">
        <f t="shared" si="12"/>
        <v>21124.570000000003</v>
      </c>
      <c r="AH51" s="39"/>
      <c r="AI51" s="56"/>
      <c r="AJ51" s="39"/>
      <c r="AK51" s="39"/>
      <c r="AL51" s="56"/>
      <c r="AM51" s="39"/>
      <c r="AN51" s="39"/>
    </row>
    <row r="52" spans="1:54">
      <c r="A52" s="27" t="s">
        <v>71</v>
      </c>
      <c r="B52" s="27" t="s">
        <v>221</v>
      </c>
      <c r="C52" s="27" t="s">
        <v>251</v>
      </c>
      <c r="D52" s="27">
        <v>30</v>
      </c>
      <c r="E52" s="27" t="s">
        <v>73</v>
      </c>
      <c r="F52" s="27"/>
      <c r="G52" s="28"/>
      <c r="H52" s="28"/>
      <c r="I52" s="53">
        <v>513.33000000000004</v>
      </c>
      <c r="J52" s="28"/>
      <c r="K52" s="30">
        <f t="shared" si="9"/>
        <v>513.33000000000004</v>
      </c>
      <c r="L52" s="30">
        <f>148.48+9126.81</f>
        <v>9275.2899999999991</v>
      </c>
      <c r="M52" s="30"/>
      <c r="N52" s="31"/>
      <c r="O52" s="31"/>
      <c r="P52" s="32"/>
      <c r="Q52" s="33">
        <f t="shared" si="10"/>
        <v>9788.619999999999</v>
      </c>
      <c r="R52" s="34"/>
      <c r="S52" s="45"/>
      <c r="T52" s="45">
        <v>0</v>
      </c>
      <c r="U52" s="45"/>
      <c r="V52" s="45"/>
      <c r="W52" s="45"/>
      <c r="X52" s="36"/>
      <c r="Y52" s="36"/>
      <c r="Z52" s="35"/>
      <c r="AA52" s="35">
        <v>0</v>
      </c>
      <c r="AB52" s="33">
        <f t="shared" si="15"/>
        <v>9788.619999999999</v>
      </c>
      <c r="AC52" s="37">
        <f t="shared" si="13"/>
        <v>978.86199999999997</v>
      </c>
      <c r="AD52" s="33">
        <f t="shared" si="14"/>
        <v>8809.7579999999998</v>
      </c>
      <c r="AE52" s="38">
        <f t="shared" si="11"/>
        <v>0</v>
      </c>
      <c r="AF52" s="37">
        <v>10.23</v>
      </c>
      <c r="AG52" s="67">
        <f t="shared" si="12"/>
        <v>9798.8499999999985</v>
      </c>
      <c r="AH52" s="39"/>
      <c r="AI52" s="56"/>
      <c r="AJ52" s="39"/>
      <c r="AK52" s="39"/>
      <c r="AL52" s="56"/>
      <c r="AM52" s="39"/>
      <c r="AN52" s="39"/>
    </row>
    <row r="53" spans="1:54">
      <c r="A53" s="27" t="s">
        <v>71</v>
      </c>
      <c r="B53" s="27" t="s">
        <v>216</v>
      </c>
      <c r="C53" s="27" t="s">
        <v>249</v>
      </c>
      <c r="D53" s="27" t="s">
        <v>155</v>
      </c>
      <c r="E53" s="27" t="s">
        <v>73</v>
      </c>
      <c r="F53" s="68">
        <v>42408</v>
      </c>
      <c r="G53" s="28"/>
      <c r="H53" s="28"/>
      <c r="I53" s="30">
        <v>513.33000000000004</v>
      </c>
      <c r="J53" s="28">
        <v>653.33000000000004</v>
      </c>
      <c r="K53" s="30">
        <f t="shared" si="9"/>
        <v>1166.6600000000001</v>
      </c>
      <c r="L53" s="30">
        <v>-653.33000000000004</v>
      </c>
      <c r="M53" s="30"/>
      <c r="N53" s="31"/>
      <c r="O53" s="31"/>
      <c r="P53" s="32"/>
      <c r="Q53" s="33">
        <f t="shared" si="10"/>
        <v>513.33000000000004</v>
      </c>
      <c r="R53" s="34"/>
      <c r="S53" s="45"/>
      <c r="T53" s="45">
        <v>0</v>
      </c>
      <c r="U53" s="45"/>
      <c r="V53" s="45"/>
      <c r="W53" s="45"/>
      <c r="X53" s="36"/>
      <c r="Y53" s="36"/>
      <c r="Z53" s="90"/>
      <c r="AA53" s="90">
        <f>+Q53*0.25</f>
        <v>128.33250000000001</v>
      </c>
      <c r="AB53" s="33">
        <f t="shared" si="15"/>
        <v>384.99750000000006</v>
      </c>
      <c r="AC53" s="37">
        <f t="shared" si="13"/>
        <v>0</v>
      </c>
      <c r="AD53" s="33">
        <f t="shared" si="14"/>
        <v>384.99750000000006</v>
      </c>
      <c r="AE53" s="38">
        <f t="shared" si="11"/>
        <v>51.333000000000006</v>
      </c>
      <c r="AF53" s="37">
        <v>10.23</v>
      </c>
      <c r="AG53" s="67">
        <f t="shared" si="12"/>
        <v>574.89300000000003</v>
      </c>
      <c r="AH53" s="39"/>
      <c r="AI53" s="56"/>
      <c r="AJ53" s="39"/>
      <c r="AK53" s="39"/>
      <c r="AL53" s="56"/>
      <c r="AM53" s="39"/>
      <c r="AN53" s="39">
        <v>129.37</v>
      </c>
      <c r="AO53" s="39" t="s">
        <v>279</v>
      </c>
    </row>
    <row r="54" spans="1:54">
      <c r="A54" s="27" t="s">
        <v>70</v>
      </c>
      <c r="B54" s="27" t="s">
        <v>225</v>
      </c>
      <c r="C54" s="27" t="s">
        <v>248</v>
      </c>
      <c r="D54" s="27" t="s">
        <v>124</v>
      </c>
      <c r="E54" s="27" t="s">
        <v>173</v>
      </c>
      <c r="F54" s="68">
        <v>42352</v>
      </c>
      <c r="G54" s="28"/>
      <c r="H54" s="28"/>
      <c r="I54" s="30">
        <v>513.33000000000004</v>
      </c>
      <c r="J54" s="28">
        <v>653.33000000000004</v>
      </c>
      <c r="K54" s="30">
        <f t="shared" si="9"/>
        <v>1166.6600000000001</v>
      </c>
      <c r="L54" s="30"/>
      <c r="M54" s="30"/>
      <c r="N54" s="31"/>
      <c r="O54" s="31"/>
      <c r="P54" s="32"/>
      <c r="Q54" s="33">
        <f t="shared" si="10"/>
        <v>1166.6600000000001</v>
      </c>
      <c r="R54" s="34"/>
      <c r="S54" s="45"/>
      <c r="T54" s="45">
        <v>0</v>
      </c>
      <c r="U54" s="45"/>
      <c r="V54" s="45"/>
      <c r="W54" s="45"/>
      <c r="X54" s="36"/>
      <c r="Y54" s="36"/>
      <c r="Z54" s="35"/>
      <c r="AA54" s="35">
        <v>0</v>
      </c>
      <c r="AB54" s="33">
        <f t="shared" si="15"/>
        <v>1166.6600000000001</v>
      </c>
      <c r="AC54" s="37">
        <f t="shared" si="13"/>
        <v>0</v>
      </c>
      <c r="AD54" s="33">
        <f t="shared" si="14"/>
        <v>1166.6600000000001</v>
      </c>
      <c r="AE54" s="38">
        <f t="shared" si="11"/>
        <v>116.66600000000001</v>
      </c>
      <c r="AF54" s="37">
        <v>10.23</v>
      </c>
      <c r="AG54" s="67">
        <f t="shared" si="12"/>
        <v>1293.556</v>
      </c>
      <c r="AH54" s="39"/>
      <c r="AI54" s="56"/>
      <c r="AJ54" s="39"/>
      <c r="AK54" s="39"/>
      <c r="AL54" s="56"/>
      <c r="AM54" s="39"/>
      <c r="AN54" s="39"/>
    </row>
    <row r="55" spans="1:54" s="84" customFormat="1">
      <c r="A55" s="79" t="s">
        <v>71</v>
      </c>
      <c r="B55" s="79" t="s">
        <v>285</v>
      </c>
      <c r="C55" s="79"/>
      <c r="D55" s="79"/>
      <c r="E55" s="79" t="s">
        <v>73</v>
      </c>
      <c r="F55" s="87">
        <v>42055</v>
      </c>
      <c r="G55" s="79"/>
      <c r="H55" s="79"/>
      <c r="I55" s="80">
        <v>513.33000000000004</v>
      </c>
      <c r="J55" s="79">
        <v>653.33000000000004</v>
      </c>
      <c r="K55" s="80">
        <f t="shared" si="9"/>
        <v>1166.6600000000001</v>
      </c>
      <c r="L55" s="80"/>
      <c r="M55" s="80"/>
      <c r="N55" s="80"/>
      <c r="O55" s="80"/>
      <c r="P55" s="81"/>
      <c r="Q55" s="82">
        <f t="shared" si="10"/>
        <v>1166.6600000000001</v>
      </c>
      <c r="R55" s="80"/>
      <c r="S55" s="80"/>
      <c r="T55" s="80"/>
      <c r="U55" s="80"/>
      <c r="V55" s="80"/>
      <c r="W55" s="80"/>
      <c r="X55" s="83"/>
      <c r="Y55" s="83"/>
      <c r="Z55" s="79"/>
      <c r="AA55" s="79"/>
      <c r="AB55" s="82">
        <f t="shared" si="15"/>
        <v>1166.6600000000001</v>
      </c>
      <c r="AC55" s="83">
        <f t="shared" si="13"/>
        <v>0</v>
      </c>
      <c r="AD55" s="82">
        <f t="shared" si="14"/>
        <v>1166.6600000000001</v>
      </c>
      <c r="AE55" s="83">
        <f t="shared" si="11"/>
        <v>116.66600000000001</v>
      </c>
      <c r="AF55" s="83">
        <v>10.23</v>
      </c>
      <c r="AG55" s="82">
        <f t="shared" si="12"/>
        <v>1293.556</v>
      </c>
      <c r="AI55" s="85"/>
      <c r="AL55" s="85"/>
      <c r="AM55" s="84">
        <v>1905307865</v>
      </c>
      <c r="AN55" s="78" t="s">
        <v>266</v>
      </c>
    </row>
    <row r="56" spans="1:54">
      <c r="A56" s="27" t="s">
        <v>71</v>
      </c>
      <c r="B56" s="27" t="s">
        <v>263</v>
      </c>
      <c r="C56" s="27" t="s">
        <v>251</v>
      </c>
      <c r="D56" s="27" t="s">
        <v>156</v>
      </c>
      <c r="E56" s="27" t="s">
        <v>73</v>
      </c>
      <c r="F56" s="27"/>
      <c r="G56" s="28"/>
      <c r="H56" s="28"/>
      <c r="I56" s="30">
        <v>513.33000000000004</v>
      </c>
      <c r="J56" s="28"/>
      <c r="K56" s="30">
        <f t="shared" si="9"/>
        <v>513.33000000000004</v>
      </c>
      <c r="L56" s="30">
        <v>513.33000000000004</v>
      </c>
      <c r="M56" s="30">
        <v>66.010000000000005</v>
      </c>
      <c r="N56" s="31"/>
      <c r="O56" s="31"/>
      <c r="P56" s="32"/>
      <c r="Q56" s="33">
        <f t="shared" si="10"/>
        <v>1092.67</v>
      </c>
      <c r="R56" s="34"/>
      <c r="S56" s="45"/>
      <c r="T56" s="45">
        <v>0</v>
      </c>
      <c r="U56" s="45"/>
      <c r="V56" s="45"/>
      <c r="W56" s="45"/>
      <c r="X56" s="36"/>
      <c r="Y56" s="36"/>
      <c r="Z56" s="35"/>
      <c r="AA56" s="35">
        <v>86.56</v>
      </c>
      <c r="AB56" s="33">
        <f t="shared" si="15"/>
        <v>1006.1100000000001</v>
      </c>
      <c r="AC56" s="37">
        <f t="shared" si="13"/>
        <v>0</v>
      </c>
      <c r="AD56" s="33">
        <f t="shared" si="14"/>
        <v>1006.1100000000001</v>
      </c>
      <c r="AE56" s="38">
        <f t="shared" si="11"/>
        <v>109.26700000000001</v>
      </c>
      <c r="AF56" s="37">
        <v>10.23</v>
      </c>
      <c r="AG56" s="67">
        <f t="shared" si="12"/>
        <v>1212.1670000000001</v>
      </c>
      <c r="AH56" s="39"/>
      <c r="AI56" s="56"/>
      <c r="AJ56" s="39"/>
      <c r="AK56" s="39"/>
      <c r="AL56" s="56"/>
      <c r="AM56" s="39"/>
      <c r="AN56" s="39"/>
    </row>
    <row r="57" spans="1:54">
      <c r="A57" s="27" t="s">
        <v>94</v>
      </c>
      <c r="B57" s="27" t="s">
        <v>243</v>
      </c>
      <c r="C57" s="27"/>
      <c r="D57" s="27" t="s">
        <v>134</v>
      </c>
      <c r="E57" s="27" t="s">
        <v>178</v>
      </c>
      <c r="F57" s="27"/>
      <c r="G57" s="28"/>
      <c r="H57" s="28"/>
      <c r="I57" s="30">
        <v>1100</v>
      </c>
      <c r="J57" s="28"/>
      <c r="K57" s="30">
        <f t="shared" si="9"/>
        <v>1100</v>
      </c>
      <c r="L57" s="30">
        <v>307.39999999999998</v>
      </c>
      <c r="M57" s="30"/>
      <c r="N57" s="31"/>
      <c r="O57" s="31"/>
      <c r="P57" s="32"/>
      <c r="Q57" s="33">
        <f t="shared" si="10"/>
        <v>1407.4</v>
      </c>
      <c r="R57" s="34"/>
      <c r="S57" s="45"/>
      <c r="T57" s="75">
        <f>+Q57*1%</f>
        <v>14.074000000000002</v>
      </c>
      <c r="U57" s="75">
        <f>+Q57*4.9%</f>
        <v>68.962600000000009</v>
      </c>
      <c r="V57" s="45"/>
      <c r="W57" s="45"/>
      <c r="X57" s="36"/>
      <c r="Y57" s="36"/>
      <c r="Z57" s="35"/>
      <c r="AA57" s="35">
        <v>0</v>
      </c>
      <c r="AB57" s="33">
        <f t="shared" si="15"/>
        <v>1324.3634000000002</v>
      </c>
      <c r="AC57" s="37">
        <f t="shared" si="13"/>
        <v>0</v>
      </c>
      <c r="AD57" s="33">
        <f t="shared" si="14"/>
        <v>1324.3634000000002</v>
      </c>
      <c r="AE57" s="38">
        <f t="shared" si="11"/>
        <v>140.74</v>
      </c>
      <c r="AF57" s="37">
        <v>10.23</v>
      </c>
      <c r="AG57" s="67">
        <f t="shared" si="12"/>
        <v>1558.3700000000001</v>
      </c>
      <c r="AH57" s="39"/>
      <c r="AI57" s="56"/>
      <c r="AJ57" s="39"/>
      <c r="AK57" s="39"/>
      <c r="AL57" s="56"/>
      <c r="AM57" s="39"/>
      <c r="AN57" s="39"/>
    </row>
    <row r="58" spans="1:54">
      <c r="A58" s="62" t="s">
        <v>92</v>
      </c>
      <c r="B58" s="27" t="s">
        <v>77</v>
      </c>
      <c r="C58" s="27"/>
      <c r="D58" s="27" t="s">
        <v>103</v>
      </c>
      <c r="E58" s="27" t="s">
        <v>163</v>
      </c>
      <c r="F58" s="27"/>
      <c r="G58" s="27"/>
      <c r="H58" s="27"/>
      <c r="I58" s="30">
        <v>739.23</v>
      </c>
      <c r="J58" s="27"/>
      <c r="K58" s="30">
        <f t="shared" si="9"/>
        <v>739.23</v>
      </c>
      <c r="L58" s="30"/>
      <c r="M58" s="30"/>
      <c r="N58" s="30"/>
      <c r="O58" s="30"/>
      <c r="P58" s="32"/>
      <c r="Q58" s="33">
        <f t="shared" si="10"/>
        <v>739.23</v>
      </c>
      <c r="R58" s="34"/>
      <c r="S58" s="45"/>
      <c r="T58" s="45">
        <v>0</v>
      </c>
      <c r="U58" s="45"/>
      <c r="V58" s="45"/>
      <c r="W58" s="45"/>
      <c r="X58" s="36"/>
      <c r="Y58" s="36"/>
      <c r="Z58" s="35"/>
      <c r="AA58" s="35">
        <v>0</v>
      </c>
      <c r="AB58" s="33">
        <f t="shared" si="15"/>
        <v>739.23</v>
      </c>
      <c r="AC58" s="37">
        <f t="shared" si="13"/>
        <v>0</v>
      </c>
      <c r="AD58" s="33">
        <f t="shared" si="14"/>
        <v>739.23</v>
      </c>
      <c r="AE58" s="38">
        <f t="shared" si="11"/>
        <v>73.923000000000002</v>
      </c>
      <c r="AF58" s="37">
        <v>10.23</v>
      </c>
      <c r="AG58" s="67">
        <f t="shared" si="12"/>
        <v>823.38300000000004</v>
      </c>
      <c r="AH58" s="39"/>
      <c r="AI58" s="56"/>
      <c r="AJ58" s="39"/>
      <c r="AK58" s="39"/>
      <c r="AL58" s="56"/>
      <c r="AM58" s="39"/>
      <c r="AN58" s="39"/>
    </row>
    <row r="59" spans="1:54">
      <c r="A59" s="62" t="s">
        <v>94</v>
      </c>
      <c r="B59" s="27" t="s">
        <v>208</v>
      </c>
      <c r="C59" s="27"/>
      <c r="D59" s="27" t="s">
        <v>135</v>
      </c>
      <c r="E59" s="27" t="s">
        <v>179</v>
      </c>
      <c r="F59" s="27"/>
      <c r="G59" s="28"/>
      <c r="H59" s="28"/>
      <c r="I59" s="30">
        <v>608.16</v>
      </c>
      <c r="J59" s="28"/>
      <c r="K59" s="30">
        <f t="shared" si="9"/>
        <v>608.16</v>
      </c>
      <c r="L59" s="30"/>
      <c r="M59" s="30"/>
      <c r="N59" s="31"/>
      <c r="O59" s="31"/>
      <c r="P59" s="32"/>
      <c r="Q59" s="33">
        <f t="shared" si="10"/>
        <v>608.16</v>
      </c>
      <c r="R59" s="34"/>
      <c r="S59" s="45"/>
      <c r="T59" s="45"/>
      <c r="U59" s="75">
        <f>Q59*4.9%</f>
        <v>29.79984</v>
      </c>
      <c r="V59" s="75">
        <f>Q59*1%</f>
        <v>6.0815999999999999</v>
      </c>
      <c r="W59" s="45"/>
      <c r="X59" s="36"/>
      <c r="Y59" s="36"/>
      <c r="Z59" s="35"/>
      <c r="AA59" s="35">
        <v>0</v>
      </c>
      <c r="AB59" s="33">
        <f t="shared" si="15"/>
        <v>572.27855999999997</v>
      </c>
      <c r="AC59" s="37">
        <f t="shared" si="13"/>
        <v>0</v>
      </c>
      <c r="AD59" s="33">
        <f t="shared" si="14"/>
        <v>572.27855999999997</v>
      </c>
      <c r="AE59" s="38">
        <f t="shared" si="11"/>
        <v>60.816000000000003</v>
      </c>
      <c r="AF59" s="37">
        <v>10.23</v>
      </c>
      <c r="AG59" s="67">
        <f t="shared" si="12"/>
        <v>679.20600000000002</v>
      </c>
      <c r="AH59" s="39"/>
      <c r="AI59" s="56"/>
      <c r="AJ59" s="39"/>
      <c r="AK59" s="39"/>
      <c r="AL59" s="56"/>
      <c r="AM59" s="39"/>
      <c r="AN59" s="39"/>
    </row>
    <row r="60" spans="1:54">
      <c r="A60" s="62" t="s">
        <v>94</v>
      </c>
      <c r="B60" s="27" t="s">
        <v>199</v>
      </c>
      <c r="C60" s="27"/>
      <c r="D60" s="27" t="s">
        <v>136</v>
      </c>
      <c r="E60" s="27" t="s">
        <v>180</v>
      </c>
      <c r="F60" s="27"/>
      <c r="G60" s="28"/>
      <c r="H60" s="28"/>
      <c r="I60" s="30">
        <v>511.28</v>
      </c>
      <c r="J60" s="28"/>
      <c r="K60" s="30">
        <f t="shared" si="9"/>
        <v>511.28</v>
      </c>
      <c r="L60" s="30">
        <v>1441.8</v>
      </c>
      <c r="M60" s="30"/>
      <c r="N60" s="31"/>
      <c r="O60" s="31"/>
      <c r="P60" s="32"/>
      <c r="Q60" s="33">
        <f t="shared" si="10"/>
        <v>1953.08</v>
      </c>
      <c r="R60" s="34"/>
      <c r="S60" s="45"/>
      <c r="T60" s="75">
        <v>100</v>
      </c>
      <c r="U60" s="75">
        <f>Q60*4.9%</f>
        <v>95.700919999999996</v>
      </c>
      <c r="V60" s="75">
        <f>Q60*1%</f>
        <v>19.530799999999999</v>
      </c>
      <c r="W60" s="45"/>
      <c r="X60" s="36"/>
      <c r="Y60" s="36"/>
      <c r="Z60" s="35"/>
      <c r="AA60" s="35">
        <v>0</v>
      </c>
      <c r="AB60" s="33">
        <f t="shared" si="15"/>
        <v>1737.8482799999999</v>
      </c>
      <c r="AC60" s="37">
        <f t="shared" si="13"/>
        <v>0</v>
      </c>
      <c r="AD60" s="33">
        <f t="shared" si="14"/>
        <v>1737.8482799999999</v>
      </c>
      <c r="AE60" s="38">
        <f t="shared" si="11"/>
        <v>195.30799999999999</v>
      </c>
      <c r="AF60" s="37">
        <v>10.23</v>
      </c>
      <c r="AG60" s="67">
        <f t="shared" si="12"/>
        <v>2158.6179999999999</v>
      </c>
      <c r="AH60" s="39"/>
      <c r="AI60" s="56"/>
      <c r="AJ60" s="39"/>
      <c r="AK60" s="39"/>
      <c r="AL60" s="56"/>
      <c r="AM60" s="39"/>
      <c r="AN60" s="39"/>
    </row>
    <row r="61" spans="1:54">
      <c r="A61" s="27" t="s">
        <v>71</v>
      </c>
      <c r="B61" s="27" t="s">
        <v>287</v>
      </c>
      <c r="C61" s="27" t="s">
        <v>254</v>
      </c>
      <c r="D61" s="27" t="s">
        <v>157</v>
      </c>
      <c r="E61" s="27" t="s">
        <v>73</v>
      </c>
      <c r="F61" s="27"/>
      <c r="G61" s="28"/>
      <c r="H61" s="28"/>
      <c r="I61" s="30">
        <v>513.33000000000004</v>
      </c>
      <c r="J61" s="28"/>
      <c r="K61" s="30">
        <f t="shared" si="9"/>
        <v>513.33000000000004</v>
      </c>
      <c r="L61" s="30"/>
      <c r="M61" s="30">
        <v>66.069999999999993</v>
      </c>
      <c r="N61" s="31"/>
      <c r="O61" s="31"/>
      <c r="P61" s="32"/>
      <c r="Q61" s="33">
        <f t="shared" si="10"/>
        <v>579.40000000000009</v>
      </c>
      <c r="R61" s="34"/>
      <c r="S61" s="45"/>
      <c r="T61" s="45">
        <v>0</v>
      </c>
      <c r="U61" s="45"/>
      <c r="V61" s="45"/>
      <c r="W61" s="45"/>
      <c r="X61" s="36"/>
      <c r="Y61" s="36"/>
      <c r="Z61" s="35"/>
      <c r="AA61" s="35">
        <v>0</v>
      </c>
      <c r="AB61" s="33">
        <f t="shared" si="15"/>
        <v>579.40000000000009</v>
      </c>
      <c r="AC61" s="37">
        <f t="shared" si="13"/>
        <v>0</v>
      </c>
      <c r="AD61" s="33">
        <f t="shared" si="14"/>
        <v>579.40000000000009</v>
      </c>
      <c r="AE61" s="38">
        <f t="shared" si="11"/>
        <v>57.940000000000012</v>
      </c>
      <c r="AF61" s="37">
        <v>10.23</v>
      </c>
      <c r="AG61" s="67">
        <f t="shared" si="12"/>
        <v>647.57000000000016</v>
      </c>
      <c r="AH61" s="39"/>
      <c r="AI61" s="56"/>
      <c r="AJ61" s="39"/>
      <c r="AK61" s="39"/>
      <c r="AL61" s="56"/>
      <c r="AM61" s="39"/>
      <c r="AN61" s="39"/>
    </row>
    <row r="62" spans="1:54">
      <c r="A62" s="62" t="s">
        <v>92</v>
      </c>
      <c r="B62" s="27" t="s">
        <v>78</v>
      </c>
      <c r="C62" s="27"/>
      <c r="D62" s="27" t="s">
        <v>104</v>
      </c>
      <c r="E62" s="27" t="s">
        <v>164</v>
      </c>
      <c r="F62" s="27"/>
      <c r="G62" s="27"/>
      <c r="H62" s="28"/>
      <c r="I62" s="30">
        <v>739.23</v>
      </c>
      <c r="J62" s="28"/>
      <c r="K62" s="30">
        <f t="shared" si="9"/>
        <v>739.23</v>
      </c>
      <c r="L62" s="30">
        <v>4006.07</v>
      </c>
      <c r="M62" s="30"/>
      <c r="N62" s="42"/>
      <c r="O62" s="31"/>
      <c r="P62" s="32"/>
      <c r="Q62" s="33">
        <f t="shared" si="10"/>
        <v>4745.3</v>
      </c>
      <c r="R62" s="34"/>
      <c r="S62" s="45"/>
      <c r="T62" s="45">
        <v>0</v>
      </c>
      <c r="U62" s="45"/>
      <c r="V62" s="45"/>
      <c r="W62" s="45"/>
      <c r="X62" s="36"/>
      <c r="Y62" s="36"/>
      <c r="Z62" s="35"/>
      <c r="AA62" s="35">
        <v>0</v>
      </c>
      <c r="AB62" s="33">
        <f t="shared" si="15"/>
        <v>4745.3</v>
      </c>
      <c r="AC62" s="37">
        <f t="shared" si="13"/>
        <v>474.53000000000003</v>
      </c>
      <c r="AD62" s="33">
        <f t="shared" si="14"/>
        <v>4270.7700000000004</v>
      </c>
      <c r="AE62" s="38">
        <f t="shared" si="11"/>
        <v>0</v>
      </c>
      <c r="AF62" s="37">
        <v>10.23</v>
      </c>
      <c r="AG62" s="67">
        <f t="shared" si="12"/>
        <v>4755.53</v>
      </c>
      <c r="AH62" s="39"/>
      <c r="AI62" s="56"/>
      <c r="AJ62" s="39"/>
      <c r="AK62" s="39"/>
      <c r="AL62" s="56"/>
      <c r="AM62" s="39"/>
      <c r="AN62" s="39"/>
    </row>
    <row r="63" spans="1:54">
      <c r="A63" s="62" t="s">
        <v>92</v>
      </c>
      <c r="B63" s="27" t="s">
        <v>232</v>
      </c>
      <c r="C63" s="27"/>
      <c r="D63" s="27" t="s">
        <v>105</v>
      </c>
      <c r="E63" s="27" t="s">
        <v>163</v>
      </c>
      <c r="F63" s="27"/>
      <c r="G63" s="27"/>
      <c r="H63" s="28"/>
      <c r="I63" s="30">
        <v>739.23</v>
      </c>
      <c r="J63" s="28"/>
      <c r="K63" s="30">
        <f t="shared" si="9"/>
        <v>739.23</v>
      </c>
      <c r="L63" s="30">
        <v>3036.32</v>
      </c>
      <c r="M63" s="30"/>
      <c r="N63" s="31"/>
      <c r="O63" s="31"/>
      <c r="P63" s="32"/>
      <c r="Q63" s="33">
        <f t="shared" si="10"/>
        <v>3775.55</v>
      </c>
      <c r="R63" s="34"/>
      <c r="S63" s="45"/>
      <c r="T63" s="45">
        <v>0</v>
      </c>
      <c r="U63" s="45"/>
      <c r="V63" s="45"/>
      <c r="W63" s="45"/>
      <c r="X63" s="36"/>
      <c r="Y63" s="36"/>
      <c r="Z63" s="35"/>
      <c r="AA63" s="35">
        <v>0</v>
      </c>
      <c r="AB63" s="33">
        <f t="shared" si="15"/>
        <v>3775.55</v>
      </c>
      <c r="AC63" s="37">
        <f t="shared" si="13"/>
        <v>0</v>
      </c>
      <c r="AD63" s="33">
        <f t="shared" si="14"/>
        <v>3775.55</v>
      </c>
      <c r="AE63" s="38">
        <f t="shared" si="11"/>
        <v>377.55500000000006</v>
      </c>
      <c r="AF63" s="37">
        <v>10.23</v>
      </c>
      <c r="AG63" s="67">
        <f t="shared" si="12"/>
        <v>4163.335</v>
      </c>
      <c r="AH63" s="39"/>
      <c r="AI63" s="56"/>
      <c r="AJ63" s="39"/>
      <c r="AK63" s="39"/>
      <c r="AL63" s="56"/>
      <c r="AM63" s="39"/>
      <c r="AN63" s="39"/>
    </row>
    <row r="64" spans="1:54" s="84" customFormat="1">
      <c r="A64" s="79" t="s">
        <v>92</v>
      </c>
      <c r="B64" s="79" t="s">
        <v>272</v>
      </c>
      <c r="C64" s="79"/>
      <c r="D64" s="79"/>
      <c r="E64" s="79" t="s">
        <v>163</v>
      </c>
      <c r="F64" s="87">
        <v>42422</v>
      </c>
      <c r="G64" s="79"/>
      <c r="H64" s="79"/>
      <c r="I64" s="80">
        <v>0</v>
      </c>
      <c r="J64" s="79">
        <v>1136.73</v>
      </c>
      <c r="K64" s="80">
        <f t="shared" si="9"/>
        <v>1136.73</v>
      </c>
      <c r="L64" s="80">
        <v>0</v>
      </c>
      <c r="M64" s="80"/>
      <c r="N64" s="80"/>
      <c r="O64" s="80"/>
      <c r="P64" s="80"/>
      <c r="Q64" s="82">
        <f t="shared" si="10"/>
        <v>1136.73</v>
      </c>
      <c r="R64" s="80"/>
      <c r="S64" s="45"/>
      <c r="T64" s="80"/>
      <c r="U64" s="80"/>
      <c r="V64" s="80"/>
      <c r="W64" s="80"/>
      <c r="X64" s="83"/>
      <c r="Y64" s="83"/>
      <c r="Z64" s="79"/>
      <c r="AA64" s="79"/>
      <c r="AB64" s="82">
        <f t="shared" si="15"/>
        <v>1136.73</v>
      </c>
      <c r="AC64" s="83">
        <f t="shared" si="13"/>
        <v>0</v>
      </c>
      <c r="AD64" s="82">
        <f t="shared" si="14"/>
        <v>1136.73</v>
      </c>
      <c r="AE64" s="83">
        <f t="shared" si="11"/>
        <v>113.673</v>
      </c>
      <c r="AF64" s="83">
        <v>10.23</v>
      </c>
      <c r="AG64" s="82">
        <f t="shared" si="12"/>
        <v>1260.633</v>
      </c>
      <c r="AI64" s="85"/>
      <c r="AL64" s="85"/>
      <c r="AM64" s="84">
        <v>2857006349</v>
      </c>
      <c r="AN64" s="78" t="s">
        <v>282</v>
      </c>
    </row>
    <row r="65" spans="1:54">
      <c r="A65" s="62" t="s">
        <v>94</v>
      </c>
      <c r="B65" s="27" t="s">
        <v>85</v>
      </c>
      <c r="C65" s="27"/>
      <c r="D65" s="27" t="s">
        <v>137</v>
      </c>
      <c r="E65" s="27" t="s">
        <v>181</v>
      </c>
      <c r="F65" s="27"/>
      <c r="G65" s="28"/>
      <c r="H65" s="28"/>
      <c r="I65" s="30">
        <v>608.16</v>
      </c>
      <c r="J65" s="28"/>
      <c r="K65" s="30">
        <f t="shared" si="9"/>
        <v>608.16</v>
      </c>
      <c r="L65" s="30">
        <v>1276.27</v>
      </c>
      <c r="M65" s="30"/>
      <c r="N65" s="31"/>
      <c r="O65" s="31"/>
      <c r="P65" s="32"/>
      <c r="Q65" s="33">
        <f t="shared" si="10"/>
        <v>1884.4299999999998</v>
      </c>
      <c r="R65" s="34"/>
      <c r="S65" s="45"/>
      <c r="T65" s="45"/>
      <c r="U65" s="75">
        <f>Q65*4.9%</f>
        <v>92.337069999999997</v>
      </c>
      <c r="V65" s="75">
        <f>Q65*1%</f>
        <v>18.8443</v>
      </c>
      <c r="W65" s="45"/>
      <c r="X65" s="36"/>
      <c r="Y65" s="36"/>
      <c r="Z65" s="35"/>
      <c r="AA65" s="35">
        <v>0</v>
      </c>
      <c r="AB65" s="33">
        <f t="shared" si="15"/>
        <v>1773.2486299999998</v>
      </c>
      <c r="AC65" s="37">
        <f t="shared" si="13"/>
        <v>0</v>
      </c>
      <c r="AD65" s="33">
        <f t="shared" si="14"/>
        <v>1773.2486299999998</v>
      </c>
      <c r="AE65" s="38">
        <f t="shared" si="11"/>
        <v>188.44299999999998</v>
      </c>
      <c r="AF65" s="37">
        <v>10.23</v>
      </c>
      <c r="AG65" s="67">
        <f t="shared" si="12"/>
        <v>2083.1029999999996</v>
      </c>
      <c r="AH65" s="39"/>
      <c r="AI65" s="56"/>
      <c r="AJ65" s="39"/>
      <c r="AK65" s="39"/>
      <c r="AL65" s="56"/>
      <c r="AM65" s="39"/>
      <c r="AN65" s="39"/>
    </row>
    <row r="66" spans="1:54">
      <c r="A66" s="62" t="s">
        <v>94</v>
      </c>
      <c r="B66" s="27" t="s">
        <v>215</v>
      </c>
      <c r="C66" s="27"/>
      <c r="D66" s="27" t="s">
        <v>138</v>
      </c>
      <c r="E66" s="27" t="s">
        <v>174</v>
      </c>
      <c r="F66" s="27"/>
      <c r="G66" s="28"/>
      <c r="H66" s="28"/>
      <c r="I66" s="30">
        <v>608.16</v>
      </c>
      <c r="J66" s="28"/>
      <c r="K66" s="30">
        <f t="shared" si="9"/>
        <v>608.16</v>
      </c>
      <c r="L66" s="30">
        <v>3235.87</v>
      </c>
      <c r="M66" s="30"/>
      <c r="N66" s="31"/>
      <c r="O66" s="31"/>
      <c r="P66" s="32"/>
      <c r="Q66" s="33">
        <f t="shared" si="10"/>
        <v>3844.0299999999997</v>
      </c>
      <c r="R66" s="34"/>
      <c r="S66" s="45"/>
      <c r="T66" s="75">
        <v>200</v>
      </c>
      <c r="U66" s="75">
        <f>Q66*4.9%</f>
        <v>188.35747000000001</v>
      </c>
      <c r="V66" s="75">
        <f>Q66*1%</f>
        <v>38.440300000000001</v>
      </c>
      <c r="W66" s="75">
        <v>321.74</v>
      </c>
      <c r="X66" s="36"/>
      <c r="Y66" s="36"/>
      <c r="Z66" s="35"/>
      <c r="AA66" s="35">
        <v>0</v>
      </c>
      <c r="AB66" s="33">
        <f t="shared" si="15"/>
        <v>3095.4922299999998</v>
      </c>
      <c r="AC66" s="37">
        <f t="shared" si="13"/>
        <v>0</v>
      </c>
      <c r="AD66" s="33">
        <f t="shared" si="14"/>
        <v>3095.4922299999998</v>
      </c>
      <c r="AE66" s="38">
        <f t="shared" si="11"/>
        <v>384.40300000000002</v>
      </c>
      <c r="AF66" s="37">
        <v>10.23</v>
      </c>
      <c r="AG66" s="67">
        <f t="shared" si="12"/>
        <v>4238.6629999999996</v>
      </c>
      <c r="AH66" s="39"/>
      <c r="AI66" s="56"/>
      <c r="AJ66" s="39"/>
      <c r="AK66" s="39"/>
      <c r="AL66" s="56"/>
      <c r="AM66" s="39"/>
      <c r="AN66" s="39"/>
    </row>
    <row r="67" spans="1:54">
      <c r="A67" s="27" t="s">
        <v>93</v>
      </c>
      <c r="B67" s="27" t="s">
        <v>82</v>
      </c>
      <c r="C67" s="27"/>
      <c r="D67" s="27" t="s">
        <v>118</v>
      </c>
      <c r="E67" s="27" t="s">
        <v>171</v>
      </c>
      <c r="F67" s="27"/>
      <c r="G67" s="28"/>
      <c r="H67" s="28"/>
      <c r="I67" s="30">
        <v>1400</v>
      </c>
      <c r="J67" s="28"/>
      <c r="K67" s="30">
        <f t="shared" si="9"/>
        <v>1400</v>
      </c>
      <c r="L67" s="30">
        <f>355.65+140</f>
        <v>495.65</v>
      </c>
      <c r="M67" s="30"/>
      <c r="N67" s="31"/>
      <c r="O67" s="31"/>
      <c r="P67" s="32"/>
      <c r="Q67" s="33">
        <f t="shared" si="10"/>
        <v>1895.65</v>
      </c>
      <c r="R67" s="34"/>
      <c r="S67" s="45"/>
      <c r="T67" s="45">
        <v>0</v>
      </c>
      <c r="U67" s="45"/>
      <c r="V67" s="45"/>
      <c r="W67" s="45"/>
      <c r="X67" s="36"/>
      <c r="Y67" s="36"/>
      <c r="Z67" s="35"/>
      <c r="AA67" s="35">
        <v>0</v>
      </c>
      <c r="AB67" s="33">
        <f t="shared" si="15"/>
        <v>1895.65</v>
      </c>
      <c r="AC67" s="37">
        <f t="shared" si="13"/>
        <v>0</v>
      </c>
      <c r="AD67" s="33">
        <f t="shared" si="14"/>
        <v>1895.65</v>
      </c>
      <c r="AE67" s="38">
        <f t="shared" si="11"/>
        <v>189.56500000000003</v>
      </c>
      <c r="AF67" s="37">
        <v>10.23</v>
      </c>
      <c r="AG67" s="67">
        <f t="shared" si="12"/>
        <v>2095.4450000000002</v>
      </c>
      <c r="AH67" s="39"/>
      <c r="AI67" s="56"/>
      <c r="AJ67" s="39"/>
      <c r="AK67" s="39"/>
      <c r="AL67" s="56"/>
      <c r="AM67" s="39"/>
      <c r="AN67" s="39"/>
    </row>
    <row r="68" spans="1:54">
      <c r="A68" s="62" t="s">
        <v>94</v>
      </c>
      <c r="B68" s="27" t="s">
        <v>195</v>
      </c>
      <c r="C68" s="27"/>
      <c r="D68" s="27" t="s">
        <v>140</v>
      </c>
      <c r="E68" s="27" t="s">
        <v>174</v>
      </c>
      <c r="F68" s="27"/>
      <c r="G68" s="28"/>
      <c r="H68" s="28"/>
      <c r="I68" s="30">
        <v>608.16</v>
      </c>
      <c r="J68" s="28"/>
      <c r="K68" s="30">
        <f t="shared" si="9"/>
        <v>608.16</v>
      </c>
      <c r="L68" s="30">
        <v>527.79999999999995</v>
      </c>
      <c r="M68" s="30"/>
      <c r="N68" s="31"/>
      <c r="O68" s="31"/>
      <c r="P68" s="32"/>
      <c r="Q68" s="33">
        <f t="shared" si="10"/>
        <v>1135.96</v>
      </c>
      <c r="R68" s="34"/>
      <c r="S68" s="45"/>
      <c r="T68" s="45">
        <v>0</v>
      </c>
      <c r="U68" s="75">
        <f>Q68*4.9%</f>
        <v>55.662040000000005</v>
      </c>
      <c r="V68" s="75">
        <f>Q68*1%</f>
        <v>11.3596</v>
      </c>
      <c r="W68" s="45"/>
      <c r="X68" s="36"/>
      <c r="Y68" s="36"/>
      <c r="Z68" s="35"/>
      <c r="AA68" s="35">
        <v>0</v>
      </c>
      <c r="AB68" s="33">
        <f t="shared" si="15"/>
        <v>1068.9383600000001</v>
      </c>
      <c r="AC68" s="37">
        <f t="shared" si="13"/>
        <v>0</v>
      </c>
      <c r="AD68" s="33">
        <f t="shared" si="14"/>
        <v>1068.9383600000001</v>
      </c>
      <c r="AE68" s="38">
        <f t="shared" si="11"/>
        <v>113.596</v>
      </c>
      <c r="AF68" s="37">
        <v>10.23</v>
      </c>
      <c r="AG68" s="67">
        <f t="shared" si="12"/>
        <v>1259.7860000000001</v>
      </c>
      <c r="AH68" s="39"/>
      <c r="AI68" s="56"/>
      <c r="AJ68" s="39"/>
      <c r="AK68" s="39"/>
      <c r="AL68" s="56"/>
      <c r="AM68" s="39"/>
      <c r="AN68" s="39"/>
    </row>
    <row r="69" spans="1:54">
      <c r="A69" s="27" t="s">
        <v>91</v>
      </c>
      <c r="B69" s="27" t="s">
        <v>244</v>
      </c>
      <c r="C69" s="27"/>
      <c r="D69" s="27" t="s">
        <v>117</v>
      </c>
      <c r="E69" s="27" t="s">
        <v>171</v>
      </c>
      <c r="F69" s="27"/>
      <c r="G69" s="27"/>
      <c r="H69" s="27"/>
      <c r="I69" s="30">
        <v>1400</v>
      </c>
      <c r="J69" s="27"/>
      <c r="K69" s="30">
        <f t="shared" si="9"/>
        <v>1400</v>
      </c>
      <c r="L69" s="30"/>
      <c r="M69" s="30"/>
      <c r="N69" s="30"/>
      <c r="O69" s="30"/>
      <c r="P69" s="32"/>
      <c r="Q69" s="33">
        <f t="shared" si="10"/>
        <v>1400</v>
      </c>
      <c r="R69" s="34"/>
      <c r="S69" s="45"/>
      <c r="T69" s="45">
        <v>0</v>
      </c>
      <c r="U69" s="45"/>
      <c r="V69" s="45"/>
      <c r="W69" s="45"/>
      <c r="X69" s="36"/>
      <c r="Y69" s="36"/>
      <c r="Z69" s="35"/>
      <c r="AA69" s="35">
        <v>0</v>
      </c>
      <c r="AB69" s="33">
        <f t="shared" si="15"/>
        <v>1400</v>
      </c>
      <c r="AC69" s="37">
        <f t="shared" si="13"/>
        <v>0</v>
      </c>
      <c r="AD69" s="33">
        <f t="shared" si="14"/>
        <v>1400</v>
      </c>
      <c r="AE69" s="38">
        <f t="shared" si="11"/>
        <v>140</v>
      </c>
      <c r="AF69" s="37">
        <v>10.23</v>
      </c>
      <c r="AG69" s="67">
        <f t="shared" si="12"/>
        <v>1550.23</v>
      </c>
      <c r="AH69" s="39"/>
      <c r="AI69" s="56"/>
      <c r="AJ69" s="39"/>
      <c r="AK69" s="39"/>
      <c r="AL69" s="56"/>
      <c r="AM69" s="39"/>
      <c r="AN69" s="39" t="s">
        <v>290</v>
      </c>
    </row>
    <row r="70" spans="1:54" s="61" customFormat="1">
      <c r="A70" s="62" t="s">
        <v>92</v>
      </c>
      <c r="B70" s="63" t="s">
        <v>201</v>
      </c>
      <c r="C70" s="63"/>
      <c r="D70" s="63"/>
      <c r="E70" s="63" t="s">
        <v>163</v>
      </c>
      <c r="F70" s="72">
        <v>42416</v>
      </c>
      <c r="G70" s="63"/>
      <c r="H70" s="63"/>
      <c r="I70" s="53">
        <v>739.23</v>
      </c>
      <c r="J70" s="63"/>
      <c r="K70" s="53">
        <f t="shared" si="9"/>
        <v>739.23</v>
      </c>
      <c r="L70" s="53">
        <v>1692.78</v>
      </c>
      <c r="M70" s="53"/>
      <c r="N70" s="53"/>
      <c r="O70" s="53"/>
      <c r="P70" s="73"/>
      <c r="Q70" s="59">
        <f t="shared" si="10"/>
        <v>2432.0100000000002</v>
      </c>
      <c r="R70" s="58"/>
      <c r="S70" s="45"/>
      <c r="T70" s="58"/>
      <c r="U70" s="58"/>
      <c r="V70" s="58"/>
      <c r="W70" s="58"/>
      <c r="X70" s="60"/>
      <c r="Y70" s="60"/>
      <c r="Z70" s="57"/>
      <c r="AA70" s="57"/>
      <c r="AB70" s="59">
        <f t="shared" si="15"/>
        <v>2432.0100000000002</v>
      </c>
      <c r="AC70" s="60">
        <f t="shared" si="13"/>
        <v>0</v>
      </c>
      <c r="AD70" s="59">
        <f t="shared" si="14"/>
        <v>2432.0100000000002</v>
      </c>
      <c r="AE70" s="60">
        <f t="shared" si="11"/>
        <v>243.20100000000002</v>
      </c>
      <c r="AF70" s="37">
        <v>10.23</v>
      </c>
      <c r="AG70" s="67">
        <f t="shared" si="12"/>
        <v>2685.4410000000003</v>
      </c>
      <c r="AH70" s="39"/>
      <c r="AI70" s="56"/>
      <c r="AJ70" s="39"/>
      <c r="AK70" s="39"/>
      <c r="AL70" s="56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62" t="s">
        <v>94</v>
      </c>
      <c r="B71" s="27" t="s">
        <v>214</v>
      </c>
      <c r="C71" s="27"/>
      <c r="D71" s="27" t="s">
        <v>139</v>
      </c>
      <c r="E71" s="27" t="s">
        <v>182</v>
      </c>
      <c r="F71" s="27"/>
      <c r="G71" s="28"/>
      <c r="H71" s="28"/>
      <c r="I71" s="30">
        <v>511.28</v>
      </c>
      <c r="J71" s="28"/>
      <c r="K71" s="30">
        <f t="shared" si="9"/>
        <v>511.28</v>
      </c>
      <c r="L71" s="30">
        <f>1826.28+250+200</f>
        <v>2276.2799999999997</v>
      </c>
      <c r="M71" s="30"/>
      <c r="N71" s="31"/>
      <c r="O71" s="31"/>
      <c r="P71" s="32"/>
      <c r="Q71" s="33">
        <f t="shared" si="10"/>
        <v>2787.5599999999995</v>
      </c>
      <c r="R71" s="34"/>
      <c r="S71" s="45"/>
      <c r="T71" s="75">
        <v>300</v>
      </c>
      <c r="U71" s="45"/>
      <c r="V71" s="45"/>
      <c r="W71" s="45"/>
      <c r="X71" s="36"/>
      <c r="Y71" s="36"/>
      <c r="Z71" s="35"/>
      <c r="AA71" s="35">
        <f>831.77+139.91</f>
        <v>971.68</v>
      </c>
      <c r="AB71" s="33">
        <f t="shared" si="15"/>
        <v>1515.8799999999997</v>
      </c>
      <c r="AC71" s="37">
        <f t="shared" si="13"/>
        <v>0</v>
      </c>
      <c r="AD71" s="33">
        <f t="shared" si="14"/>
        <v>1515.8799999999997</v>
      </c>
      <c r="AE71" s="38">
        <f t="shared" si="11"/>
        <v>278.75599999999997</v>
      </c>
      <c r="AF71" s="37">
        <v>10.23</v>
      </c>
      <c r="AG71" s="67">
        <f t="shared" si="12"/>
        <v>3076.5459999999994</v>
      </c>
      <c r="AH71" s="39"/>
      <c r="AI71" s="56"/>
      <c r="AJ71" s="39"/>
      <c r="AK71" s="39"/>
      <c r="AL71" s="56"/>
      <c r="AM71" s="39"/>
      <c r="AN71" s="39"/>
    </row>
    <row r="72" spans="1:54">
      <c r="A72" s="27" t="s">
        <v>91</v>
      </c>
      <c r="B72" s="27" t="s">
        <v>239</v>
      </c>
      <c r="C72" s="27"/>
      <c r="D72" s="27" t="s">
        <v>99</v>
      </c>
      <c r="E72" s="27" t="s">
        <v>72</v>
      </c>
      <c r="F72" s="27"/>
      <c r="G72" s="27"/>
      <c r="H72" s="27"/>
      <c r="I72" s="30">
        <v>1166.26</v>
      </c>
      <c r="J72" s="29"/>
      <c r="K72" s="30">
        <f t="shared" ref="K72:K90" si="16">+I72+J72</f>
        <v>1166.26</v>
      </c>
      <c r="L72" s="30">
        <v>784.32</v>
      </c>
      <c r="M72" s="30"/>
      <c r="N72" s="30"/>
      <c r="O72" s="30"/>
      <c r="P72" s="32"/>
      <c r="Q72" s="33">
        <f t="shared" ref="Q72:Q87" si="17">SUM(K72:O72)-P72</f>
        <v>1950.58</v>
      </c>
      <c r="R72" s="34"/>
      <c r="S72" s="45"/>
      <c r="T72" s="45">
        <v>0</v>
      </c>
      <c r="U72" s="45"/>
      <c r="V72" s="45"/>
      <c r="W72" s="45"/>
      <c r="X72" s="36"/>
      <c r="Y72" s="36"/>
      <c r="Z72" s="35"/>
      <c r="AA72" s="35">
        <v>0</v>
      </c>
      <c r="AB72" s="33">
        <f t="shared" si="15"/>
        <v>1950.58</v>
      </c>
      <c r="AC72" s="37">
        <f t="shared" si="13"/>
        <v>0</v>
      </c>
      <c r="AD72" s="33">
        <f t="shared" si="14"/>
        <v>1950.58</v>
      </c>
      <c r="AE72" s="38">
        <f t="shared" si="11"/>
        <v>195.05799999999999</v>
      </c>
      <c r="AF72" s="37">
        <v>10.23</v>
      </c>
      <c r="AG72" s="67">
        <f t="shared" si="12"/>
        <v>2155.8679999999999</v>
      </c>
      <c r="AH72" s="39"/>
      <c r="AI72" s="56"/>
      <c r="AJ72" s="39"/>
      <c r="AK72" s="39"/>
      <c r="AL72" s="56"/>
      <c r="AM72" s="39"/>
      <c r="AN72" s="39"/>
    </row>
    <row r="73" spans="1:54">
      <c r="A73" s="27" t="s">
        <v>93</v>
      </c>
      <c r="B73" s="27" t="s">
        <v>273</v>
      </c>
      <c r="C73" s="27"/>
      <c r="D73" s="27" t="s">
        <v>119</v>
      </c>
      <c r="E73" s="27" t="s">
        <v>168</v>
      </c>
      <c r="F73" s="27"/>
      <c r="G73" s="27"/>
      <c r="H73" s="27"/>
      <c r="I73" s="30">
        <v>1100</v>
      </c>
      <c r="J73" s="27"/>
      <c r="K73" s="30">
        <f t="shared" si="16"/>
        <v>1100</v>
      </c>
      <c r="L73" s="30"/>
      <c r="M73" s="30"/>
      <c r="N73" s="30"/>
      <c r="O73" s="30"/>
      <c r="P73" s="32"/>
      <c r="Q73" s="33">
        <f t="shared" si="17"/>
        <v>1100</v>
      </c>
      <c r="R73" s="34"/>
      <c r="S73" s="45"/>
      <c r="T73" s="45">
        <v>0</v>
      </c>
      <c r="U73" s="45"/>
      <c r="V73" s="45"/>
      <c r="W73" s="45"/>
      <c r="X73" s="36"/>
      <c r="Y73" s="36"/>
      <c r="Z73" s="35"/>
      <c r="AA73" s="35">
        <v>0</v>
      </c>
      <c r="AB73" s="33">
        <f t="shared" si="15"/>
        <v>1100</v>
      </c>
      <c r="AC73" s="37">
        <f t="shared" si="13"/>
        <v>0</v>
      </c>
      <c r="AD73" s="33">
        <f t="shared" si="14"/>
        <v>1100</v>
      </c>
      <c r="AE73" s="38">
        <f t="shared" ref="AE73:AE87" si="18">IF(Q73&lt;4500,Q73*0.1,0)</f>
        <v>110</v>
      </c>
      <c r="AF73" s="37">
        <v>10.23</v>
      </c>
      <c r="AG73" s="67">
        <f t="shared" ref="AG73:AG87" si="19">+Q73+AE73+AF73</f>
        <v>1220.23</v>
      </c>
      <c r="AH73" s="39"/>
      <c r="AI73" s="56"/>
      <c r="AJ73" s="39"/>
      <c r="AK73" s="39"/>
      <c r="AL73" s="56"/>
      <c r="AM73" s="39"/>
      <c r="AN73" s="39"/>
    </row>
    <row r="74" spans="1:54">
      <c r="A74" s="27" t="s">
        <v>71</v>
      </c>
      <c r="B74" s="27" t="s">
        <v>89</v>
      </c>
      <c r="C74" s="27" t="s">
        <v>249</v>
      </c>
      <c r="D74" s="27" t="s">
        <v>158</v>
      </c>
      <c r="E74" s="27" t="s">
        <v>73</v>
      </c>
      <c r="F74" s="27"/>
      <c r="G74" s="28"/>
      <c r="H74" s="28"/>
      <c r="I74" s="30">
        <v>513.33000000000004</v>
      </c>
      <c r="J74" s="28"/>
      <c r="K74" s="30">
        <f t="shared" si="16"/>
        <v>513.33000000000004</v>
      </c>
      <c r="L74" s="30">
        <f>513.33+4055.1</f>
        <v>4568.43</v>
      </c>
      <c r="M74" s="30"/>
      <c r="N74" s="31"/>
      <c r="O74" s="31"/>
      <c r="P74" s="32"/>
      <c r="Q74" s="33">
        <f t="shared" si="17"/>
        <v>5081.76</v>
      </c>
      <c r="R74" s="34"/>
      <c r="S74" s="45">
        <v>58.91</v>
      </c>
      <c r="T74" s="45">
        <v>0</v>
      </c>
      <c r="U74" s="45"/>
      <c r="V74" s="45"/>
      <c r="W74" s="45"/>
      <c r="X74" s="36"/>
      <c r="Y74" s="36"/>
      <c r="Z74" s="35"/>
      <c r="AA74" s="35">
        <v>0</v>
      </c>
      <c r="AB74" s="33">
        <f t="shared" si="15"/>
        <v>5022.8500000000004</v>
      </c>
      <c r="AC74" s="37">
        <f t="shared" si="13"/>
        <v>508.17600000000004</v>
      </c>
      <c r="AD74" s="33">
        <f t="shared" si="14"/>
        <v>4514.674</v>
      </c>
      <c r="AE74" s="38">
        <f t="shared" si="18"/>
        <v>0</v>
      </c>
      <c r="AF74" s="37">
        <v>10.23</v>
      </c>
      <c r="AG74" s="67">
        <f t="shared" si="19"/>
        <v>5091.99</v>
      </c>
      <c r="AH74" s="39"/>
      <c r="AI74" s="56"/>
      <c r="AJ74" s="39"/>
      <c r="AK74" s="39"/>
      <c r="AL74" s="56"/>
      <c r="AM74" s="39"/>
      <c r="AN74" s="39"/>
    </row>
    <row r="75" spans="1:54">
      <c r="A75" s="62" t="s">
        <v>94</v>
      </c>
      <c r="B75" s="27" t="s">
        <v>86</v>
      </c>
      <c r="C75" s="27"/>
      <c r="D75" s="27" t="s">
        <v>141</v>
      </c>
      <c r="E75" s="27" t="s">
        <v>183</v>
      </c>
      <c r="F75" s="27"/>
      <c r="G75" s="28"/>
      <c r="H75" s="28"/>
      <c r="I75" s="30">
        <v>543.20000000000005</v>
      </c>
      <c r="J75" s="28"/>
      <c r="K75" s="30">
        <f t="shared" si="16"/>
        <v>543.20000000000005</v>
      </c>
      <c r="L75" s="30">
        <v>1059.4000000000001</v>
      </c>
      <c r="M75" s="30"/>
      <c r="N75" s="31"/>
      <c r="O75" s="31"/>
      <c r="P75" s="32"/>
      <c r="Q75" s="33">
        <f t="shared" si="17"/>
        <v>1602.6000000000001</v>
      </c>
      <c r="R75" s="34"/>
      <c r="S75" s="45"/>
      <c r="T75" s="45">
        <v>0</v>
      </c>
      <c r="U75" s="75">
        <f>Q75*4.9%</f>
        <v>78.527400000000014</v>
      </c>
      <c r="V75" s="75">
        <f>Q75*1%</f>
        <v>16.026000000000003</v>
      </c>
      <c r="W75" s="45"/>
      <c r="X75" s="36"/>
      <c r="Y75" s="36"/>
      <c r="Z75" s="35"/>
      <c r="AA75" s="35">
        <v>0</v>
      </c>
      <c r="AB75" s="33">
        <f t="shared" si="15"/>
        <v>1508.0466000000001</v>
      </c>
      <c r="AC75" s="37">
        <f t="shared" si="13"/>
        <v>0</v>
      </c>
      <c r="AD75" s="33">
        <f t="shared" si="14"/>
        <v>1508.0466000000001</v>
      </c>
      <c r="AE75" s="38">
        <f t="shared" si="18"/>
        <v>160.26000000000002</v>
      </c>
      <c r="AF75" s="37">
        <v>10.23</v>
      </c>
      <c r="AG75" s="67">
        <f t="shared" si="19"/>
        <v>1773.0900000000001</v>
      </c>
      <c r="AH75" s="39"/>
      <c r="AI75" s="56"/>
      <c r="AJ75" s="39"/>
      <c r="AK75" s="39"/>
      <c r="AL75" s="56"/>
      <c r="AM75" s="39"/>
      <c r="AN75" s="39"/>
    </row>
    <row r="76" spans="1:54">
      <c r="A76" s="62" t="s">
        <v>94</v>
      </c>
      <c r="B76" s="27" t="s">
        <v>193</v>
      </c>
      <c r="C76" s="27"/>
      <c r="D76" s="27" t="s">
        <v>142</v>
      </c>
      <c r="E76" s="27" t="s">
        <v>174</v>
      </c>
      <c r="F76" s="27"/>
      <c r="G76" s="28"/>
      <c r="H76" s="28"/>
      <c r="I76" s="30">
        <v>608.16</v>
      </c>
      <c r="J76" s="28"/>
      <c r="K76" s="30">
        <f t="shared" si="16"/>
        <v>608.16</v>
      </c>
      <c r="L76" s="30">
        <v>1325.5</v>
      </c>
      <c r="M76" s="30"/>
      <c r="N76" s="31"/>
      <c r="O76" s="31"/>
      <c r="P76" s="32"/>
      <c r="Q76" s="33">
        <f t="shared" si="17"/>
        <v>1933.6599999999999</v>
      </c>
      <c r="R76" s="34"/>
      <c r="S76" s="45"/>
      <c r="T76" s="75">
        <v>200</v>
      </c>
      <c r="U76" s="75">
        <f>Q76*4.9%</f>
        <v>94.749339999999989</v>
      </c>
      <c r="V76" s="75">
        <f>Q76*1%</f>
        <v>19.336600000000001</v>
      </c>
      <c r="W76" s="75">
        <v>257.64</v>
      </c>
      <c r="X76" s="36"/>
      <c r="Y76" s="36"/>
      <c r="Z76" s="35">
        <v>201.24</v>
      </c>
      <c r="AA76" s="35">
        <v>0</v>
      </c>
      <c r="AB76" s="33">
        <f t="shared" si="15"/>
        <v>1160.6940599999998</v>
      </c>
      <c r="AC76" s="37">
        <f t="shared" ref="AC76:AC87" si="20">IF(Q76&gt;4500,Q76*0.1,0)</f>
        <v>0</v>
      </c>
      <c r="AD76" s="33">
        <f t="shared" si="14"/>
        <v>1160.6940599999998</v>
      </c>
      <c r="AE76" s="38">
        <f t="shared" si="18"/>
        <v>193.36599999999999</v>
      </c>
      <c r="AF76" s="37">
        <v>10.23</v>
      </c>
      <c r="AG76" s="67">
        <f t="shared" si="19"/>
        <v>2137.2559999999999</v>
      </c>
      <c r="AH76" s="39"/>
      <c r="AI76" s="56"/>
      <c r="AJ76" s="39"/>
      <c r="AK76" s="39"/>
      <c r="AL76" s="56"/>
      <c r="AM76" s="39"/>
      <c r="AN76" s="39"/>
    </row>
    <row r="77" spans="1:54">
      <c r="A77" s="62" t="s">
        <v>92</v>
      </c>
      <c r="B77" s="27" t="s">
        <v>211</v>
      </c>
      <c r="C77" s="27"/>
      <c r="D77" s="27" t="s">
        <v>107</v>
      </c>
      <c r="E77" s="27" t="s">
        <v>165</v>
      </c>
      <c r="F77" s="27"/>
      <c r="G77" s="27"/>
      <c r="H77" s="27"/>
      <c r="I77" s="30">
        <v>739.23</v>
      </c>
      <c r="J77" s="27"/>
      <c r="K77" s="30">
        <f t="shared" si="16"/>
        <v>739.23</v>
      </c>
      <c r="L77" s="30">
        <v>1998.23</v>
      </c>
      <c r="M77" s="30"/>
      <c r="N77" s="31"/>
      <c r="O77" s="31"/>
      <c r="P77" s="32"/>
      <c r="Q77" s="33">
        <f t="shared" si="17"/>
        <v>2737.46</v>
      </c>
      <c r="R77" s="34"/>
      <c r="S77" s="45"/>
      <c r="T77" s="75">
        <v>150</v>
      </c>
      <c r="U77" s="45"/>
      <c r="V77" s="45"/>
      <c r="W77" s="45"/>
      <c r="X77" s="36"/>
      <c r="Y77" s="36"/>
      <c r="Z77" s="35"/>
      <c r="AA77" s="35">
        <v>0</v>
      </c>
      <c r="AB77" s="33">
        <f t="shared" si="15"/>
        <v>2587.46</v>
      </c>
      <c r="AC77" s="37">
        <f t="shared" si="20"/>
        <v>0</v>
      </c>
      <c r="AD77" s="33">
        <f t="shared" ref="AD77:AD87" si="21">+AB77-AC77</f>
        <v>2587.46</v>
      </c>
      <c r="AE77" s="38">
        <f t="shared" si="18"/>
        <v>273.74600000000004</v>
      </c>
      <c r="AF77" s="37">
        <v>10.23</v>
      </c>
      <c r="AG77" s="67">
        <f t="shared" si="19"/>
        <v>3021.4360000000001</v>
      </c>
      <c r="AH77" s="39"/>
      <c r="AI77" s="56"/>
      <c r="AJ77" s="39"/>
      <c r="AK77" s="39"/>
      <c r="AL77" s="56"/>
      <c r="AM77" s="39"/>
      <c r="AN77" s="39"/>
    </row>
    <row r="78" spans="1:54">
      <c r="A78" s="27" t="s">
        <v>93</v>
      </c>
      <c r="B78" s="27" t="s">
        <v>83</v>
      </c>
      <c r="C78" s="27"/>
      <c r="D78" s="27" t="s">
        <v>120</v>
      </c>
      <c r="E78" s="27" t="s">
        <v>171</v>
      </c>
      <c r="F78" s="27"/>
      <c r="G78" s="28"/>
      <c r="H78" s="28"/>
      <c r="I78" s="30">
        <v>1400</v>
      </c>
      <c r="J78" s="28"/>
      <c r="K78" s="30">
        <f t="shared" si="16"/>
        <v>1400</v>
      </c>
      <c r="L78" s="30"/>
      <c r="M78" s="30"/>
      <c r="N78" s="31"/>
      <c r="O78" s="31"/>
      <c r="P78" s="32"/>
      <c r="Q78" s="33">
        <f t="shared" si="17"/>
        <v>1400</v>
      </c>
      <c r="R78" s="34"/>
      <c r="S78" s="45"/>
      <c r="T78" s="45">
        <v>0</v>
      </c>
      <c r="U78" s="45"/>
      <c r="V78" s="45"/>
      <c r="W78" s="45"/>
      <c r="X78" s="36"/>
      <c r="Y78" s="36"/>
      <c r="Z78" s="35"/>
      <c r="AA78" s="35">
        <f>355.65+71.38</f>
        <v>427.03</v>
      </c>
      <c r="AB78" s="33">
        <f t="shared" si="15"/>
        <v>972.97</v>
      </c>
      <c r="AC78" s="37">
        <f t="shared" si="20"/>
        <v>0</v>
      </c>
      <c r="AD78" s="33">
        <f t="shared" si="21"/>
        <v>972.97</v>
      </c>
      <c r="AE78" s="38">
        <f t="shared" si="18"/>
        <v>140</v>
      </c>
      <c r="AF78" s="37">
        <v>10.23</v>
      </c>
      <c r="AG78" s="67">
        <f t="shared" si="19"/>
        <v>1550.23</v>
      </c>
      <c r="AH78" s="39"/>
      <c r="AI78" s="56"/>
      <c r="AJ78" s="39"/>
      <c r="AK78" s="39"/>
      <c r="AL78" s="56"/>
      <c r="AM78" s="39"/>
      <c r="AN78" s="39"/>
    </row>
    <row r="79" spans="1:54" s="61" customFormat="1">
      <c r="A79" s="63" t="s">
        <v>93</v>
      </c>
      <c r="B79" s="63" t="s">
        <v>286</v>
      </c>
      <c r="C79" s="63"/>
      <c r="D79" s="63"/>
      <c r="E79" s="63" t="s">
        <v>171</v>
      </c>
      <c r="F79" s="72">
        <v>42410</v>
      </c>
      <c r="G79" s="63"/>
      <c r="H79" s="63"/>
      <c r="I79" s="53">
        <v>1400</v>
      </c>
      <c r="J79" s="63"/>
      <c r="K79" s="53">
        <f t="shared" si="16"/>
        <v>1400</v>
      </c>
      <c r="L79" s="53"/>
      <c r="M79" s="53"/>
      <c r="N79" s="53"/>
      <c r="O79" s="53"/>
      <c r="P79" s="73"/>
      <c r="Q79" s="59">
        <f t="shared" si="17"/>
        <v>1400</v>
      </c>
      <c r="R79" s="58"/>
      <c r="S79" s="45"/>
      <c r="T79" s="58"/>
      <c r="U79" s="58"/>
      <c r="V79" s="58"/>
      <c r="W79" s="58"/>
      <c r="X79" s="60"/>
      <c r="Y79" s="60"/>
      <c r="Z79" s="57"/>
      <c r="AA79" s="57"/>
      <c r="AB79" s="59">
        <f t="shared" ref="AB79:AB87" si="22">+Q79-SUM(R79:AA79)</f>
        <v>1400</v>
      </c>
      <c r="AC79" s="60">
        <f t="shared" si="20"/>
        <v>0</v>
      </c>
      <c r="AD79" s="59">
        <f t="shared" si="21"/>
        <v>1400</v>
      </c>
      <c r="AE79" s="60">
        <f t="shared" si="18"/>
        <v>140</v>
      </c>
      <c r="AF79" s="37">
        <v>10.23</v>
      </c>
      <c r="AG79" s="67">
        <f t="shared" si="19"/>
        <v>1550.23</v>
      </c>
      <c r="AH79" s="39"/>
      <c r="AI79" s="56"/>
      <c r="AJ79" s="39"/>
      <c r="AK79" s="39"/>
      <c r="AL79" s="56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62" t="s">
        <v>92</v>
      </c>
      <c r="B80" s="27" t="s">
        <v>271</v>
      </c>
      <c r="C80" s="27"/>
      <c r="D80" s="27" t="s">
        <v>106</v>
      </c>
      <c r="E80" s="27" t="s">
        <v>163</v>
      </c>
      <c r="F80" s="27"/>
      <c r="G80" s="27"/>
      <c r="H80" s="27"/>
      <c r="I80" s="30">
        <v>739.23</v>
      </c>
      <c r="J80" s="27"/>
      <c r="K80" s="30">
        <f t="shared" si="16"/>
        <v>739.23</v>
      </c>
      <c r="L80" s="30">
        <v>774.3</v>
      </c>
      <c r="M80" s="30"/>
      <c r="N80" s="31"/>
      <c r="O80" s="31"/>
      <c r="P80" s="32"/>
      <c r="Q80" s="33">
        <f t="shared" si="17"/>
        <v>1513.53</v>
      </c>
      <c r="R80" s="34"/>
      <c r="S80" s="45"/>
      <c r="T80" s="45">
        <v>0</v>
      </c>
      <c r="U80" s="45"/>
      <c r="V80" s="45"/>
      <c r="W80" s="45"/>
      <c r="X80" s="36"/>
      <c r="Y80" s="36"/>
      <c r="Z80" s="35"/>
      <c r="AA80" s="35">
        <v>0</v>
      </c>
      <c r="AB80" s="33">
        <f t="shared" si="22"/>
        <v>1513.53</v>
      </c>
      <c r="AC80" s="37">
        <f t="shared" si="20"/>
        <v>0</v>
      </c>
      <c r="AD80" s="33">
        <f t="shared" si="21"/>
        <v>1513.53</v>
      </c>
      <c r="AE80" s="38">
        <f t="shared" si="18"/>
        <v>151.35300000000001</v>
      </c>
      <c r="AF80" s="37">
        <v>10.23</v>
      </c>
      <c r="AG80" s="67">
        <f t="shared" si="19"/>
        <v>1675.1130000000001</v>
      </c>
      <c r="AH80" s="39"/>
      <c r="AI80" s="56"/>
      <c r="AJ80" s="39"/>
      <c r="AK80" s="39"/>
      <c r="AL80" s="56"/>
      <c r="AM80" s="39"/>
      <c r="AN80" s="39"/>
    </row>
    <row r="81" spans="1:40">
      <c r="A81" s="62" t="s">
        <v>92</v>
      </c>
      <c r="B81" s="27" t="s">
        <v>79</v>
      </c>
      <c r="C81" s="27"/>
      <c r="D81" s="27" t="s">
        <v>108</v>
      </c>
      <c r="E81" s="27" t="s">
        <v>166</v>
      </c>
      <c r="F81" s="27"/>
      <c r="G81" s="27"/>
      <c r="H81" s="27"/>
      <c r="I81" s="30">
        <v>739.23</v>
      </c>
      <c r="J81" s="27"/>
      <c r="K81" s="30">
        <f t="shared" si="16"/>
        <v>739.23</v>
      </c>
      <c r="L81" s="30">
        <v>1939.52</v>
      </c>
      <c r="M81" s="30"/>
      <c r="N81" s="30"/>
      <c r="O81" s="30"/>
      <c r="P81" s="32"/>
      <c r="Q81" s="33">
        <f t="shared" si="17"/>
        <v>2678.75</v>
      </c>
      <c r="R81" s="34"/>
      <c r="S81" s="45"/>
      <c r="T81" s="45">
        <v>0</v>
      </c>
      <c r="U81" s="45"/>
      <c r="V81" s="45"/>
      <c r="W81" s="45"/>
      <c r="X81" s="36"/>
      <c r="Y81" s="36"/>
      <c r="Z81" s="35"/>
      <c r="AA81" s="35">
        <v>0</v>
      </c>
      <c r="AB81" s="33">
        <f t="shared" si="22"/>
        <v>2678.75</v>
      </c>
      <c r="AC81" s="37">
        <f t="shared" si="20"/>
        <v>0</v>
      </c>
      <c r="AD81" s="33">
        <f t="shared" si="21"/>
        <v>2678.75</v>
      </c>
      <c r="AE81" s="38">
        <f t="shared" si="18"/>
        <v>267.875</v>
      </c>
      <c r="AF81" s="37">
        <v>10.23</v>
      </c>
      <c r="AG81" s="67">
        <f t="shared" si="19"/>
        <v>2956.855</v>
      </c>
      <c r="AH81" s="39"/>
      <c r="AI81" s="56"/>
      <c r="AJ81" s="39"/>
      <c r="AK81" s="39"/>
      <c r="AL81" s="56"/>
      <c r="AM81" s="39"/>
      <c r="AN81" s="39"/>
    </row>
    <row r="82" spans="1:40">
      <c r="A82" s="27" t="s">
        <v>71</v>
      </c>
      <c r="B82" s="27" t="s">
        <v>274</v>
      </c>
      <c r="C82" s="27" t="s">
        <v>251</v>
      </c>
      <c r="D82" s="27" t="s">
        <v>159</v>
      </c>
      <c r="E82" s="27" t="s">
        <v>73</v>
      </c>
      <c r="F82" s="27"/>
      <c r="G82" s="28"/>
      <c r="H82" s="28"/>
      <c r="I82" s="30">
        <v>513.33000000000004</v>
      </c>
      <c r="J82" s="28">
        <v>653.33000000000004</v>
      </c>
      <c r="K82" s="30">
        <f t="shared" si="16"/>
        <v>1166.6600000000001</v>
      </c>
      <c r="L82" s="30">
        <v>639.69000000000005</v>
      </c>
      <c r="M82" s="30"/>
      <c r="N82" s="31"/>
      <c r="O82" s="31"/>
      <c r="P82" s="32"/>
      <c r="Q82" s="33">
        <f t="shared" si="17"/>
        <v>1806.3500000000001</v>
      </c>
      <c r="R82" s="34"/>
      <c r="S82" s="45"/>
      <c r="T82" s="45">
        <v>0</v>
      </c>
      <c r="U82" s="45"/>
      <c r="V82" s="45"/>
      <c r="W82" s="45"/>
      <c r="X82" s="36"/>
      <c r="Y82" s="36"/>
      <c r="Z82" s="35"/>
      <c r="AA82" s="35">
        <f>488.83+560.34</f>
        <v>1049.17</v>
      </c>
      <c r="AB82" s="33">
        <f t="shared" si="22"/>
        <v>757.18000000000006</v>
      </c>
      <c r="AC82" s="37">
        <f t="shared" si="20"/>
        <v>0</v>
      </c>
      <c r="AD82" s="33">
        <f t="shared" si="21"/>
        <v>757.18000000000006</v>
      </c>
      <c r="AE82" s="38">
        <f t="shared" si="18"/>
        <v>180.63500000000002</v>
      </c>
      <c r="AF82" s="37">
        <v>10.23</v>
      </c>
      <c r="AG82" s="67">
        <f t="shared" si="19"/>
        <v>1997.2150000000001</v>
      </c>
      <c r="AH82" s="39"/>
      <c r="AI82" s="56"/>
      <c r="AJ82" s="39"/>
      <c r="AK82" s="39"/>
      <c r="AL82" s="56"/>
      <c r="AM82" s="39"/>
      <c r="AN82" s="39"/>
    </row>
    <row r="83" spans="1:40">
      <c r="A83" s="27" t="s">
        <v>70</v>
      </c>
      <c r="B83" s="27" t="s">
        <v>275</v>
      </c>
      <c r="C83" s="27" t="s">
        <v>248</v>
      </c>
      <c r="D83" s="27" t="s">
        <v>125</v>
      </c>
      <c r="E83" s="27" t="s">
        <v>173</v>
      </c>
      <c r="F83" s="27"/>
      <c r="G83" s="28"/>
      <c r="H83" s="28"/>
      <c r="I83" s="30">
        <v>1166.67</v>
      </c>
      <c r="J83" s="28"/>
      <c r="K83" s="30">
        <f t="shared" si="16"/>
        <v>1166.67</v>
      </c>
      <c r="L83" s="30">
        <v>2500</v>
      </c>
      <c r="M83" s="30"/>
      <c r="N83" s="31"/>
      <c r="O83" s="31"/>
      <c r="P83" s="32"/>
      <c r="Q83" s="33">
        <f t="shared" si="17"/>
        <v>3666.67</v>
      </c>
      <c r="R83" s="34"/>
      <c r="S83" s="45">
        <v>58.91</v>
      </c>
      <c r="T83" s="45">
        <v>0</v>
      </c>
      <c r="U83" s="45"/>
      <c r="V83" s="45"/>
      <c r="W83" s="45"/>
      <c r="X83" s="36"/>
      <c r="Y83" s="36"/>
      <c r="Z83" s="35"/>
      <c r="AA83" s="35">
        <v>0</v>
      </c>
      <c r="AB83" s="33">
        <f t="shared" si="22"/>
        <v>3607.76</v>
      </c>
      <c r="AC83" s="37">
        <f t="shared" si="20"/>
        <v>0</v>
      </c>
      <c r="AD83" s="33">
        <f t="shared" si="21"/>
        <v>3607.76</v>
      </c>
      <c r="AE83" s="38">
        <f t="shared" si="18"/>
        <v>366.66700000000003</v>
      </c>
      <c r="AF83" s="37">
        <v>10.23</v>
      </c>
      <c r="AG83" s="67">
        <f t="shared" si="19"/>
        <v>4043.567</v>
      </c>
      <c r="AH83" s="39"/>
      <c r="AI83" s="56"/>
      <c r="AJ83" s="39"/>
      <c r="AK83" s="39"/>
      <c r="AL83" s="56"/>
      <c r="AM83" s="39"/>
      <c r="AN83" s="39"/>
    </row>
    <row r="84" spans="1:40">
      <c r="A84" s="62" t="s">
        <v>94</v>
      </c>
      <c r="B84" s="27" t="s">
        <v>197</v>
      </c>
      <c r="C84" s="27"/>
      <c r="D84" s="27" t="s">
        <v>143</v>
      </c>
      <c r="E84" s="27" t="s">
        <v>179</v>
      </c>
      <c r="F84" s="27"/>
      <c r="G84" s="28"/>
      <c r="H84" s="28"/>
      <c r="I84" s="30">
        <v>608.16</v>
      </c>
      <c r="J84" s="28"/>
      <c r="K84" s="30">
        <f t="shared" si="16"/>
        <v>608.16</v>
      </c>
      <c r="L84" s="30">
        <v>3752</v>
      </c>
      <c r="M84" s="30"/>
      <c r="N84" s="31"/>
      <c r="O84" s="31"/>
      <c r="P84" s="32"/>
      <c r="Q84" s="33">
        <f t="shared" si="17"/>
        <v>4360.16</v>
      </c>
      <c r="R84" s="34"/>
      <c r="S84" s="45"/>
      <c r="T84" s="75">
        <v>200</v>
      </c>
      <c r="U84" s="75">
        <f>Q84*4.9%</f>
        <v>213.64784</v>
      </c>
      <c r="V84" s="75">
        <f>Q84*1%</f>
        <v>43.601599999999998</v>
      </c>
      <c r="W84" s="45"/>
      <c r="X84" s="36"/>
      <c r="Y84" s="36"/>
      <c r="Z84" s="35"/>
      <c r="AA84" s="35">
        <v>0</v>
      </c>
      <c r="AB84" s="33">
        <f t="shared" si="22"/>
        <v>3902.9105599999998</v>
      </c>
      <c r="AC84" s="37">
        <f t="shared" si="20"/>
        <v>0</v>
      </c>
      <c r="AD84" s="33">
        <f t="shared" si="21"/>
        <v>3902.9105599999998</v>
      </c>
      <c r="AE84" s="38">
        <f t="shared" si="18"/>
        <v>436.01600000000002</v>
      </c>
      <c r="AF84" s="37">
        <v>10.23</v>
      </c>
      <c r="AG84" s="67">
        <f t="shared" si="19"/>
        <v>4806.405999999999</v>
      </c>
      <c r="AH84" s="39"/>
      <c r="AI84" s="56"/>
      <c r="AJ84" s="39"/>
      <c r="AK84" s="39"/>
      <c r="AL84" s="56"/>
      <c r="AM84" s="39"/>
      <c r="AN84" s="39"/>
    </row>
    <row r="85" spans="1:40">
      <c r="A85" s="27" t="s">
        <v>91</v>
      </c>
      <c r="B85" s="27" t="s">
        <v>80</v>
      </c>
      <c r="C85" s="27"/>
      <c r="D85" s="27" t="s">
        <v>110</v>
      </c>
      <c r="E85" s="27" t="s">
        <v>168</v>
      </c>
      <c r="F85" s="27"/>
      <c r="G85" s="27"/>
      <c r="H85" s="27"/>
      <c r="I85" s="30">
        <v>1100</v>
      </c>
      <c r="J85" s="27"/>
      <c r="K85" s="30">
        <f t="shared" si="16"/>
        <v>1100</v>
      </c>
      <c r="L85" s="30"/>
      <c r="M85" s="30"/>
      <c r="N85" s="30"/>
      <c r="O85" s="30"/>
      <c r="P85" s="32"/>
      <c r="Q85" s="33">
        <f t="shared" si="17"/>
        <v>1100</v>
      </c>
      <c r="R85" s="34"/>
      <c r="S85" s="45"/>
      <c r="T85" s="45">
        <v>0</v>
      </c>
      <c r="U85" s="45"/>
      <c r="V85" s="45"/>
      <c r="W85" s="45"/>
      <c r="X85" s="36"/>
      <c r="Y85" s="36"/>
      <c r="Z85" s="35"/>
      <c r="AA85" s="35">
        <v>0</v>
      </c>
      <c r="AB85" s="33">
        <f t="shared" si="22"/>
        <v>1100</v>
      </c>
      <c r="AC85" s="37">
        <f t="shared" si="20"/>
        <v>0</v>
      </c>
      <c r="AD85" s="33">
        <f t="shared" si="21"/>
        <v>1100</v>
      </c>
      <c r="AE85" s="38">
        <f t="shared" si="18"/>
        <v>110</v>
      </c>
      <c r="AF85" s="37">
        <v>10.23</v>
      </c>
      <c r="AG85" s="67">
        <f t="shared" si="19"/>
        <v>1220.23</v>
      </c>
      <c r="AH85" s="39"/>
      <c r="AI85" s="56"/>
      <c r="AJ85" s="39"/>
      <c r="AK85" s="39"/>
      <c r="AL85" s="56"/>
      <c r="AM85" s="39"/>
      <c r="AN85" s="39"/>
    </row>
    <row r="86" spans="1:40">
      <c r="A86" s="27" t="s">
        <v>71</v>
      </c>
      <c r="B86" s="27" t="s">
        <v>90</v>
      </c>
      <c r="C86" s="27" t="s">
        <v>254</v>
      </c>
      <c r="D86" s="27" t="s">
        <v>160</v>
      </c>
      <c r="E86" s="27" t="s">
        <v>73</v>
      </c>
      <c r="F86" s="27"/>
      <c r="G86" s="28"/>
      <c r="H86" s="28"/>
      <c r="I86" s="30">
        <v>513.33000000000004</v>
      </c>
      <c r="J86" s="28">
        <v>653.33000000000004</v>
      </c>
      <c r="K86" s="30">
        <f t="shared" si="16"/>
        <v>1166.6600000000001</v>
      </c>
      <c r="L86" s="30"/>
      <c r="M86" s="30"/>
      <c r="N86" s="31"/>
      <c r="O86" s="31"/>
      <c r="P86" s="32"/>
      <c r="Q86" s="33">
        <f t="shared" si="17"/>
        <v>1166.6600000000001</v>
      </c>
      <c r="R86" s="34"/>
      <c r="S86" s="45"/>
      <c r="T86" s="45">
        <v>0</v>
      </c>
      <c r="U86" s="45"/>
      <c r="V86" s="45"/>
      <c r="W86" s="45"/>
      <c r="X86" s="36"/>
      <c r="Y86" s="36"/>
      <c r="Z86" s="35"/>
      <c r="AA86" s="35">
        <v>0</v>
      </c>
      <c r="AB86" s="33">
        <f t="shared" si="22"/>
        <v>1166.6600000000001</v>
      </c>
      <c r="AC86" s="37">
        <f t="shared" si="20"/>
        <v>0</v>
      </c>
      <c r="AD86" s="33">
        <f t="shared" si="21"/>
        <v>1166.6600000000001</v>
      </c>
      <c r="AE86" s="38">
        <f t="shared" si="18"/>
        <v>116.66600000000001</v>
      </c>
      <c r="AF86" s="37">
        <v>10.23</v>
      </c>
      <c r="AG86" s="67">
        <f t="shared" si="19"/>
        <v>1293.556</v>
      </c>
      <c r="AH86" s="39"/>
      <c r="AI86" s="56"/>
      <c r="AJ86" s="39"/>
      <c r="AK86" s="39"/>
      <c r="AL86" s="56"/>
      <c r="AM86" s="39"/>
      <c r="AN86" s="39"/>
    </row>
    <row r="87" spans="1:40">
      <c r="A87" s="62" t="s">
        <v>92</v>
      </c>
      <c r="B87" s="27" t="s">
        <v>210</v>
      </c>
      <c r="C87" s="27"/>
      <c r="D87" s="27" t="s">
        <v>109</v>
      </c>
      <c r="E87" s="27" t="s">
        <v>166</v>
      </c>
      <c r="F87" s="27"/>
      <c r="G87" s="27"/>
      <c r="H87" s="27"/>
      <c r="I87" s="30">
        <v>739.23</v>
      </c>
      <c r="J87" s="27"/>
      <c r="K87" s="30">
        <f t="shared" si="16"/>
        <v>739.23</v>
      </c>
      <c r="L87" s="30">
        <v>2851</v>
      </c>
      <c r="M87" s="30"/>
      <c r="N87" s="30"/>
      <c r="O87" s="30"/>
      <c r="P87" s="32"/>
      <c r="Q87" s="33">
        <f t="shared" si="17"/>
        <v>3590.23</v>
      </c>
      <c r="R87" s="34"/>
      <c r="S87" s="45"/>
      <c r="T87" s="75">
        <v>500</v>
      </c>
      <c r="U87" s="45"/>
      <c r="V87" s="45"/>
      <c r="W87" s="45"/>
      <c r="X87" s="36"/>
      <c r="Y87" s="36"/>
      <c r="Z87" s="35"/>
      <c r="AA87" s="35">
        <v>0</v>
      </c>
      <c r="AB87" s="33">
        <f t="shared" si="22"/>
        <v>3090.23</v>
      </c>
      <c r="AC87" s="37">
        <f t="shared" si="20"/>
        <v>0</v>
      </c>
      <c r="AD87" s="33">
        <f t="shared" si="21"/>
        <v>3090.23</v>
      </c>
      <c r="AE87" s="38">
        <f t="shared" si="18"/>
        <v>359.02300000000002</v>
      </c>
      <c r="AF87" s="37">
        <v>10.23</v>
      </c>
      <c r="AG87" s="67">
        <f t="shared" si="19"/>
        <v>3959.4830000000002</v>
      </c>
      <c r="AH87" s="39"/>
      <c r="AI87" s="56"/>
      <c r="AJ87" s="39"/>
      <c r="AK87" s="39"/>
      <c r="AL87" s="56"/>
      <c r="AM87" s="39"/>
      <c r="AN87" s="39"/>
    </row>
    <row r="88" spans="1:40">
      <c r="A88" s="27" t="s">
        <v>71</v>
      </c>
      <c r="B88" s="27" t="s">
        <v>217</v>
      </c>
      <c r="C88" s="27" t="s">
        <v>251</v>
      </c>
      <c r="D88" s="44" t="s">
        <v>218</v>
      </c>
      <c r="E88" s="27" t="s">
        <v>73</v>
      </c>
      <c r="F88" s="27"/>
      <c r="G88" s="28"/>
      <c r="H88" s="28"/>
      <c r="I88" s="30">
        <v>513.33000000000004</v>
      </c>
      <c r="J88" s="28">
        <v>653.33000000000004</v>
      </c>
      <c r="K88" s="30">
        <f t="shared" si="16"/>
        <v>1166.6600000000001</v>
      </c>
      <c r="L88" s="30"/>
      <c r="M88" s="30"/>
      <c r="N88" s="30"/>
      <c r="O88" s="30"/>
      <c r="P88" s="32"/>
      <c r="Q88" s="33">
        <f>SUM(K88:O88)-P88</f>
        <v>1166.6600000000001</v>
      </c>
      <c r="R88" s="34"/>
      <c r="S88" s="45"/>
      <c r="T88" s="45"/>
      <c r="U88" s="45"/>
      <c r="V88" s="45"/>
      <c r="W88" s="45"/>
      <c r="X88" s="36"/>
      <c r="Y88" s="36"/>
      <c r="Z88" s="35"/>
      <c r="AA88" s="35">
        <v>291.5</v>
      </c>
      <c r="AB88" s="33">
        <f>+Q88-SUM(R88:AA88)</f>
        <v>875.16000000000008</v>
      </c>
      <c r="AC88" s="37">
        <f>IF(Q88&gt;4500,Q88*0.1,0)</f>
        <v>0</v>
      </c>
      <c r="AD88" s="33">
        <f>+AB88-AC88</f>
        <v>875.16000000000008</v>
      </c>
      <c r="AE88" s="38">
        <f>IF(Q88&lt;4500,Q88*0.1,0)</f>
        <v>116.66600000000001</v>
      </c>
      <c r="AF88" s="37">
        <v>10.23</v>
      </c>
      <c r="AG88" s="67">
        <f>+Q88+AE88+AF88</f>
        <v>1293.556</v>
      </c>
      <c r="AH88" s="39"/>
      <c r="AI88" s="56"/>
      <c r="AJ88" s="39"/>
      <c r="AK88" s="39"/>
      <c r="AL88" s="56"/>
      <c r="AM88" s="39"/>
      <c r="AN88" s="39"/>
    </row>
    <row r="89" spans="1:40">
      <c r="A89" s="27" t="s">
        <v>91</v>
      </c>
      <c r="B89" s="63" t="s">
        <v>241</v>
      </c>
      <c r="C89" s="63"/>
      <c r="D89" s="44"/>
      <c r="E89" s="27" t="s">
        <v>242</v>
      </c>
      <c r="F89" s="27"/>
      <c r="G89" s="28"/>
      <c r="H89" s="28"/>
      <c r="I89" s="76">
        <v>1166.26</v>
      </c>
      <c r="J89" s="28"/>
      <c r="K89" s="30">
        <f t="shared" si="16"/>
        <v>1166.26</v>
      </c>
      <c r="L89" s="30">
        <v>2280.46</v>
      </c>
      <c r="M89" s="30"/>
      <c r="N89" s="31"/>
      <c r="O89" s="31"/>
      <c r="P89" s="32"/>
      <c r="Q89" s="33">
        <f>SUM(K89:O89)-P89</f>
        <v>3446.7200000000003</v>
      </c>
      <c r="R89" s="34"/>
      <c r="S89" s="45"/>
      <c r="T89" s="45"/>
      <c r="U89" s="45"/>
      <c r="V89" s="45"/>
      <c r="W89" s="45"/>
      <c r="X89" s="36"/>
      <c r="Y89" s="36"/>
      <c r="Z89" s="35"/>
      <c r="AA89" s="35">
        <v>0</v>
      </c>
      <c r="AB89" s="33">
        <f>+Q89-SUM(R89:AA89)</f>
        <v>3446.7200000000003</v>
      </c>
      <c r="AC89" s="37">
        <f>IF(Q89&gt;4500,Q89*0.1,0)</f>
        <v>0</v>
      </c>
      <c r="AD89" s="33">
        <f>+AB89-AC89</f>
        <v>3446.7200000000003</v>
      </c>
      <c r="AE89" s="38">
        <f>IF(Q89&lt;4500,Q89*0.1,0)</f>
        <v>344.67200000000003</v>
      </c>
      <c r="AF89" s="37">
        <v>10.23</v>
      </c>
      <c r="AG89" s="67">
        <f>+Q89+AE89+AF89</f>
        <v>3801.6220000000003</v>
      </c>
      <c r="AH89" s="39"/>
      <c r="AI89" s="56"/>
      <c r="AJ89" s="39"/>
      <c r="AK89" s="39"/>
      <c r="AL89" s="56"/>
      <c r="AM89" s="39"/>
      <c r="AN89" s="39"/>
    </row>
    <row r="90" spans="1:40">
      <c r="A90" s="27" t="s">
        <v>71</v>
      </c>
      <c r="B90" s="63" t="s">
        <v>250</v>
      </c>
      <c r="C90" s="27" t="s">
        <v>249</v>
      </c>
      <c r="D90" s="44"/>
      <c r="E90" s="27" t="s">
        <v>73</v>
      </c>
      <c r="F90" s="27"/>
      <c r="G90" s="28"/>
      <c r="H90" s="28"/>
      <c r="I90" s="76">
        <v>1166.26</v>
      </c>
      <c r="J90" s="28"/>
      <c r="K90" s="30">
        <f t="shared" si="16"/>
        <v>1166.26</v>
      </c>
      <c r="L90" s="30"/>
      <c r="M90" s="30"/>
      <c r="N90" s="31"/>
      <c r="O90" s="31"/>
      <c r="P90" s="32"/>
      <c r="Q90" s="33">
        <f>SUM(K90:O90)-P90</f>
        <v>1166.26</v>
      </c>
      <c r="R90" s="34"/>
      <c r="S90" s="45">
        <v>58.91</v>
      </c>
      <c r="T90" s="45"/>
      <c r="U90" s="45"/>
      <c r="V90" s="45"/>
      <c r="W90" s="45"/>
      <c r="X90" s="36"/>
      <c r="Y90" s="36"/>
      <c r="Z90" s="35"/>
      <c r="AA90" s="35">
        <v>0</v>
      </c>
      <c r="AB90" s="33">
        <f>+Q90-SUM(R90:AA90)</f>
        <v>1107.3499999999999</v>
      </c>
      <c r="AC90" s="37">
        <f>IF(Q90&gt;4500,Q90*0.1,0)</f>
        <v>0</v>
      </c>
      <c r="AD90" s="33">
        <f>+AB90-AC90</f>
        <v>1107.3499999999999</v>
      </c>
      <c r="AE90" s="38">
        <f>IF(Q90&lt;4500,Q90*0.1,0)</f>
        <v>116.626</v>
      </c>
      <c r="AF90" s="37">
        <v>10.23</v>
      </c>
      <c r="AG90" s="67">
        <f>+Q90+AE90+AF90</f>
        <v>1293.116</v>
      </c>
      <c r="AH90" s="39"/>
      <c r="AI90" s="56"/>
      <c r="AJ90" s="39"/>
      <c r="AK90" s="39"/>
      <c r="AL90" s="56"/>
      <c r="AM90" s="39"/>
      <c r="AN90" s="39"/>
    </row>
    <row r="91" spans="1:40">
      <c r="A91" s="27"/>
      <c r="B91" s="27"/>
      <c r="C91" s="27"/>
      <c r="D91" s="44"/>
      <c r="E91" s="27"/>
      <c r="F91" s="27"/>
      <c r="G91" s="28"/>
      <c r="H91" s="28"/>
      <c r="I91" s="30"/>
      <c r="J91" s="28"/>
      <c r="K91" s="30"/>
      <c r="L91" s="30"/>
      <c r="M91" s="30"/>
      <c r="N91" s="31"/>
      <c r="O91" s="31"/>
      <c r="P91" s="32"/>
      <c r="Q91" s="33"/>
      <c r="R91" s="34"/>
      <c r="S91" s="45"/>
      <c r="T91" s="45"/>
      <c r="U91" s="45"/>
      <c r="V91" s="45"/>
      <c r="W91" s="45"/>
      <c r="X91" s="36"/>
      <c r="Y91" s="36"/>
      <c r="Z91" s="45"/>
      <c r="AA91" s="35"/>
      <c r="AB91" s="33"/>
      <c r="AC91" s="37"/>
      <c r="AD91" s="33"/>
      <c r="AE91" s="38"/>
      <c r="AF91" s="37"/>
      <c r="AG91" s="67"/>
      <c r="AH91" s="39"/>
      <c r="AI91" s="56"/>
      <c r="AJ91" s="39"/>
      <c r="AK91" s="39"/>
      <c r="AL91" s="39"/>
      <c r="AM91" s="39"/>
      <c r="AN91" s="39"/>
    </row>
    <row r="92" spans="1:40">
      <c r="A92" s="27"/>
      <c r="B92" s="27"/>
      <c r="C92" s="27"/>
      <c r="D92" s="44"/>
      <c r="E92" s="27"/>
      <c r="F92" s="27"/>
      <c r="G92" s="28"/>
      <c r="H92" s="28"/>
      <c r="I92" s="30"/>
      <c r="J92" s="28"/>
      <c r="K92" s="30"/>
      <c r="L92" s="30"/>
      <c r="M92" s="30"/>
      <c r="N92" s="31"/>
      <c r="O92" s="31"/>
      <c r="P92" s="32"/>
      <c r="Q92" s="33"/>
      <c r="R92" s="34"/>
      <c r="S92" s="45"/>
      <c r="T92" s="45"/>
      <c r="U92" s="45"/>
      <c r="V92" s="45"/>
      <c r="W92" s="45"/>
      <c r="X92" s="36"/>
      <c r="Y92" s="36"/>
      <c r="Z92" s="45"/>
      <c r="AA92" s="35"/>
      <c r="AB92" s="33"/>
      <c r="AC92" s="37"/>
      <c r="AD92" s="33"/>
      <c r="AE92" s="38"/>
      <c r="AF92" s="37"/>
      <c r="AG92" s="67"/>
      <c r="AH92" s="39"/>
      <c r="AI92" s="56">
        <f>+AD92-AH92</f>
        <v>0</v>
      </c>
      <c r="AJ92" s="39"/>
      <c r="AK92" s="39"/>
      <c r="AL92" s="39"/>
      <c r="AM92" s="39"/>
      <c r="AN92" s="39"/>
    </row>
    <row r="93" spans="1:40">
      <c r="A93" s="46"/>
      <c r="B93" s="27"/>
      <c r="C93" s="27"/>
      <c r="D93" s="28"/>
      <c r="E93" s="27"/>
      <c r="F93" s="27"/>
      <c r="G93" s="27"/>
      <c r="H93" s="27"/>
      <c r="I93" s="30"/>
      <c r="J93" s="27"/>
      <c r="K93" s="30"/>
      <c r="L93" s="30"/>
      <c r="M93" s="30"/>
      <c r="N93" s="30"/>
      <c r="O93" s="30"/>
      <c r="P93" s="32"/>
      <c r="Q93" s="33"/>
      <c r="R93" s="34"/>
      <c r="S93" s="45"/>
      <c r="T93" s="45"/>
      <c r="U93" s="45"/>
      <c r="V93" s="45"/>
      <c r="W93" s="45"/>
      <c r="X93" s="36"/>
      <c r="Y93" s="36"/>
      <c r="Z93" s="45"/>
      <c r="AA93" s="43"/>
      <c r="AB93" s="33"/>
      <c r="AC93" s="37"/>
      <c r="AD93" s="33"/>
      <c r="AE93" s="38"/>
      <c r="AF93" s="37"/>
      <c r="AG93" s="67"/>
      <c r="AH93" s="39"/>
      <c r="AI93" s="56">
        <f>+AD93-AH93</f>
        <v>0</v>
      </c>
      <c r="AJ93" s="39"/>
      <c r="AK93" s="39"/>
      <c r="AL93" s="39"/>
      <c r="AM93" s="39"/>
      <c r="AN93" s="39"/>
    </row>
    <row r="94" spans="1:40">
      <c r="A94" s="46"/>
      <c r="B94" s="27"/>
      <c r="C94" s="27"/>
      <c r="D94" s="28"/>
      <c r="E94" s="27"/>
      <c r="F94" s="27"/>
      <c r="G94" s="27"/>
      <c r="H94" s="27"/>
      <c r="I94" s="30"/>
      <c r="J94" s="27"/>
      <c r="K94" s="30"/>
      <c r="L94" s="30"/>
      <c r="M94" s="30"/>
      <c r="N94" s="30"/>
      <c r="O94" s="30"/>
      <c r="P94" s="32"/>
      <c r="Q94" s="33"/>
      <c r="R94" s="34"/>
      <c r="S94" s="45"/>
      <c r="T94" s="45"/>
      <c r="U94" s="45"/>
      <c r="V94" s="45"/>
      <c r="W94" s="45"/>
      <c r="X94" s="36"/>
      <c r="Y94" s="36"/>
      <c r="Z94" s="36"/>
      <c r="AA94" s="36"/>
      <c r="AB94" s="33"/>
      <c r="AC94" s="37"/>
      <c r="AD94" s="33"/>
      <c r="AE94" s="38"/>
      <c r="AF94" s="37"/>
      <c r="AG94" s="67"/>
      <c r="AH94" s="39"/>
      <c r="AI94" s="56">
        <f>+AD94-AH94</f>
        <v>0</v>
      </c>
      <c r="AJ94" s="39"/>
      <c r="AK94" s="39"/>
      <c r="AL94" s="39"/>
      <c r="AM94" s="39"/>
      <c r="AN94" s="39"/>
    </row>
    <row r="95" spans="1:40" s="39" customFormat="1">
      <c r="A95" s="46"/>
      <c r="B95" s="47"/>
      <c r="C95" s="47"/>
      <c r="D95" s="47"/>
      <c r="E95" s="47"/>
      <c r="F95" s="47"/>
      <c r="G95" s="47"/>
      <c r="H95" s="47"/>
      <c r="I95" s="48"/>
      <c r="J95" s="47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  <c r="V95" s="48"/>
      <c r="W95" s="48"/>
      <c r="X95" s="37"/>
      <c r="Y95" s="37"/>
      <c r="Z95" s="37"/>
      <c r="AA95" s="37"/>
      <c r="AB95" s="50"/>
      <c r="AC95" s="37"/>
      <c r="AD95" s="49"/>
      <c r="AE95" s="37"/>
      <c r="AF95" s="37"/>
      <c r="AG95" s="49"/>
    </row>
    <row r="96" spans="1:40" ht="15.75" thickBot="1">
      <c r="B96" s="51" t="s">
        <v>17</v>
      </c>
      <c r="C96" s="51"/>
      <c r="D96" s="51"/>
      <c r="E96" s="51"/>
      <c r="F96" s="51"/>
      <c r="G96" s="51"/>
      <c r="H96" s="51"/>
      <c r="I96" s="77"/>
      <c r="J96" s="51"/>
      <c r="K96" s="52">
        <f t="shared" ref="K96:R96" si="23">SUM(K7:K95)</f>
        <v>73736.400000000081</v>
      </c>
      <c r="L96" s="52">
        <f t="shared" si="23"/>
        <v>261382.26</v>
      </c>
      <c r="M96" s="52"/>
      <c r="N96" s="52">
        <f t="shared" si="23"/>
        <v>0</v>
      </c>
      <c r="O96" s="52">
        <f t="shared" si="23"/>
        <v>0</v>
      </c>
      <c r="P96" s="52">
        <f t="shared" si="23"/>
        <v>0</v>
      </c>
      <c r="Q96" s="52">
        <f t="shared" si="23"/>
        <v>335439.50999999989</v>
      </c>
      <c r="R96" s="52">
        <f t="shared" si="23"/>
        <v>0</v>
      </c>
      <c r="S96" s="52"/>
      <c r="T96" s="71">
        <f t="shared" ref="T96:AL96" si="24">SUM(T7:T95)</f>
        <v>4828.2170000000006</v>
      </c>
      <c r="U96" s="71">
        <f t="shared" si="24"/>
        <v>1976.21606</v>
      </c>
      <c r="V96" s="71">
        <f t="shared" si="24"/>
        <v>406.86950000000002</v>
      </c>
      <c r="W96" s="71">
        <f t="shared" si="24"/>
        <v>879.38</v>
      </c>
      <c r="X96" s="52">
        <f t="shared" si="24"/>
        <v>0</v>
      </c>
      <c r="Y96" s="52">
        <f t="shared" si="24"/>
        <v>167.44</v>
      </c>
      <c r="Z96" s="52">
        <f t="shared" si="24"/>
        <v>406.94</v>
      </c>
      <c r="AA96" s="52">
        <f t="shared" si="24"/>
        <v>7279.3550000000005</v>
      </c>
      <c r="AB96" s="52">
        <f t="shared" si="24"/>
        <v>318808.80243999982</v>
      </c>
      <c r="AC96" s="52">
        <f t="shared" si="24"/>
        <v>20983.65</v>
      </c>
      <c r="AD96" s="52">
        <f t="shared" si="24"/>
        <v>297825.15243999998</v>
      </c>
      <c r="AE96" s="52">
        <f t="shared" si="24"/>
        <v>12560.300999999996</v>
      </c>
      <c r="AF96" s="52">
        <f t="shared" si="24"/>
        <v>859.32000000000096</v>
      </c>
      <c r="AG96" s="52">
        <f t="shared" si="24"/>
        <v>348859.13099999994</v>
      </c>
      <c r="AH96" s="52">
        <f t="shared" si="24"/>
        <v>0</v>
      </c>
      <c r="AI96" s="52">
        <f t="shared" si="24"/>
        <v>0</v>
      </c>
      <c r="AJ96" s="52">
        <f t="shared" si="24"/>
        <v>0</v>
      </c>
      <c r="AK96" s="52">
        <f t="shared" si="24"/>
        <v>0</v>
      </c>
      <c r="AL96" s="52">
        <f t="shared" si="24"/>
        <v>0</v>
      </c>
    </row>
    <row r="97" spans="1:38" ht="15.75" thickTop="1">
      <c r="AG97" s="24">
        <f>AG96*0.16</f>
        <v>55817.460959999989</v>
      </c>
      <c r="AH97" s="24"/>
      <c r="AI97" s="24"/>
      <c r="AJ97" s="24"/>
      <c r="AK97" s="24"/>
      <c r="AL97" s="24"/>
    </row>
    <row r="98" spans="1:38">
      <c r="A98" s="250" t="s">
        <v>33</v>
      </c>
      <c r="B98" s="250"/>
      <c r="C98" s="69"/>
      <c r="AG98" s="24">
        <f>+AG96+AG97</f>
        <v>404676.59195999993</v>
      </c>
      <c r="AH98" s="24"/>
      <c r="AI98" s="24"/>
      <c r="AJ98" s="24"/>
      <c r="AK98" s="24"/>
      <c r="AL98" s="24"/>
    </row>
    <row r="99" spans="1:38">
      <c r="A99" s="46"/>
      <c r="B99" s="27"/>
      <c r="C99" s="27"/>
      <c r="D99" s="28"/>
      <c r="E99" s="27"/>
      <c r="F99" s="27"/>
      <c r="G99" s="27"/>
      <c r="H99" s="27"/>
      <c r="I99" s="30"/>
      <c r="J99" s="27"/>
      <c r="K99" s="30"/>
      <c r="L99" s="30"/>
      <c r="M99" s="30"/>
      <c r="N99" s="30"/>
      <c r="O99" s="30"/>
      <c r="P99" s="30"/>
      <c r="Q99" s="33">
        <f>SUM(K99:P99)</f>
        <v>0</v>
      </c>
      <c r="R99" s="34"/>
      <c r="S99" s="34"/>
      <c r="T99" s="53"/>
      <c r="U99" s="53"/>
      <c r="V99" s="53"/>
      <c r="W99" s="53"/>
      <c r="X99" s="54"/>
      <c r="Y99" s="54"/>
      <c r="Z99" s="54"/>
      <c r="AA99" s="54"/>
      <c r="AB99" s="33">
        <f>+Q99-R99</f>
        <v>0</v>
      </c>
      <c r="AC99" s="37">
        <f>+AB99*0.05</f>
        <v>0</v>
      </c>
      <c r="AD99" s="33">
        <f>+AB99-X99-AA99</f>
        <v>0</v>
      </c>
      <c r="AE99" s="38">
        <f>IF(AB99&lt;3000,AB99*0.1,0)</f>
        <v>0</v>
      </c>
      <c r="AF99" s="37">
        <v>0</v>
      </c>
      <c r="AG99" s="33">
        <f t="shared" ref="AG99:AL100" si="25">+AB99+AE99+AF99</f>
        <v>0</v>
      </c>
      <c r="AH99" s="33">
        <f t="shared" si="25"/>
        <v>0</v>
      </c>
      <c r="AI99" s="33">
        <f t="shared" si="25"/>
        <v>0</v>
      </c>
      <c r="AJ99" s="33">
        <f t="shared" si="25"/>
        <v>0</v>
      </c>
      <c r="AK99" s="33">
        <f t="shared" si="25"/>
        <v>0</v>
      </c>
      <c r="AL99" s="33">
        <f t="shared" si="25"/>
        <v>0</v>
      </c>
    </row>
    <row r="100" spans="1:38">
      <c r="A100" s="46"/>
      <c r="B100" s="28"/>
      <c r="C100" s="28"/>
      <c r="D100" s="28"/>
      <c r="E100" s="28"/>
      <c r="F100" s="28"/>
      <c r="G100" s="28"/>
      <c r="H100" s="28"/>
      <c r="I100" s="31"/>
      <c r="J100" s="28"/>
      <c r="K100" s="31"/>
      <c r="L100" s="31"/>
      <c r="M100" s="31"/>
      <c r="N100" s="31"/>
      <c r="O100" s="31"/>
      <c r="P100" s="31"/>
      <c r="Q100" s="33">
        <f>SUM(K100:P100)</f>
        <v>0</v>
      </c>
      <c r="R100" s="34"/>
      <c r="S100" s="34"/>
      <c r="T100" s="53"/>
      <c r="U100" s="53"/>
      <c r="V100" s="53"/>
      <c r="W100" s="53"/>
      <c r="X100" s="54"/>
      <c r="Y100" s="54"/>
      <c r="Z100" s="54"/>
      <c r="AA100" s="54"/>
      <c r="AB100" s="33">
        <f>+Q100-R100</f>
        <v>0</v>
      </c>
      <c r="AC100" s="37">
        <f>+AB100*0.05</f>
        <v>0</v>
      </c>
      <c r="AD100" s="33">
        <f>+AB100-X100-AA100</f>
        <v>0</v>
      </c>
      <c r="AE100" s="38">
        <f>IF(AB100&lt;3000,AB100*0.1,0)</f>
        <v>0</v>
      </c>
      <c r="AF100" s="37">
        <v>0</v>
      </c>
      <c r="AG100" s="33">
        <f t="shared" si="25"/>
        <v>0</v>
      </c>
      <c r="AH100" s="33">
        <f t="shared" si="25"/>
        <v>0</v>
      </c>
      <c r="AI100" s="33">
        <f t="shared" si="25"/>
        <v>0</v>
      </c>
      <c r="AJ100" s="33">
        <f t="shared" si="25"/>
        <v>0</v>
      </c>
      <c r="AK100" s="33">
        <f t="shared" si="25"/>
        <v>0</v>
      </c>
      <c r="AL100" s="33">
        <f t="shared" si="25"/>
        <v>0</v>
      </c>
    </row>
    <row r="101" spans="1:38">
      <c r="AG101" s="24">
        <f>SUM(AG99:AG100)</f>
        <v>0</v>
      </c>
    </row>
    <row r="102" spans="1:38">
      <c r="B102" s="55" t="s">
        <v>18</v>
      </c>
      <c r="C102" s="55"/>
      <c r="D102" s="55"/>
      <c r="AG102" s="24">
        <f>+AG101*0.16</f>
        <v>0</v>
      </c>
    </row>
    <row r="103" spans="1:38">
      <c r="B103" s="55"/>
      <c r="C103" s="55"/>
      <c r="D103" s="55"/>
      <c r="AG103" s="24">
        <f>+AG101+AG102</f>
        <v>0</v>
      </c>
    </row>
    <row r="104" spans="1:38">
      <c r="B104" s="55"/>
      <c r="C104" s="55"/>
      <c r="D104" s="55"/>
    </row>
    <row r="105" spans="1:38">
      <c r="B105" s="55" t="s">
        <v>19</v>
      </c>
      <c r="C105" s="55"/>
      <c r="D105" s="55"/>
      <c r="AG105" s="24">
        <f>+AG98+AG103</f>
        <v>404676.59195999993</v>
      </c>
    </row>
    <row r="112" spans="1:38">
      <c r="A112" s="41" t="s">
        <v>57</v>
      </c>
      <c r="B112" s="23"/>
      <c r="C112" s="23"/>
    </row>
    <row r="113" spans="1:3">
      <c r="A113" s="41" t="s">
        <v>58</v>
      </c>
      <c r="B113" s="23"/>
      <c r="C113" s="23"/>
    </row>
    <row r="114" spans="1:3">
      <c r="A114" s="41" t="s">
        <v>59</v>
      </c>
      <c r="B114" s="23"/>
      <c r="C114" s="23"/>
    </row>
    <row r="115" spans="1:3">
      <c r="A115" s="41" t="s">
        <v>60</v>
      </c>
      <c r="B115" s="23"/>
      <c r="C115" s="23"/>
    </row>
    <row r="116" spans="1:3">
      <c r="A116" s="41" t="s">
        <v>61</v>
      </c>
      <c r="B116" s="23"/>
      <c r="C116" s="23"/>
    </row>
    <row r="117" spans="1:3">
      <c r="A117" s="41" t="s">
        <v>62</v>
      </c>
      <c r="B117" s="23"/>
      <c r="C117" s="23"/>
    </row>
    <row r="121" spans="1:3">
      <c r="B121" s="27"/>
      <c r="C121" s="70"/>
    </row>
    <row r="122" spans="1:3">
      <c r="B122" s="27"/>
      <c r="C122" s="70"/>
    </row>
    <row r="123" spans="1:3">
      <c r="B123" s="27"/>
      <c r="C123" s="70"/>
    </row>
  </sheetData>
  <sheetProtection selectLockedCells="1" selectUnlockedCells="1"/>
  <autoFilter ref="A5:AL94">
    <filterColumn colId="35" showButton="0"/>
  </autoFilter>
  <mergeCells count="38">
    <mergeCell ref="A98:B98"/>
    <mergeCell ref="AA5:AA6"/>
    <mergeCell ref="AD5:AD6"/>
    <mergeCell ref="N5:N6"/>
    <mergeCell ref="P5:P6"/>
    <mergeCell ref="H5:H6"/>
    <mergeCell ref="Y5:Y6"/>
    <mergeCell ref="Z5:Z6"/>
    <mergeCell ref="A5:A6"/>
    <mergeCell ref="D5:D6"/>
    <mergeCell ref="B5:B6"/>
    <mergeCell ref="E5:E6"/>
    <mergeCell ref="I5:I6"/>
    <mergeCell ref="J5:J6"/>
    <mergeCell ref="L5:L6"/>
    <mergeCell ref="T5:T6"/>
    <mergeCell ref="R5:R6"/>
    <mergeCell ref="AB5:AB6"/>
    <mergeCell ref="X5:X6"/>
    <mergeCell ref="U5:U6"/>
    <mergeCell ref="V5:V6"/>
    <mergeCell ref="W5:W6"/>
    <mergeCell ref="C5:C6"/>
    <mergeCell ref="F5:F6"/>
    <mergeCell ref="AM5:AM6"/>
    <mergeCell ref="AN5:AN6"/>
    <mergeCell ref="AL5:AL6"/>
    <mergeCell ref="AH5:AH6"/>
    <mergeCell ref="AI5:AI6"/>
    <mergeCell ref="AJ5:AK5"/>
    <mergeCell ref="AG5:AG6"/>
    <mergeCell ref="AE5:AE6"/>
    <mergeCell ref="AC5:AC6"/>
    <mergeCell ref="AF5:AF6"/>
    <mergeCell ref="O5:O6"/>
    <mergeCell ref="G5:G6"/>
    <mergeCell ref="K5:K6"/>
    <mergeCell ref="Q5:Q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46</v>
      </c>
    </row>
    <row r="7" spans="1:3">
      <c r="B7" t="s">
        <v>45</v>
      </c>
      <c r="C7" t="s">
        <v>44</v>
      </c>
    </row>
    <row r="8" spans="1:3">
      <c r="A8" t="s">
        <v>42</v>
      </c>
      <c r="B8" s="4">
        <v>14667.23</v>
      </c>
      <c r="C8" s="4">
        <f>+B8/24</f>
        <v>611.13458333333335</v>
      </c>
    </row>
    <row r="9" spans="1:3">
      <c r="A9" t="s">
        <v>43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24</v>
      </c>
      <c r="B1" s="1"/>
    </row>
    <row r="2" spans="1:7" ht="18">
      <c r="A2" s="2" t="s">
        <v>25</v>
      </c>
      <c r="B2" s="2"/>
    </row>
    <row r="3" spans="1:7" ht="15">
      <c r="A3" s="3" t="s">
        <v>47</v>
      </c>
      <c r="B3" s="3"/>
    </row>
    <row r="5" spans="1:7">
      <c r="C5" s="4">
        <v>73.400000000000006</v>
      </c>
      <c r="D5" s="11" t="s">
        <v>53</v>
      </c>
    </row>
    <row r="6" spans="1:7" ht="15">
      <c r="A6" s="5" t="s">
        <v>5</v>
      </c>
      <c r="B6" s="5" t="s">
        <v>50</v>
      </c>
      <c r="C6" s="6" t="s">
        <v>48</v>
      </c>
      <c r="G6" s="4">
        <v>316.81</v>
      </c>
    </row>
    <row r="7" spans="1:7" ht="15">
      <c r="A7" s="5" t="s">
        <v>10</v>
      </c>
      <c r="B7" s="5" t="s">
        <v>52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23</v>
      </c>
      <c r="B8" s="10" t="s">
        <v>51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22</v>
      </c>
      <c r="B9" s="5" t="s">
        <v>52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52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52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51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51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52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52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52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52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52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54</v>
      </c>
    </row>
    <row r="19" spans="1:7" ht="15">
      <c r="A19" s="5" t="s">
        <v>8</v>
      </c>
      <c r="B19" s="5" t="s">
        <v>52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49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51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52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20</v>
      </c>
      <c r="B23" s="5" t="s">
        <v>52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52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21</v>
      </c>
      <c r="B25" s="5" t="s">
        <v>52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52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41" customWidth="1"/>
    <col min="2" max="2" width="39.140625" style="41" customWidth="1"/>
    <col min="3" max="3" width="8.140625" style="41" bestFit="1" customWidth="1"/>
    <col min="4" max="4" width="8.85546875" style="41" customWidth="1"/>
    <col min="5" max="5" width="31.5703125" style="41" customWidth="1"/>
    <col min="6" max="6" width="20.140625" style="41" bestFit="1" customWidth="1"/>
    <col min="7" max="7" width="13" style="41" bestFit="1" customWidth="1"/>
    <col min="8" max="8" width="11.7109375" style="41" customWidth="1"/>
    <col min="9" max="9" width="17.140625" style="23" customWidth="1"/>
    <col min="10" max="10" width="11.7109375" style="41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41" hidden="1" customWidth="1"/>
    <col min="39" max="39" width="13.85546875" style="41" customWidth="1"/>
    <col min="40" max="40" width="38.28515625" style="41" bestFit="1" customWidth="1"/>
    <col min="41" max="54" width="11.5703125" style="39"/>
    <col min="55" max="16384" width="11.5703125" style="41"/>
  </cols>
  <sheetData>
    <row r="1" spans="1:194" s="17" customFormat="1">
      <c r="A1" s="12" t="s">
        <v>24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100"/>
      <c r="AJ1" s="100"/>
      <c r="AK1" s="100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76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100"/>
      <c r="AJ2" s="100"/>
      <c r="AK2" s="100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304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100"/>
      <c r="AJ3" s="100"/>
      <c r="AK3" s="100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303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230" t="s">
        <v>39</v>
      </c>
      <c r="B5" s="232" t="s">
        <v>40</v>
      </c>
      <c r="C5" s="230"/>
      <c r="D5" s="232" t="s">
        <v>41</v>
      </c>
      <c r="E5" s="232" t="s">
        <v>0</v>
      </c>
      <c r="F5" s="230" t="s">
        <v>246</v>
      </c>
      <c r="G5" s="234" t="s">
        <v>67</v>
      </c>
      <c r="H5" s="234" t="s">
        <v>65</v>
      </c>
      <c r="I5" s="236" t="s">
        <v>66</v>
      </c>
      <c r="J5" s="228" t="s">
        <v>68</v>
      </c>
      <c r="K5" s="234" t="s">
        <v>34</v>
      </c>
      <c r="L5" s="228" t="s">
        <v>75</v>
      </c>
      <c r="M5" s="154"/>
      <c r="N5" s="234" t="s">
        <v>35</v>
      </c>
      <c r="O5" s="234" t="s">
        <v>36</v>
      </c>
      <c r="P5" s="234" t="s">
        <v>63</v>
      </c>
      <c r="Q5" s="234" t="s">
        <v>37</v>
      </c>
      <c r="R5" s="234" t="s">
        <v>38</v>
      </c>
      <c r="S5" s="153"/>
      <c r="T5" s="238" t="s">
        <v>186</v>
      </c>
      <c r="U5" s="238" t="s">
        <v>213</v>
      </c>
      <c r="V5" s="238" t="s">
        <v>212</v>
      </c>
      <c r="W5" s="238" t="s">
        <v>187</v>
      </c>
      <c r="X5" s="234" t="s">
        <v>30</v>
      </c>
      <c r="Y5" s="234" t="s">
        <v>56</v>
      </c>
      <c r="Z5" s="234" t="s">
        <v>55</v>
      </c>
      <c r="AA5" s="234" t="s">
        <v>32</v>
      </c>
      <c r="AB5" s="234" t="s">
        <v>64</v>
      </c>
      <c r="AC5" s="234" t="s">
        <v>27</v>
      </c>
      <c r="AD5" s="234" t="s">
        <v>31</v>
      </c>
      <c r="AE5" s="234" t="s">
        <v>26</v>
      </c>
      <c r="AF5" s="234" t="s">
        <v>28</v>
      </c>
      <c r="AG5" s="152"/>
      <c r="AH5" s="234" t="s">
        <v>29</v>
      </c>
      <c r="AI5" s="253" t="s">
        <v>190</v>
      </c>
      <c r="AJ5" s="254"/>
      <c r="AK5" s="245" t="s">
        <v>191</v>
      </c>
      <c r="AL5" s="241" t="s">
        <v>257</v>
      </c>
      <c r="AM5" s="150"/>
      <c r="AN5" s="241" t="s">
        <v>258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66" customFormat="1" ht="39" customHeight="1">
      <c r="A6" s="231"/>
      <c r="B6" s="233"/>
      <c r="C6" s="231"/>
      <c r="D6" s="233"/>
      <c r="E6" s="233"/>
      <c r="F6" s="231"/>
      <c r="G6" s="235"/>
      <c r="H6" s="235"/>
      <c r="I6" s="237"/>
      <c r="J6" s="229"/>
      <c r="K6" s="235"/>
      <c r="L6" s="229"/>
      <c r="M6" s="155" t="s">
        <v>288</v>
      </c>
      <c r="N6" s="235"/>
      <c r="O6" s="235"/>
      <c r="P6" s="235"/>
      <c r="Q6" s="235"/>
      <c r="R6" s="235"/>
      <c r="S6" s="104" t="s">
        <v>276</v>
      </c>
      <c r="T6" s="239"/>
      <c r="U6" s="239"/>
      <c r="V6" s="239"/>
      <c r="W6" s="239"/>
      <c r="X6" s="235"/>
      <c r="Y6" s="235"/>
      <c r="Z6" s="235"/>
      <c r="AA6" s="235"/>
      <c r="AB6" s="235"/>
      <c r="AC6" s="235"/>
      <c r="AD6" s="235"/>
      <c r="AE6" s="235"/>
      <c r="AF6" s="235"/>
      <c r="AG6" s="153"/>
      <c r="AH6" s="235"/>
      <c r="AI6" s="105" t="s">
        <v>66</v>
      </c>
      <c r="AJ6" s="105" t="s">
        <v>68</v>
      </c>
      <c r="AK6" s="245"/>
      <c r="AL6" s="241"/>
      <c r="AM6" s="150" t="s">
        <v>305</v>
      </c>
      <c r="AN6" s="241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194">
      <c r="AH7" s="24" t="e">
        <f>#REF!*0.16</f>
        <v>#REF!</v>
      </c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</row>
    <row r="8" spans="1:194">
      <c r="A8" s="242" t="s">
        <v>292</v>
      </c>
      <c r="B8" s="242"/>
      <c r="C8" s="151"/>
      <c r="D8" s="110"/>
      <c r="E8" s="110"/>
      <c r="F8" s="110"/>
      <c r="G8" s="110"/>
      <c r="H8" s="110"/>
      <c r="I8" s="112"/>
      <c r="J8" s="110"/>
      <c r="K8" s="112"/>
      <c r="L8" s="112"/>
      <c r="M8" s="112"/>
      <c r="N8" s="112"/>
      <c r="O8" s="112"/>
      <c r="P8" s="112"/>
      <c r="Q8" s="141"/>
      <c r="R8" s="112"/>
      <c r="S8" s="112"/>
      <c r="T8" s="128"/>
      <c r="U8" s="128"/>
      <c r="V8" s="128"/>
      <c r="W8" s="128"/>
      <c r="X8" s="112"/>
      <c r="Y8" s="112"/>
      <c r="Z8" s="112"/>
      <c r="AA8" s="112"/>
      <c r="AB8" s="141"/>
      <c r="AC8" s="112"/>
      <c r="AD8" s="141"/>
      <c r="AE8" s="112"/>
      <c r="AF8" s="112"/>
      <c r="AG8" s="112"/>
      <c r="AH8" s="141" t="e">
        <f>+#REF!+AH7</f>
        <v>#REF!</v>
      </c>
      <c r="AI8" s="143"/>
      <c r="AJ8" s="143"/>
      <c r="AK8" s="143"/>
      <c r="AL8" s="110"/>
      <c r="AM8" s="110"/>
      <c r="AN8" s="110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</row>
    <row r="9" spans="1:194" hidden="1">
      <c r="A9" s="129"/>
      <c r="B9" s="110" t="s">
        <v>293</v>
      </c>
      <c r="C9" s="110"/>
      <c r="D9" s="111"/>
      <c r="E9" s="110"/>
      <c r="F9" s="110"/>
      <c r="G9" s="110"/>
      <c r="H9" s="110"/>
      <c r="I9" s="112"/>
      <c r="J9" s="110"/>
      <c r="K9" s="112"/>
      <c r="L9" s="156">
        <v>533.29999999999995</v>
      </c>
      <c r="M9" s="112"/>
      <c r="N9" s="112"/>
      <c r="O9" s="112"/>
      <c r="P9" s="112"/>
      <c r="Q9" s="115">
        <f>SUM(K9:P9)</f>
        <v>533.29999999999995</v>
      </c>
      <c r="R9" s="116"/>
      <c r="S9" s="116"/>
      <c r="T9" s="128"/>
      <c r="U9" s="126">
        <f>Q9*4.9%</f>
        <v>26.131699999999999</v>
      </c>
      <c r="V9" s="126">
        <f>Q9*1%</f>
        <v>5.3329999999999993</v>
      </c>
      <c r="W9" s="128"/>
      <c r="X9" s="145"/>
      <c r="Y9" s="145"/>
      <c r="Z9" s="145"/>
      <c r="AA9" s="145"/>
      <c r="AB9" s="115">
        <f>+Q9-R9</f>
        <v>533.29999999999995</v>
      </c>
      <c r="AC9" s="120">
        <f>+AB9*0.05</f>
        <v>26.664999999999999</v>
      </c>
      <c r="AD9" s="115">
        <f>+AB9-X9-AA9</f>
        <v>533.29999999999995</v>
      </c>
      <c r="AE9" s="121">
        <f>IF(AB9&lt;3000,AB9*0.1,0)</f>
        <v>53.33</v>
      </c>
      <c r="AF9" s="120">
        <v>0</v>
      </c>
      <c r="AG9" s="120"/>
      <c r="AH9" s="115">
        <f>+AB9+AE9+AF9</f>
        <v>586.63</v>
      </c>
      <c r="AI9" s="146"/>
      <c r="AJ9" s="146"/>
      <c r="AK9" s="146"/>
      <c r="AL9" s="110"/>
      <c r="AM9" s="110"/>
      <c r="AN9" s="110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</row>
    <row r="10" spans="1:194">
      <c r="AH10" s="24">
        <f>SUM(AH9:AH9)</f>
        <v>586.63</v>
      </c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</row>
    <row r="11" spans="1:194">
      <c r="B11" s="55"/>
      <c r="C11" s="55"/>
      <c r="D11" s="55"/>
      <c r="AH11" s="24">
        <f>+AH10*0.16</f>
        <v>93.860799999999998</v>
      </c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</row>
    <row r="12" spans="1:194">
      <c r="B12" s="55"/>
      <c r="C12" s="55"/>
      <c r="D12" s="55"/>
      <c r="AH12" s="24">
        <f>+AH10+AH11</f>
        <v>680.49080000000004</v>
      </c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</row>
    <row r="13" spans="1:194">
      <c r="B13" s="55"/>
      <c r="C13" s="55"/>
      <c r="D13" s="55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</row>
    <row r="14" spans="1:194">
      <c r="B14" s="55"/>
      <c r="C14" s="55"/>
      <c r="D14" s="55"/>
      <c r="AH14" s="24" t="e">
        <f>+AH8+AH12</f>
        <v>#REF!</v>
      </c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</row>
    <row r="15" spans="1:194"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</row>
    <row r="16" spans="1:194"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</row>
    <row r="17" spans="55:194"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</row>
    <row r="18" spans="55:194"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</row>
    <row r="19" spans="55:194"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AH5:AH6"/>
    <mergeCell ref="AI5:AJ5"/>
    <mergeCell ref="AK5:AK6"/>
    <mergeCell ref="AL5:AL6"/>
    <mergeCell ref="AN5:AN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E5:AE6"/>
    <mergeCell ref="AF5:AF6"/>
    <mergeCell ref="U5:U6"/>
    <mergeCell ref="V5:V6"/>
    <mergeCell ref="W5:W6"/>
    <mergeCell ref="X5:X6"/>
    <mergeCell ref="Y5:Y6"/>
    <mergeCell ref="Z5:Z6"/>
    <mergeCell ref="L5:L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NOMINA COM</vt:lpstr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2016-05-16T17:08:53Z</dcterms:modified>
</cp:coreProperties>
</file>