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COM'!$A$5:$AM$97</definedName>
  </definedNames>
  <calcPr calcId="124519"/>
</workbook>
</file>

<file path=xl/calcChain.xml><?xml version="1.0" encoding="utf-8"?>
<calcChain xmlns="http://schemas.openxmlformats.org/spreadsheetml/2006/main">
  <c r="L103" i="4"/>
  <c r="L74"/>
  <c r="L53"/>
  <c r="L22" l="1"/>
  <c r="L15"/>
  <c r="L62"/>
  <c r="L66"/>
  <c r="L50"/>
  <c r="L71"/>
  <c r="L26"/>
  <c r="L48"/>
  <c r="L72"/>
  <c r="L96"/>
  <c r="L24"/>
  <c r="L30"/>
  <c r="L88"/>
  <c r="L85"/>
  <c r="L89"/>
  <c r="L69"/>
  <c r="L10"/>
  <c r="L38"/>
  <c r="L12"/>
  <c r="L73"/>
  <c r="L78"/>
  <c r="L49"/>
  <c r="L31"/>
  <c r="L64"/>
  <c r="L79"/>
  <c r="L19"/>
  <c r="L93"/>
  <c r="L63"/>
  <c r="L9"/>
  <c r="L47"/>
  <c r="L84"/>
  <c r="L46"/>
  <c r="L102"/>
  <c r="K70" l="1"/>
  <c r="K88" l="1"/>
  <c r="K78"/>
  <c r="K62"/>
  <c r="K49"/>
  <c r="K12"/>
  <c r="K26"/>
  <c r="AG29" l="1"/>
  <c r="K29"/>
  <c r="Q29" s="1"/>
  <c r="AE29" l="1"/>
  <c r="AH29" s="1"/>
  <c r="AC29"/>
  <c r="AB29"/>
  <c r="K81"/>
  <c r="AD29" l="1"/>
  <c r="I58"/>
  <c r="K58" s="1"/>
  <c r="AK29" l="1"/>
  <c r="K51"/>
  <c r="AG16" l="1"/>
  <c r="AG74"/>
  <c r="K16" l="1"/>
  <c r="Q16" s="1"/>
  <c r="AG70"/>
  <c r="Q70"/>
  <c r="AG40"/>
  <c r="K40"/>
  <c r="Q40" s="1"/>
  <c r="AG50"/>
  <c r="K50"/>
  <c r="Q50" s="1"/>
  <c r="AG67"/>
  <c r="K67"/>
  <c r="Q67" s="1"/>
  <c r="AB67" l="1"/>
  <c r="AE67"/>
  <c r="AH67" s="1"/>
  <c r="AC40"/>
  <c r="AB40"/>
  <c r="AE40"/>
  <c r="AH40" s="1"/>
  <c r="AE16"/>
  <c r="AH16" s="1"/>
  <c r="AB16"/>
  <c r="AC16"/>
  <c r="AE50"/>
  <c r="AH50" s="1"/>
  <c r="AB50"/>
  <c r="AC70"/>
  <c r="AE70"/>
  <c r="AH70" s="1"/>
  <c r="AB70"/>
  <c r="AC67"/>
  <c r="AC50"/>
  <c r="AG107"/>
  <c r="K107"/>
  <c r="Q107" s="1"/>
  <c r="AD50" l="1"/>
  <c r="AK50" s="1"/>
  <c r="AD40"/>
  <c r="AD16"/>
  <c r="AK16" s="1"/>
  <c r="AD67"/>
  <c r="AK67" s="1"/>
  <c r="AD70"/>
  <c r="AK70" s="1"/>
  <c r="AK40"/>
  <c r="AE107"/>
  <c r="AH107" s="1"/>
  <c r="AB107"/>
  <c r="AC107"/>
  <c r="AD107" l="1"/>
  <c r="AK107" s="1"/>
  <c r="K37"/>
  <c r="K84"/>
  <c r="K72"/>
  <c r="AG87" l="1"/>
  <c r="K87"/>
  <c r="Q87" s="1"/>
  <c r="Q37"/>
  <c r="AE37" s="1"/>
  <c r="AB87" l="1"/>
  <c r="AE87"/>
  <c r="AH87" s="1"/>
  <c r="AC87"/>
  <c r="AB37"/>
  <c r="AD87" l="1"/>
  <c r="AK87" s="1"/>
  <c r="K10" l="1"/>
  <c r="K33" l="1"/>
  <c r="AK97"/>
  <c r="Q9" i="5" l="1"/>
  <c r="V9" s="1"/>
  <c r="AG33" i="4"/>
  <c r="Q33"/>
  <c r="AE33" l="1"/>
  <c r="AH33" s="1"/>
  <c r="AB33"/>
  <c r="U9" i="5"/>
  <c r="AB9"/>
  <c r="AC33" i="4"/>
  <c r="AD33" l="1"/>
  <c r="AK33" s="1"/>
  <c r="AE9" i="5"/>
  <c r="AH9" s="1"/>
  <c r="AH10" s="1"/>
  <c r="AC9"/>
  <c r="AD9"/>
  <c r="AH11" l="1"/>
  <c r="AH12" s="1"/>
  <c r="AH7" l="1"/>
  <c r="AH8" s="1"/>
  <c r="AH14" s="1"/>
  <c r="Q97" i="4" l="1"/>
  <c r="AC97" s="1"/>
  <c r="K57"/>
  <c r="Q57" s="1"/>
  <c r="K76"/>
  <c r="Q76" s="1"/>
  <c r="AC76" s="1"/>
  <c r="AG76"/>
  <c r="AG57"/>
  <c r="AB57" l="1"/>
  <c r="AC57"/>
  <c r="AE57"/>
  <c r="AH57" s="1"/>
  <c r="AE76"/>
  <c r="AH76" s="1"/>
  <c r="AB76"/>
  <c r="AD57" l="1"/>
  <c r="AK57" s="1"/>
  <c r="AD76"/>
  <c r="AK76" s="1"/>
  <c r="AG68"/>
  <c r="AG23"/>
  <c r="AG56" l="1"/>
  <c r="AG58" l="1"/>
  <c r="Q58"/>
  <c r="AC58" s="1"/>
  <c r="AE58" l="1"/>
  <c r="AH58" s="1"/>
  <c r="AB58"/>
  <c r="K73"/>
  <c r="Q73" s="1"/>
  <c r="AC73" s="1"/>
  <c r="K68"/>
  <c r="Q68" s="1"/>
  <c r="AC68" s="1"/>
  <c r="AD58" l="1"/>
  <c r="AK58" s="1"/>
  <c r="AB68"/>
  <c r="AE68"/>
  <c r="AH68" s="1"/>
  <c r="K23"/>
  <c r="Q23" s="1"/>
  <c r="AC23" s="1"/>
  <c r="AG97"/>
  <c r="AG59"/>
  <c r="AG37"/>
  <c r="AH37" s="1"/>
  <c r="AG90"/>
  <c r="AG96"/>
  <c r="AG94"/>
  <c r="AG95"/>
  <c r="AG92"/>
  <c r="AG91"/>
  <c r="AG89"/>
  <c r="AG88"/>
  <c r="AG86"/>
  <c r="AG85"/>
  <c r="AG82"/>
  <c r="AG81"/>
  <c r="AG80"/>
  <c r="AG79"/>
  <c r="AG78"/>
  <c r="AG77"/>
  <c r="AG71"/>
  <c r="AG69"/>
  <c r="AG66"/>
  <c r="AG65"/>
  <c r="AG62"/>
  <c r="AG60"/>
  <c r="AG55"/>
  <c r="AG54"/>
  <c r="AG53"/>
  <c r="AG52"/>
  <c r="AG49"/>
  <c r="AG48"/>
  <c r="AG51"/>
  <c r="AG44"/>
  <c r="AG43"/>
  <c r="AG42"/>
  <c r="AG41"/>
  <c r="AG39"/>
  <c r="AG38"/>
  <c r="AG36"/>
  <c r="AG35"/>
  <c r="AG34"/>
  <c r="AG32"/>
  <c r="AG28"/>
  <c r="AG27"/>
  <c r="AG26"/>
  <c r="AG25"/>
  <c r="AG24"/>
  <c r="AG22"/>
  <c r="AG20"/>
  <c r="AG18"/>
  <c r="AG17"/>
  <c r="AG13"/>
  <c r="AG14"/>
  <c r="AG12"/>
  <c r="AG11"/>
  <c r="AG10"/>
  <c r="AG8"/>
  <c r="AG7"/>
  <c r="AD68" l="1"/>
  <c r="AK68" s="1"/>
  <c r="AE23"/>
  <c r="AH23" s="1"/>
  <c r="AB23"/>
  <c r="U73"/>
  <c r="AG73" s="1"/>
  <c r="AE73"/>
  <c r="V73"/>
  <c r="K59"/>
  <c r="Q59" s="1"/>
  <c r="AC59" s="1"/>
  <c r="AD23" l="1"/>
  <c r="AK23" s="1"/>
  <c r="AH73"/>
  <c r="AB73"/>
  <c r="AD73" s="1"/>
  <c r="AK73" s="1"/>
  <c r="AE59"/>
  <c r="AH59" s="1"/>
  <c r="AB59"/>
  <c r="AE97"/>
  <c r="AH97" s="1"/>
  <c r="K56"/>
  <c r="Q56" s="1"/>
  <c r="AC56" s="1"/>
  <c r="K71"/>
  <c r="Q71" s="1"/>
  <c r="AC71" s="1"/>
  <c r="AD59" l="1"/>
  <c r="AK59" s="1"/>
  <c r="AE56"/>
  <c r="AH56" s="1"/>
  <c r="AB56"/>
  <c r="AE71"/>
  <c r="AH71" s="1"/>
  <c r="AF99"/>
  <c r="AB71"/>
  <c r="Q103"/>
  <c r="Q102"/>
  <c r="AJ99"/>
  <c r="AI99"/>
  <c r="X99"/>
  <c r="W99"/>
  <c r="R99"/>
  <c r="P99"/>
  <c r="O99"/>
  <c r="N99"/>
  <c r="AC37"/>
  <c r="AD37" s="1"/>
  <c r="K90"/>
  <c r="Q90" s="1"/>
  <c r="AC90" s="1"/>
  <c r="K74"/>
  <c r="Q74" s="1"/>
  <c r="AB74" s="1"/>
  <c r="K96"/>
  <c r="Q96" s="1"/>
  <c r="AC96" s="1"/>
  <c r="K94"/>
  <c r="K95"/>
  <c r="Q95" s="1"/>
  <c r="AC95" s="1"/>
  <c r="K93"/>
  <c r="Q93" s="1"/>
  <c r="AC93" s="1"/>
  <c r="K92"/>
  <c r="Q92" s="1"/>
  <c r="AC92" s="1"/>
  <c r="K91"/>
  <c r="K89"/>
  <c r="Q89" s="1"/>
  <c r="AC89" s="1"/>
  <c r="Q88"/>
  <c r="AC88" s="1"/>
  <c r="K86"/>
  <c r="Q86" s="1"/>
  <c r="AC86" s="1"/>
  <c r="K85"/>
  <c r="Q85" s="1"/>
  <c r="AC85" s="1"/>
  <c r="Q84"/>
  <c r="AC84" s="1"/>
  <c r="K83"/>
  <c r="Q83" s="1"/>
  <c r="AC83" s="1"/>
  <c r="K82"/>
  <c r="Q82" s="1"/>
  <c r="AC82" s="1"/>
  <c r="Q81"/>
  <c r="AC81" s="1"/>
  <c r="K80"/>
  <c r="Q80" s="1"/>
  <c r="AC80" s="1"/>
  <c r="K79"/>
  <c r="Q79" s="1"/>
  <c r="AC79" s="1"/>
  <c r="Q78"/>
  <c r="AC78" s="1"/>
  <c r="K77"/>
  <c r="Q77" s="1"/>
  <c r="AC77" s="1"/>
  <c r="K75"/>
  <c r="Q75" s="1"/>
  <c r="AC75" s="1"/>
  <c r="Q72"/>
  <c r="AC72" s="1"/>
  <c r="K69"/>
  <c r="Q69" s="1"/>
  <c r="AC69" s="1"/>
  <c r="K66"/>
  <c r="Q66" s="1"/>
  <c r="AC66" s="1"/>
  <c r="K65"/>
  <c r="Q65" s="1"/>
  <c r="AC65" s="1"/>
  <c r="K64"/>
  <c r="Q64" s="1"/>
  <c r="AC64" s="1"/>
  <c r="K63"/>
  <c r="Q63" s="1"/>
  <c r="AC63" s="1"/>
  <c r="Q62"/>
  <c r="AC62" s="1"/>
  <c r="K61"/>
  <c r="Q61" s="1"/>
  <c r="AC61" s="1"/>
  <c r="K60"/>
  <c r="Q60" s="1"/>
  <c r="AC60" s="1"/>
  <c r="K55"/>
  <c r="Q55" s="1"/>
  <c r="AC55" s="1"/>
  <c r="K54"/>
  <c r="Q54" s="1"/>
  <c r="AC54" s="1"/>
  <c r="K53"/>
  <c r="Q53" s="1"/>
  <c r="AC53" s="1"/>
  <c r="K52"/>
  <c r="Q52" s="1"/>
  <c r="AC52" s="1"/>
  <c r="Q49"/>
  <c r="K48"/>
  <c r="Q48" s="1"/>
  <c r="AC48" s="1"/>
  <c r="K47"/>
  <c r="Q47" s="1"/>
  <c r="AC47" s="1"/>
  <c r="K46"/>
  <c r="Q46" s="1"/>
  <c r="AC46" s="1"/>
  <c r="K45"/>
  <c r="Q45" s="1"/>
  <c r="AC45" s="1"/>
  <c r="Q51"/>
  <c r="AC51" s="1"/>
  <c r="K44"/>
  <c r="Q44" s="1"/>
  <c r="AC44" s="1"/>
  <c r="K43"/>
  <c r="Q43" s="1"/>
  <c r="AC43" s="1"/>
  <c r="K42"/>
  <c r="Q42" s="1"/>
  <c r="AC42" s="1"/>
  <c r="K41"/>
  <c r="Q41" s="1"/>
  <c r="AC41" s="1"/>
  <c r="K39"/>
  <c r="Q39" s="1"/>
  <c r="AC39" s="1"/>
  <c r="K38"/>
  <c r="Q38" s="1"/>
  <c r="AC38" s="1"/>
  <c r="K36"/>
  <c r="K35"/>
  <c r="K34"/>
  <c r="Q34" s="1"/>
  <c r="AC34" s="1"/>
  <c r="K32"/>
  <c r="Q32" s="1"/>
  <c r="AC32" s="1"/>
  <c r="K31"/>
  <c r="Q31" s="1"/>
  <c r="AC31" s="1"/>
  <c r="K30"/>
  <c r="Q30" s="1"/>
  <c r="AC30" s="1"/>
  <c r="K28"/>
  <c r="K27"/>
  <c r="Q27" s="1"/>
  <c r="AC27" s="1"/>
  <c r="Q26"/>
  <c r="AC26" s="1"/>
  <c r="K25"/>
  <c r="Q25" s="1"/>
  <c r="AC25" s="1"/>
  <c r="K24"/>
  <c r="Q24" s="1"/>
  <c r="AC24" s="1"/>
  <c r="K22"/>
  <c r="Q22" s="1"/>
  <c r="AC22" s="1"/>
  <c r="K21"/>
  <c r="Q21" s="1"/>
  <c r="AC21" s="1"/>
  <c r="K20"/>
  <c r="Q20" s="1"/>
  <c r="AC20" s="1"/>
  <c r="K19"/>
  <c r="Q19" s="1"/>
  <c r="AC19" s="1"/>
  <c r="K18"/>
  <c r="K17"/>
  <c r="Q17" s="1"/>
  <c r="AC17" s="1"/>
  <c r="K15"/>
  <c r="Q15" s="1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B103" l="1"/>
  <c r="AE103" s="1"/>
  <c r="AC74"/>
  <c r="AE74"/>
  <c r="AH74" s="1"/>
  <c r="Q18"/>
  <c r="AC18" s="1"/>
  <c r="Q35"/>
  <c r="AC35" s="1"/>
  <c r="Q91"/>
  <c r="AC91" s="1"/>
  <c r="Q94"/>
  <c r="AC94" s="1"/>
  <c r="Q13"/>
  <c r="AE13" s="1"/>
  <c r="AH13" s="1"/>
  <c r="Q36"/>
  <c r="AC36" s="1"/>
  <c r="AC49"/>
  <c r="V102"/>
  <c r="U102"/>
  <c r="Y99"/>
  <c r="Q28"/>
  <c r="AC28" s="1"/>
  <c r="AD56"/>
  <c r="AK56" s="1"/>
  <c r="AD71"/>
  <c r="AK71" s="1"/>
  <c r="V46"/>
  <c r="U46"/>
  <c r="AG46" s="1"/>
  <c r="AE10"/>
  <c r="AH10" s="1"/>
  <c r="AE14"/>
  <c r="AH14" s="1"/>
  <c r="AE17"/>
  <c r="AH17" s="1"/>
  <c r="AE20"/>
  <c r="AH20" s="1"/>
  <c r="AE27"/>
  <c r="AH27" s="1"/>
  <c r="AE32"/>
  <c r="AH32" s="1"/>
  <c r="AE42"/>
  <c r="AH42" s="1"/>
  <c r="AE51"/>
  <c r="AH51" s="1"/>
  <c r="AE48"/>
  <c r="AH48" s="1"/>
  <c r="AE54"/>
  <c r="AH54" s="1"/>
  <c r="AE61"/>
  <c r="AE65"/>
  <c r="AH65" s="1"/>
  <c r="AE86"/>
  <c r="AH86" s="1"/>
  <c r="AE89"/>
  <c r="AH89" s="1"/>
  <c r="AE95"/>
  <c r="AH95" s="1"/>
  <c r="AE90"/>
  <c r="AH90" s="1"/>
  <c r="AE21"/>
  <c r="AE24"/>
  <c r="AH24" s="1"/>
  <c r="AE38"/>
  <c r="AH38" s="1"/>
  <c r="AE45"/>
  <c r="AE49"/>
  <c r="AH49" s="1"/>
  <c r="AE55"/>
  <c r="AH55" s="1"/>
  <c r="AE62"/>
  <c r="AH62" s="1"/>
  <c r="AB66"/>
  <c r="AE66"/>
  <c r="AH66" s="1"/>
  <c r="AE75"/>
  <c r="AE83"/>
  <c r="AE8"/>
  <c r="AH8" s="1"/>
  <c r="AE11"/>
  <c r="AH11" s="1"/>
  <c r="AE15"/>
  <c r="AE25"/>
  <c r="AH25" s="1"/>
  <c r="U30"/>
  <c r="AG30" s="1"/>
  <c r="AE30"/>
  <c r="AE34"/>
  <c r="AH34" s="1"/>
  <c r="AE46"/>
  <c r="AE52"/>
  <c r="AH52" s="1"/>
  <c r="AE63"/>
  <c r="AE69"/>
  <c r="AH69" s="1"/>
  <c r="AE77"/>
  <c r="AH77" s="1"/>
  <c r="AE80"/>
  <c r="AH80" s="1"/>
  <c r="V84"/>
  <c r="AE84"/>
  <c r="AE92"/>
  <c r="AH92" s="1"/>
  <c r="AE96"/>
  <c r="AH96" s="1"/>
  <c r="AE9"/>
  <c r="AE12"/>
  <c r="AH12" s="1"/>
  <c r="AE19"/>
  <c r="AE26"/>
  <c r="AH26" s="1"/>
  <c r="AE31"/>
  <c r="V47"/>
  <c r="AE47"/>
  <c r="AE60"/>
  <c r="AH60" s="1"/>
  <c r="AE64"/>
  <c r="AE72"/>
  <c r="AE78"/>
  <c r="AH78" s="1"/>
  <c r="AE81"/>
  <c r="AH81" s="1"/>
  <c r="AE85"/>
  <c r="AH85" s="1"/>
  <c r="AE88"/>
  <c r="AH88" s="1"/>
  <c r="AE93"/>
  <c r="Z99"/>
  <c r="AB12"/>
  <c r="AB51"/>
  <c r="AD51" s="1"/>
  <c r="AK51" s="1"/>
  <c r="AB78"/>
  <c r="U19"/>
  <c r="AG19" s="1"/>
  <c r="AB54"/>
  <c r="V19"/>
  <c r="AB62"/>
  <c r="AK37"/>
  <c r="AB11"/>
  <c r="V45"/>
  <c r="AB55"/>
  <c r="AB85"/>
  <c r="AB92"/>
  <c r="AD92" s="1"/>
  <c r="AK92" s="1"/>
  <c r="AB20"/>
  <c r="U47"/>
  <c r="AG47" s="1"/>
  <c r="AB95"/>
  <c r="AD95" s="1"/>
  <c r="AK95" s="1"/>
  <c r="L99"/>
  <c r="U45"/>
  <c r="AG45" s="1"/>
  <c r="AB10"/>
  <c r="AD10" s="1"/>
  <c r="AK10" s="1"/>
  <c r="AB8"/>
  <c r="AB17"/>
  <c r="AD17" s="1"/>
  <c r="AK17" s="1"/>
  <c r="AB38"/>
  <c r="AB48"/>
  <c r="AD48" s="1"/>
  <c r="AK48" s="1"/>
  <c r="K99"/>
  <c r="Q7"/>
  <c r="AC7" s="1"/>
  <c r="V9"/>
  <c r="V15"/>
  <c r="U15"/>
  <c r="AG15" s="1"/>
  <c r="AB25"/>
  <c r="U31"/>
  <c r="AG31" s="1"/>
  <c r="V31"/>
  <c r="T61"/>
  <c r="U61"/>
  <c r="AG61" s="1"/>
  <c r="U72"/>
  <c r="AG72" s="1"/>
  <c r="V72"/>
  <c r="U75"/>
  <c r="AG75" s="1"/>
  <c r="V75"/>
  <c r="AB88"/>
  <c r="AB90"/>
  <c r="U9"/>
  <c r="AG9" s="1"/>
  <c r="AB14"/>
  <c r="AD14" s="1"/>
  <c r="AK14" s="1"/>
  <c r="AB24"/>
  <c r="AD24" s="1"/>
  <c r="AK24" s="1"/>
  <c r="AB89"/>
  <c r="U21"/>
  <c r="AG21" s="1"/>
  <c r="T21"/>
  <c r="AB60"/>
  <c r="AD60" s="1"/>
  <c r="AK60" s="1"/>
  <c r="AB77"/>
  <c r="AD77" s="1"/>
  <c r="AK77" s="1"/>
  <c r="V63"/>
  <c r="AB26"/>
  <c r="AB32"/>
  <c r="AB52"/>
  <c r="U63"/>
  <c r="AG63" s="1"/>
  <c r="V64"/>
  <c r="U64"/>
  <c r="AG64" s="1"/>
  <c r="AB81"/>
  <c r="U93"/>
  <c r="AG93" s="1"/>
  <c r="AB27"/>
  <c r="AD27" s="1"/>
  <c r="AK27" s="1"/>
  <c r="V30"/>
  <c r="AB34"/>
  <c r="AB42"/>
  <c r="AD42" s="1"/>
  <c r="AK42" s="1"/>
  <c r="V49"/>
  <c r="AB49" s="1"/>
  <c r="AB69"/>
  <c r="AB80"/>
  <c r="U83"/>
  <c r="AG83" s="1"/>
  <c r="V83"/>
  <c r="U84"/>
  <c r="AG84" s="1"/>
  <c r="V93"/>
  <c r="AB65"/>
  <c r="AD65" s="1"/>
  <c r="AK65" s="1"/>
  <c r="AB86"/>
  <c r="AB96"/>
  <c r="AD96" s="1"/>
  <c r="AK96" s="1"/>
  <c r="AB102" l="1"/>
  <c r="AD102"/>
  <c r="AE102"/>
  <c r="AH102" s="1"/>
  <c r="AC102"/>
  <c r="AC103"/>
  <c r="AD103"/>
  <c r="AD74"/>
  <c r="AK74" s="1"/>
  <c r="AB13"/>
  <c r="AC13"/>
  <c r="AB91"/>
  <c r="AD91" s="1"/>
  <c r="AK91" s="1"/>
  <c r="AB36"/>
  <c r="AD36" s="1"/>
  <c r="AK36" s="1"/>
  <c r="AE36"/>
  <c r="AH36" s="1"/>
  <c r="AE91"/>
  <c r="AH91" s="1"/>
  <c r="AE18"/>
  <c r="AH18" s="1"/>
  <c r="AB94"/>
  <c r="AD94" s="1"/>
  <c r="AK94" s="1"/>
  <c r="AE94"/>
  <c r="AH94" s="1"/>
  <c r="AB35"/>
  <c r="AD35" s="1"/>
  <c r="AK35" s="1"/>
  <c r="AE35"/>
  <c r="AH35" s="1"/>
  <c r="AB28"/>
  <c r="AD28" s="1"/>
  <c r="AK28" s="1"/>
  <c r="AD90"/>
  <c r="AK90" s="1"/>
  <c r="AD49"/>
  <c r="AK49" s="1"/>
  <c r="AD38"/>
  <c r="AK38" s="1"/>
  <c r="AD62"/>
  <c r="AK62" s="1"/>
  <c r="AE28"/>
  <c r="AH28" s="1"/>
  <c r="AD34"/>
  <c r="AK34" s="1"/>
  <c r="AD81"/>
  <c r="AK81" s="1"/>
  <c r="AD52"/>
  <c r="AK52" s="1"/>
  <c r="AD55"/>
  <c r="AK55" s="1"/>
  <c r="AD69"/>
  <c r="AK69" s="1"/>
  <c r="AD20"/>
  <c r="AK20" s="1"/>
  <c r="AD8"/>
  <c r="AK8" s="1"/>
  <c r="AD66"/>
  <c r="AK66" s="1"/>
  <c r="AD25"/>
  <c r="AK25" s="1"/>
  <c r="AD88"/>
  <c r="AK88" s="1"/>
  <c r="AD54"/>
  <c r="AK54" s="1"/>
  <c r="AD26"/>
  <c r="AK26" s="1"/>
  <c r="AD85"/>
  <c r="AK85" s="1"/>
  <c r="AD89"/>
  <c r="AK89" s="1"/>
  <c r="AD78"/>
  <c r="AK78" s="1"/>
  <c r="AD80"/>
  <c r="AK80" s="1"/>
  <c r="AD11"/>
  <c r="AK11" s="1"/>
  <c r="AD32"/>
  <c r="AK32" s="1"/>
  <c r="AD12"/>
  <c r="AK12" s="1"/>
  <c r="AD86"/>
  <c r="AK86" s="1"/>
  <c r="AH31"/>
  <c r="AH93"/>
  <c r="AH72"/>
  <c r="AH84"/>
  <c r="AH46"/>
  <c r="AH45"/>
  <c r="AH61"/>
  <c r="AH47"/>
  <c r="AH75"/>
  <c r="AH19"/>
  <c r="AH9"/>
  <c r="AH63"/>
  <c r="AH21"/>
  <c r="AH30"/>
  <c r="AH15"/>
  <c r="AH64"/>
  <c r="AH83"/>
  <c r="AG99"/>
  <c r="AB46"/>
  <c r="AD46" s="1"/>
  <c r="AK46" s="1"/>
  <c r="AB47"/>
  <c r="AD47" s="1"/>
  <c r="AK47" s="1"/>
  <c r="AB84"/>
  <c r="AD84" s="1"/>
  <c r="AK84" s="1"/>
  <c r="AE39"/>
  <c r="AH39" s="1"/>
  <c r="AB18"/>
  <c r="AD18" s="1"/>
  <c r="AK18" s="1"/>
  <c r="AB30"/>
  <c r="AD30" s="1"/>
  <c r="AK30" s="1"/>
  <c r="AB41"/>
  <c r="AE41"/>
  <c r="AH41" s="1"/>
  <c r="AE22"/>
  <c r="AH22" s="1"/>
  <c r="AE82"/>
  <c r="AH82" s="1"/>
  <c r="AB44"/>
  <c r="AE44"/>
  <c r="AH44" s="1"/>
  <c r="AB43"/>
  <c r="AE43"/>
  <c r="AH43" s="1"/>
  <c r="AE7"/>
  <c r="AH7" s="1"/>
  <c r="AB53"/>
  <c r="AE53"/>
  <c r="AH53" s="1"/>
  <c r="AB79"/>
  <c r="AE79"/>
  <c r="AH79" s="1"/>
  <c r="AB19"/>
  <c r="AD19" s="1"/>
  <c r="AK19" s="1"/>
  <c r="AB22"/>
  <c r="AB63"/>
  <c r="AD63" s="1"/>
  <c r="AK63" s="1"/>
  <c r="AB64"/>
  <c r="AD64" s="1"/>
  <c r="AK64" s="1"/>
  <c r="AB45"/>
  <c r="AD45" s="1"/>
  <c r="AK45" s="1"/>
  <c r="AB31"/>
  <c r="AD31" s="1"/>
  <c r="AK31" s="1"/>
  <c r="AB15"/>
  <c r="AD15" s="1"/>
  <c r="AK15" s="1"/>
  <c r="T99"/>
  <c r="AB61"/>
  <c r="AD61" s="1"/>
  <c r="AK61" s="1"/>
  <c r="AB75"/>
  <c r="AD75" s="1"/>
  <c r="AK75" s="1"/>
  <c r="AB93"/>
  <c r="AD93" s="1"/>
  <c r="AK93" s="1"/>
  <c r="AB72"/>
  <c r="AD72" s="1"/>
  <c r="AK72" s="1"/>
  <c r="U99"/>
  <c r="V99"/>
  <c r="AB7"/>
  <c r="Q99"/>
  <c r="AB82"/>
  <c r="AB39"/>
  <c r="AB21"/>
  <c r="AD21" s="1"/>
  <c r="AK21" s="1"/>
  <c r="AB9"/>
  <c r="AD9" s="1"/>
  <c r="AK9" s="1"/>
  <c r="AH103"/>
  <c r="AB83"/>
  <c r="AD83" s="1"/>
  <c r="AK83" s="1"/>
  <c r="AH104" l="1"/>
  <c r="AD13"/>
  <c r="AK13" s="1"/>
  <c r="AD39"/>
  <c r="AK39" s="1"/>
  <c r="AD22"/>
  <c r="AK22" s="1"/>
  <c r="AD43"/>
  <c r="AD41"/>
  <c r="AK41" s="1"/>
  <c r="AD82"/>
  <c r="AK82" s="1"/>
  <c r="AD44"/>
  <c r="AK44" s="1"/>
  <c r="AD53"/>
  <c r="AK53" s="1"/>
  <c r="AD79"/>
  <c r="AK79" s="1"/>
  <c r="AA99"/>
  <c r="AB99"/>
  <c r="AD7"/>
  <c r="AK7" s="1"/>
  <c r="AC99"/>
  <c r="AH99"/>
  <c r="AH105"/>
  <c r="AH106" s="1"/>
  <c r="AE99"/>
  <c r="AK99" l="1"/>
  <c r="AH100"/>
  <c r="AH101" s="1"/>
  <c r="AD99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<sst xmlns="http://schemas.openxmlformats.org/spreadsheetml/2006/main" count="941" uniqueCount="347">
  <si>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</si>
  <si>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</si>
  <si>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</si>
  <si>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</si>
  <si>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</si>
  <si>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</si>
  <si>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</si>
  <si>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</si>
  <si>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</si>
  <si>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</si>
  <si>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</si>
  <si>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</si>
  <si>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</si>
  <si>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</si>
  <si>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</si>
  <si>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</si>
  <si>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</si>
  <si>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</si>
  <si>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</si>
  <si>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</si>
  <si>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</si>
  <si>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</si>
  <si>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</si>
  <si>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</si>
  <si>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</si>
  <si>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</si>
  <si>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</si>
  <si>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</si>
  <si>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</si>
  <si>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</si>
  <si>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</si>
  <si>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</si>
  <si>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</si>
  <si>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</si>
  <si>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</si>
  <si>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</si>
  <si>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</si>
  <si>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</si>
  <si>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</si>
  <si>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</si>
  <si>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</si>
  <si>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</si>
  <si>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</si>
  <si>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</si>
  <si>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</si>
  <si>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</si>
  <si>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</si>
  <si>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</si>
  <si>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</si>
  <si>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</si>
  <si>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</si>
  <si>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</si>
  <si>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</si>
  <si>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</si>
  <si>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</si>
  <si>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</si>
  <si>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</si>
  <si>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</si>
  <si>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</si>
  <si>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</si>
  <si>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</si>
  <si>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</si>
  <si>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</si>
  <si>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</si>
  <si>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</si>
  <si>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</si>
  <si>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</si>
  <si>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</si>
  <si>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</si>
  <si>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</si>
  <si>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</si>
  <si>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</si>
  <si>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</si>
  <si>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</si>
  <si>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</si>
  <si>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</si>
  <si>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</si>
  <si>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</si>
  <si>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</si>
  <si>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</si>
  <si>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</si>
  <si>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</si>
  <si>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</si>
  <si>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</si>
  <si>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</si>
  <si>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</si>
  <si>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</si>
  <si>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</si>
  <si>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</si>
  <si>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</si>
  <si>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</si>
  <si>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</si>
  <si>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</si>
  <si>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</si>
  <si>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</si>
  <si>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</si>
  <si>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</si>
  <si>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</si>
  <si>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</si>
  <si>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</si>
  <si>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</si>
  <si>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</si>
  <si>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</si>
  <si>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</si>
  <si>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</si>
  <si>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</si>
  <si>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</si>
  <si>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</si>
  <si>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</si>
  <si>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</si>
  <si>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</si>
  <si>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</si>
  <si>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</si>
  <si>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</si>
  <si>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</si>
  <si>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</si>
  <si>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</si>
  <si>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</si>
  <si>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</si>
  <si>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</si>
  <si>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</si>
  <si>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</si>
  <si>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</si>
  <si>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</si>
  <si>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</si>
  <si>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</si>
  <si>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</si>
  <si>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</si>
  <si>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</si>
  <si>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</si>
  <si>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</si>
  <si>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</si>
  <si>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</si>
  <si>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</si>
  <si>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</si>
  <si>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</si>
  <si>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</si>
  <si>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</si>
  <si>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</si>
  <si>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</si>
  <si>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</si>
  <si>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</si>
  <si>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</si>
  <si>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</si>
  <si>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</si>
  <si>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</si>
  <si>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</si>
  <si>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</si>
  <si>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</si>
  <si>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</si>
  <si>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</si>
  <si>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</si>
  <si>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</si>
  <si>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</si>
  <si>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</si>
  <si>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</si>
  <si>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</si>
  <si>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</si>
  <si>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</si>
  <si>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</si>
  <si>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</si>
  <si>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</si>
  <si>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</si>
  <si>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</si>
  <si>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</si>
  <si>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</si>
  <si>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</si>
  <si>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</si>
  <si>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</si>
  <si>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</si>
  <si>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</si>
  <si>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</si>
  <si>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</si>
  <si>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</si>
  <si>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</si>
  <si>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</si>
  <si>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</si>
  <si>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</si>
  <si>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</si>
  <si>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</si>
  <si>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</si>
  <si>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</si>
  <si>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</si>
  <si>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</si>
  <si>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</si>
  <si>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</si>
  <si>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</si>
  <si>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</si>
  <si>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</si>
  <si>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</si>
  <si>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</si>
  <si>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</si>
  <si>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</si>
  <si>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</si>
  <si>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</si>
  <si>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</si>
  <si>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</si>
  <si>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</si>
  <si>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</si>
  <si>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</si>
  <si>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</si>
  <si>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</si>
  <si>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</si>
  <si>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</si>
  <si>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</si>
  <si>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</si>
  <si>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</si>
  <si>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</si>
  <si>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</si>
  <si>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</si>
  <si>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</si>
  <si>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</si>
  <si>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</si>
  <si>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</si>
  <si>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</si>
  <si>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</si>
  <si>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</si>
  <si>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</si>
  <si>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</si>
  <si>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</si>
  <si>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</si>
  <si>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</si>
  <si>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</si>
  <si>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</si>
  <si>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</si>
  <si>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</si>
  <si>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</si>
  <si>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</si>
  <si>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</si>
  <si>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</si>
  <si>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</si>
  <si>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</si>
  <si>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</si>
  <si>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</si>
  <si>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</si>
  <si>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</si>
  <si>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</si>
  <si>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</si>
  <si>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</si>
  <si>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</si>
  <si>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</si>
  <si>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</si>
  <si>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</si>
  <si>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</si>
  <si>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</si>
  <si>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</si>
  <si>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</si>
  <si>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</si>
  <si>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</si>
  <si>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</si>
  <si>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</si>
  <si>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</si>
  <si>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</si>
  <si>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</si>
  <si>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</si>
  <si>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</si>
  <si>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</si>
  <si>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</si>
  <si>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</si>
  <si>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</si>
  <si>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</si>
  <si>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</si>
  <si>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</si>
  <si>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</si>
  <si>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</si>
  <si>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</si>
  <si>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</si>
  <si>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</si>
  <si>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</si>
  <si>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</si>
  <si>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</si>
  <si>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</si>
  <si>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</si>
  <si>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</si>
  <si>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</si>
  <si>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</si>
  <si>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</si>
  <si>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</si>
  <si>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</si>
  <si>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</si>
  <si>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</si>
  <si>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</si>
  <si>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</si>
  <si>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</si>
  <si>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</si>
  <si>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</si>
  <si>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</si>
  <si>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</si>
  <si>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</si>
  <si>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</si>
  <si>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</si>
  <si>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</si>
  <si>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</si>
  <si>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</si>
  <si>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</si>
  <si>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</si>
  <si>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</si>
  <si>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</si>
  <si>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</si>
  <si>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</si>
  <si>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</si>
  <si>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</si>
  <si>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</si>
  <si>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</si>
  <si>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VEGA GARCIA GERARDO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</si>
  <si>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</si>
  <si>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</si>
  <si>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</si>
  <si>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</si>
  <si>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</si>
  <si>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</si>
  <si>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</si>
  <si>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</si>
  <si>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RESENDIZ CRESPO JOSE DAVID</t>
  </si>
  <si>
    <t>Incapacidad</t>
  </si>
  <si>
    <t>INCAPACIDADES</t>
  </si>
  <si>
    <t>HUGO RANGEL ZUÑIGA</t>
  </si>
  <si>
    <t>QUILLO ARRIAGA OSIEL JONATHAN</t>
  </si>
  <si>
    <t>MARTINEZ OLVERA ISMAEL</t>
  </si>
  <si>
    <t>HONDALL FLORES KARLA ISABEL</t>
  </si>
  <si>
    <t>EJECUTIVO DE TELEMARKETING</t>
  </si>
  <si>
    <t>RESENDIZ CAMARILLO ANDRES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</si>
  <si>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</si>
  <si>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</si>
  <si>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</si>
  <si>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</si>
  <si>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</si>
  <si>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</si>
  <si>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</si>
  <si>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</si>
  <si>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</si>
  <si>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</si>
  <si>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</si>
  <si>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</si>
  <si>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</si>
  <si>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</si>
  <si>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</si>
  <si>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</si>
  <si>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</si>
  <si>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Incapacidad, pero favor de pagar comisiòn reportada, ya que genero la comisiòn</t>
  </si>
  <si>
    <t>DOMINGUEZ ALCANTARA MIGUEL ANGEL</t>
  </si>
  <si>
    <t>MARTINEZ MONTOYA EFRAIN ESAUL</t>
  </si>
  <si>
    <t>MELENDEZ PADILLA CLAUDIA CRISTINA</t>
  </si>
  <si>
    <t>Periodo Semana 17</t>
  </si>
  <si>
    <t>20/04/2016 AL 26/04/2016</t>
  </si>
  <si>
    <t>BAJA SOLICITAR FINIQUITO</t>
  </si>
  <si>
    <t xml:space="preserve">Baja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</si>
</sst>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3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  "/>
    </font>
    <font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4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43" fontId="18" fillId="0" borderId="9" xfId="2" applyFont="1" applyFill="1" applyBorder="1"/>
    <xf numFmtId="43" fontId="18" fillId="14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43" fontId="19" fillId="13" borderId="9" xfId="2" applyFont="1" applyFill="1" applyBorder="1"/>
    <xf numFmtId="0" fontId="19" fillId="13" borderId="9" xfId="0" applyFont="1" applyFill="1" applyBorder="1"/>
    <xf numFmtId="0" fontId="20" fillId="13" borderId="9" xfId="0" applyFont="1" applyFill="1" applyBorder="1"/>
    <xf numFmtId="14" fontId="20" fillId="13" borderId="9" xfId="0" applyNumberFormat="1" applyFont="1" applyFill="1" applyBorder="1"/>
    <xf numFmtId="43" fontId="20" fillId="13" borderId="9" xfId="2" applyFont="1" applyFill="1" applyBorder="1"/>
    <xf numFmtId="0" fontId="20" fillId="13" borderId="9" xfId="0" applyFont="1" applyFill="1" applyBorder="1" applyAlignment="1">
      <alignment horizontal="center" vertical="center"/>
    </xf>
    <xf numFmtId="43" fontId="20" fillId="13" borderId="9" xfId="2" applyFont="1" applyFill="1" applyBorder="1" applyAlignment="1">
      <alignment horizontal="center"/>
    </xf>
    <xf numFmtId="43" fontId="21" fillId="13" borderId="9" xfId="2" applyFont="1" applyFill="1" applyBorder="1"/>
    <xf numFmtId="2" fontId="20" fillId="13" borderId="9" xfId="0" applyNumberFormat="1" applyFont="1" applyFill="1" applyBorder="1" applyAlignment="1">
      <alignment horizontal="center" vertical="center"/>
    </xf>
    <xf numFmtId="12" fontId="20" fillId="13" borderId="9" xfId="2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0" fontId="22" fillId="14" borderId="9" xfId="0" applyFont="1" applyFill="1" applyBorder="1"/>
    <xf numFmtId="0" fontId="22" fillId="18" borderId="9" xfId="0" applyFont="1" applyFill="1" applyBorder="1" applyAlignment="1">
      <alignment horizontal="right" wrapText="1"/>
    </xf>
    <xf numFmtId="4" fontId="22" fillId="18" borderId="9" xfId="0" applyNumberFormat="1" applyFont="1" applyFill="1" applyBorder="1" applyAlignment="1">
      <alignment horizontal="right" wrapText="1"/>
    </xf>
    <xf numFmtId="0" fontId="22" fillId="19" borderId="9" xfId="0" applyFont="1" applyFill="1" applyBorder="1" applyAlignment="1">
      <alignment horizontal="right" wrapText="1"/>
    </xf>
    <xf numFmtId="4" fontId="22" fillId="19" borderId="9" xfId="0" applyNumberFormat="1" applyFont="1" applyFill="1" applyBorder="1" applyAlignment="1">
      <alignment horizontal="right" wrapText="1"/>
    </xf>
    <xf numFmtId="0" fontId="22" fillId="0" borderId="9" xfId="0" applyFont="1" applyBorder="1"/>
    <xf numFmtId="4" fontId="22" fillId="0" borderId="9" xfId="0" applyNumberFormat="1" applyFont="1" applyBorder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5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9" customWidth="1"/>
    <col min="36" max="36" width="12.7109375" style="159" customWidth="1"/>
    <col min="37" max="37" width="11.5703125" style="4" customWidth="1"/>
    <col min="38" max="38" width="20.28515625" style="41" bestFit="1" customWidth="1"/>
    <col min="39" max="39" width="73.4257812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2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8"/>
      <c r="AJ1" s="158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3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8"/>
      <c r="AJ2" s="158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343</v>
      </c>
      <c r="B3" s="20"/>
      <c r="C3" s="20"/>
      <c r="D3" s="20"/>
      <c r="E3" s="21"/>
      <c r="F3" s="21"/>
      <c r="G3" s="21"/>
      <c r="H3" s="21"/>
      <c r="I3" s="14"/>
      <c r="J3" s="174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8"/>
      <c r="AJ3" s="158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344</v>
      </c>
      <c r="I4" s="23"/>
      <c r="J4" s="175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9"/>
      <c r="AJ4" s="159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13" t="s">
        <v>39</v>
      </c>
      <c r="B5" s="215" t="s">
        <v>40</v>
      </c>
      <c r="C5" s="213" t="s">
        <v>252</v>
      </c>
      <c r="D5" s="215" t="s">
        <v>41</v>
      </c>
      <c r="E5" s="215" t="s">
        <v>0</v>
      </c>
      <c r="F5" s="213" t="s">
        <v>246</v>
      </c>
      <c r="G5" s="217" t="s">
        <v>67</v>
      </c>
      <c r="H5" s="217" t="s">
        <v>65</v>
      </c>
      <c r="I5" s="219" t="s">
        <v>66</v>
      </c>
      <c r="J5" s="211" t="s">
        <v>68</v>
      </c>
      <c r="K5" s="217" t="s">
        <v>34</v>
      </c>
      <c r="L5" s="211" t="s">
        <v>75</v>
      </c>
      <c r="M5" s="99"/>
      <c r="N5" s="217" t="s">
        <v>35</v>
      </c>
      <c r="O5" s="217" t="s">
        <v>36</v>
      </c>
      <c r="P5" s="217" t="s">
        <v>63</v>
      </c>
      <c r="Q5" s="217" t="s">
        <v>37</v>
      </c>
      <c r="R5" s="217" t="s">
        <v>38</v>
      </c>
      <c r="S5" s="88"/>
      <c r="T5" s="221" t="s">
        <v>186</v>
      </c>
      <c r="U5" s="221" t="s">
        <v>213</v>
      </c>
      <c r="V5" s="221" t="s">
        <v>212</v>
      </c>
      <c r="W5" s="221" t="s">
        <v>187</v>
      </c>
      <c r="X5" s="217" t="s">
        <v>30</v>
      </c>
      <c r="Y5" s="217" t="s">
        <v>56</v>
      </c>
      <c r="Z5" s="217" t="s">
        <v>55</v>
      </c>
      <c r="AA5" s="217" t="s">
        <v>32</v>
      </c>
      <c r="AB5" s="217" t="s">
        <v>64</v>
      </c>
      <c r="AC5" s="217" t="s">
        <v>27</v>
      </c>
      <c r="AD5" s="217" t="s">
        <v>31</v>
      </c>
      <c r="AE5" s="217" t="s">
        <v>26</v>
      </c>
      <c r="AF5" s="217" t="s">
        <v>28</v>
      </c>
      <c r="AG5" s="102"/>
      <c r="AH5" s="217" t="s">
        <v>29</v>
      </c>
      <c r="AI5" s="226" t="s">
        <v>311</v>
      </c>
      <c r="AJ5" s="227"/>
      <c r="AK5" s="228" t="s">
        <v>191</v>
      </c>
      <c r="AL5" s="224" t="s">
        <v>257</v>
      </c>
      <c r="AM5" s="224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14"/>
      <c r="B6" s="216"/>
      <c r="C6" s="214"/>
      <c r="D6" s="216"/>
      <c r="E6" s="216"/>
      <c r="F6" s="214"/>
      <c r="G6" s="218"/>
      <c r="H6" s="218"/>
      <c r="I6" s="220"/>
      <c r="J6" s="212"/>
      <c r="K6" s="218"/>
      <c r="L6" s="212"/>
      <c r="M6" s="103" t="s">
        <v>288</v>
      </c>
      <c r="N6" s="218"/>
      <c r="O6" s="218"/>
      <c r="P6" s="218"/>
      <c r="Q6" s="218"/>
      <c r="R6" s="218"/>
      <c r="S6" s="104" t="s">
        <v>276</v>
      </c>
      <c r="T6" s="222"/>
      <c r="U6" s="222"/>
      <c r="V6" s="222"/>
      <c r="W6" s="222"/>
      <c r="X6" s="218"/>
      <c r="Y6" s="218"/>
      <c r="Z6" s="218"/>
      <c r="AA6" s="218"/>
      <c r="AB6" s="218"/>
      <c r="AC6" s="218"/>
      <c r="AD6" s="218"/>
      <c r="AE6" s="218"/>
      <c r="AF6" s="218"/>
      <c r="AG6" s="88"/>
      <c r="AH6" s="218"/>
      <c r="AI6" s="157" t="s">
        <v>66</v>
      </c>
      <c r="AJ6" s="157" t="s">
        <v>68</v>
      </c>
      <c r="AK6" s="228"/>
      <c r="AL6" s="224"/>
      <c r="AM6" s="224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32">
        <v>42062</v>
      </c>
      <c r="G7" s="111"/>
      <c r="H7" s="111"/>
      <c r="I7" s="112">
        <v>1166.26</v>
      </c>
      <c r="J7" s="176"/>
      <c r="K7" s="112">
        <f t="shared" ref="K7:K37" si="0">+I7+J7</f>
        <v>1166.26</v>
      </c>
      <c r="L7" s="112">
        <v>3509.3</v>
      </c>
      <c r="M7" s="112"/>
      <c r="N7" s="113"/>
      <c r="O7" s="113"/>
      <c r="P7" s="114"/>
      <c r="Q7" s="115">
        <f t="shared" ref="Q7:Q37" si="1">SUM(K7:O7)-P7</f>
        <v>4675.5600000000004</v>
      </c>
      <c r="R7" s="116"/>
      <c r="S7" s="117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37" si="2">+Q7-SUM(R7:AA7)</f>
        <v>4675.5600000000004</v>
      </c>
      <c r="AC7" s="120">
        <f>IF(Q7&gt;2250,Q7*0.1,0)</f>
        <v>467.55600000000004</v>
      </c>
      <c r="AD7" s="115">
        <f t="shared" ref="AD7:AD36" si="3">+AB7-AC7</f>
        <v>4208.0040000000008</v>
      </c>
      <c r="AE7" s="121">
        <f t="shared" ref="AE7:AE36" si="4">IF(Q7&lt;3500,Q7*0.1,0)</f>
        <v>0</v>
      </c>
      <c r="AF7" s="120">
        <v>10.23</v>
      </c>
      <c r="AG7" s="120">
        <f t="shared" ref="AG7:AG37" si="5">+U7</f>
        <v>0</v>
      </c>
      <c r="AH7" s="122">
        <f t="shared" ref="AH7:AH37" si="6">+Q7+AE7+AF7+AG7</f>
        <v>4685.79</v>
      </c>
      <c r="AI7" s="239">
        <v>577.4</v>
      </c>
      <c r="AJ7" s="240">
        <v>3630.6</v>
      </c>
      <c r="AK7" s="194">
        <f t="shared" ref="AK7:AK72" si="7">+AI7+AJ7-AD7</f>
        <v>-4.0000000008149073E-3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10"/>
      <c r="G8" s="111"/>
      <c r="H8" s="111"/>
      <c r="I8" s="112">
        <v>1633.33</v>
      </c>
      <c r="J8" s="177"/>
      <c r="K8" s="112">
        <f t="shared" si="0"/>
        <v>1633.33</v>
      </c>
      <c r="L8" s="112">
        <v>45442.42</v>
      </c>
      <c r="M8" s="112"/>
      <c r="N8" s="113"/>
      <c r="O8" s="113"/>
      <c r="P8" s="114"/>
      <c r="Q8" s="115">
        <f t="shared" si="1"/>
        <v>47075.75</v>
      </c>
      <c r="R8" s="116"/>
      <c r="S8" s="117"/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47075.75</v>
      </c>
      <c r="AC8" s="120">
        <f t="shared" ref="AC8:AC73" si="8">IF(Q8&gt;2250,Q8*0.1,0)</f>
        <v>4707.5749999999998</v>
      </c>
      <c r="AD8" s="115">
        <f t="shared" si="3"/>
        <v>42368.175000000003</v>
      </c>
      <c r="AE8" s="121">
        <f t="shared" si="4"/>
        <v>0</v>
      </c>
      <c r="AF8" s="120">
        <v>10.23</v>
      </c>
      <c r="AG8" s="120">
        <f t="shared" si="5"/>
        <v>0</v>
      </c>
      <c r="AH8" s="122">
        <f t="shared" si="6"/>
        <v>47085.98</v>
      </c>
      <c r="AI8" s="241">
        <v>577.4</v>
      </c>
      <c r="AJ8" s="242">
        <v>41790.78</v>
      </c>
      <c r="AK8" s="194">
        <f t="shared" si="7"/>
        <v>4.9999999973806553E-3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10"/>
      <c r="G9" s="111"/>
      <c r="H9" s="111"/>
      <c r="I9" s="112">
        <v>608.16</v>
      </c>
      <c r="J9" s="177"/>
      <c r="K9" s="112">
        <f t="shared" si="0"/>
        <v>608.16</v>
      </c>
      <c r="L9" s="112">
        <f>2701.11+2.59</f>
        <v>2703.7000000000003</v>
      </c>
      <c r="M9" s="112"/>
      <c r="N9" s="113"/>
      <c r="O9" s="113"/>
      <c r="P9" s="114"/>
      <c r="Q9" s="115">
        <f t="shared" si="1"/>
        <v>3311.86</v>
      </c>
      <c r="R9" s="116"/>
      <c r="S9" s="117"/>
      <c r="T9" s="117"/>
      <c r="U9" s="126">
        <f>Q9*4.9%</f>
        <v>162.28114000000002</v>
      </c>
      <c r="V9" s="126">
        <f>Q9*1%</f>
        <v>33.118600000000001</v>
      </c>
      <c r="W9" s="117"/>
      <c r="X9" s="118"/>
      <c r="Y9" s="118"/>
      <c r="Z9" s="119"/>
      <c r="AA9" s="119">
        <v>0</v>
      </c>
      <c r="AB9" s="115">
        <f t="shared" si="2"/>
        <v>3116.4602600000003</v>
      </c>
      <c r="AC9" s="120">
        <f t="shared" si="8"/>
        <v>331.18600000000004</v>
      </c>
      <c r="AD9" s="115">
        <f t="shared" si="3"/>
        <v>2785.2742600000001</v>
      </c>
      <c r="AE9" s="121">
        <f t="shared" si="4"/>
        <v>331.18600000000004</v>
      </c>
      <c r="AF9" s="120">
        <v>10.23</v>
      </c>
      <c r="AG9" s="120">
        <f t="shared" si="5"/>
        <v>162.28114000000002</v>
      </c>
      <c r="AH9" s="122">
        <f t="shared" si="6"/>
        <v>3815.5571400000003</v>
      </c>
      <c r="AI9" s="239">
        <v>577.4</v>
      </c>
      <c r="AJ9" s="240">
        <v>2207.87</v>
      </c>
      <c r="AK9" s="194">
        <f t="shared" si="7"/>
        <v>-4.2600000001584704E-3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10"/>
      <c r="G10" s="111"/>
      <c r="H10" s="111"/>
      <c r="I10" s="30">
        <v>739.23</v>
      </c>
      <c r="J10" s="177"/>
      <c r="K10" s="112">
        <f t="shared" si="0"/>
        <v>739.23</v>
      </c>
      <c r="L10" s="112">
        <f>1517.82+7.42</f>
        <v>1525.24</v>
      </c>
      <c r="M10" s="112"/>
      <c r="N10" s="113"/>
      <c r="O10" s="113"/>
      <c r="P10" s="114"/>
      <c r="Q10" s="115">
        <f t="shared" si="1"/>
        <v>2264.4700000000003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2264.4700000000003</v>
      </c>
      <c r="AC10" s="120">
        <f t="shared" si="8"/>
        <v>226.44700000000003</v>
      </c>
      <c r="AD10" s="115">
        <f t="shared" si="3"/>
        <v>2038.0230000000001</v>
      </c>
      <c r="AE10" s="121">
        <f t="shared" si="4"/>
        <v>226.44700000000003</v>
      </c>
      <c r="AF10" s="120">
        <v>10.23</v>
      </c>
      <c r="AG10" s="120">
        <f t="shared" si="5"/>
        <v>0</v>
      </c>
      <c r="AH10" s="122">
        <f t="shared" si="6"/>
        <v>2501.1470000000004</v>
      </c>
      <c r="AI10" s="241">
        <v>577.4</v>
      </c>
      <c r="AJ10" s="242">
        <v>1460.62</v>
      </c>
      <c r="AK10" s="194">
        <f t="shared" si="7"/>
        <v>-3.0000000001564331E-3</v>
      </c>
      <c r="AL10" s="124"/>
      <c r="AM10" s="124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10"/>
      <c r="G11" s="111"/>
      <c r="H11" s="111"/>
      <c r="I11" s="112">
        <v>1633.33</v>
      </c>
      <c r="J11" s="177"/>
      <c r="K11" s="112">
        <f t="shared" si="0"/>
        <v>1633.33</v>
      </c>
      <c r="L11" s="112">
        <v>46139.17</v>
      </c>
      <c r="M11" s="112"/>
      <c r="N11" s="113"/>
      <c r="O11" s="113"/>
      <c r="P11" s="114"/>
      <c r="Q11" s="115">
        <f t="shared" si="1"/>
        <v>47772.5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47772.5</v>
      </c>
      <c r="AC11" s="120">
        <f t="shared" si="8"/>
        <v>4777.25</v>
      </c>
      <c r="AD11" s="115">
        <f t="shared" si="3"/>
        <v>42995.25</v>
      </c>
      <c r="AE11" s="121">
        <f t="shared" si="4"/>
        <v>0</v>
      </c>
      <c r="AF11" s="120">
        <v>10.23</v>
      </c>
      <c r="AG11" s="120">
        <f t="shared" si="5"/>
        <v>0</v>
      </c>
      <c r="AH11" s="122">
        <f t="shared" si="6"/>
        <v>47782.73</v>
      </c>
      <c r="AI11" s="239">
        <v>577.4</v>
      </c>
      <c r="AJ11" s="240">
        <v>42417.85</v>
      </c>
      <c r="AK11" s="194">
        <f t="shared" si="7"/>
        <v>0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27">
        <v>42422</v>
      </c>
      <c r="G12" s="124"/>
      <c r="H12" s="124"/>
      <c r="I12" s="128">
        <v>608.16</v>
      </c>
      <c r="J12" s="178"/>
      <c r="K12" s="112">
        <f t="shared" si="0"/>
        <v>608.16</v>
      </c>
      <c r="L12" s="128">
        <f>308.77+2.59</f>
        <v>311.35999999999996</v>
      </c>
      <c r="M12" s="128"/>
      <c r="N12" s="128"/>
      <c r="O12" s="128"/>
      <c r="P12" s="114"/>
      <c r="Q12" s="115">
        <f t="shared" si="1"/>
        <v>919.52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919.52</v>
      </c>
      <c r="AC12" s="120">
        <f t="shared" si="8"/>
        <v>0</v>
      </c>
      <c r="AD12" s="115">
        <f t="shared" si="3"/>
        <v>919.52</v>
      </c>
      <c r="AE12" s="167">
        <f t="shared" si="4"/>
        <v>91.951999999999998</v>
      </c>
      <c r="AF12" s="120">
        <v>10.23</v>
      </c>
      <c r="AG12" s="120">
        <f t="shared" si="5"/>
        <v>0</v>
      </c>
      <c r="AH12" s="122">
        <f t="shared" si="6"/>
        <v>1021.702</v>
      </c>
      <c r="AI12" s="241">
        <v>577.4</v>
      </c>
      <c r="AJ12" s="241">
        <v>342.12</v>
      </c>
      <c r="AK12" s="194">
        <f t="shared" si="7"/>
        <v>0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27">
        <v>42383</v>
      </c>
      <c r="G13" s="124"/>
      <c r="H13" s="124"/>
      <c r="I13" s="128">
        <v>513.33000000000004</v>
      </c>
      <c r="J13" s="178">
        <v>653.33000000000004</v>
      </c>
      <c r="K13" s="128">
        <f t="shared" si="0"/>
        <v>1166.6600000000001</v>
      </c>
      <c r="L13" s="128"/>
      <c r="M13" s="128"/>
      <c r="N13" s="128"/>
      <c r="O13" s="128"/>
      <c r="P13" s="114"/>
      <c r="Q13" s="115">
        <f t="shared" si="1"/>
        <v>1166.6600000000001</v>
      </c>
      <c r="R13" s="116"/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798.31000000000006</v>
      </c>
      <c r="AC13" s="120">
        <f t="shared" si="8"/>
        <v>0</v>
      </c>
      <c r="AD13" s="115">
        <f t="shared" si="3"/>
        <v>798.31000000000006</v>
      </c>
      <c r="AE13" s="167">
        <f t="shared" si="4"/>
        <v>116.66600000000001</v>
      </c>
      <c r="AF13" s="120">
        <v>10.23</v>
      </c>
      <c r="AG13" s="120">
        <f t="shared" si="5"/>
        <v>0</v>
      </c>
      <c r="AH13" s="122">
        <f t="shared" si="6"/>
        <v>1293.556</v>
      </c>
      <c r="AI13" s="239">
        <v>209.05</v>
      </c>
      <c r="AJ13" s="239">
        <v>589.26</v>
      </c>
      <c r="AK13" s="194">
        <f t="shared" si="7"/>
        <v>0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299</v>
      </c>
      <c r="D14" s="124"/>
      <c r="E14" s="124" t="s">
        <v>173</v>
      </c>
      <c r="F14" s="127">
        <v>42417</v>
      </c>
      <c r="G14" s="124"/>
      <c r="H14" s="124"/>
      <c r="I14" s="128">
        <v>513.33000000000004</v>
      </c>
      <c r="J14" s="178">
        <v>653.33000000000004</v>
      </c>
      <c r="K14" s="128">
        <f t="shared" si="0"/>
        <v>1166.6600000000001</v>
      </c>
      <c r="L14" s="128">
        <v>1655.9</v>
      </c>
      <c r="M14" s="128"/>
      <c r="N14" s="128"/>
      <c r="O14" s="128"/>
      <c r="P14" s="114"/>
      <c r="Q14" s="115">
        <f t="shared" si="1"/>
        <v>2822.5600000000004</v>
      </c>
      <c r="R14" s="116"/>
      <c r="S14" s="117"/>
      <c r="T14" s="117">
        <v>0</v>
      </c>
      <c r="U14" s="117"/>
      <c r="V14" s="117"/>
      <c r="W14" s="117"/>
      <c r="X14" s="118"/>
      <c r="Y14" s="118"/>
      <c r="Z14" s="119"/>
      <c r="AA14" s="119">
        <v>0</v>
      </c>
      <c r="AB14" s="115">
        <f t="shared" si="2"/>
        <v>2822.5600000000004</v>
      </c>
      <c r="AC14" s="120">
        <f t="shared" si="8"/>
        <v>282.25600000000003</v>
      </c>
      <c r="AD14" s="115">
        <f t="shared" si="3"/>
        <v>2540.3040000000005</v>
      </c>
      <c r="AE14" s="121">
        <f t="shared" si="4"/>
        <v>282.25600000000003</v>
      </c>
      <c r="AF14" s="120">
        <v>10.23</v>
      </c>
      <c r="AG14" s="120">
        <f t="shared" si="5"/>
        <v>0</v>
      </c>
      <c r="AH14" s="122">
        <f t="shared" si="6"/>
        <v>3115.0460000000003</v>
      </c>
      <c r="AI14" s="241">
        <v>577.4</v>
      </c>
      <c r="AJ14" s="242">
        <v>1962.9</v>
      </c>
      <c r="AK14" s="194">
        <f t="shared" si="7"/>
        <v>-4.0000000003601599E-3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334</v>
      </c>
      <c r="C15" s="124"/>
      <c r="D15" s="110" t="s">
        <v>127</v>
      </c>
      <c r="E15" s="110" t="s">
        <v>174</v>
      </c>
      <c r="F15" s="110"/>
      <c r="G15" s="111"/>
      <c r="H15" s="111"/>
      <c r="I15" s="112">
        <v>623.36</v>
      </c>
      <c r="J15" s="177"/>
      <c r="K15" s="128">
        <f t="shared" si="0"/>
        <v>623.36</v>
      </c>
      <c r="L15" s="112">
        <f>2957.52+5.57</f>
        <v>2963.09</v>
      </c>
      <c r="M15" s="112"/>
      <c r="N15" s="113"/>
      <c r="O15" s="113"/>
      <c r="P15" s="114"/>
      <c r="Q15" s="115">
        <f t="shared" si="1"/>
        <v>3586.4500000000003</v>
      </c>
      <c r="R15" s="116"/>
      <c r="S15" s="117"/>
      <c r="T15" s="126">
        <v>250</v>
      </c>
      <c r="U15" s="126">
        <f>Q15*4.9%</f>
        <v>175.73605000000003</v>
      </c>
      <c r="V15" s="126">
        <f>Q15*1%</f>
        <v>35.864500000000007</v>
      </c>
      <c r="W15" s="117"/>
      <c r="X15" s="118"/>
      <c r="Y15" s="118"/>
      <c r="Z15" s="119"/>
      <c r="AA15" s="119">
        <v>0</v>
      </c>
      <c r="AB15" s="115">
        <f t="shared" si="2"/>
        <v>3124.8494500000002</v>
      </c>
      <c r="AC15" s="120">
        <f t="shared" si="8"/>
        <v>358.64500000000004</v>
      </c>
      <c r="AD15" s="115">
        <f t="shared" si="3"/>
        <v>2766.2044500000002</v>
      </c>
      <c r="AE15" s="121">
        <f t="shared" si="4"/>
        <v>0</v>
      </c>
      <c r="AF15" s="120">
        <v>10.23</v>
      </c>
      <c r="AG15" s="120">
        <f t="shared" si="5"/>
        <v>175.73605000000003</v>
      </c>
      <c r="AH15" s="122">
        <f t="shared" si="6"/>
        <v>3772.4160500000003</v>
      </c>
      <c r="AI15" s="239">
        <v>577.4</v>
      </c>
      <c r="AJ15" s="240">
        <v>2188.8000000000002</v>
      </c>
      <c r="AK15" s="194">
        <f t="shared" si="7"/>
        <v>-4.4499999999061401E-3</v>
      </c>
      <c r="AL15" s="124"/>
      <c r="AM15" s="12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322</v>
      </c>
      <c r="C16" s="124"/>
      <c r="D16" s="124"/>
      <c r="E16" s="124" t="s">
        <v>73</v>
      </c>
      <c r="F16" s="127">
        <v>42466</v>
      </c>
      <c r="G16" s="124"/>
      <c r="H16" s="124"/>
      <c r="I16" s="128">
        <v>513.33000000000004</v>
      </c>
      <c r="J16" s="178">
        <v>653.33000000000004</v>
      </c>
      <c r="K16" s="128">
        <f t="shared" si="0"/>
        <v>1166.6600000000001</v>
      </c>
      <c r="L16" s="128"/>
      <c r="M16" s="128"/>
      <c r="N16" s="128"/>
      <c r="O16" s="128"/>
      <c r="P16" s="171"/>
      <c r="Q16" s="115">
        <f t="shared" si="1"/>
        <v>1166.6600000000001</v>
      </c>
      <c r="R16" s="116"/>
      <c r="S16" s="117"/>
      <c r="T16" s="164"/>
      <c r="U16" s="164"/>
      <c r="V16" s="164"/>
      <c r="W16" s="164"/>
      <c r="X16" s="165"/>
      <c r="Y16" s="165"/>
      <c r="Z16" s="149"/>
      <c r="AA16" s="149">
        <v>0</v>
      </c>
      <c r="AB16" s="115">
        <f t="shared" si="2"/>
        <v>1166.6600000000001</v>
      </c>
      <c r="AC16" s="120">
        <f t="shared" si="8"/>
        <v>0</v>
      </c>
      <c r="AD16" s="115">
        <f t="shared" si="3"/>
        <v>1166.6600000000001</v>
      </c>
      <c r="AE16" s="121">
        <f t="shared" ref="AE16" si="9">IF(Q16&lt;3500,Q16*0.1,0)</f>
        <v>116.66600000000001</v>
      </c>
      <c r="AF16" s="120">
        <v>10.23</v>
      </c>
      <c r="AG16" s="120">
        <f t="shared" ref="AG16" si="10">+U16</f>
        <v>0</v>
      </c>
      <c r="AH16" s="122">
        <f t="shared" si="6"/>
        <v>1293.556</v>
      </c>
      <c r="AI16" s="241">
        <v>577.4</v>
      </c>
      <c r="AJ16" s="243">
        <v>589.26</v>
      </c>
      <c r="AK16" s="194">
        <f t="shared" si="7"/>
        <v>0</v>
      </c>
      <c r="AL16" s="124">
        <v>2899146091</v>
      </c>
      <c r="AM16" s="129"/>
    </row>
    <row r="17" spans="1:193">
      <c r="A17" s="124" t="s">
        <v>69</v>
      </c>
      <c r="B17" s="110" t="s">
        <v>337</v>
      </c>
      <c r="C17" s="110"/>
      <c r="D17" s="110" t="s">
        <v>111</v>
      </c>
      <c r="E17" s="110" t="s">
        <v>169</v>
      </c>
      <c r="F17" s="110"/>
      <c r="G17" s="111"/>
      <c r="H17" s="111"/>
      <c r="I17" s="112">
        <v>933.33</v>
      </c>
      <c r="J17" s="177"/>
      <c r="K17" s="112">
        <f t="shared" si="0"/>
        <v>933.33</v>
      </c>
      <c r="L17" s="112">
        <v>550</v>
      </c>
      <c r="M17" s="112"/>
      <c r="N17" s="113"/>
      <c r="O17" s="113"/>
      <c r="P17" s="114"/>
      <c r="Q17" s="115">
        <f t="shared" si="1"/>
        <v>1483.33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1424.4199999999998</v>
      </c>
      <c r="AC17" s="120">
        <f t="shared" si="8"/>
        <v>0</v>
      </c>
      <c r="AD17" s="115">
        <f t="shared" si="3"/>
        <v>1424.4199999999998</v>
      </c>
      <c r="AE17" s="121">
        <f t="shared" si="4"/>
        <v>148.333</v>
      </c>
      <c r="AF17" s="120">
        <v>10.23</v>
      </c>
      <c r="AG17" s="120">
        <f t="shared" si="5"/>
        <v>0</v>
      </c>
      <c r="AH17" s="122">
        <f t="shared" si="6"/>
        <v>1641.893</v>
      </c>
      <c r="AI17" s="239">
        <v>577.4</v>
      </c>
      <c r="AJ17" s="243">
        <v>847.02</v>
      </c>
      <c r="AK17" s="194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27">
        <v>41831</v>
      </c>
      <c r="G18" s="124"/>
      <c r="H18" s="124"/>
      <c r="I18" s="128">
        <v>513.33000000000004</v>
      </c>
      <c r="J18" s="179">
        <v>653.33000000000004</v>
      </c>
      <c r="K18" s="128">
        <f t="shared" si="0"/>
        <v>1166.6600000000001</v>
      </c>
      <c r="L18" s="128">
        <v>6980.55</v>
      </c>
      <c r="M18" s="128"/>
      <c r="N18" s="128"/>
      <c r="O18" s="128"/>
      <c r="P18" s="114"/>
      <c r="Q18" s="115">
        <f t="shared" si="1"/>
        <v>8147.21</v>
      </c>
      <c r="R18" s="116"/>
      <c r="S18" s="164">
        <v>58.91</v>
      </c>
      <c r="T18" s="126"/>
      <c r="U18" s="164"/>
      <c r="V18" s="164"/>
      <c r="W18" s="164"/>
      <c r="X18" s="165"/>
      <c r="Y18" s="131">
        <v>167.44</v>
      </c>
      <c r="Z18" s="149"/>
      <c r="AA18" s="168">
        <v>940.31</v>
      </c>
      <c r="AB18" s="115">
        <f t="shared" si="2"/>
        <v>6980.55</v>
      </c>
      <c r="AC18" s="120">
        <f t="shared" si="8"/>
        <v>814.721</v>
      </c>
      <c r="AD18" s="115">
        <f t="shared" si="3"/>
        <v>6165.8289999999997</v>
      </c>
      <c r="AE18" s="121">
        <f t="shared" si="4"/>
        <v>0</v>
      </c>
      <c r="AF18" s="120">
        <v>10.23</v>
      </c>
      <c r="AG18" s="120">
        <f t="shared" si="5"/>
        <v>0</v>
      </c>
      <c r="AH18" s="122">
        <f t="shared" si="6"/>
        <v>8157.44</v>
      </c>
      <c r="AI18" s="241">
        <v>409.96</v>
      </c>
      <c r="AJ18" s="242">
        <v>5755.87</v>
      </c>
      <c r="AK18" s="194">
        <f t="shared" si="7"/>
        <v>1.0000000002037268E-3</v>
      </c>
      <c r="AL18" s="124"/>
      <c r="AM18" s="124"/>
    </row>
    <row r="19" spans="1:193">
      <c r="A19" s="124" t="s">
        <v>94</v>
      </c>
      <c r="B19" s="110" t="s">
        <v>198</v>
      </c>
      <c r="C19" s="110"/>
      <c r="D19" s="110" t="s">
        <v>128</v>
      </c>
      <c r="E19" s="110" t="s">
        <v>162</v>
      </c>
      <c r="F19" s="110"/>
      <c r="G19" s="111"/>
      <c r="H19" s="111"/>
      <c r="I19" s="112">
        <v>511.28</v>
      </c>
      <c r="J19" s="177"/>
      <c r="K19" s="112">
        <f t="shared" si="0"/>
        <v>511.28</v>
      </c>
      <c r="L19" s="112">
        <f>4739.25+7.42</f>
        <v>4746.67</v>
      </c>
      <c r="M19" s="112"/>
      <c r="N19" s="113"/>
      <c r="O19" s="113"/>
      <c r="P19" s="114"/>
      <c r="Q19" s="115">
        <f t="shared" si="1"/>
        <v>5257.95</v>
      </c>
      <c r="R19" s="116"/>
      <c r="S19" s="117"/>
      <c r="T19" s="126">
        <v>700</v>
      </c>
      <c r="U19" s="126">
        <f>Q19*4.9%</f>
        <v>257.63954999999999</v>
      </c>
      <c r="V19" s="126">
        <f>Q19*1%</f>
        <v>52.579499999999996</v>
      </c>
      <c r="W19" s="117"/>
      <c r="X19" s="118"/>
      <c r="Y19" s="118"/>
      <c r="Z19" s="119"/>
      <c r="AA19" s="119">
        <v>0</v>
      </c>
      <c r="AB19" s="115">
        <f t="shared" si="2"/>
        <v>4247.7309500000001</v>
      </c>
      <c r="AC19" s="120">
        <f t="shared" si="8"/>
        <v>525.79499999999996</v>
      </c>
      <c r="AD19" s="115">
        <f t="shared" si="3"/>
        <v>3721.93595</v>
      </c>
      <c r="AE19" s="121">
        <f t="shared" si="4"/>
        <v>0</v>
      </c>
      <c r="AF19" s="120">
        <v>10.23</v>
      </c>
      <c r="AG19" s="120">
        <f t="shared" si="5"/>
        <v>257.63954999999999</v>
      </c>
      <c r="AH19" s="122">
        <f t="shared" si="6"/>
        <v>5525.8195499999993</v>
      </c>
      <c r="AI19" s="239">
        <v>577.4</v>
      </c>
      <c r="AJ19" s="240">
        <v>3144.54</v>
      </c>
      <c r="AK19" s="194">
        <f t="shared" si="7"/>
        <v>4.0500000000065484E-3</v>
      </c>
      <c r="AL19" s="124"/>
      <c r="AM19" s="124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</row>
    <row r="20" spans="1:193">
      <c r="A20" s="124" t="s">
        <v>71</v>
      </c>
      <c r="B20" s="110" t="s">
        <v>267</v>
      </c>
      <c r="C20" s="110" t="s">
        <v>252</v>
      </c>
      <c r="D20" s="110">
        <v>18</v>
      </c>
      <c r="E20" s="110" t="s">
        <v>74</v>
      </c>
      <c r="F20" s="110"/>
      <c r="G20" s="111"/>
      <c r="H20" s="111"/>
      <c r="I20" s="112">
        <v>1633.33</v>
      </c>
      <c r="J20" s="177"/>
      <c r="K20" s="112">
        <f t="shared" si="0"/>
        <v>1633.33</v>
      </c>
      <c r="L20" s="112">
        <v>73171.58</v>
      </c>
      <c r="M20" s="112"/>
      <c r="N20" s="113"/>
      <c r="O20" s="113"/>
      <c r="P20" s="114"/>
      <c r="Q20" s="115">
        <f t="shared" si="1"/>
        <v>74804.91</v>
      </c>
      <c r="R20" s="116"/>
      <c r="S20" s="117"/>
      <c r="T20" s="126">
        <v>700</v>
      </c>
      <c r="U20" s="117"/>
      <c r="V20" s="117"/>
      <c r="W20" s="117"/>
      <c r="X20" s="118"/>
      <c r="Y20" s="118"/>
      <c r="Z20" s="125">
        <v>205.7</v>
      </c>
      <c r="AA20" s="119">
        <v>0</v>
      </c>
      <c r="AB20" s="115">
        <f t="shared" si="2"/>
        <v>73899.210000000006</v>
      </c>
      <c r="AC20" s="120">
        <f t="shared" si="8"/>
        <v>7480.4910000000009</v>
      </c>
      <c r="AD20" s="115">
        <f t="shared" si="3"/>
        <v>66418.719000000012</v>
      </c>
      <c r="AE20" s="121">
        <f t="shared" si="4"/>
        <v>0</v>
      </c>
      <c r="AF20" s="120">
        <v>10.23</v>
      </c>
      <c r="AG20" s="120">
        <f t="shared" si="5"/>
        <v>0</v>
      </c>
      <c r="AH20" s="122">
        <f t="shared" si="6"/>
        <v>74815.14</v>
      </c>
      <c r="AI20" s="241">
        <v>577.4</v>
      </c>
      <c r="AJ20" s="242">
        <v>65841.320000000007</v>
      </c>
      <c r="AK20" s="194">
        <f t="shared" si="7"/>
        <v>9.9999998928979039E-4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94</v>
      </c>
      <c r="B21" s="110" t="s">
        <v>268</v>
      </c>
      <c r="C21" s="110"/>
      <c r="D21" s="110" t="s">
        <v>129</v>
      </c>
      <c r="E21" s="110" t="s">
        <v>175</v>
      </c>
      <c r="F21" s="110"/>
      <c r="G21" s="111"/>
      <c r="H21" s="111"/>
      <c r="I21" s="112">
        <v>1100</v>
      </c>
      <c r="J21" s="177"/>
      <c r="K21" s="112">
        <f t="shared" si="0"/>
        <v>1100</v>
      </c>
      <c r="L21" s="112">
        <v>675.8</v>
      </c>
      <c r="M21" s="112"/>
      <c r="N21" s="113"/>
      <c r="O21" s="113"/>
      <c r="P21" s="114"/>
      <c r="Q21" s="115">
        <f t="shared" si="1"/>
        <v>1775.8</v>
      </c>
      <c r="R21" s="116"/>
      <c r="S21" s="117"/>
      <c r="T21" s="126">
        <f>+Q21*1%</f>
        <v>17.757999999999999</v>
      </c>
      <c r="U21" s="126">
        <f>+Q21*4.9%</f>
        <v>87.014200000000002</v>
      </c>
      <c r="V21" s="117"/>
      <c r="W21" s="117"/>
      <c r="X21" s="118"/>
      <c r="Y21" s="118"/>
      <c r="Z21" s="119"/>
      <c r="AA21" s="119">
        <v>0</v>
      </c>
      <c r="AB21" s="115">
        <f t="shared" si="2"/>
        <v>1671.0277999999998</v>
      </c>
      <c r="AC21" s="120">
        <f t="shared" si="8"/>
        <v>0</v>
      </c>
      <c r="AD21" s="115">
        <f t="shared" si="3"/>
        <v>1671.0277999999998</v>
      </c>
      <c r="AE21" s="121">
        <f t="shared" si="4"/>
        <v>177.58</v>
      </c>
      <c r="AF21" s="120">
        <v>10.23</v>
      </c>
      <c r="AG21" s="120">
        <f t="shared" si="5"/>
        <v>87.014200000000002</v>
      </c>
      <c r="AH21" s="122">
        <f t="shared" si="6"/>
        <v>2050.6241999999997</v>
      </c>
      <c r="AI21" s="239">
        <v>577.4</v>
      </c>
      <c r="AJ21" s="240">
        <v>1093.6300000000001</v>
      </c>
      <c r="AK21" s="194">
        <f t="shared" si="7"/>
        <v>2.2000000003572495E-3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70</v>
      </c>
      <c r="B22" s="110" t="s">
        <v>245</v>
      </c>
      <c r="C22" s="124" t="s">
        <v>299</v>
      </c>
      <c r="D22" s="110" t="s">
        <v>122</v>
      </c>
      <c r="E22" s="124" t="s">
        <v>173</v>
      </c>
      <c r="F22" s="132">
        <v>42432</v>
      </c>
      <c r="G22" s="111"/>
      <c r="H22" s="111"/>
      <c r="I22" s="112">
        <v>513.33000000000004</v>
      </c>
      <c r="J22" s="178">
        <v>653.33000000000004</v>
      </c>
      <c r="K22" s="112">
        <f t="shared" si="0"/>
        <v>1166.6600000000001</v>
      </c>
      <c r="L22" s="112">
        <f>1500+1500+13620</f>
        <v>16620</v>
      </c>
      <c r="M22" s="112"/>
      <c r="N22" s="113"/>
      <c r="O22" s="113"/>
      <c r="P22" s="114"/>
      <c r="Q22" s="115">
        <f t="shared" si="1"/>
        <v>17786.66</v>
      </c>
      <c r="R22" s="116"/>
      <c r="S22" s="117"/>
      <c r="T22" s="117">
        <v>0</v>
      </c>
      <c r="U22" s="117"/>
      <c r="V22" s="117"/>
      <c r="W22" s="117"/>
      <c r="X22" s="118"/>
      <c r="Y22" s="118"/>
      <c r="Z22" s="119"/>
      <c r="AA22" s="125">
        <v>566.61</v>
      </c>
      <c r="AB22" s="115">
        <f t="shared" si="2"/>
        <v>17220.05</v>
      </c>
      <c r="AC22" s="120">
        <f t="shared" si="8"/>
        <v>1778.6660000000002</v>
      </c>
      <c r="AD22" s="115">
        <f t="shared" si="3"/>
        <v>15441.383999999998</v>
      </c>
      <c r="AE22" s="121">
        <f t="shared" si="4"/>
        <v>0</v>
      </c>
      <c r="AF22" s="120">
        <v>10.23</v>
      </c>
      <c r="AG22" s="120">
        <f t="shared" si="5"/>
        <v>0</v>
      </c>
      <c r="AH22" s="122">
        <f t="shared" si="6"/>
        <v>17796.89</v>
      </c>
      <c r="AI22" s="241">
        <v>10.79</v>
      </c>
      <c r="AJ22" s="242">
        <v>15430.59</v>
      </c>
      <c r="AK22" s="194">
        <f t="shared" si="7"/>
        <v>-3.9999999971769284E-3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71</v>
      </c>
      <c r="B23" s="124" t="s">
        <v>294</v>
      </c>
      <c r="C23" s="124" t="s">
        <v>254</v>
      </c>
      <c r="D23" s="124"/>
      <c r="E23" s="124" t="s">
        <v>73</v>
      </c>
      <c r="F23" s="127">
        <v>42437</v>
      </c>
      <c r="G23" s="124"/>
      <c r="H23" s="124"/>
      <c r="I23" s="112">
        <v>513.33000000000004</v>
      </c>
      <c r="J23" s="177">
        <v>653.33000000000004</v>
      </c>
      <c r="K23" s="128">
        <f t="shared" si="0"/>
        <v>1166.6600000000001</v>
      </c>
      <c r="L23" s="128"/>
      <c r="M23" s="128"/>
      <c r="N23" s="128"/>
      <c r="O23" s="128"/>
      <c r="P23" s="114"/>
      <c r="Q23" s="115">
        <f t="shared" si="1"/>
        <v>1166.6600000000001</v>
      </c>
      <c r="R23" s="116"/>
      <c r="S23" s="117"/>
      <c r="T23" s="117">
        <v>0</v>
      </c>
      <c r="U23" s="117"/>
      <c r="V23" s="117"/>
      <c r="W23" s="117"/>
      <c r="X23" s="118"/>
      <c r="Y23" s="118"/>
      <c r="Z23" s="119"/>
      <c r="AA23" s="119">
        <v>0</v>
      </c>
      <c r="AB23" s="115">
        <f t="shared" si="2"/>
        <v>1166.6600000000001</v>
      </c>
      <c r="AC23" s="120">
        <f t="shared" si="8"/>
        <v>0</v>
      </c>
      <c r="AD23" s="115">
        <f t="shared" si="3"/>
        <v>1166.6600000000001</v>
      </c>
      <c r="AE23" s="121">
        <f t="shared" si="4"/>
        <v>116.66600000000001</v>
      </c>
      <c r="AF23" s="120">
        <v>10.23</v>
      </c>
      <c r="AG23" s="120">
        <f t="shared" si="5"/>
        <v>0</v>
      </c>
      <c r="AH23" s="122">
        <f t="shared" si="6"/>
        <v>1293.556</v>
      </c>
      <c r="AI23" s="239">
        <v>577.4</v>
      </c>
      <c r="AJ23" s="239">
        <v>589.26</v>
      </c>
      <c r="AK23" s="194">
        <f t="shared" si="7"/>
        <v>0</v>
      </c>
      <c r="AL23" s="124"/>
      <c r="AM23" s="12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92</v>
      </c>
      <c r="B24" s="110" t="s">
        <v>209</v>
      </c>
      <c r="C24" s="110"/>
      <c r="D24" s="110" t="s">
        <v>100</v>
      </c>
      <c r="E24" s="110" t="s">
        <v>161</v>
      </c>
      <c r="F24" s="110"/>
      <c r="G24" s="110"/>
      <c r="H24" s="110"/>
      <c r="I24" s="128">
        <v>739.23</v>
      </c>
      <c r="J24" s="180"/>
      <c r="K24" s="112">
        <f t="shared" si="0"/>
        <v>739.23</v>
      </c>
      <c r="L24" s="112">
        <f>2342.87+13.09</f>
        <v>2355.96</v>
      </c>
      <c r="M24" s="112"/>
      <c r="N24" s="112"/>
      <c r="O24" s="112"/>
      <c r="P24" s="114"/>
      <c r="Q24" s="115">
        <f t="shared" si="1"/>
        <v>3095.19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3095.19</v>
      </c>
      <c r="AC24" s="120">
        <f t="shared" si="8"/>
        <v>309.51900000000001</v>
      </c>
      <c r="AD24" s="115">
        <f t="shared" si="3"/>
        <v>2785.6710000000003</v>
      </c>
      <c r="AE24" s="121">
        <f t="shared" si="4"/>
        <v>309.51900000000001</v>
      </c>
      <c r="AF24" s="120">
        <v>10.23</v>
      </c>
      <c r="AG24" s="120">
        <f t="shared" si="5"/>
        <v>0</v>
      </c>
      <c r="AH24" s="122">
        <f t="shared" si="6"/>
        <v>3414.9389999999999</v>
      </c>
      <c r="AI24" s="241">
        <v>577.4</v>
      </c>
      <c r="AJ24" s="242">
        <v>2208.27</v>
      </c>
      <c r="AK24" s="194">
        <f t="shared" si="7"/>
        <v>-1.0000000002037268E-3</v>
      </c>
      <c r="AL24" s="124"/>
      <c r="AM24" s="124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 s="40" customFormat="1">
      <c r="A25" s="124" t="s">
        <v>70</v>
      </c>
      <c r="B25" s="110" t="s">
        <v>324</v>
      </c>
      <c r="C25" s="124" t="s">
        <v>299</v>
      </c>
      <c r="D25" s="110" t="s">
        <v>121</v>
      </c>
      <c r="E25" s="110" t="s">
        <v>173</v>
      </c>
      <c r="F25" s="132">
        <v>42304</v>
      </c>
      <c r="G25" s="111"/>
      <c r="H25" s="111"/>
      <c r="I25" s="112">
        <v>513.33000000000004</v>
      </c>
      <c r="J25" s="178">
        <v>653.33000000000004</v>
      </c>
      <c r="K25" s="112">
        <f t="shared" si="0"/>
        <v>1166.6600000000001</v>
      </c>
      <c r="L25" s="128"/>
      <c r="M25" s="112"/>
      <c r="N25" s="113"/>
      <c r="O25" s="113"/>
      <c r="P25" s="114"/>
      <c r="Q25" s="115">
        <f t="shared" si="1"/>
        <v>1166.6600000000001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1166.6600000000001</v>
      </c>
      <c r="AC25" s="120">
        <f t="shared" si="8"/>
        <v>0</v>
      </c>
      <c r="AD25" s="115">
        <f t="shared" si="3"/>
        <v>1166.6600000000001</v>
      </c>
      <c r="AE25" s="121">
        <f t="shared" si="4"/>
        <v>116.66600000000001</v>
      </c>
      <c r="AF25" s="120">
        <v>10.23</v>
      </c>
      <c r="AG25" s="120">
        <f t="shared" si="5"/>
        <v>0</v>
      </c>
      <c r="AH25" s="122">
        <f t="shared" si="6"/>
        <v>1293.556</v>
      </c>
      <c r="AI25" s="239">
        <v>577.4</v>
      </c>
      <c r="AJ25" s="239">
        <v>589.26</v>
      </c>
      <c r="AK25" s="194">
        <f t="shared" si="7"/>
        <v>0</v>
      </c>
      <c r="AL25" s="124"/>
      <c r="AM25" s="124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39" customFormat="1">
      <c r="A26" s="124" t="s">
        <v>92</v>
      </c>
      <c r="B26" s="110" t="s">
        <v>327</v>
      </c>
      <c r="C26" s="110"/>
      <c r="D26" s="110" t="s">
        <v>114</v>
      </c>
      <c r="E26" s="110" t="s">
        <v>167</v>
      </c>
      <c r="F26" s="110"/>
      <c r="G26" s="110"/>
      <c r="H26" s="110"/>
      <c r="I26" s="112">
        <v>1100</v>
      </c>
      <c r="J26" s="180"/>
      <c r="K26" s="112">
        <f t="shared" si="0"/>
        <v>1100</v>
      </c>
      <c r="L26" s="112">
        <f>1315.2+5.57</f>
        <v>1320.77</v>
      </c>
      <c r="M26" s="112"/>
      <c r="N26" s="112"/>
      <c r="O26" s="112"/>
      <c r="P26" s="114"/>
      <c r="Q26" s="115">
        <f t="shared" si="1"/>
        <v>2420.77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2420.77</v>
      </c>
      <c r="AC26" s="120">
        <f t="shared" si="8"/>
        <v>242.077</v>
      </c>
      <c r="AD26" s="115">
        <f t="shared" si="3"/>
        <v>2178.6930000000002</v>
      </c>
      <c r="AE26" s="121">
        <f t="shared" si="4"/>
        <v>242.077</v>
      </c>
      <c r="AF26" s="120">
        <v>10.23</v>
      </c>
      <c r="AG26" s="120">
        <f t="shared" si="5"/>
        <v>0</v>
      </c>
      <c r="AH26" s="122">
        <f t="shared" si="6"/>
        <v>2673.0769999999998</v>
      </c>
      <c r="AI26" s="241">
        <v>577.4</v>
      </c>
      <c r="AJ26" s="242">
        <v>1601.29</v>
      </c>
      <c r="AK26" s="194">
        <f t="shared" si="7"/>
        <v>-3.0000000001564331E-3</v>
      </c>
      <c r="AL26" s="124"/>
      <c r="AM26" s="129"/>
    </row>
    <row r="27" spans="1:193">
      <c r="A27" s="124" t="s">
        <v>69</v>
      </c>
      <c r="B27" s="110" t="s">
        <v>227</v>
      </c>
      <c r="C27" s="110"/>
      <c r="D27" s="110" t="s">
        <v>112</v>
      </c>
      <c r="E27" s="110" t="s">
        <v>169</v>
      </c>
      <c r="F27" s="110"/>
      <c r="G27" s="110"/>
      <c r="H27" s="110"/>
      <c r="I27" s="112">
        <v>933.33</v>
      </c>
      <c r="J27" s="180"/>
      <c r="K27" s="112">
        <f t="shared" si="0"/>
        <v>933.33</v>
      </c>
      <c r="L27" s="112">
        <v>550</v>
      </c>
      <c r="M27" s="112"/>
      <c r="N27" s="112"/>
      <c r="O27" s="112"/>
      <c r="P27" s="114"/>
      <c r="Q27" s="115">
        <f t="shared" si="1"/>
        <v>1483.33</v>
      </c>
      <c r="R27" s="116"/>
      <c r="S27" s="117">
        <v>58.91</v>
      </c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1424.4199999999998</v>
      </c>
      <c r="AC27" s="120">
        <f t="shared" si="8"/>
        <v>0</v>
      </c>
      <c r="AD27" s="115">
        <f t="shared" si="3"/>
        <v>1424.4199999999998</v>
      </c>
      <c r="AE27" s="121">
        <f t="shared" si="4"/>
        <v>148.333</v>
      </c>
      <c r="AF27" s="120">
        <v>10.23</v>
      </c>
      <c r="AG27" s="120">
        <f t="shared" si="5"/>
        <v>0</v>
      </c>
      <c r="AH27" s="122">
        <f t="shared" si="6"/>
        <v>1641.893</v>
      </c>
      <c r="AI27" s="239">
        <v>577.4</v>
      </c>
      <c r="AJ27" s="239">
        <v>847.02</v>
      </c>
      <c r="AK27" s="194">
        <f t="shared" si="7"/>
        <v>0</v>
      </c>
      <c r="AL27" s="124"/>
      <c r="AM27" s="124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>
      <c r="A28" s="124" t="s">
        <v>253</v>
      </c>
      <c r="B28" s="110" t="s">
        <v>207</v>
      </c>
      <c r="C28" s="110"/>
      <c r="D28" s="110" t="s">
        <v>115</v>
      </c>
      <c r="E28" s="110" t="s">
        <v>171</v>
      </c>
      <c r="F28" s="132">
        <v>42205</v>
      </c>
      <c r="G28" s="110"/>
      <c r="H28" s="133"/>
      <c r="I28" s="112">
        <v>577.38</v>
      </c>
      <c r="J28" s="181">
        <v>1047.6199999999999</v>
      </c>
      <c r="K28" s="112">
        <f t="shared" si="0"/>
        <v>1625</v>
      </c>
      <c r="L28" s="112"/>
      <c r="M28" s="112"/>
      <c r="N28" s="112"/>
      <c r="O28" s="112"/>
      <c r="P28" s="114"/>
      <c r="Q28" s="115">
        <f t="shared" si="1"/>
        <v>1625</v>
      </c>
      <c r="R28" s="116"/>
      <c r="S28" s="117"/>
      <c r="T28" s="126">
        <v>200</v>
      </c>
      <c r="U28" s="117"/>
      <c r="V28" s="117"/>
      <c r="W28" s="117"/>
      <c r="X28" s="118"/>
      <c r="Y28" s="131">
        <v>168.06</v>
      </c>
      <c r="Z28" s="119"/>
      <c r="AA28" s="119">
        <v>0</v>
      </c>
      <c r="AB28" s="115">
        <f t="shared" si="2"/>
        <v>1256.94</v>
      </c>
      <c r="AC28" s="120">
        <f t="shared" si="8"/>
        <v>0</v>
      </c>
      <c r="AD28" s="115">
        <f t="shared" si="3"/>
        <v>1256.94</v>
      </c>
      <c r="AE28" s="121">
        <f t="shared" si="4"/>
        <v>162.5</v>
      </c>
      <c r="AF28" s="120">
        <v>10.23</v>
      </c>
      <c r="AG28" s="120">
        <f t="shared" si="5"/>
        <v>0</v>
      </c>
      <c r="AH28" s="122">
        <f t="shared" si="6"/>
        <v>1797.73</v>
      </c>
      <c r="AI28" s="241">
        <v>409.34</v>
      </c>
      <c r="AJ28" s="241">
        <v>847.6</v>
      </c>
      <c r="AK28" s="194">
        <f t="shared" si="7"/>
        <v>0</v>
      </c>
      <c r="AL28" s="124"/>
      <c r="AM28" s="124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24" t="s">
        <v>340</v>
      </c>
      <c r="C29" s="124"/>
      <c r="D29" s="124"/>
      <c r="E29" s="124" t="s">
        <v>171</v>
      </c>
      <c r="F29" s="127">
        <v>42476</v>
      </c>
      <c r="G29" s="124"/>
      <c r="H29" s="199"/>
      <c r="I29" s="112">
        <v>577.38</v>
      </c>
      <c r="J29" s="200">
        <v>822.62</v>
      </c>
      <c r="K29" s="112">
        <f t="shared" si="0"/>
        <v>1400</v>
      </c>
      <c r="L29" s="128"/>
      <c r="M29" s="128"/>
      <c r="N29" s="128"/>
      <c r="O29" s="128"/>
      <c r="P29" s="171"/>
      <c r="Q29" s="115">
        <f t="shared" si="1"/>
        <v>1400</v>
      </c>
      <c r="R29" s="116"/>
      <c r="S29" s="117"/>
      <c r="T29" s="164"/>
      <c r="U29" s="164"/>
      <c r="V29" s="164"/>
      <c r="W29" s="164"/>
      <c r="X29" s="165"/>
      <c r="Y29" s="165"/>
      <c r="Z29" s="149"/>
      <c r="AA29" s="149">
        <v>0</v>
      </c>
      <c r="AB29" s="115">
        <f t="shared" ref="AB29" si="11">+Q29-SUM(R29:AA29)</f>
        <v>1400</v>
      </c>
      <c r="AC29" s="120">
        <f t="shared" ref="AC29" si="12">IF(Q29&gt;2250,Q29*0.1,0)</f>
        <v>0</v>
      </c>
      <c r="AD29" s="115">
        <f t="shared" ref="AD29" si="13">+AB29-AC29</f>
        <v>1400</v>
      </c>
      <c r="AE29" s="121">
        <f t="shared" ref="AE29" si="14">IF(Q29&lt;3500,Q29*0.1,0)</f>
        <v>140</v>
      </c>
      <c r="AF29" s="120">
        <v>10.23</v>
      </c>
      <c r="AG29" s="120">
        <f t="shared" ref="AG29" si="15">+U29</f>
        <v>0</v>
      </c>
      <c r="AH29" s="122">
        <f t="shared" ref="AH29" si="16">+Q29+AE29+AF29+AG29</f>
        <v>1550.23</v>
      </c>
      <c r="AI29" s="239">
        <v>577.4</v>
      </c>
      <c r="AJ29" s="239">
        <v>822.6</v>
      </c>
      <c r="AK29" s="194">
        <f t="shared" si="7"/>
        <v>0</v>
      </c>
      <c r="AL29" s="124">
        <v>2919685839</v>
      </c>
      <c r="AM29" s="12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s="40" customFormat="1">
      <c r="A30" s="124" t="s">
        <v>94</v>
      </c>
      <c r="B30" s="110" t="s">
        <v>231</v>
      </c>
      <c r="C30" s="110"/>
      <c r="D30" s="110" t="s">
        <v>130</v>
      </c>
      <c r="E30" s="110" t="s">
        <v>181</v>
      </c>
      <c r="F30" s="110"/>
      <c r="G30" s="111"/>
      <c r="H30" s="111"/>
      <c r="I30" s="112">
        <v>608.16</v>
      </c>
      <c r="J30" s="177"/>
      <c r="K30" s="112">
        <f t="shared" si="0"/>
        <v>608.16</v>
      </c>
      <c r="L30" s="112">
        <f>1687.52+5.57</f>
        <v>1693.09</v>
      </c>
      <c r="M30" s="112"/>
      <c r="N30" s="113"/>
      <c r="O30" s="113"/>
      <c r="P30" s="114"/>
      <c r="Q30" s="115">
        <f t="shared" si="1"/>
        <v>2301.25</v>
      </c>
      <c r="R30" s="116"/>
      <c r="S30" s="117"/>
      <c r="T30" s="126">
        <v>500</v>
      </c>
      <c r="U30" s="126">
        <f>Q30*4.9%</f>
        <v>112.76125</v>
      </c>
      <c r="V30" s="126">
        <f>Q30*1%</f>
        <v>23.012499999999999</v>
      </c>
      <c r="W30" s="117"/>
      <c r="X30" s="118"/>
      <c r="Y30" s="118"/>
      <c r="Z30" s="119"/>
      <c r="AA30" s="119">
        <v>0</v>
      </c>
      <c r="AB30" s="115">
        <f t="shared" si="2"/>
        <v>1665.4762499999999</v>
      </c>
      <c r="AC30" s="120">
        <f t="shared" si="8"/>
        <v>230.125</v>
      </c>
      <c r="AD30" s="115">
        <f t="shared" si="3"/>
        <v>1435.3512499999999</v>
      </c>
      <c r="AE30" s="121">
        <f t="shared" si="4"/>
        <v>230.125</v>
      </c>
      <c r="AF30" s="120">
        <v>10.23</v>
      </c>
      <c r="AG30" s="120">
        <f t="shared" si="5"/>
        <v>112.76125</v>
      </c>
      <c r="AH30" s="122">
        <f t="shared" si="6"/>
        <v>2654.36625</v>
      </c>
      <c r="AI30" s="241">
        <v>577.4</v>
      </c>
      <c r="AJ30" s="241">
        <v>857.95</v>
      </c>
      <c r="AK30" s="194">
        <f t="shared" si="7"/>
        <v>-1.2500000000272848E-3</v>
      </c>
      <c r="AL30" s="124"/>
      <c r="AM30" s="124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4" t="s">
        <v>94</v>
      </c>
      <c r="B31" s="110" t="s">
        <v>229</v>
      </c>
      <c r="C31" s="110"/>
      <c r="D31" s="110" t="s">
        <v>131</v>
      </c>
      <c r="E31" s="110" t="s">
        <v>181</v>
      </c>
      <c r="F31" s="110"/>
      <c r="G31" s="111"/>
      <c r="H31" s="111"/>
      <c r="I31" s="112">
        <v>608.16</v>
      </c>
      <c r="J31" s="177"/>
      <c r="K31" s="112">
        <f t="shared" si="0"/>
        <v>608.16</v>
      </c>
      <c r="L31" s="112">
        <f>3782.32+2.97</f>
        <v>3785.29</v>
      </c>
      <c r="M31" s="112"/>
      <c r="N31" s="113"/>
      <c r="O31" s="113"/>
      <c r="P31" s="114"/>
      <c r="Q31" s="115">
        <f t="shared" si="1"/>
        <v>4393.45</v>
      </c>
      <c r="R31" s="116"/>
      <c r="S31" s="117"/>
      <c r="T31" s="164">
        <v>0</v>
      </c>
      <c r="U31" s="126">
        <f>Q31*4.9%</f>
        <v>215.27905000000001</v>
      </c>
      <c r="V31" s="126">
        <f>Q31*1%</f>
        <v>43.9345</v>
      </c>
      <c r="W31" s="126">
        <v>300</v>
      </c>
      <c r="X31" s="118"/>
      <c r="Y31" s="118"/>
      <c r="Z31" s="130"/>
      <c r="AA31" s="119">
        <v>0</v>
      </c>
      <c r="AB31" s="115">
        <f t="shared" si="2"/>
        <v>3834.2364499999999</v>
      </c>
      <c r="AC31" s="120">
        <f t="shared" si="8"/>
        <v>439.34500000000003</v>
      </c>
      <c r="AD31" s="115">
        <f t="shared" si="3"/>
        <v>3394.8914500000001</v>
      </c>
      <c r="AE31" s="121">
        <f t="shared" si="4"/>
        <v>0</v>
      </c>
      <c r="AF31" s="120">
        <v>10.23</v>
      </c>
      <c r="AG31" s="120">
        <f t="shared" si="5"/>
        <v>215.27905000000001</v>
      </c>
      <c r="AH31" s="122">
        <f t="shared" si="6"/>
        <v>4618.9590499999995</v>
      </c>
      <c r="AI31" s="239">
        <v>577.4</v>
      </c>
      <c r="AJ31" s="240">
        <v>2817.49</v>
      </c>
      <c r="AK31" s="194">
        <f t="shared" si="7"/>
        <v>-1.4500000002044544E-3</v>
      </c>
      <c r="AL31" s="124"/>
      <c r="AM31" s="124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 t="s">
        <v>91</v>
      </c>
      <c r="B32" s="110" t="s">
        <v>236</v>
      </c>
      <c r="C32" s="110"/>
      <c r="D32" s="110" t="s">
        <v>98</v>
      </c>
      <c r="E32" s="110" t="s">
        <v>72</v>
      </c>
      <c r="F32" s="132">
        <v>42024</v>
      </c>
      <c r="G32" s="110"/>
      <c r="H32" s="110"/>
      <c r="I32" s="112">
        <v>1166.26</v>
      </c>
      <c r="J32" s="176"/>
      <c r="K32" s="112">
        <f t="shared" si="0"/>
        <v>1166.26</v>
      </c>
      <c r="L32" s="112">
        <v>1839.2</v>
      </c>
      <c r="M32" s="112"/>
      <c r="N32" s="112"/>
      <c r="O32" s="112"/>
      <c r="P32" s="114"/>
      <c r="Q32" s="115">
        <f t="shared" si="1"/>
        <v>3005.46</v>
      </c>
      <c r="R32" s="116"/>
      <c r="S32" s="164"/>
      <c r="T32" s="117">
        <v>0</v>
      </c>
      <c r="U32" s="117"/>
      <c r="V32" s="117"/>
      <c r="W32" s="117"/>
      <c r="X32" s="118"/>
      <c r="Y32" s="118"/>
      <c r="Z32" s="119"/>
      <c r="AA32" s="119">
        <v>0</v>
      </c>
      <c r="AB32" s="115">
        <f t="shared" si="2"/>
        <v>3005.46</v>
      </c>
      <c r="AC32" s="120">
        <f t="shared" si="8"/>
        <v>300.54599999999999</v>
      </c>
      <c r="AD32" s="115">
        <f t="shared" si="3"/>
        <v>2704.9140000000002</v>
      </c>
      <c r="AE32" s="121">
        <f t="shared" si="4"/>
        <v>300.54599999999999</v>
      </c>
      <c r="AF32" s="120">
        <v>10.23</v>
      </c>
      <c r="AG32" s="120">
        <f t="shared" si="5"/>
        <v>0</v>
      </c>
      <c r="AH32" s="122">
        <f t="shared" si="6"/>
        <v>3316.2359999999999</v>
      </c>
      <c r="AI32" s="241">
        <v>577.4</v>
      </c>
      <c r="AJ32" s="242">
        <v>2127.5100000000002</v>
      </c>
      <c r="AK32" s="194">
        <f t="shared" si="7"/>
        <v>-3.9999999999054126E-3</v>
      </c>
      <c r="AL32" s="124"/>
      <c r="AM32" s="124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39" customFormat="1">
      <c r="A33" s="124" t="s">
        <v>92</v>
      </c>
      <c r="B33" s="124" t="s">
        <v>309</v>
      </c>
      <c r="C33" s="124"/>
      <c r="D33" s="124"/>
      <c r="E33" s="124" t="s">
        <v>310</v>
      </c>
      <c r="F33" s="127">
        <v>42457</v>
      </c>
      <c r="G33" s="124"/>
      <c r="H33" s="124"/>
      <c r="I33" s="128">
        <v>1100</v>
      </c>
      <c r="J33" s="182"/>
      <c r="K33" s="112">
        <f t="shared" si="0"/>
        <v>1100</v>
      </c>
      <c r="L33" s="128"/>
      <c r="M33" s="128"/>
      <c r="N33" s="128"/>
      <c r="O33" s="128"/>
      <c r="P33" s="114"/>
      <c r="Q33" s="115">
        <f t="shared" si="1"/>
        <v>1100</v>
      </c>
      <c r="R33" s="116"/>
      <c r="S33" s="164"/>
      <c r="T33" s="164">
        <v>0</v>
      </c>
      <c r="U33" s="164"/>
      <c r="V33" s="164"/>
      <c r="W33" s="164"/>
      <c r="X33" s="165"/>
      <c r="Y33" s="165"/>
      <c r="Z33" s="149"/>
      <c r="AA33" s="149">
        <v>0</v>
      </c>
      <c r="AB33" s="115">
        <f t="shared" si="2"/>
        <v>1100</v>
      </c>
      <c r="AC33" s="120">
        <f t="shared" si="8"/>
        <v>0</v>
      </c>
      <c r="AD33" s="115">
        <f t="shared" si="3"/>
        <v>1100</v>
      </c>
      <c r="AE33" s="121">
        <f t="shared" si="4"/>
        <v>110</v>
      </c>
      <c r="AF33" s="120">
        <v>10.23</v>
      </c>
      <c r="AG33" s="120">
        <f>+U33</f>
        <v>0</v>
      </c>
      <c r="AH33" s="122">
        <f>+Q33+AE33+AF33+AG33</f>
        <v>1220.23</v>
      </c>
      <c r="AI33" s="239">
        <v>577.4</v>
      </c>
      <c r="AJ33" s="239">
        <v>522.6</v>
      </c>
      <c r="AK33" s="194">
        <f t="shared" si="7"/>
        <v>0</v>
      </c>
      <c r="AL33" s="124"/>
      <c r="AM33" s="124"/>
    </row>
    <row r="34" spans="1:193" s="39" customFormat="1">
      <c r="A34" s="124" t="s">
        <v>71</v>
      </c>
      <c r="B34" s="124" t="s">
        <v>338</v>
      </c>
      <c r="C34" s="124" t="s">
        <v>249</v>
      </c>
      <c r="D34" s="124"/>
      <c r="E34" s="124" t="s">
        <v>73</v>
      </c>
      <c r="F34" s="127">
        <v>42415</v>
      </c>
      <c r="G34" s="124"/>
      <c r="H34" s="124"/>
      <c r="I34" s="128">
        <v>513.33000000000004</v>
      </c>
      <c r="J34" s="182">
        <v>653.33000000000004</v>
      </c>
      <c r="K34" s="128">
        <f t="shared" si="0"/>
        <v>1166.6600000000001</v>
      </c>
      <c r="L34" s="128"/>
      <c r="M34" s="128"/>
      <c r="N34" s="128"/>
      <c r="O34" s="128"/>
      <c r="P34" s="114"/>
      <c r="Q34" s="115">
        <f t="shared" si="1"/>
        <v>1166.6600000000001</v>
      </c>
      <c r="R34" s="116"/>
      <c r="S34" s="164"/>
      <c r="T34" s="164">
        <v>0</v>
      </c>
      <c r="U34" s="164"/>
      <c r="V34" s="164"/>
      <c r="W34" s="164"/>
      <c r="X34" s="165"/>
      <c r="Y34" s="165"/>
      <c r="Z34" s="149"/>
      <c r="AA34" s="149">
        <v>0</v>
      </c>
      <c r="AB34" s="115">
        <f t="shared" si="2"/>
        <v>1166.6600000000001</v>
      </c>
      <c r="AC34" s="120">
        <f t="shared" si="8"/>
        <v>0</v>
      </c>
      <c r="AD34" s="115">
        <f t="shared" si="3"/>
        <v>1166.6600000000001</v>
      </c>
      <c r="AE34" s="121">
        <f t="shared" si="4"/>
        <v>116.66600000000001</v>
      </c>
      <c r="AF34" s="120">
        <v>10.23</v>
      </c>
      <c r="AG34" s="120">
        <f t="shared" si="5"/>
        <v>0</v>
      </c>
      <c r="AH34" s="122">
        <f t="shared" si="6"/>
        <v>1293.556</v>
      </c>
      <c r="AI34" s="241">
        <v>577.4</v>
      </c>
      <c r="AJ34" s="241">
        <v>589.26</v>
      </c>
      <c r="AK34" s="194">
        <f t="shared" si="7"/>
        <v>0</v>
      </c>
      <c r="AL34" s="124"/>
      <c r="AM34" s="124"/>
    </row>
    <row r="35" spans="1:193" s="39" customFormat="1">
      <c r="A35" s="124" t="s">
        <v>71</v>
      </c>
      <c r="B35" s="124" t="s">
        <v>335</v>
      </c>
      <c r="C35" s="124" t="s">
        <v>249</v>
      </c>
      <c r="D35" s="124" t="s">
        <v>148</v>
      </c>
      <c r="E35" s="124" t="s">
        <v>73</v>
      </c>
      <c r="F35" s="127">
        <v>41906</v>
      </c>
      <c r="G35" s="124"/>
      <c r="H35" s="124"/>
      <c r="I35" s="128">
        <v>513.33000000000004</v>
      </c>
      <c r="J35" s="179">
        <v>653.33000000000004</v>
      </c>
      <c r="K35" s="128">
        <f t="shared" si="0"/>
        <v>1166.6600000000001</v>
      </c>
      <c r="L35" s="128">
        <v>2228.7600000000002</v>
      </c>
      <c r="M35" s="128"/>
      <c r="N35" s="128"/>
      <c r="O35" s="128"/>
      <c r="P35" s="114"/>
      <c r="Q35" s="115">
        <f t="shared" si="1"/>
        <v>3395.42</v>
      </c>
      <c r="R35" s="116"/>
      <c r="S35" s="164">
        <v>58.91</v>
      </c>
      <c r="T35" s="164">
        <v>0</v>
      </c>
      <c r="U35" s="164"/>
      <c r="V35" s="164"/>
      <c r="W35" s="164"/>
      <c r="X35" s="165"/>
      <c r="Y35" s="165"/>
      <c r="Z35" s="149"/>
      <c r="AA35" s="125">
        <v>349.07</v>
      </c>
      <c r="AB35" s="115">
        <f t="shared" si="2"/>
        <v>2987.44</v>
      </c>
      <c r="AC35" s="120">
        <f t="shared" si="8"/>
        <v>339.54200000000003</v>
      </c>
      <c r="AD35" s="115">
        <f t="shared" si="3"/>
        <v>2647.8980000000001</v>
      </c>
      <c r="AE35" s="121">
        <f t="shared" si="4"/>
        <v>339.54200000000003</v>
      </c>
      <c r="AF35" s="120">
        <v>10.23</v>
      </c>
      <c r="AG35" s="120">
        <f t="shared" si="5"/>
        <v>0</v>
      </c>
      <c r="AH35" s="122">
        <f t="shared" si="6"/>
        <v>3745.192</v>
      </c>
      <c r="AI35" s="239">
        <v>228.33</v>
      </c>
      <c r="AJ35" s="240">
        <v>2419.5700000000002</v>
      </c>
      <c r="AK35" s="194">
        <f t="shared" si="7"/>
        <v>1.9999999999527063E-3</v>
      </c>
      <c r="AL35" s="124"/>
      <c r="AM35" s="124"/>
    </row>
    <row r="36" spans="1:193" s="39" customFormat="1">
      <c r="A36" s="124" t="s">
        <v>71</v>
      </c>
      <c r="B36" s="124" t="s">
        <v>223</v>
      </c>
      <c r="C36" s="124" t="s">
        <v>249</v>
      </c>
      <c r="D36" s="124" t="s">
        <v>149</v>
      </c>
      <c r="E36" s="124" t="s">
        <v>73</v>
      </c>
      <c r="F36" s="127">
        <v>42213</v>
      </c>
      <c r="G36" s="124"/>
      <c r="H36" s="124"/>
      <c r="I36" s="128">
        <v>513.33000000000004</v>
      </c>
      <c r="J36" s="179">
        <v>653.33000000000004</v>
      </c>
      <c r="K36" s="128">
        <f t="shared" si="0"/>
        <v>1166.6600000000001</v>
      </c>
      <c r="L36" s="128">
        <v>1725.39</v>
      </c>
      <c r="M36" s="128"/>
      <c r="N36" s="128"/>
      <c r="O36" s="128"/>
      <c r="P36" s="114"/>
      <c r="Q36" s="115">
        <f t="shared" si="1"/>
        <v>2892.05</v>
      </c>
      <c r="R36" s="116"/>
      <c r="S36" s="164">
        <v>58.91</v>
      </c>
      <c r="T36" s="164">
        <v>0</v>
      </c>
      <c r="U36" s="164"/>
      <c r="V36" s="164"/>
      <c r="W36" s="164"/>
      <c r="X36" s="165"/>
      <c r="Y36" s="165"/>
      <c r="Z36" s="149"/>
      <c r="AA36" s="149">
        <v>0</v>
      </c>
      <c r="AB36" s="115">
        <f t="shared" si="2"/>
        <v>2833.1400000000003</v>
      </c>
      <c r="AC36" s="120">
        <f t="shared" si="8"/>
        <v>289.20500000000004</v>
      </c>
      <c r="AD36" s="115">
        <f t="shared" si="3"/>
        <v>2543.9350000000004</v>
      </c>
      <c r="AE36" s="121">
        <f t="shared" si="4"/>
        <v>289.20500000000004</v>
      </c>
      <c r="AF36" s="120">
        <v>10.23</v>
      </c>
      <c r="AG36" s="120">
        <f t="shared" si="5"/>
        <v>0</v>
      </c>
      <c r="AH36" s="122">
        <f t="shared" si="6"/>
        <v>3191.4850000000001</v>
      </c>
      <c r="AI36" s="241">
        <v>577.4</v>
      </c>
      <c r="AJ36" s="242">
        <v>1966.54</v>
      </c>
      <c r="AK36" s="194">
        <f t="shared" si="7"/>
        <v>4.999999999654392E-3</v>
      </c>
      <c r="AL36" s="124"/>
      <c r="AM36" s="124"/>
    </row>
    <row r="37" spans="1:193" s="39" customFormat="1">
      <c r="A37" s="187" t="s">
        <v>71</v>
      </c>
      <c r="B37" s="187" t="s">
        <v>250</v>
      </c>
      <c r="C37" s="187" t="s">
        <v>249</v>
      </c>
      <c r="D37" s="188"/>
      <c r="E37" s="187" t="s">
        <v>73</v>
      </c>
      <c r="F37" s="189">
        <v>42240</v>
      </c>
      <c r="G37" s="187"/>
      <c r="H37" s="187"/>
      <c r="I37" s="190"/>
      <c r="J37" s="191"/>
      <c r="K37" s="190">
        <f t="shared" si="0"/>
        <v>0</v>
      </c>
      <c r="L37" s="156"/>
      <c r="M37" s="190"/>
      <c r="N37" s="190"/>
      <c r="O37" s="190"/>
      <c r="P37" s="192"/>
      <c r="Q37" s="122">
        <f t="shared" si="1"/>
        <v>0</v>
      </c>
      <c r="R37" s="190"/>
      <c r="S37" s="190">
        <v>58.91</v>
      </c>
      <c r="T37" s="190"/>
      <c r="U37" s="190"/>
      <c r="V37" s="190"/>
      <c r="W37" s="190"/>
      <c r="X37" s="193"/>
      <c r="Y37" s="193"/>
      <c r="Z37" s="187"/>
      <c r="AA37" s="187">
        <v>0</v>
      </c>
      <c r="AB37" s="122">
        <f t="shared" si="2"/>
        <v>-58.91</v>
      </c>
      <c r="AC37" s="193">
        <f t="shared" si="8"/>
        <v>0</v>
      </c>
      <c r="AD37" s="122">
        <f>+AB37-AC37</f>
        <v>-58.91</v>
      </c>
      <c r="AE37" s="193">
        <f>IF(Q37&lt;3500,Q37*0.1,0)</f>
        <v>0</v>
      </c>
      <c r="AF37" s="193">
        <v>10.23</v>
      </c>
      <c r="AG37" s="193">
        <f t="shared" si="5"/>
        <v>0</v>
      </c>
      <c r="AH37" s="122">
        <f t="shared" si="6"/>
        <v>10.23</v>
      </c>
      <c r="AI37" s="238"/>
      <c r="AJ37" s="238"/>
      <c r="AK37" s="195">
        <f t="shared" si="7"/>
        <v>58.91</v>
      </c>
      <c r="AL37" s="187"/>
      <c r="AM37" s="170" t="s">
        <v>339</v>
      </c>
    </row>
    <row r="38" spans="1:193">
      <c r="A38" s="124" t="s">
        <v>92</v>
      </c>
      <c r="B38" s="110" t="s">
        <v>230</v>
      </c>
      <c r="C38" s="110"/>
      <c r="D38" s="110" t="s">
        <v>101</v>
      </c>
      <c r="E38" s="110" t="s">
        <v>162</v>
      </c>
      <c r="F38" s="110"/>
      <c r="G38" s="110"/>
      <c r="H38" s="110"/>
      <c r="I38" s="112">
        <v>739.23</v>
      </c>
      <c r="J38" s="180"/>
      <c r="K38" s="112">
        <f t="shared" ref="K38:K73" si="17">+I38+J38</f>
        <v>739.23</v>
      </c>
      <c r="L38" s="112">
        <f>2900.15+7.42</f>
        <v>2907.57</v>
      </c>
      <c r="M38" s="112"/>
      <c r="N38" s="112"/>
      <c r="O38" s="112"/>
      <c r="P38" s="114"/>
      <c r="Q38" s="115">
        <f t="shared" ref="Q38:Q74" si="18">SUM(K38:O38)-P38</f>
        <v>3646.8</v>
      </c>
      <c r="R38" s="116"/>
      <c r="S38" s="117"/>
      <c r="T38" s="117">
        <v>0</v>
      </c>
      <c r="U38" s="117"/>
      <c r="V38" s="117"/>
      <c r="W38" s="117"/>
      <c r="X38" s="118"/>
      <c r="Y38" s="118"/>
      <c r="Z38" s="119"/>
      <c r="AA38" s="149">
        <v>0</v>
      </c>
      <c r="AB38" s="115">
        <f t="shared" ref="AB38:AB74" si="19">+Q38-SUM(R38:AA38)</f>
        <v>3646.8</v>
      </c>
      <c r="AC38" s="120">
        <f t="shared" si="8"/>
        <v>364.68000000000006</v>
      </c>
      <c r="AD38" s="115">
        <f t="shared" ref="AD38:AD73" si="20">+AB38-AC38</f>
        <v>3282.12</v>
      </c>
      <c r="AE38" s="121">
        <f t="shared" ref="AE38:AE73" si="21">IF(Q38&lt;3500,Q38*0.1,0)</f>
        <v>0</v>
      </c>
      <c r="AF38" s="120">
        <v>10.23</v>
      </c>
      <c r="AG38" s="120">
        <f t="shared" ref="AG38:AG73" si="22">+U38</f>
        <v>0</v>
      </c>
      <c r="AH38" s="122">
        <f t="shared" ref="AH38:AH73" si="23">+Q38+AE38+AF38+AG38</f>
        <v>3657.03</v>
      </c>
      <c r="AI38" s="239">
        <v>577.4</v>
      </c>
      <c r="AJ38" s="244">
        <v>2704.72</v>
      </c>
      <c r="AK38" s="194">
        <f t="shared" si="7"/>
        <v>0</v>
      </c>
      <c r="AL38" s="124"/>
      <c r="AM38" s="124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</row>
    <row r="39" spans="1:193">
      <c r="A39" s="124" t="s">
        <v>71</v>
      </c>
      <c r="B39" s="110" t="s">
        <v>224</v>
      </c>
      <c r="C39" s="110" t="s">
        <v>251</v>
      </c>
      <c r="D39" s="110" t="s">
        <v>150</v>
      </c>
      <c r="E39" s="110" t="s">
        <v>73</v>
      </c>
      <c r="F39" s="110"/>
      <c r="G39" s="111"/>
      <c r="H39" s="111"/>
      <c r="I39" s="128">
        <v>513.33000000000004</v>
      </c>
      <c r="J39" s="179">
        <v>653.33000000000004</v>
      </c>
      <c r="K39" s="112">
        <f t="shared" si="17"/>
        <v>1166.6600000000001</v>
      </c>
      <c r="L39" s="112">
        <v>19405.169999999998</v>
      </c>
      <c r="M39" s="112"/>
      <c r="N39" s="113"/>
      <c r="O39" s="113"/>
      <c r="P39" s="114"/>
      <c r="Q39" s="115">
        <f t="shared" si="18"/>
        <v>20571.829999999998</v>
      </c>
      <c r="R39" s="116"/>
      <c r="S39" s="117">
        <v>58.91</v>
      </c>
      <c r="T39" s="117">
        <v>0</v>
      </c>
      <c r="U39" s="117"/>
      <c r="V39" s="117"/>
      <c r="W39" s="117"/>
      <c r="X39" s="118"/>
      <c r="Y39" s="118"/>
      <c r="Z39" s="119"/>
      <c r="AA39" s="149">
        <v>0</v>
      </c>
      <c r="AB39" s="115">
        <f t="shared" si="19"/>
        <v>20512.919999999998</v>
      </c>
      <c r="AC39" s="120">
        <f t="shared" si="8"/>
        <v>2057.183</v>
      </c>
      <c r="AD39" s="115">
        <f t="shared" si="20"/>
        <v>18455.736999999997</v>
      </c>
      <c r="AE39" s="121">
        <f t="shared" si="21"/>
        <v>0</v>
      </c>
      <c r="AF39" s="120">
        <v>10.23</v>
      </c>
      <c r="AG39" s="120">
        <f t="shared" si="22"/>
        <v>0</v>
      </c>
      <c r="AH39" s="122">
        <f t="shared" si="23"/>
        <v>20582.059999999998</v>
      </c>
      <c r="AI39" s="241">
        <v>577.4</v>
      </c>
      <c r="AJ39" s="244">
        <v>17878.34</v>
      </c>
      <c r="AK39" s="194">
        <f t="shared" si="7"/>
        <v>3.0000000042491592E-3</v>
      </c>
      <c r="AL39" s="124"/>
      <c r="AM39" s="124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 s="39" customFormat="1">
      <c r="A40" s="203" t="s">
        <v>69</v>
      </c>
      <c r="B40" s="203" t="s">
        <v>319</v>
      </c>
      <c r="C40" s="203"/>
      <c r="D40" s="203"/>
      <c r="E40" s="203" t="s">
        <v>320</v>
      </c>
      <c r="F40" s="204">
        <v>42472</v>
      </c>
      <c r="G40" s="203"/>
      <c r="H40" s="203"/>
      <c r="I40" s="205">
        <v>0</v>
      </c>
      <c r="J40" s="206"/>
      <c r="K40" s="205">
        <f t="shared" si="17"/>
        <v>0</v>
      </c>
      <c r="L40" s="205"/>
      <c r="M40" s="205"/>
      <c r="N40" s="205"/>
      <c r="O40" s="205"/>
      <c r="P40" s="205"/>
      <c r="Q40" s="201">
        <f t="shared" si="18"/>
        <v>0</v>
      </c>
      <c r="R40" s="205"/>
      <c r="S40" s="205"/>
      <c r="T40" s="205"/>
      <c r="U40" s="205"/>
      <c r="V40" s="205"/>
      <c r="W40" s="205"/>
      <c r="X40" s="207"/>
      <c r="Y40" s="207"/>
      <c r="Z40" s="203"/>
      <c r="AA40" s="203">
        <v>0</v>
      </c>
      <c r="AB40" s="201">
        <f t="shared" si="19"/>
        <v>0</v>
      </c>
      <c r="AC40" s="207">
        <f t="shared" ref="AC40" si="24">IF(Q40&gt;2250,Q40*0.1,0)</f>
        <v>0</v>
      </c>
      <c r="AD40" s="201">
        <f t="shared" ref="AD40" si="25">+AB40-AC40</f>
        <v>0</v>
      </c>
      <c r="AE40" s="207">
        <f t="shared" ref="AE40" si="26">IF(Q40&lt;3500,Q40*0.1,0)</f>
        <v>0</v>
      </c>
      <c r="AF40" s="207">
        <v>0</v>
      </c>
      <c r="AG40" s="207">
        <f t="shared" si="22"/>
        <v>0</v>
      </c>
      <c r="AH40" s="201">
        <f t="shared" si="23"/>
        <v>0</v>
      </c>
      <c r="AI40" s="203"/>
      <c r="AJ40" s="203"/>
      <c r="AK40" s="208">
        <f t="shared" si="7"/>
        <v>0</v>
      </c>
      <c r="AL40" s="203">
        <v>1131468618</v>
      </c>
      <c r="AM40" s="202"/>
    </row>
    <row r="41" spans="1:193">
      <c r="A41" s="124" t="s">
        <v>71</v>
      </c>
      <c r="B41" s="110" t="s">
        <v>336</v>
      </c>
      <c r="C41" s="110" t="s">
        <v>254</v>
      </c>
      <c r="D41" s="110" t="s">
        <v>151</v>
      </c>
      <c r="E41" s="110" t="s">
        <v>73</v>
      </c>
      <c r="F41" s="110"/>
      <c r="G41" s="111"/>
      <c r="H41" s="111"/>
      <c r="I41" s="112">
        <v>513.33000000000004</v>
      </c>
      <c r="J41" s="179">
        <v>653.33000000000004</v>
      </c>
      <c r="K41" s="112">
        <f t="shared" si="17"/>
        <v>1166.6600000000001</v>
      </c>
      <c r="L41" s="112">
        <v>8757.6299999999992</v>
      </c>
      <c r="M41" s="112"/>
      <c r="N41" s="113"/>
      <c r="O41" s="113"/>
      <c r="P41" s="114"/>
      <c r="Q41" s="115">
        <f t="shared" si="18"/>
        <v>9924.2899999999991</v>
      </c>
      <c r="R41" s="116"/>
      <c r="S41" s="117"/>
      <c r="T41" s="117">
        <v>0</v>
      </c>
      <c r="U41" s="117"/>
      <c r="V41" s="117"/>
      <c r="W41" s="117"/>
      <c r="X41" s="118"/>
      <c r="Y41" s="118"/>
      <c r="Z41" s="119"/>
      <c r="AA41" s="125">
        <v>208.6</v>
      </c>
      <c r="AB41" s="115">
        <f t="shared" si="19"/>
        <v>9715.6899999999987</v>
      </c>
      <c r="AC41" s="120">
        <f t="shared" si="8"/>
        <v>992.42899999999997</v>
      </c>
      <c r="AD41" s="115">
        <f t="shared" si="20"/>
        <v>8723.2609999999986</v>
      </c>
      <c r="AE41" s="121">
        <f t="shared" si="21"/>
        <v>0</v>
      </c>
      <c r="AF41" s="120">
        <v>10.23</v>
      </c>
      <c r="AG41" s="120">
        <f t="shared" si="22"/>
        <v>0</v>
      </c>
      <c r="AH41" s="122">
        <f t="shared" si="23"/>
        <v>9934.5199999999986</v>
      </c>
      <c r="AI41" s="243">
        <v>368.8</v>
      </c>
      <c r="AJ41" s="240">
        <v>8354.4599999999991</v>
      </c>
      <c r="AK41" s="194">
        <f t="shared" si="7"/>
        <v>-1.0000000002037268E-3</v>
      </c>
      <c r="AL41" s="124"/>
      <c r="AM41" s="124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4" t="s">
        <v>70</v>
      </c>
      <c r="B42" s="110" t="s">
        <v>84</v>
      </c>
      <c r="C42" s="124" t="s">
        <v>299</v>
      </c>
      <c r="D42" s="110" t="s">
        <v>123</v>
      </c>
      <c r="E42" s="110" t="s">
        <v>173</v>
      </c>
      <c r="F42" s="110"/>
      <c r="G42" s="111"/>
      <c r="H42" s="111"/>
      <c r="I42" s="112">
        <v>513.33000000000004</v>
      </c>
      <c r="J42" s="178">
        <v>653.33000000000004</v>
      </c>
      <c r="K42" s="112">
        <f t="shared" si="17"/>
        <v>1166.6600000000001</v>
      </c>
      <c r="L42" s="112"/>
      <c r="M42" s="112"/>
      <c r="N42" s="113"/>
      <c r="O42" s="113"/>
      <c r="P42" s="114"/>
      <c r="Q42" s="115">
        <f t="shared" si="18"/>
        <v>1166.6600000000001</v>
      </c>
      <c r="R42" s="116"/>
      <c r="S42" s="117">
        <v>58.91</v>
      </c>
      <c r="T42" s="117">
        <v>0</v>
      </c>
      <c r="U42" s="117"/>
      <c r="V42" s="117"/>
      <c r="W42" s="117"/>
      <c r="X42" s="118"/>
      <c r="Y42" s="118"/>
      <c r="Z42" s="119"/>
      <c r="AA42" s="119">
        <v>0</v>
      </c>
      <c r="AB42" s="115">
        <f t="shared" si="19"/>
        <v>1107.75</v>
      </c>
      <c r="AC42" s="120">
        <f t="shared" si="8"/>
        <v>0</v>
      </c>
      <c r="AD42" s="115">
        <f t="shared" si="20"/>
        <v>1107.75</v>
      </c>
      <c r="AE42" s="121">
        <f t="shared" si="21"/>
        <v>116.66600000000001</v>
      </c>
      <c r="AF42" s="120">
        <v>10.23</v>
      </c>
      <c r="AG42" s="120">
        <f t="shared" si="22"/>
        <v>0</v>
      </c>
      <c r="AH42" s="122">
        <f t="shared" si="23"/>
        <v>1293.556</v>
      </c>
      <c r="AI42" s="243">
        <v>577.4</v>
      </c>
      <c r="AJ42" s="241">
        <v>530.35</v>
      </c>
      <c r="AK42" s="194">
        <f t="shared" si="7"/>
        <v>0</v>
      </c>
      <c r="AL42" s="124"/>
      <c r="AM42" s="124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4" t="s">
        <v>71</v>
      </c>
      <c r="B43" s="110" t="s">
        <v>256</v>
      </c>
      <c r="C43" s="110" t="s">
        <v>254</v>
      </c>
      <c r="D43" s="110" t="s">
        <v>152</v>
      </c>
      <c r="E43" s="110" t="s">
        <v>73</v>
      </c>
      <c r="F43" s="110"/>
      <c r="G43" s="111"/>
      <c r="H43" s="111"/>
      <c r="I43" s="112">
        <v>513.33000000000004</v>
      </c>
      <c r="J43" s="179">
        <v>653.33000000000004</v>
      </c>
      <c r="K43" s="112">
        <f t="shared" si="17"/>
        <v>1166.6600000000001</v>
      </c>
      <c r="L43" s="112">
        <v>11433.56</v>
      </c>
      <c r="M43" s="112"/>
      <c r="N43" s="113"/>
      <c r="O43" s="113"/>
      <c r="P43" s="114"/>
      <c r="Q43" s="115">
        <f t="shared" si="18"/>
        <v>12600.22</v>
      </c>
      <c r="R43" s="116"/>
      <c r="S43" s="117"/>
      <c r="T43" s="117">
        <v>0</v>
      </c>
      <c r="U43" s="117"/>
      <c r="V43" s="117"/>
      <c r="W43" s="117"/>
      <c r="X43" s="118"/>
      <c r="Y43" s="118"/>
      <c r="Z43" s="119"/>
      <c r="AA43" s="119">
        <v>0</v>
      </c>
      <c r="AB43" s="115">
        <f t="shared" si="19"/>
        <v>12600.22</v>
      </c>
      <c r="AC43" s="120">
        <f t="shared" si="8"/>
        <v>1260.0219999999999</v>
      </c>
      <c r="AD43" s="115">
        <f t="shared" si="20"/>
        <v>11340.198</v>
      </c>
      <c r="AE43" s="121">
        <f t="shared" si="21"/>
        <v>0</v>
      </c>
      <c r="AF43" s="120">
        <v>10.23</v>
      </c>
      <c r="AG43" s="120">
        <f t="shared" si="22"/>
        <v>0</v>
      </c>
      <c r="AH43" s="122">
        <f t="shared" si="23"/>
        <v>12610.449999999999</v>
      </c>
      <c r="AI43" s="156"/>
      <c r="AJ43" s="156"/>
      <c r="AK43" s="194">
        <v>0</v>
      </c>
      <c r="AL43" s="124"/>
      <c r="AM43" s="124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 s="39" customFormat="1">
      <c r="A44" s="124" t="s">
        <v>71</v>
      </c>
      <c r="B44" s="110" t="s">
        <v>262</v>
      </c>
      <c r="C44" s="110"/>
      <c r="D44" s="110" t="s">
        <v>154</v>
      </c>
      <c r="E44" s="110" t="s">
        <v>73</v>
      </c>
      <c r="F44" s="110"/>
      <c r="G44" s="111"/>
      <c r="H44" s="111"/>
      <c r="I44" s="112">
        <v>513.33000000000004</v>
      </c>
      <c r="J44" s="179">
        <v>653.33000000000004</v>
      </c>
      <c r="K44" s="112">
        <f t="shared" si="17"/>
        <v>1166.6600000000001</v>
      </c>
      <c r="L44" s="112">
        <v>15398.96</v>
      </c>
      <c r="M44" s="112"/>
      <c r="N44" s="113"/>
      <c r="O44" s="113"/>
      <c r="P44" s="114"/>
      <c r="Q44" s="115">
        <f t="shared" si="18"/>
        <v>16565.62</v>
      </c>
      <c r="R44" s="116"/>
      <c r="S44" s="117"/>
      <c r="T44" s="117">
        <v>0</v>
      </c>
      <c r="U44" s="117"/>
      <c r="V44" s="117"/>
      <c r="W44" s="117"/>
      <c r="X44" s="118"/>
      <c r="Y44" s="118"/>
      <c r="Z44" s="119"/>
      <c r="AA44" s="119">
        <v>0</v>
      </c>
      <c r="AB44" s="115">
        <f t="shared" si="19"/>
        <v>16565.62</v>
      </c>
      <c r="AC44" s="120">
        <f t="shared" si="8"/>
        <v>1656.5619999999999</v>
      </c>
      <c r="AD44" s="115">
        <f t="shared" si="20"/>
        <v>14909.057999999999</v>
      </c>
      <c r="AE44" s="121">
        <f t="shared" si="21"/>
        <v>0</v>
      </c>
      <c r="AF44" s="120">
        <v>10.23</v>
      </c>
      <c r="AG44" s="120">
        <f t="shared" si="22"/>
        <v>0</v>
      </c>
      <c r="AH44" s="122">
        <f t="shared" si="23"/>
        <v>16575.849999999999</v>
      </c>
      <c r="AI44" s="239">
        <v>577.4</v>
      </c>
      <c r="AJ44" s="240">
        <v>14331.66</v>
      </c>
      <c r="AK44" s="194">
        <f t="shared" si="7"/>
        <v>2.0000000004074536E-3</v>
      </c>
      <c r="AL44" s="124"/>
      <c r="AM44" s="124"/>
    </row>
    <row r="45" spans="1:193">
      <c r="A45" s="124" t="s">
        <v>94</v>
      </c>
      <c r="B45" s="110" t="s">
        <v>192</v>
      </c>
      <c r="C45" s="110"/>
      <c r="D45" s="110" t="s">
        <v>132</v>
      </c>
      <c r="E45" s="110" t="s">
        <v>174</v>
      </c>
      <c r="F45" s="110"/>
      <c r="G45" s="111"/>
      <c r="H45" s="111"/>
      <c r="I45" s="112">
        <v>543.20000000000005</v>
      </c>
      <c r="J45" s="177"/>
      <c r="K45" s="112">
        <f t="shared" si="17"/>
        <v>543.20000000000005</v>
      </c>
      <c r="L45" s="112">
        <v>325.5</v>
      </c>
      <c r="M45" s="112"/>
      <c r="N45" s="113"/>
      <c r="O45" s="113"/>
      <c r="P45" s="114"/>
      <c r="Q45" s="115">
        <f t="shared" si="18"/>
        <v>868.7</v>
      </c>
      <c r="R45" s="116"/>
      <c r="S45" s="117"/>
      <c r="T45" s="126">
        <v>100</v>
      </c>
      <c r="U45" s="126">
        <f>Q45*4.9%</f>
        <v>42.566300000000005</v>
      </c>
      <c r="V45" s="126">
        <f>Q45*1%</f>
        <v>8.6870000000000012</v>
      </c>
      <c r="W45" s="117"/>
      <c r="X45" s="118"/>
      <c r="Y45" s="118"/>
      <c r="Z45" s="119"/>
      <c r="AA45" s="119">
        <v>0</v>
      </c>
      <c r="AB45" s="115">
        <f t="shared" si="19"/>
        <v>717.44669999999996</v>
      </c>
      <c r="AC45" s="120">
        <f t="shared" si="8"/>
        <v>0</v>
      </c>
      <c r="AD45" s="115">
        <f t="shared" si="20"/>
        <v>717.44669999999996</v>
      </c>
      <c r="AE45" s="121">
        <f t="shared" si="21"/>
        <v>86.87</v>
      </c>
      <c r="AF45" s="120">
        <v>10.23</v>
      </c>
      <c r="AG45" s="120">
        <f t="shared" si="22"/>
        <v>42.566300000000005</v>
      </c>
      <c r="AH45" s="122">
        <f t="shared" si="23"/>
        <v>1008.3663</v>
      </c>
      <c r="AI45" s="241">
        <v>577.4</v>
      </c>
      <c r="AJ45" s="241">
        <v>140.05000000000001</v>
      </c>
      <c r="AK45" s="194">
        <f t="shared" si="7"/>
        <v>3.3000000000811269E-3</v>
      </c>
      <c r="AL45" s="124"/>
      <c r="AM45" s="124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 s="39" customFormat="1">
      <c r="A46" s="124" t="s">
        <v>94</v>
      </c>
      <c r="B46" s="124" t="s">
        <v>264</v>
      </c>
      <c r="C46" s="124"/>
      <c r="D46" s="124" t="s">
        <v>265</v>
      </c>
      <c r="E46" s="110" t="s">
        <v>181</v>
      </c>
      <c r="F46" s="124"/>
      <c r="G46" s="124"/>
      <c r="H46" s="124"/>
      <c r="I46" s="128">
        <v>608.16</v>
      </c>
      <c r="J46" s="178"/>
      <c r="K46" s="128">
        <f t="shared" si="17"/>
        <v>608.16</v>
      </c>
      <c r="L46" s="128">
        <f>3425.16+2.59</f>
        <v>3427.75</v>
      </c>
      <c r="M46" s="128"/>
      <c r="N46" s="128"/>
      <c r="O46" s="128"/>
      <c r="P46" s="114"/>
      <c r="Q46" s="115">
        <f t="shared" si="18"/>
        <v>4035.91</v>
      </c>
      <c r="R46" s="116"/>
      <c r="S46" s="117"/>
      <c r="T46" s="117">
        <v>0</v>
      </c>
      <c r="U46" s="126">
        <f>Q46*4.9%</f>
        <v>197.75959</v>
      </c>
      <c r="V46" s="126">
        <f>Q46*1%</f>
        <v>40.359099999999998</v>
      </c>
      <c r="W46" s="117"/>
      <c r="X46" s="118"/>
      <c r="Y46" s="118"/>
      <c r="Z46" s="119"/>
      <c r="AA46" s="119">
        <v>0</v>
      </c>
      <c r="AB46" s="115">
        <f t="shared" si="19"/>
        <v>3797.7913099999996</v>
      </c>
      <c r="AC46" s="120">
        <f t="shared" si="8"/>
        <v>403.59100000000001</v>
      </c>
      <c r="AD46" s="115">
        <f t="shared" si="20"/>
        <v>3394.2003099999997</v>
      </c>
      <c r="AE46" s="121">
        <f t="shared" si="21"/>
        <v>0</v>
      </c>
      <c r="AF46" s="120">
        <v>10.23</v>
      </c>
      <c r="AG46" s="120">
        <f t="shared" si="22"/>
        <v>197.75959</v>
      </c>
      <c r="AH46" s="122">
        <f t="shared" si="23"/>
        <v>4243.89959</v>
      </c>
      <c r="AI46" s="239">
        <v>577.4</v>
      </c>
      <c r="AJ46" s="240">
        <v>2816.8</v>
      </c>
      <c r="AK46" s="194">
        <f t="shared" si="7"/>
        <v>-3.0999999944469891E-4</v>
      </c>
      <c r="AL46" s="124">
        <v>2948910731</v>
      </c>
      <c r="AM46" s="129"/>
    </row>
    <row r="47" spans="1:193">
      <c r="A47" s="124" t="s">
        <v>94</v>
      </c>
      <c r="B47" s="110" t="s">
        <v>194</v>
      </c>
      <c r="C47" s="110"/>
      <c r="D47" s="110" t="s">
        <v>133</v>
      </c>
      <c r="E47" s="110" t="s">
        <v>177</v>
      </c>
      <c r="F47" s="110"/>
      <c r="G47" s="111"/>
      <c r="H47" s="111"/>
      <c r="I47" s="112">
        <v>608.16</v>
      </c>
      <c r="J47" s="177"/>
      <c r="K47" s="112">
        <f t="shared" si="17"/>
        <v>608.16</v>
      </c>
      <c r="L47" s="112">
        <f>2518.87+2.97</f>
        <v>2521.8399999999997</v>
      </c>
      <c r="M47" s="112"/>
      <c r="N47" s="113"/>
      <c r="O47" s="113"/>
      <c r="P47" s="114"/>
      <c r="Q47" s="115">
        <f t="shared" si="18"/>
        <v>3129.9999999999995</v>
      </c>
      <c r="R47" s="116"/>
      <c r="S47" s="117"/>
      <c r="T47" s="117"/>
      <c r="U47" s="126">
        <f>Q47*4.9%</f>
        <v>153.36999999999998</v>
      </c>
      <c r="V47" s="126">
        <f>Q47*1%</f>
        <v>31.299999999999997</v>
      </c>
      <c r="W47" s="117"/>
      <c r="X47" s="118"/>
      <c r="Y47" s="118"/>
      <c r="Z47" s="119"/>
      <c r="AA47" s="119">
        <v>0</v>
      </c>
      <c r="AB47" s="115">
        <f t="shared" si="19"/>
        <v>2945.3299999999995</v>
      </c>
      <c r="AC47" s="120">
        <f t="shared" si="8"/>
        <v>313</v>
      </c>
      <c r="AD47" s="115">
        <f t="shared" si="20"/>
        <v>2632.3299999999995</v>
      </c>
      <c r="AE47" s="121">
        <f t="shared" si="21"/>
        <v>313</v>
      </c>
      <c r="AF47" s="120">
        <v>10.23</v>
      </c>
      <c r="AG47" s="120">
        <f t="shared" si="22"/>
        <v>153.36999999999998</v>
      </c>
      <c r="AH47" s="122">
        <f t="shared" si="23"/>
        <v>3606.5999999999995</v>
      </c>
      <c r="AI47" s="241">
        <v>577.4</v>
      </c>
      <c r="AJ47" s="242">
        <v>2054.9299999999998</v>
      </c>
      <c r="AK47" s="194">
        <f t="shared" si="7"/>
        <v>0</v>
      </c>
      <c r="AL47" s="124"/>
      <c r="AM47" s="124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</row>
    <row r="48" spans="1:193">
      <c r="A48" s="124" t="s">
        <v>92</v>
      </c>
      <c r="B48" s="110" t="s">
        <v>233</v>
      </c>
      <c r="C48" s="110"/>
      <c r="D48" s="110" t="s">
        <v>102</v>
      </c>
      <c r="E48" s="110" t="s">
        <v>163</v>
      </c>
      <c r="F48" s="110"/>
      <c r="G48" s="110"/>
      <c r="H48" s="110"/>
      <c r="I48" s="112">
        <v>739.23</v>
      </c>
      <c r="J48" s="180"/>
      <c r="K48" s="112">
        <f t="shared" si="17"/>
        <v>739.23</v>
      </c>
      <c r="L48" s="112">
        <f>4049.28+13.09</f>
        <v>4062.3700000000003</v>
      </c>
      <c r="M48" s="112"/>
      <c r="N48" s="112"/>
      <c r="O48" s="112"/>
      <c r="P48" s="114"/>
      <c r="Q48" s="115">
        <f t="shared" si="18"/>
        <v>4801.6000000000004</v>
      </c>
      <c r="R48" s="116"/>
      <c r="S48" s="117"/>
      <c r="T48" s="117">
        <v>0</v>
      </c>
      <c r="U48" s="117"/>
      <c r="V48" s="117"/>
      <c r="W48" s="117"/>
      <c r="X48" s="118"/>
      <c r="Y48" s="118"/>
      <c r="Z48" s="119"/>
      <c r="AA48" s="119">
        <v>0</v>
      </c>
      <c r="AB48" s="115">
        <f t="shared" si="19"/>
        <v>4801.6000000000004</v>
      </c>
      <c r="AC48" s="120">
        <f t="shared" si="8"/>
        <v>480.16000000000008</v>
      </c>
      <c r="AD48" s="115">
        <f t="shared" si="20"/>
        <v>4321.4400000000005</v>
      </c>
      <c r="AE48" s="121">
        <f t="shared" si="21"/>
        <v>0</v>
      </c>
      <c r="AF48" s="120">
        <v>10.23</v>
      </c>
      <c r="AG48" s="120">
        <f t="shared" si="22"/>
        <v>0</v>
      </c>
      <c r="AH48" s="122">
        <f t="shared" si="23"/>
        <v>4811.83</v>
      </c>
      <c r="AI48" s="239">
        <v>577.4</v>
      </c>
      <c r="AJ48" s="240">
        <v>3744.04</v>
      </c>
      <c r="AK48" s="194">
        <f t="shared" si="7"/>
        <v>0</v>
      </c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61" customFormat="1">
      <c r="A49" s="124" t="s">
        <v>94</v>
      </c>
      <c r="B49" s="124" t="s">
        <v>341</v>
      </c>
      <c r="C49" s="124"/>
      <c r="D49" s="124"/>
      <c r="E49" s="124" t="s">
        <v>163</v>
      </c>
      <c r="F49" s="127">
        <v>42416</v>
      </c>
      <c r="G49" s="124"/>
      <c r="H49" s="124"/>
      <c r="I49" s="128">
        <v>739.23</v>
      </c>
      <c r="J49" s="178"/>
      <c r="K49" s="112">
        <f t="shared" si="17"/>
        <v>739.23</v>
      </c>
      <c r="L49" s="128">
        <f>2593.66+13.09</f>
        <v>2606.75</v>
      </c>
      <c r="M49" s="128"/>
      <c r="N49" s="128"/>
      <c r="O49" s="128"/>
      <c r="P49" s="114"/>
      <c r="Q49" s="115">
        <f t="shared" si="18"/>
        <v>3345.98</v>
      </c>
      <c r="R49" s="116"/>
      <c r="S49" s="117"/>
      <c r="T49" s="117">
        <v>0</v>
      </c>
      <c r="U49" s="117"/>
      <c r="V49" s="126">
        <f>Q49*1%</f>
        <v>33.459800000000001</v>
      </c>
      <c r="W49" s="117"/>
      <c r="X49" s="118"/>
      <c r="Y49" s="118"/>
      <c r="Z49" s="119"/>
      <c r="AA49" s="119">
        <v>0</v>
      </c>
      <c r="AB49" s="115">
        <f t="shared" si="19"/>
        <v>3312.5201999999999</v>
      </c>
      <c r="AC49" s="120">
        <f t="shared" si="8"/>
        <v>334.59800000000001</v>
      </c>
      <c r="AD49" s="115">
        <f t="shared" si="20"/>
        <v>2977.9222</v>
      </c>
      <c r="AE49" s="121">
        <f t="shared" si="21"/>
        <v>334.59800000000001</v>
      </c>
      <c r="AF49" s="120">
        <v>10.23</v>
      </c>
      <c r="AG49" s="120">
        <f t="shared" si="22"/>
        <v>0</v>
      </c>
      <c r="AH49" s="122">
        <f t="shared" si="23"/>
        <v>3690.808</v>
      </c>
      <c r="AI49" s="241">
        <v>577.4</v>
      </c>
      <c r="AJ49" s="242">
        <v>2400.52</v>
      </c>
      <c r="AK49" s="194">
        <f t="shared" si="7"/>
        <v>-2.1999999999025022E-3</v>
      </c>
      <c r="AL49" s="124">
        <v>1296641458</v>
      </c>
      <c r="AM49" s="12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 s="39" customFormat="1">
      <c r="A50" s="124" t="s">
        <v>92</v>
      </c>
      <c r="B50" s="124" t="s">
        <v>318</v>
      </c>
      <c r="C50" s="124"/>
      <c r="D50" s="124"/>
      <c r="E50" s="124" t="s">
        <v>164</v>
      </c>
      <c r="F50" s="127">
        <v>42471</v>
      </c>
      <c r="G50" s="124"/>
      <c r="H50" s="124"/>
      <c r="I50" s="128">
        <v>739.23</v>
      </c>
      <c r="J50" s="178"/>
      <c r="K50" s="128">
        <f t="shared" si="17"/>
        <v>739.23</v>
      </c>
      <c r="L50" s="128">
        <f>2821.12+7.42</f>
        <v>2828.54</v>
      </c>
      <c r="M50" s="128"/>
      <c r="N50" s="128"/>
      <c r="O50" s="128"/>
      <c r="P50" s="171"/>
      <c r="Q50" s="115">
        <f t="shared" si="18"/>
        <v>3567.77</v>
      </c>
      <c r="R50" s="116"/>
      <c r="S50" s="164"/>
      <c r="T50" s="164"/>
      <c r="U50" s="164"/>
      <c r="V50" s="164"/>
      <c r="W50" s="164"/>
      <c r="X50" s="165"/>
      <c r="Y50" s="165"/>
      <c r="Z50" s="149"/>
      <c r="AA50" s="149">
        <v>0</v>
      </c>
      <c r="AB50" s="115">
        <f t="shared" si="19"/>
        <v>3567.77</v>
      </c>
      <c r="AC50" s="120">
        <f t="shared" ref="AC50" si="27">IF(Q50&gt;2250,Q50*0.1,0)</f>
        <v>356.77700000000004</v>
      </c>
      <c r="AD50" s="115">
        <f t="shared" si="20"/>
        <v>3210.9929999999999</v>
      </c>
      <c r="AE50" s="121">
        <f t="shared" si="21"/>
        <v>0</v>
      </c>
      <c r="AF50" s="120">
        <v>10.23</v>
      </c>
      <c r="AG50" s="120">
        <f t="shared" ref="AG50" si="28">+U50</f>
        <v>0</v>
      </c>
      <c r="AH50" s="122">
        <f t="shared" si="23"/>
        <v>3578</v>
      </c>
      <c r="AI50" s="239">
        <v>577.4</v>
      </c>
      <c r="AJ50" s="240">
        <v>2633.59</v>
      </c>
      <c r="AK50" s="194">
        <f t="shared" si="7"/>
        <v>-2.9999999997016857E-3</v>
      </c>
      <c r="AL50" s="124">
        <v>2777556799</v>
      </c>
      <c r="AM50" s="129"/>
    </row>
    <row r="51" spans="1:193">
      <c r="A51" s="124" t="s">
        <v>93</v>
      </c>
      <c r="B51" s="124" t="s">
        <v>200</v>
      </c>
      <c r="C51" s="124"/>
      <c r="D51" s="124"/>
      <c r="E51" s="124" t="s">
        <v>171</v>
      </c>
      <c r="F51" s="127">
        <v>42413</v>
      </c>
      <c r="G51" s="124"/>
      <c r="H51" s="124"/>
      <c r="I51" s="112">
        <v>577.38</v>
      </c>
      <c r="J51" s="196">
        <v>922.62</v>
      </c>
      <c r="K51" s="128">
        <f t="shared" si="17"/>
        <v>1500</v>
      </c>
      <c r="L51" s="128"/>
      <c r="M51" s="128"/>
      <c r="N51" s="128"/>
      <c r="O51" s="128"/>
      <c r="P51" s="114"/>
      <c r="Q51" s="115">
        <f t="shared" si="18"/>
        <v>1500</v>
      </c>
      <c r="R51" s="116"/>
      <c r="S51" s="117"/>
      <c r="T51" s="117">
        <v>0</v>
      </c>
      <c r="U51" s="117"/>
      <c r="V51" s="117"/>
      <c r="W51" s="117"/>
      <c r="X51" s="118"/>
      <c r="Y51" s="118"/>
      <c r="Z51" s="119"/>
      <c r="AA51" s="119">
        <v>0</v>
      </c>
      <c r="AB51" s="115">
        <f t="shared" si="19"/>
        <v>1500</v>
      </c>
      <c r="AC51" s="120">
        <f t="shared" si="8"/>
        <v>0</v>
      </c>
      <c r="AD51" s="115">
        <f t="shared" si="20"/>
        <v>1500</v>
      </c>
      <c r="AE51" s="121">
        <f t="shared" si="21"/>
        <v>150</v>
      </c>
      <c r="AF51" s="120">
        <v>10.23</v>
      </c>
      <c r="AG51" s="120">
        <f t="shared" si="22"/>
        <v>0</v>
      </c>
      <c r="AH51" s="122">
        <f t="shared" si="23"/>
        <v>1660.23</v>
      </c>
      <c r="AI51" s="241">
        <v>577.4</v>
      </c>
      <c r="AJ51" s="241">
        <v>922.6</v>
      </c>
      <c r="AK51" s="194">
        <f t="shared" si="7"/>
        <v>0</v>
      </c>
      <c r="AL51" s="124"/>
      <c r="AM51" s="12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124" t="s">
        <v>71</v>
      </c>
      <c r="B52" s="110" t="s">
        <v>332</v>
      </c>
      <c r="C52" s="110" t="s">
        <v>254</v>
      </c>
      <c r="D52" s="110" t="s">
        <v>153</v>
      </c>
      <c r="E52" s="110" t="s">
        <v>73</v>
      </c>
      <c r="F52" s="110"/>
      <c r="G52" s="111"/>
      <c r="H52" s="111"/>
      <c r="I52" s="112">
        <v>513.33000000000004</v>
      </c>
      <c r="J52" s="179">
        <v>653.33000000000004</v>
      </c>
      <c r="K52" s="112">
        <f t="shared" si="17"/>
        <v>1166.6600000000001</v>
      </c>
      <c r="L52" s="112">
        <v>5663.13</v>
      </c>
      <c r="M52" s="112"/>
      <c r="N52" s="113"/>
      <c r="O52" s="113"/>
      <c r="P52" s="114"/>
      <c r="Q52" s="115">
        <f t="shared" si="18"/>
        <v>6829.79</v>
      </c>
      <c r="R52" s="116"/>
      <c r="S52" s="117">
        <v>58.91</v>
      </c>
      <c r="T52" s="117">
        <v>0</v>
      </c>
      <c r="U52" s="117"/>
      <c r="V52" s="117"/>
      <c r="W52" s="117"/>
      <c r="X52" s="118"/>
      <c r="Y52" s="118"/>
      <c r="Z52" s="119"/>
      <c r="AA52" s="119">
        <v>0</v>
      </c>
      <c r="AB52" s="115">
        <f t="shared" si="19"/>
        <v>6770.88</v>
      </c>
      <c r="AC52" s="120">
        <f t="shared" si="8"/>
        <v>682.97900000000004</v>
      </c>
      <c r="AD52" s="115">
        <f t="shared" si="20"/>
        <v>6087.9009999999998</v>
      </c>
      <c r="AE52" s="121">
        <f t="shared" si="21"/>
        <v>0</v>
      </c>
      <c r="AF52" s="120">
        <v>10.23</v>
      </c>
      <c r="AG52" s="120">
        <f t="shared" si="22"/>
        <v>0</v>
      </c>
      <c r="AH52" s="122">
        <f t="shared" si="23"/>
        <v>6840.0199999999995</v>
      </c>
      <c r="AI52" s="239">
        <v>577.4</v>
      </c>
      <c r="AJ52" s="240">
        <v>5510.5</v>
      </c>
      <c r="AK52" s="194">
        <f t="shared" si="7"/>
        <v>-1.0000000002037268E-3</v>
      </c>
      <c r="AL52" s="124"/>
      <c r="AM52" s="124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4" t="s">
        <v>71</v>
      </c>
      <c r="B53" s="110" t="s">
        <v>342</v>
      </c>
      <c r="C53" s="110" t="s">
        <v>251</v>
      </c>
      <c r="D53" s="110">
        <v>30</v>
      </c>
      <c r="E53" s="110" t="s">
        <v>73</v>
      </c>
      <c r="F53" s="110"/>
      <c r="G53" s="111"/>
      <c r="H53" s="111"/>
      <c r="I53" s="128">
        <v>513.33000000000004</v>
      </c>
      <c r="J53" s="179">
        <v>653.33000000000004</v>
      </c>
      <c r="K53" s="112">
        <f t="shared" si="17"/>
        <v>1166.6600000000001</v>
      </c>
      <c r="L53" s="112">
        <f>11094.27-5468.04</f>
        <v>5626.2300000000005</v>
      </c>
      <c r="M53" s="112"/>
      <c r="N53" s="113"/>
      <c r="O53" s="113"/>
      <c r="P53" s="114"/>
      <c r="Q53" s="115">
        <f t="shared" si="18"/>
        <v>6792.89</v>
      </c>
      <c r="R53" s="116"/>
      <c r="S53" s="117"/>
      <c r="T53" s="117">
        <v>0</v>
      </c>
      <c r="U53" s="117"/>
      <c r="V53" s="117"/>
      <c r="W53" s="117"/>
      <c r="X53" s="118"/>
      <c r="Y53" s="118"/>
      <c r="Z53" s="119"/>
      <c r="AA53" s="119">
        <v>0</v>
      </c>
      <c r="AB53" s="115">
        <f t="shared" si="19"/>
        <v>6792.89</v>
      </c>
      <c r="AC53" s="120">
        <f t="shared" si="8"/>
        <v>679.2890000000001</v>
      </c>
      <c r="AD53" s="115">
        <f t="shared" si="20"/>
        <v>6113.6010000000006</v>
      </c>
      <c r="AE53" s="121">
        <f t="shared" si="21"/>
        <v>0</v>
      </c>
      <c r="AF53" s="120">
        <v>10.23</v>
      </c>
      <c r="AG53" s="120">
        <f t="shared" si="22"/>
        <v>0</v>
      </c>
      <c r="AH53" s="122">
        <f t="shared" si="23"/>
        <v>6803.12</v>
      </c>
      <c r="AI53" s="241">
        <v>577.4</v>
      </c>
      <c r="AJ53" s="242">
        <v>5536.2</v>
      </c>
      <c r="AK53" s="194">
        <f t="shared" si="7"/>
        <v>-1.0000000011132215E-3</v>
      </c>
      <c r="AL53" s="124"/>
      <c r="AM53" s="124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124" t="s">
        <v>71</v>
      </c>
      <c r="B54" s="110" t="s">
        <v>216</v>
      </c>
      <c r="C54" s="110" t="s">
        <v>249</v>
      </c>
      <c r="D54" s="110" t="s">
        <v>155</v>
      </c>
      <c r="E54" s="110" t="s">
        <v>73</v>
      </c>
      <c r="F54" s="132">
        <v>42408</v>
      </c>
      <c r="G54" s="111"/>
      <c r="H54" s="111"/>
      <c r="I54" s="112">
        <v>513.33000000000004</v>
      </c>
      <c r="J54" s="177">
        <v>653.33000000000004</v>
      </c>
      <c r="K54" s="112">
        <f t="shared" si="17"/>
        <v>1166.6600000000001</v>
      </c>
      <c r="L54" s="112">
        <v>1036.99</v>
      </c>
      <c r="M54" s="112"/>
      <c r="N54" s="113"/>
      <c r="O54" s="113"/>
      <c r="P54" s="114"/>
      <c r="Q54" s="115">
        <f t="shared" si="18"/>
        <v>2203.65</v>
      </c>
      <c r="R54" s="116"/>
      <c r="S54" s="117"/>
      <c r="T54" s="117">
        <v>0</v>
      </c>
      <c r="U54" s="117"/>
      <c r="V54" s="117"/>
      <c r="W54" s="117"/>
      <c r="X54" s="118"/>
      <c r="Y54" s="118"/>
      <c r="Z54" s="130"/>
      <c r="AA54" s="148">
        <v>875.69</v>
      </c>
      <c r="AB54" s="115">
        <f t="shared" si="19"/>
        <v>1327.96</v>
      </c>
      <c r="AC54" s="120">
        <f t="shared" si="8"/>
        <v>0</v>
      </c>
      <c r="AD54" s="115">
        <f t="shared" si="20"/>
        <v>1327.96</v>
      </c>
      <c r="AE54" s="121">
        <f t="shared" si="21"/>
        <v>220.36500000000001</v>
      </c>
      <c r="AF54" s="120">
        <v>10.23</v>
      </c>
      <c r="AG54" s="120">
        <f t="shared" si="22"/>
        <v>0</v>
      </c>
      <c r="AH54" s="122">
        <f t="shared" si="23"/>
        <v>2434.2450000000003</v>
      </c>
      <c r="AI54" s="239">
        <v>577.4</v>
      </c>
      <c r="AJ54" s="239">
        <v>750.56</v>
      </c>
      <c r="AK54" s="194">
        <f t="shared" si="7"/>
        <v>0</v>
      </c>
      <c r="AL54" s="124"/>
      <c r="AM54" s="124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s="84" customFormat="1">
      <c r="A55" s="124" t="s">
        <v>70</v>
      </c>
      <c r="B55" s="110" t="s">
        <v>225</v>
      </c>
      <c r="C55" s="124" t="s">
        <v>299</v>
      </c>
      <c r="D55" s="110" t="s">
        <v>124</v>
      </c>
      <c r="E55" s="110" t="s">
        <v>173</v>
      </c>
      <c r="F55" s="132">
        <v>42352</v>
      </c>
      <c r="G55" s="111"/>
      <c r="H55" s="111"/>
      <c r="I55" s="112">
        <v>513.33000000000004</v>
      </c>
      <c r="J55" s="178">
        <v>653.33000000000004</v>
      </c>
      <c r="K55" s="112">
        <f t="shared" si="17"/>
        <v>1166.6600000000001</v>
      </c>
      <c r="L55" s="112">
        <v>5022.04</v>
      </c>
      <c r="M55" s="112"/>
      <c r="N55" s="113"/>
      <c r="O55" s="113"/>
      <c r="P55" s="114"/>
      <c r="Q55" s="115">
        <f t="shared" si="18"/>
        <v>6188.7</v>
      </c>
      <c r="R55" s="116"/>
      <c r="S55" s="117"/>
      <c r="T55" s="117">
        <v>0</v>
      </c>
      <c r="U55" s="117"/>
      <c r="V55" s="117"/>
      <c r="W55" s="117"/>
      <c r="X55" s="131">
        <v>532.29999999999995</v>
      </c>
      <c r="Y55" s="118"/>
      <c r="Z55" s="119"/>
      <c r="AA55" s="119">
        <v>0</v>
      </c>
      <c r="AB55" s="115">
        <f t="shared" si="19"/>
        <v>5656.4</v>
      </c>
      <c r="AC55" s="120">
        <f t="shared" si="8"/>
        <v>618.87</v>
      </c>
      <c r="AD55" s="115">
        <f t="shared" si="20"/>
        <v>5037.53</v>
      </c>
      <c r="AE55" s="121">
        <f t="shared" si="21"/>
        <v>0</v>
      </c>
      <c r="AF55" s="120">
        <v>10.23</v>
      </c>
      <c r="AG55" s="120">
        <f t="shared" si="22"/>
        <v>0</v>
      </c>
      <c r="AH55" s="122">
        <f t="shared" si="23"/>
        <v>6198.9299999999994</v>
      </c>
      <c r="AI55" s="241">
        <v>45.1</v>
      </c>
      <c r="AJ55" s="242">
        <v>4992.43</v>
      </c>
      <c r="AK55" s="194">
        <f t="shared" si="7"/>
        <v>0</v>
      </c>
      <c r="AL55" s="124"/>
      <c r="AM55" s="124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s="84" customFormat="1">
      <c r="A56" s="124" t="s">
        <v>94</v>
      </c>
      <c r="B56" s="124" t="s">
        <v>296</v>
      </c>
      <c r="C56" s="124"/>
      <c r="D56" s="137"/>
      <c r="E56" s="124" t="s">
        <v>174</v>
      </c>
      <c r="F56" s="127">
        <v>42430</v>
      </c>
      <c r="G56" s="124"/>
      <c r="H56" s="124"/>
      <c r="I56" s="128">
        <v>608.16</v>
      </c>
      <c r="J56" s="178"/>
      <c r="K56" s="128">
        <f t="shared" si="17"/>
        <v>608.16</v>
      </c>
      <c r="L56" s="128">
        <v>708</v>
      </c>
      <c r="M56" s="128"/>
      <c r="N56" s="128"/>
      <c r="O56" s="128"/>
      <c r="P56" s="114"/>
      <c r="Q56" s="115">
        <f t="shared" si="18"/>
        <v>1316.1599999999999</v>
      </c>
      <c r="R56" s="116"/>
      <c r="S56" s="117"/>
      <c r="T56" s="117"/>
      <c r="U56" s="117"/>
      <c r="V56" s="117"/>
      <c r="W56" s="117"/>
      <c r="X56" s="118"/>
      <c r="Y56" s="118"/>
      <c r="Z56" s="119"/>
      <c r="AA56" s="119">
        <v>0</v>
      </c>
      <c r="AB56" s="115">
        <f t="shared" si="19"/>
        <v>1316.1599999999999</v>
      </c>
      <c r="AC56" s="120">
        <f t="shared" si="8"/>
        <v>0</v>
      </c>
      <c r="AD56" s="115">
        <f t="shared" si="20"/>
        <v>1316.1599999999999</v>
      </c>
      <c r="AE56" s="121">
        <f t="shared" si="21"/>
        <v>131.61599999999999</v>
      </c>
      <c r="AF56" s="120">
        <v>10.23</v>
      </c>
      <c r="AG56" s="120">
        <f t="shared" si="22"/>
        <v>0</v>
      </c>
      <c r="AH56" s="122">
        <f t="shared" si="23"/>
        <v>1458.0059999999999</v>
      </c>
      <c r="AI56" s="239">
        <v>577.4</v>
      </c>
      <c r="AJ56" s="239">
        <v>738.76</v>
      </c>
      <c r="AK56" s="194">
        <f t="shared" si="7"/>
        <v>0</v>
      </c>
      <c r="AL56" s="124"/>
      <c r="AM56" s="147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94</v>
      </c>
      <c r="B57" s="124" t="s">
        <v>303</v>
      </c>
      <c r="C57" s="124"/>
      <c r="D57" s="124"/>
      <c r="E57" s="124" t="s">
        <v>174</v>
      </c>
      <c r="F57" s="127">
        <v>42444</v>
      </c>
      <c r="G57" s="124"/>
      <c r="H57" s="124"/>
      <c r="I57" s="128">
        <v>608.16</v>
      </c>
      <c r="J57" s="197"/>
      <c r="K57" s="128">
        <f t="shared" si="17"/>
        <v>608.16</v>
      </c>
      <c r="L57" s="128">
        <v>429</v>
      </c>
      <c r="M57" s="128"/>
      <c r="N57" s="128"/>
      <c r="O57" s="128"/>
      <c r="P57" s="114"/>
      <c r="Q57" s="115">
        <f t="shared" si="18"/>
        <v>1037.1599999999999</v>
      </c>
      <c r="R57" s="116"/>
      <c r="S57" s="117"/>
      <c r="T57" s="117"/>
      <c r="U57" s="117"/>
      <c r="V57" s="117"/>
      <c r="W57" s="117"/>
      <c r="X57" s="118"/>
      <c r="Y57" s="118"/>
      <c r="Z57" s="119"/>
      <c r="AA57" s="119"/>
      <c r="AB57" s="115">
        <f t="shared" si="19"/>
        <v>1037.1599999999999</v>
      </c>
      <c r="AC57" s="120">
        <f t="shared" si="8"/>
        <v>0</v>
      </c>
      <c r="AD57" s="115">
        <f t="shared" si="20"/>
        <v>1037.1599999999999</v>
      </c>
      <c r="AE57" s="121">
        <f t="shared" si="21"/>
        <v>103.71599999999999</v>
      </c>
      <c r="AF57" s="120">
        <v>10.23</v>
      </c>
      <c r="AG57" s="120">
        <f t="shared" si="22"/>
        <v>0</v>
      </c>
      <c r="AH57" s="122">
        <f t="shared" si="23"/>
        <v>1151.1059999999998</v>
      </c>
      <c r="AI57" s="241">
        <v>577.4</v>
      </c>
      <c r="AJ57" s="241">
        <v>459.76</v>
      </c>
      <c r="AK57" s="194">
        <f t="shared" si="7"/>
        <v>0</v>
      </c>
      <c r="AL57" s="147">
        <v>1159718206</v>
      </c>
      <c r="AM57" s="147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4" t="s">
        <v>93</v>
      </c>
      <c r="B58" s="124" t="s">
        <v>297</v>
      </c>
      <c r="C58" s="124"/>
      <c r="D58" s="124" t="s">
        <v>298</v>
      </c>
      <c r="E58" s="124" t="s">
        <v>171</v>
      </c>
      <c r="F58" s="127"/>
      <c r="G58" s="124"/>
      <c r="H58" s="124"/>
      <c r="I58" s="128">
        <f>1237.24/15*7</f>
        <v>577.37866666666673</v>
      </c>
      <c r="J58" s="198">
        <v>1047.6199999999999</v>
      </c>
      <c r="K58" s="128">
        <f t="shared" si="17"/>
        <v>1624.9986666666666</v>
      </c>
      <c r="L58" s="128"/>
      <c r="M58" s="128"/>
      <c r="N58" s="128"/>
      <c r="O58" s="128"/>
      <c r="P58" s="114"/>
      <c r="Q58" s="115">
        <f t="shared" si="18"/>
        <v>1624.9986666666666</v>
      </c>
      <c r="R58" s="116"/>
      <c r="S58" s="117"/>
      <c r="T58" s="117"/>
      <c r="U58" s="117"/>
      <c r="V58" s="117"/>
      <c r="W58" s="117"/>
      <c r="X58" s="118"/>
      <c r="Y58" s="118"/>
      <c r="Z58" s="119"/>
      <c r="AA58" s="119"/>
      <c r="AB58" s="115">
        <f t="shared" si="19"/>
        <v>1624.9986666666666</v>
      </c>
      <c r="AC58" s="120">
        <f t="shared" si="8"/>
        <v>0</v>
      </c>
      <c r="AD58" s="115">
        <f t="shared" si="20"/>
        <v>1624.9986666666666</v>
      </c>
      <c r="AE58" s="121">
        <f t="shared" si="21"/>
        <v>162.49986666666666</v>
      </c>
      <c r="AF58" s="120">
        <v>10.23</v>
      </c>
      <c r="AG58" s="120">
        <f t="shared" si="22"/>
        <v>0</v>
      </c>
      <c r="AH58" s="122">
        <f t="shared" si="23"/>
        <v>1797.7285333333334</v>
      </c>
      <c r="AI58" s="239">
        <v>577.4</v>
      </c>
      <c r="AJ58" s="240">
        <v>1047.5999999999999</v>
      </c>
      <c r="AK58" s="194">
        <f t="shared" si="7"/>
        <v>1.3333333333775954E-3</v>
      </c>
      <c r="AL58" s="124"/>
      <c r="AM58" s="12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47" t="s">
        <v>71</v>
      </c>
      <c r="B59" s="110" t="s">
        <v>305</v>
      </c>
      <c r="C59" s="124" t="s">
        <v>299</v>
      </c>
      <c r="D59" s="138" t="s">
        <v>291</v>
      </c>
      <c r="E59" s="124" t="s">
        <v>173</v>
      </c>
      <c r="F59" s="110"/>
      <c r="G59" s="110"/>
      <c r="H59" s="110"/>
      <c r="I59" s="112">
        <v>513.33000000000004</v>
      </c>
      <c r="J59" s="197">
        <v>653.33000000000004</v>
      </c>
      <c r="K59" s="112">
        <f t="shared" si="17"/>
        <v>1166.6600000000001</v>
      </c>
      <c r="L59" s="128">
        <v>1000</v>
      </c>
      <c r="M59" s="112"/>
      <c r="N59" s="112"/>
      <c r="O59" s="112"/>
      <c r="P59" s="114"/>
      <c r="Q59" s="115">
        <f t="shared" si="18"/>
        <v>2166.66</v>
      </c>
      <c r="R59" s="116"/>
      <c r="S59" s="117"/>
      <c r="T59" s="117"/>
      <c r="U59" s="117"/>
      <c r="V59" s="117"/>
      <c r="W59" s="117"/>
      <c r="X59" s="118"/>
      <c r="Y59" s="118"/>
      <c r="Z59" s="119"/>
      <c r="AA59" s="119">
        <v>0</v>
      </c>
      <c r="AB59" s="115">
        <f t="shared" si="19"/>
        <v>2166.66</v>
      </c>
      <c r="AC59" s="120">
        <f t="shared" si="8"/>
        <v>0</v>
      </c>
      <c r="AD59" s="115">
        <f t="shared" si="20"/>
        <v>2166.66</v>
      </c>
      <c r="AE59" s="121">
        <f t="shared" si="21"/>
        <v>216.666</v>
      </c>
      <c r="AF59" s="120">
        <v>10.23</v>
      </c>
      <c r="AG59" s="120">
        <f t="shared" si="22"/>
        <v>0</v>
      </c>
      <c r="AH59" s="122">
        <f t="shared" si="23"/>
        <v>2393.556</v>
      </c>
      <c r="AI59" s="241">
        <v>577.4</v>
      </c>
      <c r="AJ59" s="242">
        <v>1589.26</v>
      </c>
      <c r="AK59" s="194">
        <f t="shared" si="7"/>
        <v>0</v>
      </c>
      <c r="AL59" s="124"/>
      <c r="AM59" s="124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24" t="s">
        <v>71</v>
      </c>
      <c r="B60" s="110" t="s">
        <v>263</v>
      </c>
      <c r="C60" s="110" t="s">
        <v>251</v>
      </c>
      <c r="D60" s="110" t="s">
        <v>156</v>
      </c>
      <c r="E60" s="110" t="s">
        <v>73</v>
      </c>
      <c r="F60" s="110"/>
      <c r="G60" s="111"/>
      <c r="H60" s="111"/>
      <c r="I60" s="112">
        <v>513.33000000000004</v>
      </c>
      <c r="J60" s="179">
        <v>653.33000000000004</v>
      </c>
      <c r="K60" s="112">
        <f t="shared" si="17"/>
        <v>1166.6600000000001</v>
      </c>
      <c r="L60" s="112">
        <v>26980.91</v>
      </c>
      <c r="M60" s="112"/>
      <c r="N60" s="113"/>
      <c r="O60" s="113"/>
      <c r="P60" s="114"/>
      <c r="Q60" s="115">
        <f t="shared" si="18"/>
        <v>28147.57</v>
      </c>
      <c r="R60" s="116"/>
      <c r="S60" s="117"/>
      <c r="T60" s="117">
        <v>0</v>
      </c>
      <c r="U60" s="117"/>
      <c r="V60" s="117"/>
      <c r="W60" s="117"/>
      <c r="X60" s="131">
        <v>460.45</v>
      </c>
      <c r="Y60" s="118"/>
      <c r="Z60" s="119"/>
      <c r="AA60" s="125">
        <v>517.25</v>
      </c>
      <c r="AB60" s="115">
        <f t="shared" si="19"/>
        <v>27169.87</v>
      </c>
      <c r="AC60" s="120">
        <f t="shared" si="8"/>
        <v>2814.7570000000001</v>
      </c>
      <c r="AD60" s="115">
        <f t="shared" si="20"/>
        <v>24355.112999999998</v>
      </c>
      <c r="AE60" s="121">
        <f t="shared" si="21"/>
        <v>0</v>
      </c>
      <c r="AF60" s="120">
        <v>10.23</v>
      </c>
      <c r="AG60" s="120">
        <f t="shared" si="22"/>
        <v>0</v>
      </c>
      <c r="AH60" s="122">
        <f t="shared" si="23"/>
        <v>28157.8</v>
      </c>
      <c r="AI60" s="239">
        <v>116.95</v>
      </c>
      <c r="AJ60" s="240">
        <v>24238.16</v>
      </c>
      <c r="AK60" s="194">
        <f t="shared" si="7"/>
        <v>-2.9999999969732016E-3</v>
      </c>
      <c r="AL60" s="124"/>
      <c r="AM60" s="124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94</v>
      </c>
      <c r="B61" s="110" t="s">
        <v>243</v>
      </c>
      <c r="C61" s="110"/>
      <c r="D61" s="110" t="s">
        <v>134</v>
      </c>
      <c r="E61" s="110" t="s">
        <v>178</v>
      </c>
      <c r="F61" s="110"/>
      <c r="G61" s="111"/>
      <c r="H61" s="111"/>
      <c r="I61" s="112">
        <v>1100</v>
      </c>
      <c r="J61" s="177"/>
      <c r="K61" s="112">
        <f t="shared" si="17"/>
        <v>1100</v>
      </c>
      <c r="L61" s="112">
        <v>434.4</v>
      </c>
      <c r="M61" s="112"/>
      <c r="N61" s="113"/>
      <c r="O61" s="113"/>
      <c r="P61" s="114"/>
      <c r="Q61" s="115">
        <f t="shared" si="18"/>
        <v>1534.4</v>
      </c>
      <c r="R61" s="116"/>
      <c r="S61" s="117"/>
      <c r="T61" s="126">
        <f>+Q61*1%</f>
        <v>15.344000000000001</v>
      </c>
      <c r="U61" s="126">
        <f>+Q61*4.9%</f>
        <v>75.185600000000008</v>
      </c>
      <c r="V61" s="117"/>
      <c r="W61" s="117"/>
      <c r="X61" s="118"/>
      <c r="Y61" s="118"/>
      <c r="Z61" s="119"/>
      <c r="AA61" s="119">
        <v>0</v>
      </c>
      <c r="AB61" s="115">
        <f t="shared" si="19"/>
        <v>1443.8704</v>
      </c>
      <c r="AC61" s="120">
        <f t="shared" si="8"/>
        <v>0</v>
      </c>
      <c r="AD61" s="115">
        <f t="shared" si="20"/>
        <v>1443.8704</v>
      </c>
      <c r="AE61" s="121">
        <f t="shared" si="21"/>
        <v>153.44000000000003</v>
      </c>
      <c r="AF61" s="120">
        <v>10.23</v>
      </c>
      <c r="AG61" s="120">
        <f t="shared" si="22"/>
        <v>75.185600000000008</v>
      </c>
      <c r="AH61" s="122">
        <f t="shared" si="23"/>
        <v>1773.2556000000002</v>
      </c>
      <c r="AI61" s="241">
        <v>577.4</v>
      </c>
      <c r="AJ61" s="241">
        <v>866.47</v>
      </c>
      <c r="AK61" s="194">
        <f t="shared" si="7"/>
        <v>-4.0000000012696546E-4</v>
      </c>
      <c r="AL61" s="124"/>
      <c r="AM61" s="124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92</v>
      </c>
      <c r="B62" s="110" t="s">
        <v>328</v>
      </c>
      <c r="C62" s="110"/>
      <c r="D62" s="110" t="s">
        <v>103</v>
      </c>
      <c r="E62" s="110" t="s">
        <v>163</v>
      </c>
      <c r="F62" s="110"/>
      <c r="G62" s="110"/>
      <c r="H62" s="110"/>
      <c r="I62" s="112">
        <v>739.23</v>
      </c>
      <c r="J62" s="180"/>
      <c r="K62" s="112">
        <f t="shared" si="17"/>
        <v>739.23</v>
      </c>
      <c r="L62" s="112">
        <f>3368.94+13.09</f>
        <v>3382.03</v>
      </c>
      <c r="M62" s="112"/>
      <c r="N62" s="112"/>
      <c r="O62" s="112"/>
      <c r="P62" s="114"/>
      <c r="Q62" s="115">
        <f t="shared" si="18"/>
        <v>4121.26</v>
      </c>
      <c r="R62" s="116"/>
      <c r="S62" s="117"/>
      <c r="T62" s="117">
        <v>0</v>
      </c>
      <c r="U62" s="117"/>
      <c r="V62" s="117"/>
      <c r="W62" s="117"/>
      <c r="X62" s="118"/>
      <c r="Y62" s="118"/>
      <c r="Z62" s="119"/>
      <c r="AA62" s="119">
        <v>0</v>
      </c>
      <c r="AB62" s="115">
        <f t="shared" si="19"/>
        <v>4121.26</v>
      </c>
      <c r="AC62" s="120">
        <f t="shared" si="8"/>
        <v>412.12600000000003</v>
      </c>
      <c r="AD62" s="115">
        <f t="shared" si="20"/>
        <v>3709.134</v>
      </c>
      <c r="AE62" s="121">
        <f t="shared" si="21"/>
        <v>0</v>
      </c>
      <c r="AF62" s="120">
        <v>10.23</v>
      </c>
      <c r="AG62" s="120">
        <f t="shared" si="22"/>
        <v>0</v>
      </c>
      <c r="AH62" s="122">
        <f t="shared" si="23"/>
        <v>4131.49</v>
      </c>
      <c r="AI62" s="239">
        <v>577.4</v>
      </c>
      <c r="AJ62" s="240">
        <v>3131.73</v>
      </c>
      <c r="AK62" s="194">
        <f t="shared" si="7"/>
        <v>-3.9999999999054126E-3</v>
      </c>
      <c r="AL62" s="124"/>
      <c r="AM62" s="12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94</v>
      </c>
      <c r="B63" s="110" t="s">
        <v>208</v>
      </c>
      <c r="C63" s="110"/>
      <c r="D63" s="110" t="s">
        <v>135</v>
      </c>
      <c r="E63" s="110" t="s">
        <v>179</v>
      </c>
      <c r="F63" s="110"/>
      <c r="G63" s="111"/>
      <c r="H63" s="111"/>
      <c r="I63" s="112">
        <v>608.16</v>
      </c>
      <c r="J63" s="177"/>
      <c r="K63" s="112">
        <f t="shared" si="17"/>
        <v>608.16</v>
      </c>
      <c r="L63" s="112">
        <f>5839.5+13.09</f>
        <v>5852.59</v>
      </c>
      <c r="M63" s="112"/>
      <c r="N63" s="113"/>
      <c r="O63" s="113"/>
      <c r="P63" s="114"/>
      <c r="Q63" s="115">
        <f t="shared" si="18"/>
        <v>6460.75</v>
      </c>
      <c r="R63" s="116"/>
      <c r="S63" s="117"/>
      <c r="T63" s="117"/>
      <c r="U63" s="126">
        <f>Q63*4.9%</f>
        <v>316.57675</v>
      </c>
      <c r="V63" s="126">
        <f>Q63*1%</f>
        <v>64.607500000000002</v>
      </c>
      <c r="W63" s="117"/>
      <c r="X63" s="118"/>
      <c r="Y63" s="118"/>
      <c r="Z63" s="119"/>
      <c r="AA63" s="119">
        <v>0</v>
      </c>
      <c r="AB63" s="115">
        <f t="shared" si="19"/>
        <v>6079.5657499999998</v>
      </c>
      <c r="AC63" s="120">
        <f t="shared" si="8"/>
        <v>646.07500000000005</v>
      </c>
      <c r="AD63" s="115">
        <f t="shared" si="20"/>
        <v>5433.4907499999999</v>
      </c>
      <c r="AE63" s="121">
        <f t="shared" si="21"/>
        <v>0</v>
      </c>
      <c r="AF63" s="120">
        <v>10.23</v>
      </c>
      <c r="AG63" s="120">
        <f t="shared" si="22"/>
        <v>316.57675</v>
      </c>
      <c r="AH63" s="122">
        <f t="shared" si="23"/>
        <v>6787.5567499999997</v>
      </c>
      <c r="AI63" s="241">
        <v>577.4</v>
      </c>
      <c r="AJ63" s="242">
        <v>4856.09</v>
      </c>
      <c r="AK63" s="194">
        <f t="shared" si="7"/>
        <v>-7.5000000015279511E-4</v>
      </c>
      <c r="AL63" s="124"/>
      <c r="AM63" s="124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 s="39" customFormat="1">
      <c r="A64" s="124" t="s">
        <v>94</v>
      </c>
      <c r="B64" s="110" t="s">
        <v>199</v>
      </c>
      <c r="C64" s="110"/>
      <c r="D64" s="110" t="s">
        <v>136</v>
      </c>
      <c r="E64" s="110" t="s">
        <v>270</v>
      </c>
      <c r="F64" s="110"/>
      <c r="G64" s="111"/>
      <c r="H64" s="111"/>
      <c r="I64" s="112">
        <v>511.28</v>
      </c>
      <c r="J64" s="177"/>
      <c r="K64" s="112">
        <f t="shared" si="17"/>
        <v>511.28</v>
      </c>
      <c r="L64" s="112">
        <f>3844.8+7.42</f>
        <v>3852.2200000000003</v>
      </c>
      <c r="M64" s="112"/>
      <c r="N64" s="113"/>
      <c r="O64" s="113"/>
      <c r="P64" s="114"/>
      <c r="Q64" s="115">
        <f t="shared" si="18"/>
        <v>4363.5</v>
      </c>
      <c r="R64" s="116"/>
      <c r="S64" s="117"/>
      <c r="T64" s="126">
        <v>100</v>
      </c>
      <c r="U64" s="126">
        <f>Q64*4.9%</f>
        <v>213.8115</v>
      </c>
      <c r="V64" s="126">
        <f>Q64*1%</f>
        <v>43.634999999999998</v>
      </c>
      <c r="W64" s="117"/>
      <c r="X64" s="118"/>
      <c r="Y64" s="118"/>
      <c r="Z64" s="119"/>
      <c r="AA64" s="119">
        <v>0</v>
      </c>
      <c r="AB64" s="115">
        <f t="shared" si="19"/>
        <v>4006.0535</v>
      </c>
      <c r="AC64" s="120">
        <f t="shared" si="8"/>
        <v>436.35</v>
      </c>
      <c r="AD64" s="115">
        <f t="shared" si="20"/>
        <v>3569.7035000000001</v>
      </c>
      <c r="AE64" s="121">
        <f t="shared" si="21"/>
        <v>0</v>
      </c>
      <c r="AF64" s="120">
        <v>10.23</v>
      </c>
      <c r="AG64" s="120">
        <f t="shared" si="22"/>
        <v>213.8115</v>
      </c>
      <c r="AH64" s="122">
        <f t="shared" si="23"/>
        <v>4587.5414999999994</v>
      </c>
      <c r="AI64" s="239">
        <v>577.4</v>
      </c>
      <c r="AJ64" s="240">
        <v>2992.3</v>
      </c>
      <c r="AK64" s="194">
        <f t="shared" si="7"/>
        <v>-3.4999999998035491E-3</v>
      </c>
      <c r="AL64" s="124"/>
      <c r="AM64" s="124"/>
    </row>
    <row r="65" spans="1:193">
      <c r="A65" s="124" t="s">
        <v>71</v>
      </c>
      <c r="B65" s="110" t="s">
        <v>287</v>
      </c>
      <c r="C65" s="110" t="s">
        <v>254</v>
      </c>
      <c r="D65" s="110" t="s">
        <v>157</v>
      </c>
      <c r="E65" s="110" t="s">
        <v>73</v>
      </c>
      <c r="F65" s="110"/>
      <c r="G65" s="111"/>
      <c r="H65" s="111"/>
      <c r="I65" s="112">
        <v>513.33000000000004</v>
      </c>
      <c r="J65" s="179">
        <v>653.33000000000004</v>
      </c>
      <c r="K65" s="112">
        <f t="shared" si="17"/>
        <v>1166.6600000000001</v>
      </c>
      <c r="L65" s="112">
        <v>1385.83</v>
      </c>
      <c r="M65" s="112"/>
      <c r="N65" s="113"/>
      <c r="O65" s="113"/>
      <c r="P65" s="114"/>
      <c r="Q65" s="115">
        <f t="shared" si="18"/>
        <v>2552.4899999999998</v>
      </c>
      <c r="R65" s="116"/>
      <c r="S65" s="117"/>
      <c r="T65" s="117">
        <v>0</v>
      </c>
      <c r="U65" s="117"/>
      <c r="V65" s="117"/>
      <c r="W65" s="117"/>
      <c r="X65" s="118"/>
      <c r="Y65" s="118"/>
      <c r="Z65" s="119"/>
      <c r="AA65" s="119">
        <v>0</v>
      </c>
      <c r="AB65" s="115">
        <f t="shared" si="19"/>
        <v>2552.4899999999998</v>
      </c>
      <c r="AC65" s="120">
        <f t="shared" si="8"/>
        <v>255.249</v>
      </c>
      <c r="AD65" s="115">
        <f t="shared" si="20"/>
        <v>2297.241</v>
      </c>
      <c r="AE65" s="121">
        <f t="shared" si="21"/>
        <v>255.249</v>
      </c>
      <c r="AF65" s="120">
        <v>10.23</v>
      </c>
      <c r="AG65" s="120">
        <f t="shared" si="22"/>
        <v>0</v>
      </c>
      <c r="AH65" s="122">
        <f t="shared" si="23"/>
        <v>2817.9689999999996</v>
      </c>
      <c r="AI65" s="241">
        <v>577.4</v>
      </c>
      <c r="AJ65" s="242">
        <v>1719.84</v>
      </c>
      <c r="AK65" s="194">
        <f t="shared" si="7"/>
        <v>-1.0000000002037268E-3</v>
      </c>
      <c r="AL65" s="124"/>
      <c r="AM65" s="124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 s="84" customFormat="1">
      <c r="A66" s="124" t="s">
        <v>92</v>
      </c>
      <c r="B66" s="110" t="s">
        <v>78</v>
      </c>
      <c r="C66" s="110"/>
      <c r="D66" s="110" t="s">
        <v>104</v>
      </c>
      <c r="E66" s="110" t="s">
        <v>164</v>
      </c>
      <c r="F66" s="110"/>
      <c r="G66" s="110"/>
      <c r="H66" s="111"/>
      <c r="I66" s="112">
        <v>739.23</v>
      </c>
      <c r="J66" s="177"/>
      <c r="K66" s="112">
        <f t="shared" si="17"/>
        <v>739.23</v>
      </c>
      <c r="L66" s="112">
        <f>4690.98+13.09</f>
        <v>4704.07</v>
      </c>
      <c r="M66" s="112"/>
      <c r="N66" s="134"/>
      <c r="O66" s="113"/>
      <c r="P66" s="114"/>
      <c r="Q66" s="115">
        <f t="shared" si="18"/>
        <v>5443.2999999999993</v>
      </c>
      <c r="R66" s="116"/>
      <c r="S66" s="117"/>
      <c r="T66" s="117">
        <v>0</v>
      </c>
      <c r="U66" s="117"/>
      <c r="V66" s="117"/>
      <c r="W66" s="117"/>
      <c r="X66" s="118"/>
      <c r="Y66" s="118"/>
      <c r="Z66" s="119"/>
      <c r="AA66" s="119">
        <v>0</v>
      </c>
      <c r="AB66" s="115">
        <f t="shared" si="19"/>
        <v>5443.2999999999993</v>
      </c>
      <c r="AC66" s="120">
        <f t="shared" si="8"/>
        <v>544.32999999999993</v>
      </c>
      <c r="AD66" s="115">
        <f t="shared" si="20"/>
        <v>4898.9699999999993</v>
      </c>
      <c r="AE66" s="121">
        <f t="shared" si="21"/>
        <v>0</v>
      </c>
      <c r="AF66" s="120">
        <v>10.23</v>
      </c>
      <c r="AG66" s="120">
        <f t="shared" si="22"/>
        <v>0</v>
      </c>
      <c r="AH66" s="122">
        <f t="shared" si="23"/>
        <v>5453.5299999999988</v>
      </c>
      <c r="AI66" s="239">
        <v>577.4</v>
      </c>
      <c r="AJ66" s="240">
        <v>4321.57</v>
      </c>
      <c r="AK66" s="194">
        <f t="shared" si="7"/>
        <v>0</v>
      </c>
      <c r="AL66" s="124"/>
      <c r="AM66" s="124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 s="39" customFormat="1">
      <c r="A67" s="124" t="s">
        <v>91</v>
      </c>
      <c r="B67" s="124" t="s">
        <v>317</v>
      </c>
      <c r="C67" s="124"/>
      <c r="D67" s="124"/>
      <c r="E67" s="124" t="s">
        <v>72</v>
      </c>
      <c r="F67" s="127">
        <v>42472</v>
      </c>
      <c r="G67" s="124"/>
      <c r="H67" s="124"/>
      <c r="I67" s="128">
        <v>1166.26</v>
      </c>
      <c r="J67" s="178"/>
      <c r="K67" s="128">
        <f t="shared" si="17"/>
        <v>1166.26</v>
      </c>
      <c r="L67" s="128"/>
      <c r="M67" s="128"/>
      <c r="N67" s="135"/>
      <c r="O67" s="128"/>
      <c r="P67" s="171"/>
      <c r="Q67" s="115">
        <f t="shared" si="18"/>
        <v>1166.26</v>
      </c>
      <c r="R67" s="116"/>
      <c r="S67" s="164"/>
      <c r="T67" s="164"/>
      <c r="U67" s="164"/>
      <c r="V67" s="164"/>
      <c r="W67" s="164"/>
      <c r="X67" s="165"/>
      <c r="Y67" s="165"/>
      <c r="Z67" s="149"/>
      <c r="AA67" s="149">
        <v>0</v>
      </c>
      <c r="AB67" s="115">
        <f t="shared" si="19"/>
        <v>1166.26</v>
      </c>
      <c r="AC67" s="120">
        <f t="shared" ref="AC67" si="29">IF(Q67&gt;2250,Q67*0.1,0)</f>
        <v>0</v>
      </c>
      <c r="AD67" s="115">
        <f t="shared" ref="AD67" si="30">+AB67-AC67</f>
        <v>1166.26</v>
      </c>
      <c r="AE67" s="121">
        <f t="shared" ref="AE67" si="31">IF(Q67&lt;3500,Q67*0.1,0)</f>
        <v>116.626</v>
      </c>
      <c r="AF67" s="120">
        <v>10.23</v>
      </c>
      <c r="AG67" s="120">
        <f t="shared" ref="AG67" si="32">+U67</f>
        <v>0</v>
      </c>
      <c r="AH67" s="122">
        <f t="shared" si="23"/>
        <v>1293.116</v>
      </c>
      <c r="AI67" s="241">
        <v>577.4</v>
      </c>
      <c r="AJ67" s="243">
        <v>588.86</v>
      </c>
      <c r="AK67" s="194">
        <f t="shared" si="7"/>
        <v>0</v>
      </c>
      <c r="AL67" s="124">
        <v>1123036669</v>
      </c>
      <c r="AM67" s="129"/>
    </row>
    <row r="68" spans="1:193">
      <c r="A68" s="203" t="s">
        <v>71</v>
      </c>
      <c r="B68" s="203" t="s">
        <v>295</v>
      </c>
      <c r="C68" s="203" t="s">
        <v>299</v>
      </c>
      <c r="D68" s="203"/>
      <c r="E68" s="203" t="s">
        <v>173</v>
      </c>
      <c r="F68" s="204">
        <v>42430</v>
      </c>
      <c r="G68" s="203"/>
      <c r="H68" s="203"/>
      <c r="I68" s="205">
        <v>0</v>
      </c>
      <c r="J68" s="209">
        <v>0</v>
      </c>
      <c r="K68" s="205">
        <f t="shared" si="17"/>
        <v>0</v>
      </c>
      <c r="L68" s="205"/>
      <c r="M68" s="205"/>
      <c r="N68" s="210"/>
      <c r="O68" s="205"/>
      <c r="P68" s="205"/>
      <c r="Q68" s="205">
        <f t="shared" si="18"/>
        <v>0</v>
      </c>
      <c r="R68" s="205"/>
      <c r="S68" s="205"/>
      <c r="T68" s="205">
        <v>0</v>
      </c>
      <c r="U68" s="205"/>
      <c r="V68" s="205"/>
      <c r="W68" s="205"/>
      <c r="X68" s="207"/>
      <c r="Y68" s="207"/>
      <c r="Z68" s="203"/>
      <c r="AA68" s="203">
        <v>0</v>
      </c>
      <c r="AB68" s="205">
        <f t="shared" si="19"/>
        <v>0</v>
      </c>
      <c r="AC68" s="207">
        <f t="shared" si="8"/>
        <v>0</v>
      </c>
      <c r="AD68" s="205">
        <f t="shared" si="20"/>
        <v>0</v>
      </c>
      <c r="AE68" s="207">
        <f t="shared" si="21"/>
        <v>0</v>
      </c>
      <c r="AF68" s="207">
        <v>0</v>
      </c>
      <c r="AG68" s="207">
        <f t="shared" si="22"/>
        <v>0</v>
      </c>
      <c r="AH68" s="205">
        <f t="shared" si="23"/>
        <v>0</v>
      </c>
      <c r="AI68" s="203"/>
      <c r="AJ68" s="203"/>
      <c r="AK68" s="208">
        <f t="shared" si="7"/>
        <v>0</v>
      </c>
      <c r="AL68" s="203"/>
      <c r="AM68" s="203" t="s">
        <v>345</v>
      </c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>
      <c r="A69" s="124" t="s">
        <v>92</v>
      </c>
      <c r="B69" s="110" t="s">
        <v>232</v>
      </c>
      <c r="C69" s="110"/>
      <c r="D69" s="110" t="s">
        <v>105</v>
      </c>
      <c r="E69" s="110" t="s">
        <v>163</v>
      </c>
      <c r="F69" s="110"/>
      <c r="G69" s="110"/>
      <c r="H69" s="111"/>
      <c r="I69" s="112">
        <v>739.23</v>
      </c>
      <c r="J69" s="177"/>
      <c r="K69" s="112">
        <f t="shared" si="17"/>
        <v>739.23</v>
      </c>
      <c r="L69" s="112">
        <f>3698.96+13.09</f>
        <v>3712.05</v>
      </c>
      <c r="M69" s="112"/>
      <c r="N69" s="113"/>
      <c r="O69" s="113"/>
      <c r="P69" s="114"/>
      <c r="Q69" s="115">
        <f t="shared" si="18"/>
        <v>4451.2800000000007</v>
      </c>
      <c r="R69" s="116"/>
      <c r="S69" s="117"/>
      <c r="T69" s="117">
        <v>0</v>
      </c>
      <c r="U69" s="117"/>
      <c r="V69" s="117"/>
      <c r="W69" s="117"/>
      <c r="X69" s="118"/>
      <c r="Y69" s="118"/>
      <c r="Z69" s="119"/>
      <c r="AA69" s="119">
        <v>0</v>
      </c>
      <c r="AB69" s="115">
        <f t="shared" si="19"/>
        <v>4451.2800000000007</v>
      </c>
      <c r="AC69" s="120">
        <f t="shared" si="8"/>
        <v>445.1280000000001</v>
      </c>
      <c r="AD69" s="115">
        <f t="shared" si="20"/>
        <v>4006.1520000000005</v>
      </c>
      <c r="AE69" s="121">
        <f t="shared" si="21"/>
        <v>0</v>
      </c>
      <c r="AF69" s="120">
        <v>10.23</v>
      </c>
      <c r="AG69" s="120">
        <f t="shared" si="22"/>
        <v>0</v>
      </c>
      <c r="AH69" s="122">
        <f t="shared" si="23"/>
        <v>4461.51</v>
      </c>
      <c r="AI69" s="243">
        <v>577.4</v>
      </c>
      <c r="AJ69" s="244">
        <v>3428.75</v>
      </c>
      <c r="AK69" s="194">
        <f t="shared" si="7"/>
        <v>-2.0000000004074536E-3</v>
      </c>
      <c r="AL69" s="124"/>
      <c r="AM69" s="124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 s="39" customFormat="1">
      <c r="A70" s="203" t="s">
        <v>94</v>
      </c>
      <c r="B70" s="203" t="s">
        <v>321</v>
      </c>
      <c r="C70" s="203"/>
      <c r="D70" s="203"/>
      <c r="E70" s="203" t="s">
        <v>174</v>
      </c>
      <c r="F70" s="204">
        <v>42467</v>
      </c>
      <c r="G70" s="203"/>
      <c r="H70" s="203"/>
      <c r="I70" s="205">
        <v>0</v>
      </c>
      <c r="J70" s="206"/>
      <c r="K70" s="205">
        <f t="shared" si="17"/>
        <v>0</v>
      </c>
      <c r="L70" s="205"/>
      <c r="M70" s="205"/>
      <c r="N70" s="205"/>
      <c r="O70" s="205"/>
      <c r="P70" s="205"/>
      <c r="Q70" s="201">
        <f t="shared" si="18"/>
        <v>0</v>
      </c>
      <c r="R70" s="205"/>
      <c r="S70" s="205"/>
      <c r="T70" s="205"/>
      <c r="U70" s="205"/>
      <c r="V70" s="205"/>
      <c r="W70" s="205"/>
      <c r="X70" s="207"/>
      <c r="Y70" s="207"/>
      <c r="Z70" s="203"/>
      <c r="AA70" s="203"/>
      <c r="AB70" s="201">
        <f t="shared" si="19"/>
        <v>0</v>
      </c>
      <c r="AC70" s="207">
        <f t="shared" si="8"/>
        <v>0</v>
      </c>
      <c r="AD70" s="201">
        <f t="shared" si="20"/>
        <v>0</v>
      </c>
      <c r="AE70" s="207">
        <f t="shared" si="21"/>
        <v>0</v>
      </c>
      <c r="AF70" s="207">
        <v>0</v>
      </c>
      <c r="AG70" s="207">
        <f t="shared" ref="AG70" si="33">+U70</f>
        <v>0</v>
      </c>
      <c r="AH70" s="201">
        <f t="shared" si="23"/>
        <v>0</v>
      </c>
      <c r="AI70" s="203"/>
      <c r="AJ70" s="203"/>
      <c r="AK70" s="208">
        <f t="shared" si="7"/>
        <v>0</v>
      </c>
      <c r="AL70" s="203">
        <v>1134051785</v>
      </c>
      <c r="AM70" s="202" t="s">
        <v>346</v>
      </c>
    </row>
    <row r="71" spans="1:193">
      <c r="A71" s="124" t="s">
        <v>92</v>
      </c>
      <c r="B71" s="124" t="s">
        <v>272</v>
      </c>
      <c r="C71" s="124"/>
      <c r="D71" s="124"/>
      <c r="E71" s="124" t="s">
        <v>163</v>
      </c>
      <c r="F71" s="127">
        <v>42422</v>
      </c>
      <c r="G71" s="124"/>
      <c r="H71" s="124"/>
      <c r="I71" s="112">
        <v>739.23</v>
      </c>
      <c r="J71" s="177"/>
      <c r="K71" s="112">
        <f t="shared" si="17"/>
        <v>739.23</v>
      </c>
      <c r="L71" s="112">
        <f>4178.27+13.09</f>
        <v>4191.3600000000006</v>
      </c>
      <c r="M71" s="112"/>
      <c r="N71" s="113"/>
      <c r="O71" s="113"/>
      <c r="P71" s="114"/>
      <c r="Q71" s="115">
        <f t="shared" si="18"/>
        <v>4930.59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 t="shared" si="19"/>
        <v>4930.59</v>
      </c>
      <c r="AC71" s="120">
        <f t="shared" si="8"/>
        <v>493.05900000000003</v>
      </c>
      <c r="AD71" s="115">
        <f t="shared" si="20"/>
        <v>4437.5309999999999</v>
      </c>
      <c r="AE71" s="121">
        <f t="shared" si="21"/>
        <v>0</v>
      </c>
      <c r="AF71" s="120">
        <v>10.23</v>
      </c>
      <c r="AG71" s="120">
        <f t="shared" si="22"/>
        <v>0</v>
      </c>
      <c r="AH71" s="122">
        <f t="shared" si="23"/>
        <v>4940.82</v>
      </c>
      <c r="AI71" s="241">
        <v>577.4</v>
      </c>
      <c r="AJ71" s="242">
        <v>3860.13</v>
      </c>
      <c r="AK71" s="194">
        <f t="shared" si="7"/>
        <v>-1.0000000002037268E-3</v>
      </c>
      <c r="AL71" s="124"/>
      <c r="AM71" s="12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4" t="s">
        <v>94</v>
      </c>
      <c r="B72" s="110" t="s">
        <v>313</v>
      </c>
      <c r="C72" s="110"/>
      <c r="D72" s="110" t="s">
        <v>137</v>
      </c>
      <c r="E72" s="110" t="s">
        <v>181</v>
      </c>
      <c r="F72" s="110"/>
      <c r="G72" s="111"/>
      <c r="H72" s="111"/>
      <c r="I72" s="112">
        <v>608.16</v>
      </c>
      <c r="J72" s="177"/>
      <c r="K72" s="112">
        <f t="shared" si="17"/>
        <v>608.16</v>
      </c>
      <c r="L72" s="112">
        <f>600.54+2.59</f>
        <v>603.13</v>
      </c>
      <c r="M72" s="112"/>
      <c r="N72" s="113"/>
      <c r="O72" s="113"/>
      <c r="P72" s="114"/>
      <c r="Q72" s="115">
        <f t="shared" si="18"/>
        <v>1211.29</v>
      </c>
      <c r="R72" s="116"/>
      <c r="S72" s="117"/>
      <c r="T72" s="117"/>
      <c r="U72" s="126">
        <f>Q72*4.9%</f>
        <v>59.353209999999997</v>
      </c>
      <c r="V72" s="126">
        <f>Q72*1%</f>
        <v>12.1129</v>
      </c>
      <c r="W72" s="117"/>
      <c r="X72" s="118"/>
      <c r="Y72" s="118"/>
      <c r="Z72" s="119"/>
      <c r="AA72" s="119">
        <v>0</v>
      </c>
      <c r="AB72" s="115">
        <f t="shared" si="19"/>
        <v>1139.8238899999999</v>
      </c>
      <c r="AC72" s="120">
        <f t="shared" si="8"/>
        <v>0</v>
      </c>
      <c r="AD72" s="115">
        <f t="shared" si="20"/>
        <v>1139.8238899999999</v>
      </c>
      <c r="AE72" s="121">
        <f t="shared" si="21"/>
        <v>121.129</v>
      </c>
      <c r="AF72" s="120">
        <v>10.23</v>
      </c>
      <c r="AG72" s="120">
        <f t="shared" si="22"/>
        <v>59.353209999999997</v>
      </c>
      <c r="AH72" s="122">
        <f t="shared" si="23"/>
        <v>1402.0022099999999</v>
      </c>
      <c r="AI72" s="239">
        <v>577.4</v>
      </c>
      <c r="AJ72" s="239">
        <v>562.41999999999996</v>
      </c>
      <c r="AK72" s="194">
        <f t="shared" si="7"/>
        <v>-3.8899999999557622E-3</v>
      </c>
      <c r="AL72" s="124"/>
      <c r="AM72" s="12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>
      <c r="A73" s="124" t="s">
        <v>94</v>
      </c>
      <c r="B73" s="110" t="s">
        <v>331</v>
      </c>
      <c r="C73" s="110"/>
      <c r="D73" s="110" t="s">
        <v>138</v>
      </c>
      <c r="E73" s="110" t="s">
        <v>181</v>
      </c>
      <c r="F73" s="110"/>
      <c r="G73" s="111"/>
      <c r="H73" s="111"/>
      <c r="I73" s="112">
        <v>608.16</v>
      </c>
      <c r="J73" s="177"/>
      <c r="K73" s="112">
        <f t="shared" si="17"/>
        <v>608.16</v>
      </c>
      <c r="L73" s="112">
        <f>4368.94+5.57</f>
        <v>4374.5099999999993</v>
      </c>
      <c r="M73" s="112"/>
      <c r="N73" s="113"/>
      <c r="O73" s="113"/>
      <c r="P73" s="114"/>
      <c r="Q73" s="115">
        <f t="shared" si="18"/>
        <v>4982.6699999999992</v>
      </c>
      <c r="R73" s="116"/>
      <c r="S73" s="117"/>
      <c r="T73" s="126">
        <v>200</v>
      </c>
      <c r="U73" s="126">
        <f>Q73*4.9%</f>
        <v>244.15082999999996</v>
      </c>
      <c r="V73" s="126">
        <f>Q73*1%</f>
        <v>49.826699999999995</v>
      </c>
      <c r="W73" s="126">
        <v>321.74</v>
      </c>
      <c r="X73" s="118"/>
      <c r="Y73" s="118"/>
      <c r="Z73" s="119"/>
      <c r="AA73" s="119">
        <v>0</v>
      </c>
      <c r="AB73" s="115">
        <f t="shared" si="19"/>
        <v>4166.9524699999993</v>
      </c>
      <c r="AC73" s="120">
        <f t="shared" si="8"/>
        <v>498.26699999999994</v>
      </c>
      <c r="AD73" s="115">
        <f t="shared" si="20"/>
        <v>3668.6854699999994</v>
      </c>
      <c r="AE73" s="121">
        <f t="shared" si="21"/>
        <v>0</v>
      </c>
      <c r="AF73" s="120">
        <v>10.23</v>
      </c>
      <c r="AG73" s="120">
        <f t="shared" si="22"/>
        <v>244.15082999999996</v>
      </c>
      <c r="AH73" s="122">
        <f t="shared" si="23"/>
        <v>5237.0508299999983</v>
      </c>
      <c r="AI73" s="241">
        <v>577.4</v>
      </c>
      <c r="AJ73" s="242">
        <v>3091.29</v>
      </c>
      <c r="AK73" s="194">
        <f t="shared" ref="AK73:AK97" si="34">+AI73+AJ73-AD73</f>
        <v>4.5300000006136543E-3</v>
      </c>
      <c r="AL73" s="124"/>
      <c r="AM73" s="124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s="39" customFormat="1">
      <c r="A74" s="124" t="s">
        <v>71</v>
      </c>
      <c r="B74" s="124" t="s">
        <v>217</v>
      </c>
      <c r="C74" s="124" t="s">
        <v>251</v>
      </c>
      <c r="D74" s="137" t="s">
        <v>218</v>
      </c>
      <c r="E74" s="124" t="s">
        <v>73</v>
      </c>
      <c r="F74" s="127">
        <v>42396</v>
      </c>
      <c r="G74" s="124"/>
      <c r="H74" s="124"/>
      <c r="I74" s="128">
        <v>513.33000000000004</v>
      </c>
      <c r="J74" s="179">
        <v>653.33000000000004</v>
      </c>
      <c r="K74" s="128">
        <f t="shared" ref="K74:K96" si="35">+I74+J74</f>
        <v>1166.6600000000001</v>
      </c>
      <c r="L74" s="128">
        <f>8281-4835.16</f>
        <v>3445.84</v>
      </c>
      <c r="M74" s="128"/>
      <c r="N74" s="128"/>
      <c r="O74" s="128"/>
      <c r="P74" s="171"/>
      <c r="Q74" s="115">
        <f t="shared" si="18"/>
        <v>4612.5</v>
      </c>
      <c r="R74" s="116"/>
      <c r="S74" s="117"/>
      <c r="T74" s="164"/>
      <c r="U74" s="164"/>
      <c r="V74" s="164"/>
      <c r="W74" s="164"/>
      <c r="X74" s="131">
        <v>1553.23</v>
      </c>
      <c r="Y74" s="165"/>
      <c r="Z74" s="149"/>
      <c r="AA74" s="125">
        <v>291.5</v>
      </c>
      <c r="AB74" s="115">
        <f t="shared" si="19"/>
        <v>2767.77</v>
      </c>
      <c r="AC74" s="120">
        <f t="shared" ref="AC74" si="36">IF(Q74&gt;2250,Q74*0.1,0)</f>
        <v>461.25</v>
      </c>
      <c r="AD74" s="115">
        <f t="shared" ref="AD74" si="37">+AB74-AC74</f>
        <v>2306.52</v>
      </c>
      <c r="AE74" s="121">
        <f t="shared" ref="AE74" si="38">IF(Q74&lt;3500,Q74*0.1,0)</f>
        <v>0</v>
      </c>
      <c r="AF74" s="120">
        <v>10.23</v>
      </c>
      <c r="AG74" s="120">
        <f t="shared" ref="AG74" si="39">+U74</f>
        <v>0</v>
      </c>
      <c r="AH74" s="122">
        <f t="shared" ref="AH74" si="40">+Q74+AE74+AF74+AG74</f>
        <v>4622.7299999999996</v>
      </c>
      <c r="AI74" s="239">
        <v>285.89999999999998</v>
      </c>
      <c r="AJ74" s="240">
        <v>2020.62</v>
      </c>
      <c r="AK74" s="194">
        <f t="shared" si="34"/>
        <v>0</v>
      </c>
      <c r="AL74" s="124"/>
      <c r="AM74" s="124"/>
    </row>
    <row r="75" spans="1:193">
      <c r="A75" s="124" t="s">
        <v>94</v>
      </c>
      <c r="B75" s="110" t="s">
        <v>195</v>
      </c>
      <c r="C75" s="110"/>
      <c r="D75" s="110" t="s">
        <v>140</v>
      </c>
      <c r="E75" s="110" t="s">
        <v>174</v>
      </c>
      <c r="F75" s="110"/>
      <c r="G75" s="111"/>
      <c r="H75" s="111"/>
      <c r="I75" s="112">
        <v>608.16</v>
      </c>
      <c r="J75" s="177"/>
      <c r="K75" s="112">
        <f t="shared" si="35"/>
        <v>608.16</v>
      </c>
      <c r="L75" s="112">
        <v>375.5</v>
      </c>
      <c r="M75" s="112"/>
      <c r="N75" s="113"/>
      <c r="O75" s="113"/>
      <c r="P75" s="114"/>
      <c r="Q75" s="115">
        <f t="shared" ref="Q75:Q97" si="41">SUM(K75:O75)-P75</f>
        <v>983.66</v>
      </c>
      <c r="R75" s="116"/>
      <c r="S75" s="117"/>
      <c r="T75" s="117">
        <v>0</v>
      </c>
      <c r="U75" s="126">
        <f>Q75*4.9%</f>
        <v>48.199339999999999</v>
      </c>
      <c r="V75" s="126">
        <f>Q75*1%</f>
        <v>9.8366000000000007</v>
      </c>
      <c r="W75" s="117"/>
      <c r="X75" s="118"/>
      <c r="Y75" s="118"/>
      <c r="Z75" s="119"/>
      <c r="AA75" s="119">
        <v>0</v>
      </c>
      <c r="AB75" s="115">
        <f t="shared" ref="AB75:AB96" si="42">+Q75-SUM(R75:AA75)</f>
        <v>925.62405999999999</v>
      </c>
      <c r="AC75" s="120">
        <f t="shared" ref="AC75:AC97" si="43">IF(Q75&gt;2250,Q75*0.1,0)</f>
        <v>0</v>
      </c>
      <c r="AD75" s="115">
        <f t="shared" ref="AD75:AD96" si="44">+AB75-AC75</f>
        <v>925.62405999999999</v>
      </c>
      <c r="AE75" s="121">
        <f t="shared" ref="AE75:AE97" si="45">IF(Q75&lt;3500,Q75*0.1,0)</f>
        <v>98.366</v>
      </c>
      <c r="AF75" s="120">
        <v>10.23</v>
      </c>
      <c r="AG75" s="120">
        <f t="shared" ref="AG75:AG97" si="46">+U75</f>
        <v>48.199339999999999</v>
      </c>
      <c r="AH75" s="122">
        <f t="shared" ref="AH75:AH97" si="47">+Q75+AE75+AF75+AG75</f>
        <v>1140.45534</v>
      </c>
      <c r="AI75" s="241">
        <v>577.4</v>
      </c>
      <c r="AJ75" s="241">
        <v>348.22</v>
      </c>
      <c r="AK75" s="194">
        <f t="shared" si="34"/>
        <v>-4.0599999999813008E-3</v>
      </c>
      <c r="AL75" s="124"/>
      <c r="AM75" s="124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71</v>
      </c>
      <c r="B76" s="110" t="s">
        <v>302</v>
      </c>
      <c r="C76" s="110"/>
      <c r="D76" s="110"/>
      <c r="E76" s="110" t="s">
        <v>73</v>
      </c>
      <c r="F76" s="132">
        <v>42443</v>
      </c>
      <c r="G76" s="111"/>
      <c r="H76" s="111"/>
      <c r="I76" s="112">
        <v>513.33000000000004</v>
      </c>
      <c r="J76" s="179">
        <v>653.33000000000004</v>
      </c>
      <c r="K76" s="112">
        <f t="shared" si="35"/>
        <v>1166.6600000000001</v>
      </c>
      <c r="L76" s="112"/>
      <c r="M76" s="112"/>
      <c r="N76" s="113"/>
      <c r="O76" s="113"/>
      <c r="P76" s="114"/>
      <c r="Q76" s="115">
        <f t="shared" si="41"/>
        <v>1166.6600000000001</v>
      </c>
      <c r="R76" s="116"/>
      <c r="S76" s="117"/>
      <c r="T76" s="117"/>
      <c r="U76" s="126"/>
      <c r="V76" s="126"/>
      <c r="W76" s="117"/>
      <c r="X76" s="118"/>
      <c r="Y76" s="118"/>
      <c r="Z76" s="119"/>
      <c r="AA76" s="125">
        <v>930.16</v>
      </c>
      <c r="AB76" s="115">
        <f t="shared" si="42"/>
        <v>236.50000000000011</v>
      </c>
      <c r="AC76" s="120">
        <f t="shared" si="43"/>
        <v>0</v>
      </c>
      <c r="AD76" s="115">
        <f t="shared" si="44"/>
        <v>236.50000000000011</v>
      </c>
      <c r="AE76" s="121">
        <f t="shared" si="45"/>
        <v>116.66600000000001</v>
      </c>
      <c r="AF76" s="120">
        <v>10.23</v>
      </c>
      <c r="AG76" s="120">
        <f t="shared" si="46"/>
        <v>0</v>
      </c>
      <c r="AH76" s="122">
        <f t="shared" si="47"/>
        <v>1293.556</v>
      </c>
      <c r="AI76" s="239">
        <v>198.79</v>
      </c>
      <c r="AJ76" s="239">
        <v>37.71</v>
      </c>
      <c r="AK76" s="194">
        <f t="shared" si="34"/>
        <v>0</v>
      </c>
      <c r="AL76" s="147">
        <v>2713019144</v>
      </c>
      <c r="AM76" s="147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24" t="s">
        <v>91</v>
      </c>
      <c r="B77" s="110" t="s">
        <v>244</v>
      </c>
      <c r="C77" s="110"/>
      <c r="D77" s="110" t="s">
        <v>117</v>
      </c>
      <c r="E77" s="110" t="s">
        <v>171</v>
      </c>
      <c r="F77" s="132">
        <v>42321</v>
      </c>
      <c r="G77" s="110"/>
      <c r="H77" s="110"/>
      <c r="I77" s="112">
        <v>577.38</v>
      </c>
      <c r="J77" s="181">
        <v>1047.6199999999999</v>
      </c>
      <c r="K77" s="112">
        <f t="shared" si="35"/>
        <v>1625</v>
      </c>
      <c r="L77" s="112"/>
      <c r="M77" s="112"/>
      <c r="N77" s="112"/>
      <c r="O77" s="112"/>
      <c r="P77" s="114"/>
      <c r="Q77" s="115">
        <f t="shared" si="41"/>
        <v>1625</v>
      </c>
      <c r="R77" s="116"/>
      <c r="S77" s="117"/>
      <c r="T77" s="117">
        <v>0</v>
      </c>
      <c r="U77" s="117"/>
      <c r="V77" s="117"/>
      <c r="W77" s="117"/>
      <c r="X77" s="118"/>
      <c r="Y77" s="118"/>
      <c r="Z77" s="119"/>
      <c r="AA77" s="119">
        <v>0</v>
      </c>
      <c r="AB77" s="115">
        <f t="shared" si="42"/>
        <v>1625</v>
      </c>
      <c r="AC77" s="120">
        <f t="shared" si="43"/>
        <v>0</v>
      </c>
      <c r="AD77" s="115">
        <f t="shared" si="44"/>
        <v>1625</v>
      </c>
      <c r="AE77" s="121">
        <f t="shared" si="45"/>
        <v>162.5</v>
      </c>
      <c r="AF77" s="120">
        <v>10.23</v>
      </c>
      <c r="AG77" s="120">
        <f t="shared" si="46"/>
        <v>0</v>
      </c>
      <c r="AH77" s="122">
        <f t="shared" si="47"/>
        <v>1797.73</v>
      </c>
      <c r="AI77" s="241">
        <v>577.4</v>
      </c>
      <c r="AJ77" s="242">
        <v>1047.5999999999999</v>
      </c>
      <c r="AK77" s="194">
        <f t="shared" si="34"/>
        <v>0</v>
      </c>
      <c r="AL77" s="124"/>
      <c r="AM77" s="124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4" t="s">
        <v>92</v>
      </c>
      <c r="B78" s="124" t="s">
        <v>326</v>
      </c>
      <c r="C78" s="124"/>
      <c r="D78" s="124"/>
      <c r="E78" s="124" t="s">
        <v>163</v>
      </c>
      <c r="F78" s="127">
        <v>42416</v>
      </c>
      <c r="G78" s="124"/>
      <c r="H78" s="124"/>
      <c r="I78" s="128">
        <v>739.23</v>
      </c>
      <c r="J78" s="178"/>
      <c r="K78" s="112">
        <f t="shared" si="35"/>
        <v>739.23</v>
      </c>
      <c r="L78" s="128">
        <f>1376.65+5.57</f>
        <v>1382.22</v>
      </c>
      <c r="M78" s="128"/>
      <c r="N78" s="128"/>
      <c r="O78" s="128"/>
      <c r="P78" s="114"/>
      <c r="Q78" s="115">
        <f t="shared" si="41"/>
        <v>2121.4499999999998</v>
      </c>
      <c r="R78" s="116"/>
      <c r="S78" s="117"/>
      <c r="T78" s="117">
        <v>0</v>
      </c>
      <c r="U78" s="117"/>
      <c r="V78" s="117"/>
      <c r="W78" s="117"/>
      <c r="X78" s="118"/>
      <c r="Y78" s="118"/>
      <c r="Z78" s="119"/>
      <c r="AA78" s="119">
        <v>0</v>
      </c>
      <c r="AB78" s="115">
        <f t="shared" si="42"/>
        <v>2121.4499999999998</v>
      </c>
      <c r="AC78" s="120">
        <f t="shared" si="43"/>
        <v>0</v>
      </c>
      <c r="AD78" s="115">
        <f t="shared" si="44"/>
        <v>2121.4499999999998</v>
      </c>
      <c r="AE78" s="121">
        <f t="shared" si="45"/>
        <v>212.14499999999998</v>
      </c>
      <c r="AF78" s="120">
        <v>10.23</v>
      </c>
      <c r="AG78" s="120">
        <f t="shared" si="46"/>
        <v>0</v>
      </c>
      <c r="AH78" s="122">
        <f t="shared" si="47"/>
        <v>2343.8249999999998</v>
      </c>
      <c r="AI78" s="239">
        <v>577.4</v>
      </c>
      <c r="AJ78" s="240">
        <v>1544.05</v>
      </c>
      <c r="AK78" s="194">
        <f t="shared" si="34"/>
        <v>0</v>
      </c>
      <c r="AL78" s="124"/>
      <c r="AM78" s="12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124" t="s">
        <v>94</v>
      </c>
      <c r="B79" s="110" t="s">
        <v>214</v>
      </c>
      <c r="C79" s="110"/>
      <c r="D79" s="110" t="s">
        <v>139</v>
      </c>
      <c r="E79" s="110" t="s">
        <v>182</v>
      </c>
      <c r="F79" s="110"/>
      <c r="G79" s="111"/>
      <c r="H79" s="111"/>
      <c r="I79" s="112">
        <v>511.28</v>
      </c>
      <c r="J79" s="177"/>
      <c r="K79" s="112">
        <f t="shared" si="35"/>
        <v>511.28</v>
      </c>
      <c r="L79" s="112">
        <f>2749.56+7.42</f>
        <v>2756.98</v>
      </c>
      <c r="M79" s="112"/>
      <c r="N79" s="113"/>
      <c r="O79" s="113"/>
      <c r="P79" s="114"/>
      <c r="Q79" s="115">
        <f t="shared" si="41"/>
        <v>3268.26</v>
      </c>
      <c r="R79" s="116"/>
      <c r="S79" s="117"/>
      <c r="T79" s="126">
        <v>300</v>
      </c>
      <c r="U79" s="117"/>
      <c r="V79" s="117"/>
      <c r="W79" s="117"/>
      <c r="X79" s="118"/>
      <c r="Y79" s="118"/>
      <c r="Z79" s="119"/>
      <c r="AA79" s="125">
        <v>845</v>
      </c>
      <c r="AB79" s="115">
        <f t="shared" si="42"/>
        <v>2123.2600000000002</v>
      </c>
      <c r="AC79" s="120">
        <f t="shared" si="43"/>
        <v>326.82600000000002</v>
      </c>
      <c r="AD79" s="115">
        <f t="shared" si="44"/>
        <v>1796.4340000000002</v>
      </c>
      <c r="AE79" s="121">
        <f t="shared" si="45"/>
        <v>326.82600000000002</v>
      </c>
      <c r="AF79" s="120">
        <v>10.23</v>
      </c>
      <c r="AG79" s="120">
        <f t="shared" si="46"/>
        <v>0</v>
      </c>
      <c r="AH79" s="122">
        <f t="shared" si="47"/>
        <v>3605.3160000000003</v>
      </c>
      <c r="AI79" s="241">
        <v>577.4</v>
      </c>
      <c r="AJ79" s="242">
        <v>1219.03</v>
      </c>
      <c r="AK79" s="194">
        <f t="shared" si="34"/>
        <v>-4.0000000003601599E-3</v>
      </c>
      <c r="AL79" s="124"/>
      <c r="AM79" s="124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4" t="s">
        <v>91</v>
      </c>
      <c r="B80" s="110" t="s">
        <v>239</v>
      </c>
      <c r="C80" s="110"/>
      <c r="D80" s="110" t="s">
        <v>99</v>
      </c>
      <c r="E80" s="110" t="s">
        <v>72</v>
      </c>
      <c r="F80" s="132">
        <v>42065</v>
      </c>
      <c r="G80" s="110"/>
      <c r="H80" s="110"/>
      <c r="I80" s="112">
        <v>1166.26</v>
      </c>
      <c r="J80" s="176"/>
      <c r="K80" s="112">
        <f t="shared" si="35"/>
        <v>1166.26</v>
      </c>
      <c r="L80" s="112">
        <v>8570.66</v>
      </c>
      <c r="M80" s="112"/>
      <c r="N80" s="112"/>
      <c r="O80" s="112"/>
      <c r="P80" s="114"/>
      <c r="Q80" s="115">
        <f t="shared" si="41"/>
        <v>9736.92</v>
      </c>
      <c r="R80" s="116"/>
      <c r="S80" s="117"/>
      <c r="T80" s="117">
        <v>0</v>
      </c>
      <c r="U80" s="117"/>
      <c r="V80" s="117"/>
      <c r="W80" s="117"/>
      <c r="X80" s="118"/>
      <c r="Y80" s="118"/>
      <c r="Z80" s="119"/>
      <c r="AA80" s="119">
        <v>0</v>
      </c>
      <c r="AB80" s="115">
        <f t="shared" si="42"/>
        <v>9736.92</v>
      </c>
      <c r="AC80" s="120">
        <f t="shared" si="43"/>
        <v>973.69200000000001</v>
      </c>
      <c r="AD80" s="115">
        <f t="shared" si="44"/>
        <v>8763.2279999999992</v>
      </c>
      <c r="AE80" s="121">
        <f t="shared" si="45"/>
        <v>0</v>
      </c>
      <c r="AF80" s="120">
        <v>10.23</v>
      </c>
      <c r="AG80" s="120">
        <f t="shared" si="46"/>
        <v>0</v>
      </c>
      <c r="AH80" s="122">
        <f t="shared" si="47"/>
        <v>9747.15</v>
      </c>
      <c r="AI80" s="239">
        <v>577.4</v>
      </c>
      <c r="AJ80" s="240">
        <v>8185.83</v>
      </c>
      <c r="AK80" s="194">
        <f t="shared" si="34"/>
        <v>2.0000000004074536E-3</v>
      </c>
      <c r="AL80" s="124"/>
      <c r="AM80" s="124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93</v>
      </c>
      <c r="B81" s="110" t="s">
        <v>323</v>
      </c>
      <c r="C81" s="110" t="s">
        <v>329</v>
      </c>
      <c r="D81" s="110" t="s">
        <v>119</v>
      </c>
      <c r="E81" s="110" t="s">
        <v>168</v>
      </c>
      <c r="F81" s="132">
        <v>42392</v>
      </c>
      <c r="G81" s="110"/>
      <c r="H81" s="110"/>
      <c r="I81" s="112">
        <v>1100</v>
      </c>
      <c r="J81" s="180"/>
      <c r="K81" s="112">
        <f t="shared" si="35"/>
        <v>1100</v>
      </c>
      <c r="L81" s="112"/>
      <c r="M81" s="112"/>
      <c r="N81" s="112"/>
      <c r="O81" s="112"/>
      <c r="P81" s="114"/>
      <c r="Q81" s="115">
        <f t="shared" si="41"/>
        <v>1100</v>
      </c>
      <c r="R81" s="116"/>
      <c r="S81" s="117"/>
      <c r="T81" s="117">
        <v>0</v>
      </c>
      <c r="U81" s="117"/>
      <c r="V81" s="117"/>
      <c r="W81" s="117"/>
      <c r="X81" s="118"/>
      <c r="Y81" s="118"/>
      <c r="Z81" s="119"/>
      <c r="AA81" s="119">
        <v>0</v>
      </c>
      <c r="AB81" s="115">
        <f t="shared" si="42"/>
        <v>1100</v>
      </c>
      <c r="AC81" s="120">
        <f t="shared" si="43"/>
        <v>0</v>
      </c>
      <c r="AD81" s="115">
        <f t="shared" si="44"/>
        <v>1100</v>
      </c>
      <c r="AE81" s="121">
        <f t="shared" si="45"/>
        <v>110</v>
      </c>
      <c r="AF81" s="120">
        <v>10.23</v>
      </c>
      <c r="AG81" s="120">
        <f t="shared" si="46"/>
        <v>0</v>
      </c>
      <c r="AH81" s="122">
        <f t="shared" si="47"/>
        <v>1220.23</v>
      </c>
      <c r="AI81" s="241">
        <v>577.4</v>
      </c>
      <c r="AJ81" s="241">
        <v>522.6</v>
      </c>
      <c r="AK81" s="194">
        <f t="shared" si="34"/>
        <v>0</v>
      </c>
      <c r="AL81" s="124"/>
      <c r="AM81" s="12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>
      <c r="A82" s="124" t="s">
        <v>71</v>
      </c>
      <c r="B82" s="110" t="s">
        <v>89</v>
      </c>
      <c r="C82" s="110" t="s">
        <v>249</v>
      </c>
      <c r="D82" s="110" t="s">
        <v>158</v>
      </c>
      <c r="E82" s="110" t="s">
        <v>73</v>
      </c>
      <c r="F82" s="110"/>
      <c r="G82" s="111"/>
      <c r="H82" s="111"/>
      <c r="I82" s="112">
        <v>513.33000000000004</v>
      </c>
      <c r="J82" s="179">
        <v>653.33000000000004</v>
      </c>
      <c r="K82" s="112">
        <f t="shared" si="35"/>
        <v>1166.6600000000001</v>
      </c>
      <c r="L82" s="112">
        <v>6857.65</v>
      </c>
      <c r="M82" s="112"/>
      <c r="N82" s="113"/>
      <c r="O82" s="113"/>
      <c r="P82" s="114"/>
      <c r="Q82" s="115">
        <f t="shared" si="41"/>
        <v>8024.3099999999995</v>
      </c>
      <c r="R82" s="116"/>
      <c r="S82" s="117">
        <v>58.91</v>
      </c>
      <c r="T82" s="117">
        <v>0</v>
      </c>
      <c r="U82" s="117"/>
      <c r="V82" s="117"/>
      <c r="W82" s="117"/>
      <c r="X82" s="118"/>
      <c r="Y82" s="118"/>
      <c r="Z82" s="119"/>
      <c r="AA82" s="119">
        <v>0</v>
      </c>
      <c r="AB82" s="115">
        <f t="shared" si="42"/>
        <v>7965.4</v>
      </c>
      <c r="AC82" s="120">
        <f t="shared" si="43"/>
        <v>802.43100000000004</v>
      </c>
      <c r="AD82" s="115">
        <f t="shared" si="44"/>
        <v>7162.9689999999991</v>
      </c>
      <c r="AE82" s="121">
        <f t="shared" si="45"/>
        <v>0</v>
      </c>
      <c r="AF82" s="120">
        <v>10.23</v>
      </c>
      <c r="AG82" s="120">
        <f t="shared" si="46"/>
        <v>0</v>
      </c>
      <c r="AH82" s="122">
        <f t="shared" si="47"/>
        <v>8034.5399999999991</v>
      </c>
      <c r="AI82" s="239">
        <v>577.4</v>
      </c>
      <c r="AJ82" s="240">
        <v>6585.57</v>
      </c>
      <c r="AK82" s="194">
        <f t="shared" si="34"/>
        <v>1.0000000002037268E-3</v>
      </c>
      <c r="AL82" s="124"/>
      <c r="AM82" s="124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 s="61" customFormat="1">
      <c r="A83" s="124" t="s">
        <v>94</v>
      </c>
      <c r="B83" s="110" t="s">
        <v>333</v>
      </c>
      <c r="C83" s="110"/>
      <c r="D83" s="110" t="s">
        <v>141</v>
      </c>
      <c r="E83" s="110" t="s">
        <v>183</v>
      </c>
      <c r="F83" s="110"/>
      <c r="G83" s="111"/>
      <c r="H83" s="111"/>
      <c r="I83" s="112">
        <v>543.20000000000005</v>
      </c>
      <c r="J83" s="177"/>
      <c r="K83" s="112">
        <f t="shared" si="35"/>
        <v>543.20000000000005</v>
      </c>
      <c r="L83" s="112">
        <v>461.1</v>
      </c>
      <c r="M83" s="112"/>
      <c r="N83" s="113"/>
      <c r="O83" s="113"/>
      <c r="P83" s="114"/>
      <c r="Q83" s="115">
        <f t="shared" si="41"/>
        <v>1004.3000000000001</v>
      </c>
      <c r="R83" s="116"/>
      <c r="S83" s="117"/>
      <c r="T83" s="117">
        <v>0</v>
      </c>
      <c r="U83" s="126">
        <f>Q83*4.9%</f>
        <v>49.210700000000003</v>
      </c>
      <c r="V83" s="126">
        <f>Q83*1%</f>
        <v>10.043000000000001</v>
      </c>
      <c r="W83" s="117"/>
      <c r="X83" s="118"/>
      <c r="Y83" s="118"/>
      <c r="Z83" s="119"/>
      <c r="AA83" s="119">
        <v>0</v>
      </c>
      <c r="AB83" s="115">
        <f t="shared" si="42"/>
        <v>945.04630000000009</v>
      </c>
      <c r="AC83" s="120">
        <f t="shared" si="43"/>
        <v>0</v>
      </c>
      <c r="AD83" s="115">
        <f t="shared" si="44"/>
        <v>945.04630000000009</v>
      </c>
      <c r="AE83" s="121">
        <f t="shared" si="45"/>
        <v>100.43</v>
      </c>
      <c r="AF83" s="120">
        <v>10.23</v>
      </c>
      <c r="AG83" s="120">
        <f t="shared" si="46"/>
        <v>49.210700000000003</v>
      </c>
      <c r="AH83" s="122">
        <f t="shared" si="47"/>
        <v>1164.1707000000001</v>
      </c>
      <c r="AI83" s="241">
        <v>577.4</v>
      </c>
      <c r="AJ83" s="241">
        <v>367.65</v>
      </c>
      <c r="AK83" s="194">
        <f t="shared" si="34"/>
        <v>3.6999999998670319E-3</v>
      </c>
      <c r="AL83" s="124"/>
      <c r="AM83" s="124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94</v>
      </c>
      <c r="B84" s="110" t="s">
        <v>193</v>
      </c>
      <c r="C84" s="110"/>
      <c r="D84" s="110" t="s">
        <v>142</v>
      </c>
      <c r="E84" s="110" t="s">
        <v>181</v>
      </c>
      <c r="F84" s="110"/>
      <c r="G84" s="111"/>
      <c r="H84" s="111"/>
      <c r="I84" s="112">
        <v>608.16</v>
      </c>
      <c r="J84" s="177"/>
      <c r="K84" s="112">
        <f t="shared" si="35"/>
        <v>608.16</v>
      </c>
      <c r="L84" s="112">
        <f>2904.72+3.73</f>
        <v>2908.45</v>
      </c>
      <c r="M84" s="112"/>
      <c r="N84" s="113"/>
      <c r="O84" s="113"/>
      <c r="P84" s="114"/>
      <c r="Q84" s="115">
        <f t="shared" si="41"/>
        <v>3516.6099999999997</v>
      </c>
      <c r="R84" s="116"/>
      <c r="S84" s="117"/>
      <c r="T84" s="126">
        <v>200</v>
      </c>
      <c r="U84" s="126">
        <f>Q84*4.9%</f>
        <v>172.31388999999999</v>
      </c>
      <c r="V84" s="126">
        <f>Q84*1%</f>
        <v>35.1661</v>
      </c>
      <c r="W84" s="126">
        <v>257.64</v>
      </c>
      <c r="X84" s="118"/>
      <c r="Y84" s="118"/>
      <c r="Z84" s="125">
        <v>201.24</v>
      </c>
      <c r="AA84" s="119">
        <v>0</v>
      </c>
      <c r="AB84" s="115">
        <f t="shared" si="42"/>
        <v>2650.2500099999997</v>
      </c>
      <c r="AC84" s="120">
        <f t="shared" si="43"/>
        <v>351.661</v>
      </c>
      <c r="AD84" s="115">
        <f t="shared" si="44"/>
        <v>2298.5890099999997</v>
      </c>
      <c r="AE84" s="121">
        <f t="shared" si="45"/>
        <v>0</v>
      </c>
      <c r="AF84" s="120">
        <v>10.23</v>
      </c>
      <c r="AG84" s="120">
        <f t="shared" si="46"/>
        <v>172.31388999999999</v>
      </c>
      <c r="AH84" s="122">
        <f t="shared" si="47"/>
        <v>3699.1538899999996</v>
      </c>
      <c r="AI84" s="239">
        <v>577.4</v>
      </c>
      <c r="AJ84" s="240">
        <v>1721.19</v>
      </c>
      <c r="AK84" s="194">
        <f t="shared" si="34"/>
        <v>9.9000000045634806E-4</v>
      </c>
      <c r="AL84" s="124"/>
      <c r="AM84" s="12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92</v>
      </c>
      <c r="B85" s="110" t="s">
        <v>211</v>
      </c>
      <c r="C85" s="110"/>
      <c r="D85" s="110" t="s">
        <v>107</v>
      </c>
      <c r="E85" s="110" t="s">
        <v>165</v>
      </c>
      <c r="F85" s="110"/>
      <c r="G85" s="110"/>
      <c r="H85" s="110"/>
      <c r="I85" s="112">
        <v>739.23</v>
      </c>
      <c r="J85" s="180"/>
      <c r="K85" s="112">
        <f t="shared" si="35"/>
        <v>739.23</v>
      </c>
      <c r="L85" s="112">
        <f>2366.68+7.42</f>
        <v>2374.1</v>
      </c>
      <c r="M85" s="112"/>
      <c r="N85" s="113"/>
      <c r="O85" s="113"/>
      <c r="P85" s="114"/>
      <c r="Q85" s="115">
        <f t="shared" si="41"/>
        <v>3113.33</v>
      </c>
      <c r="R85" s="116"/>
      <c r="S85" s="117"/>
      <c r="T85" s="126">
        <v>150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42"/>
        <v>2963.33</v>
      </c>
      <c r="AC85" s="120">
        <f t="shared" si="43"/>
        <v>311.33300000000003</v>
      </c>
      <c r="AD85" s="115">
        <f t="shared" si="44"/>
        <v>2651.9969999999998</v>
      </c>
      <c r="AE85" s="121">
        <f t="shared" si="45"/>
        <v>311.33300000000003</v>
      </c>
      <c r="AF85" s="120">
        <v>10.23</v>
      </c>
      <c r="AG85" s="120">
        <f t="shared" si="46"/>
        <v>0</v>
      </c>
      <c r="AH85" s="122">
        <f t="shared" si="47"/>
        <v>3434.893</v>
      </c>
      <c r="AI85" s="241">
        <v>577.4</v>
      </c>
      <c r="AJ85" s="242">
        <v>2074.6</v>
      </c>
      <c r="AK85" s="194">
        <f t="shared" si="34"/>
        <v>3.0000000001564331E-3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4" t="s">
        <v>93</v>
      </c>
      <c r="B86" s="110" t="s">
        <v>301</v>
      </c>
      <c r="C86" s="110"/>
      <c r="D86" s="110" t="s">
        <v>120</v>
      </c>
      <c r="E86" s="110" t="s">
        <v>171</v>
      </c>
      <c r="F86" s="132">
        <v>42333</v>
      </c>
      <c r="G86" s="111"/>
      <c r="H86" s="111"/>
      <c r="I86" s="112">
        <v>577.38</v>
      </c>
      <c r="J86" s="181">
        <v>1047.6199999999999</v>
      </c>
      <c r="K86" s="112">
        <f t="shared" si="35"/>
        <v>1625</v>
      </c>
      <c r="L86" s="112"/>
      <c r="M86" s="112"/>
      <c r="N86" s="113"/>
      <c r="O86" s="113"/>
      <c r="P86" s="114"/>
      <c r="Q86" s="115">
        <f t="shared" si="41"/>
        <v>1625</v>
      </c>
      <c r="R86" s="116"/>
      <c r="S86" s="117"/>
      <c r="T86" s="117">
        <v>0</v>
      </c>
      <c r="U86" s="117"/>
      <c r="V86" s="117"/>
      <c r="W86" s="117"/>
      <c r="X86" s="118"/>
      <c r="Y86" s="118"/>
      <c r="Z86" s="119"/>
      <c r="AA86" s="125">
        <v>351.55</v>
      </c>
      <c r="AB86" s="115">
        <f t="shared" si="42"/>
        <v>1273.45</v>
      </c>
      <c r="AC86" s="120">
        <f t="shared" si="43"/>
        <v>0</v>
      </c>
      <c r="AD86" s="115">
        <f t="shared" si="44"/>
        <v>1273.45</v>
      </c>
      <c r="AE86" s="121">
        <f t="shared" si="45"/>
        <v>162.5</v>
      </c>
      <c r="AF86" s="120">
        <v>10.23</v>
      </c>
      <c r="AG86" s="120">
        <f t="shared" si="46"/>
        <v>0</v>
      </c>
      <c r="AH86" s="122">
        <f t="shared" si="47"/>
        <v>1797.73</v>
      </c>
      <c r="AI86" s="239">
        <v>225.85</v>
      </c>
      <c r="AJ86" s="240">
        <v>1047.5999999999999</v>
      </c>
      <c r="AK86" s="194">
        <f t="shared" si="34"/>
        <v>0</v>
      </c>
      <c r="AL86" s="124"/>
      <c r="AM86" s="124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 s="39" customFormat="1">
      <c r="A87" s="124" t="s">
        <v>71</v>
      </c>
      <c r="B87" s="124" t="s">
        <v>312</v>
      </c>
      <c r="C87" s="124"/>
      <c r="D87" s="124"/>
      <c r="E87" s="124" t="s">
        <v>73</v>
      </c>
      <c r="F87" s="127">
        <v>42459</v>
      </c>
      <c r="G87" s="124"/>
      <c r="H87" s="124"/>
      <c r="I87" s="128">
        <v>513.33000000000004</v>
      </c>
      <c r="J87" s="179">
        <v>653.33000000000004</v>
      </c>
      <c r="K87" s="128">
        <f t="shared" si="35"/>
        <v>1166.6600000000001</v>
      </c>
      <c r="L87" s="128"/>
      <c r="M87" s="128"/>
      <c r="N87" s="128"/>
      <c r="O87" s="128"/>
      <c r="P87" s="171"/>
      <c r="Q87" s="115">
        <f t="shared" si="41"/>
        <v>1166.6600000000001</v>
      </c>
      <c r="R87" s="116"/>
      <c r="S87" s="164"/>
      <c r="T87" s="164"/>
      <c r="U87" s="164"/>
      <c r="V87" s="164"/>
      <c r="W87" s="164"/>
      <c r="X87" s="165"/>
      <c r="Y87" s="165"/>
      <c r="Z87" s="149"/>
      <c r="AA87" s="149"/>
      <c r="AB87" s="115">
        <f t="shared" si="42"/>
        <v>1166.6600000000001</v>
      </c>
      <c r="AC87" s="120">
        <f>IF(Q87&gt;2250,Q87*0.1,0)</f>
        <v>0</v>
      </c>
      <c r="AD87" s="115">
        <f>+AB87-AC87</f>
        <v>1166.6600000000001</v>
      </c>
      <c r="AE87" s="121">
        <f>IF(Q87&lt;3500,Q87*0.1,0)</f>
        <v>116.66600000000001</v>
      </c>
      <c r="AF87" s="120">
        <v>10.23</v>
      </c>
      <c r="AG87" s="120">
        <f>+U87</f>
        <v>0</v>
      </c>
      <c r="AH87" s="122">
        <f t="shared" si="47"/>
        <v>1293.556</v>
      </c>
      <c r="AI87" s="241">
        <v>577.4</v>
      </c>
      <c r="AJ87" s="241">
        <v>589.26</v>
      </c>
      <c r="AK87" s="194">
        <f t="shared" si="34"/>
        <v>0</v>
      </c>
      <c r="AL87" s="124"/>
      <c r="AM87" s="129"/>
    </row>
    <row r="88" spans="1:193">
      <c r="A88" s="124" t="s">
        <v>92</v>
      </c>
      <c r="B88" s="110" t="s">
        <v>271</v>
      </c>
      <c r="C88" s="110"/>
      <c r="D88" s="110" t="s">
        <v>106</v>
      </c>
      <c r="E88" s="110" t="s">
        <v>163</v>
      </c>
      <c r="F88" s="110"/>
      <c r="G88" s="110"/>
      <c r="H88" s="110"/>
      <c r="I88" s="112">
        <v>739.23</v>
      </c>
      <c r="J88" s="180"/>
      <c r="K88" s="128">
        <f t="shared" si="35"/>
        <v>739.23</v>
      </c>
      <c r="L88" s="112">
        <f>1399.61+7.42</f>
        <v>1407.03</v>
      </c>
      <c r="M88" s="112"/>
      <c r="N88" s="113"/>
      <c r="O88" s="113"/>
      <c r="P88" s="114"/>
      <c r="Q88" s="115">
        <f t="shared" si="41"/>
        <v>2146.2600000000002</v>
      </c>
      <c r="R88" s="116"/>
      <c r="S88" s="117"/>
      <c r="T88" s="117">
        <v>0</v>
      </c>
      <c r="U88" s="117"/>
      <c r="V88" s="117"/>
      <c r="W88" s="117"/>
      <c r="X88" s="118"/>
      <c r="Y88" s="118"/>
      <c r="Z88" s="119"/>
      <c r="AA88" s="119">
        <v>0</v>
      </c>
      <c r="AB88" s="115">
        <f t="shared" si="42"/>
        <v>2146.2600000000002</v>
      </c>
      <c r="AC88" s="120">
        <f t="shared" si="43"/>
        <v>0</v>
      </c>
      <c r="AD88" s="115">
        <f t="shared" si="44"/>
        <v>2146.2600000000002</v>
      </c>
      <c r="AE88" s="121">
        <f t="shared" si="45"/>
        <v>214.62600000000003</v>
      </c>
      <c r="AF88" s="120">
        <v>10.23</v>
      </c>
      <c r="AG88" s="120">
        <f t="shared" si="46"/>
        <v>0</v>
      </c>
      <c r="AH88" s="122">
        <f t="shared" si="47"/>
        <v>2371.1160000000004</v>
      </c>
      <c r="AI88" s="239">
        <v>577.4</v>
      </c>
      <c r="AJ88" s="240">
        <v>1568.86</v>
      </c>
      <c r="AK88" s="194">
        <f t="shared" si="34"/>
        <v>0</v>
      </c>
      <c r="AL88" s="124"/>
      <c r="AM88" s="12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124" t="s">
        <v>92</v>
      </c>
      <c r="B89" s="110" t="s">
        <v>79</v>
      </c>
      <c r="C89" s="110"/>
      <c r="D89" s="110" t="s">
        <v>108</v>
      </c>
      <c r="E89" s="110" t="s">
        <v>166</v>
      </c>
      <c r="F89" s="110"/>
      <c r="G89" s="110"/>
      <c r="H89" s="110"/>
      <c r="I89" s="112">
        <v>739.23</v>
      </c>
      <c r="J89" s="180"/>
      <c r="K89" s="112">
        <f t="shared" si="35"/>
        <v>739.23</v>
      </c>
      <c r="L89" s="112">
        <f>1130.84+3.71</f>
        <v>1134.55</v>
      </c>
      <c r="M89" s="112"/>
      <c r="N89" s="112"/>
      <c r="O89" s="112"/>
      <c r="P89" s="114"/>
      <c r="Q89" s="115">
        <f t="shared" si="41"/>
        <v>1873.78</v>
      </c>
      <c r="R89" s="116"/>
      <c r="S89" s="117"/>
      <c r="T89" s="117">
        <v>0</v>
      </c>
      <c r="U89" s="117"/>
      <c r="V89" s="117"/>
      <c r="W89" s="117"/>
      <c r="X89" s="118"/>
      <c r="Y89" s="118"/>
      <c r="Z89" s="119"/>
      <c r="AA89" s="119">
        <v>0</v>
      </c>
      <c r="AB89" s="115">
        <f t="shared" si="42"/>
        <v>1873.78</v>
      </c>
      <c r="AC89" s="120">
        <f t="shared" si="43"/>
        <v>0</v>
      </c>
      <c r="AD89" s="115">
        <f t="shared" si="44"/>
        <v>1873.78</v>
      </c>
      <c r="AE89" s="121">
        <f t="shared" si="45"/>
        <v>187.37800000000001</v>
      </c>
      <c r="AF89" s="120">
        <v>10.23</v>
      </c>
      <c r="AG89" s="120">
        <f t="shared" si="46"/>
        <v>0</v>
      </c>
      <c r="AH89" s="122">
        <f t="shared" si="47"/>
        <v>2071.3879999999999</v>
      </c>
      <c r="AI89" s="241">
        <v>577.4</v>
      </c>
      <c r="AJ89" s="242">
        <v>1296.3800000000001</v>
      </c>
      <c r="AK89" s="194">
        <f t="shared" si="34"/>
        <v>0</v>
      </c>
      <c r="AL89" s="124"/>
      <c r="AM89" s="124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4" t="s">
        <v>91</v>
      </c>
      <c r="B90" s="124" t="s">
        <v>241</v>
      </c>
      <c r="C90" s="124"/>
      <c r="D90" s="136"/>
      <c r="E90" s="110" t="s">
        <v>242</v>
      </c>
      <c r="F90" s="132">
        <v>42328</v>
      </c>
      <c r="G90" s="111"/>
      <c r="H90" s="111"/>
      <c r="I90" s="128">
        <v>1166.26</v>
      </c>
      <c r="J90" s="177"/>
      <c r="K90" s="112">
        <f t="shared" si="35"/>
        <v>1166.26</v>
      </c>
      <c r="L90" s="112">
        <v>2563.65</v>
      </c>
      <c r="M90" s="112"/>
      <c r="N90" s="113"/>
      <c r="O90" s="113"/>
      <c r="P90" s="114"/>
      <c r="Q90" s="115">
        <f t="shared" si="41"/>
        <v>3729.91</v>
      </c>
      <c r="R90" s="116"/>
      <c r="S90" s="117"/>
      <c r="T90" s="117"/>
      <c r="U90" s="117"/>
      <c r="V90" s="117"/>
      <c r="W90" s="117"/>
      <c r="X90" s="118"/>
      <c r="Y90" s="118"/>
      <c r="Z90" s="119"/>
      <c r="AA90" s="119">
        <v>0</v>
      </c>
      <c r="AB90" s="115">
        <f t="shared" si="42"/>
        <v>3729.91</v>
      </c>
      <c r="AC90" s="120">
        <f t="shared" si="43"/>
        <v>372.99099999999999</v>
      </c>
      <c r="AD90" s="115">
        <f t="shared" si="44"/>
        <v>3356.9189999999999</v>
      </c>
      <c r="AE90" s="121">
        <f t="shared" si="45"/>
        <v>0</v>
      </c>
      <c r="AF90" s="120">
        <v>10.23</v>
      </c>
      <c r="AG90" s="120">
        <f t="shared" si="46"/>
        <v>0</v>
      </c>
      <c r="AH90" s="122">
        <f t="shared" si="47"/>
        <v>3740.14</v>
      </c>
      <c r="AI90" s="239">
        <v>577.4</v>
      </c>
      <c r="AJ90" s="240">
        <v>2779.52</v>
      </c>
      <c r="AK90" s="194">
        <f t="shared" si="34"/>
        <v>1.0000000002037268E-3</v>
      </c>
      <c r="AL90" s="124"/>
      <c r="AM90" s="124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 s="39" customFormat="1">
      <c r="A91" s="124" t="s">
        <v>71</v>
      </c>
      <c r="B91" s="124" t="s">
        <v>325</v>
      </c>
      <c r="C91" s="124" t="s">
        <v>251</v>
      </c>
      <c r="D91" s="124" t="s">
        <v>159</v>
      </c>
      <c r="E91" s="124" t="s">
        <v>73</v>
      </c>
      <c r="F91" s="127">
        <v>42327</v>
      </c>
      <c r="G91" s="124"/>
      <c r="H91" s="124"/>
      <c r="I91" s="128">
        <v>513.33000000000004</v>
      </c>
      <c r="J91" s="179">
        <v>653.33000000000004</v>
      </c>
      <c r="K91" s="128">
        <f t="shared" si="35"/>
        <v>1166.6600000000001</v>
      </c>
      <c r="L91" s="128">
        <v>2495.1</v>
      </c>
      <c r="M91" s="128"/>
      <c r="N91" s="128"/>
      <c r="O91" s="128"/>
      <c r="P91" s="114"/>
      <c r="Q91" s="115">
        <f t="shared" si="41"/>
        <v>3661.76</v>
      </c>
      <c r="R91" s="116"/>
      <c r="S91" s="164"/>
      <c r="T91" s="164">
        <v>0</v>
      </c>
      <c r="U91" s="164"/>
      <c r="V91" s="164"/>
      <c r="W91" s="164"/>
      <c r="X91" s="131">
        <v>537.87</v>
      </c>
      <c r="Y91" s="165"/>
      <c r="Z91" s="149"/>
      <c r="AA91" s="169">
        <v>499.12</v>
      </c>
      <c r="AB91" s="115">
        <f t="shared" si="42"/>
        <v>2624.7700000000004</v>
      </c>
      <c r="AC91" s="120">
        <f t="shared" si="43"/>
        <v>366.17600000000004</v>
      </c>
      <c r="AD91" s="115">
        <f t="shared" si="44"/>
        <v>2258.5940000000005</v>
      </c>
      <c r="AE91" s="121">
        <f t="shared" si="45"/>
        <v>0</v>
      </c>
      <c r="AF91" s="120">
        <v>10.23</v>
      </c>
      <c r="AG91" s="120">
        <f t="shared" si="46"/>
        <v>0</v>
      </c>
      <c r="AH91" s="122">
        <f t="shared" si="47"/>
        <v>3671.9900000000002</v>
      </c>
      <c r="AI91" s="241">
        <v>39.53</v>
      </c>
      <c r="AJ91" s="242">
        <v>2219.06</v>
      </c>
      <c r="AK91" s="194">
        <f t="shared" si="34"/>
        <v>-4.0000000003601599E-3</v>
      </c>
      <c r="AL91" s="124"/>
      <c r="AM91" s="124"/>
    </row>
    <row r="92" spans="1:193">
      <c r="A92" s="124" t="s">
        <v>70</v>
      </c>
      <c r="B92" s="110" t="s">
        <v>275</v>
      </c>
      <c r="C92" s="110" t="s">
        <v>252</v>
      </c>
      <c r="D92" s="110" t="s">
        <v>125</v>
      </c>
      <c r="E92" s="110" t="s">
        <v>300</v>
      </c>
      <c r="F92" s="110"/>
      <c r="G92" s="111"/>
      <c r="H92" s="111"/>
      <c r="I92" s="112">
        <v>1633.33</v>
      </c>
      <c r="J92" s="177"/>
      <c r="K92" s="112">
        <f t="shared" si="35"/>
        <v>1633.33</v>
      </c>
      <c r="L92" s="112">
        <v>9876.49</v>
      </c>
      <c r="M92" s="112"/>
      <c r="N92" s="113"/>
      <c r="O92" s="113"/>
      <c r="P92" s="114"/>
      <c r="Q92" s="115">
        <f t="shared" si="41"/>
        <v>11509.82</v>
      </c>
      <c r="R92" s="116"/>
      <c r="S92" s="117">
        <v>58.91</v>
      </c>
      <c r="T92" s="117">
        <v>0</v>
      </c>
      <c r="U92" s="117"/>
      <c r="V92" s="117"/>
      <c r="W92" s="117"/>
      <c r="X92" s="118"/>
      <c r="Y92" s="118"/>
      <c r="Z92" s="119"/>
      <c r="AA92" s="119">
        <v>0</v>
      </c>
      <c r="AB92" s="115">
        <f t="shared" si="42"/>
        <v>11450.91</v>
      </c>
      <c r="AC92" s="120">
        <f t="shared" si="43"/>
        <v>1150.982</v>
      </c>
      <c r="AD92" s="115">
        <f t="shared" si="44"/>
        <v>10299.928</v>
      </c>
      <c r="AE92" s="121">
        <f t="shared" si="45"/>
        <v>0</v>
      </c>
      <c r="AF92" s="120">
        <v>10.23</v>
      </c>
      <c r="AG92" s="120">
        <f t="shared" si="46"/>
        <v>0</v>
      </c>
      <c r="AH92" s="122">
        <f t="shared" si="47"/>
        <v>11520.05</v>
      </c>
      <c r="AI92" s="239">
        <v>577.4</v>
      </c>
      <c r="AJ92" s="240">
        <v>9722.5300000000007</v>
      </c>
      <c r="AK92" s="194">
        <f t="shared" si="34"/>
        <v>2.0000000004074536E-3</v>
      </c>
      <c r="AL92" s="124"/>
      <c r="AM92" s="124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>
      <c r="A93" s="124" t="s">
        <v>94</v>
      </c>
      <c r="B93" s="110" t="s">
        <v>330</v>
      </c>
      <c r="C93" s="110"/>
      <c r="D93" s="110" t="s">
        <v>143</v>
      </c>
      <c r="E93" s="110" t="s">
        <v>179</v>
      </c>
      <c r="F93" s="110"/>
      <c r="G93" s="111"/>
      <c r="H93" s="111"/>
      <c r="I93" s="112">
        <v>608.16</v>
      </c>
      <c r="J93" s="177"/>
      <c r="K93" s="112">
        <f t="shared" si="35"/>
        <v>608.16</v>
      </c>
      <c r="L93" s="112">
        <f>2799.92+3.71</f>
        <v>2803.63</v>
      </c>
      <c r="M93" s="112"/>
      <c r="N93" s="113"/>
      <c r="O93" s="113"/>
      <c r="P93" s="114"/>
      <c r="Q93" s="115">
        <f t="shared" si="41"/>
        <v>3411.79</v>
      </c>
      <c r="R93" s="116"/>
      <c r="S93" s="117"/>
      <c r="T93" s="126">
        <v>200</v>
      </c>
      <c r="U93" s="126">
        <f>Q93*4.9%</f>
        <v>167.17770999999999</v>
      </c>
      <c r="V93" s="126">
        <f>Q93*1%</f>
        <v>34.117899999999999</v>
      </c>
      <c r="W93" s="117"/>
      <c r="X93" s="118"/>
      <c r="Y93" s="118"/>
      <c r="Z93" s="119"/>
      <c r="AA93" s="119">
        <v>0</v>
      </c>
      <c r="AB93" s="115">
        <f t="shared" si="42"/>
        <v>3010.4943899999998</v>
      </c>
      <c r="AC93" s="120">
        <f t="shared" si="43"/>
        <v>341.17900000000003</v>
      </c>
      <c r="AD93" s="115">
        <f t="shared" si="44"/>
        <v>2669.3153899999998</v>
      </c>
      <c r="AE93" s="121">
        <f t="shared" si="45"/>
        <v>341.17900000000003</v>
      </c>
      <c r="AF93" s="120">
        <v>10.23</v>
      </c>
      <c r="AG93" s="120">
        <f t="shared" si="46"/>
        <v>167.17770999999999</v>
      </c>
      <c r="AH93" s="122">
        <f t="shared" si="47"/>
        <v>3930.37671</v>
      </c>
      <c r="AI93" s="241">
        <v>577.4</v>
      </c>
      <c r="AJ93" s="242">
        <v>2091.92</v>
      </c>
      <c r="AK93" s="194">
        <f t="shared" si="34"/>
        <v>4.6100000004116737E-3</v>
      </c>
      <c r="AL93" s="124"/>
      <c r="AM93" s="124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 s="39" customFormat="1">
      <c r="A94" s="124" t="s">
        <v>71</v>
      </c>
      <c r="B94" s="124" t="s">
        <v>304</v>
      </c>
      <c r="C94" s="124" t="s">
        <v>254</v>
      </c>
      <c r="D94" s="124" t="s">
        <v>160</v>
      </c>
      <c r="E94" s="124" t="s">
        <v>73</v>
      </c>
      <c r="F94" s="127">
        <v>42333</v>
      </c>
      <c r="G94" s="124"/>
      <c r="H94" s="124"/>
      <c r="I94" s="128">
        <v>513.33000000000004</v>
      </c>
      <c r="J94" s="179">
        <v>653.33000000000004</v>
      </c>
      <c r="K94" s="128">
        <f t="shared" si="35"/>
        <v>1166.6600000000001</v>
      </c>
      <c r="L94" s="128">
        <v>4662.75</v>
      </c>
      <c r="M94" s="128"/>
      <c r="N94" s="128"/>
      <c r="O94" s="128"/>
      <c r="P94" s="114"/>
      <c r="Q94" s="115">
        <f t="shared" si="41"/>
        <v>5829.41</v>
      </c>
      <c r="R94" s="116"/>
      <c r="S94" s="164"/>
      <c r="T94" s="164">
        <v>0</v>
      </c>
      <c r="U94" s="164"/>
      <c r="V94" s="164"/>
      <c r="W94" s="164"/>
      <c r="X94" s="165"/>
      <c r="Y94" s="165"/>
      <c r="Z94" s="149"/>
      <c r="AA94" s="149">
        <v>0</v>
      </c>
      <c r="AB94" s="115">
        <f t="shared" si="42"/>
        <v>5829.41</v>
      </c>
      <c r="AC94" s="120">
        <f t="shared" si="43"/>
        <v>582.94100000000003</v>
      </c>
      <c r="AD94" s="115">
        <f t="shared" si="44"/>
        <v>5246.4690000000001</v>
      </c>
      <c r="AE94" s="121">
        <f t="shared" si="45"/>
        <v>0</v>
      </c>
      <c r="AF94" s="120">
        <v>10.23</v>
      </c>
      <c r="AG94" s="120">
        <f t="shared" si="46"/>
        <v>0</v>
      </c>
      <c r="AH94" s="122">
        <f t="shared" si="47"/>
        <v>5839.6399999999994</v>
      </c>
      <c r="AI94" s="239">
        <v>577.4</v>
      </c>
      <c r="AJ94" s="244">
        <v>4669.07</v>
      </c>
      <c r="AK94" s="194">
        <f t="shared" si="34"/>
        <v>9.9999999929423211E-4</v>
      </c>
      <c r="AL94" s="124"/>
      <c r="AM94" s="124"/>
    </row>
    <row r="95" spans="1:193" s="39" customFormat="1">
      <c r="A95" s="124" t="s">
        <v>91</v>
      </c>
      <c r="B95" s="110" t="s">
        <v>80</v>
      </c>
      <c r="C95" s="110"/>
      <c r="D95" s="110" t="s">
        <v>110</v>
      </c>
      <c r="E95" s="110" t="s">
        <v>168</v>
      </c>
      <c r="F95" s="110"/>
      <c r="G95" s="110"/>
      <c r="H95" s="110"/>
      <c r="I95" s="112">
        <v>1100</v>
      </c>
      <c r="J95" s="180"/>
      <c r="K95" s="112">
        <f t="shared" si="35"/>
        <v>1100</v>
      </c>
      <c r="L95" s="112"/>
      <c r="M95" s="112"/>
      <c r="N95" s="112"/>
      <c r="O95" s="112"/>
      <c r="P95" s="114"/>
      <c r="Q95" s="115">
        <f t="shared" si="41"/>
        <v>1100</v>
      </c>
      <c r="R95" s="116"/>
      <c r="S95" s="117"/>
      <c r="T95" s="117">
        <v>0</v>
      </c>
      <c r="U95" s="117"/>
      <c r="V95" s="117"/>
      <c r="W95" s="117"/>
      <c r="X95" s="118"/>
      <c r="Y95" s="118"/>
      <c r="Z95" s="119"/>
      <c r="AA95" s="119">
        <v>0</v>
      </c>
      <c r="AB95" s="115">
        <f t="shared" si="42"/>
        <v>1100</v>
      </c>
      <c r="AC95" s="120">
        <f t="shared" si="43"/>
        <v>0</v>
      </c>
      <c r="AD95" s="115">
        <f t="shared" si="44"/>
        <v>1100</v>
      </c>
      <c r="AE95" s="121">
        <f t="shared" si="45"/>
        <v>110</v>
      </c>
      <c r="AF95" s="120">
        <v>10.23</v>
      </c>
      <c r="AG95" s="120">
        <f t="shared" si="46"/>
        <v>0</v>
      </c>
      <c r="AH95" s="122">
        <f t="shared" si="47"/>
        <v>1220.23</v>
      </c>
      <c r="AI95" s="241">
        <v>577.4</v>
      </c>
      <c r="AJ95" s="243">
        <v>522.6</v>
      </c>
      <c r="AK95" s="194">
        <f t="shared" si="34"/>
        <v>0</v>
      </c>
      <c r="AL95" s="124"/>
      <c r="AM95" s="124"/>
    </row>
    <row r="96" spans="1:193">
      <c r="A96" s="124" t="s">
        <v>92</v>
      </c>
      <c r="B96" s="110" t="s">
        <v>210</v>
      </c>
      <c r="C96" s="110"/>
      <c r="D96" s="110" t="s">
        <v>109</v>
      </c>
      <c r="E96" s="110" t="s">
        <v>166</v>
      </c>
      <c r="F96" s="110"/>
      <c r="G96" s="110"/>
      <c r="H96" s="110"/>
      <c r="I96" s="112">
        <v>739.23</v>
      </c>
      <c r="J96" s="180"/>
      <c r="K96" s="112">
        <f t="shared" si="35"/>
        <v>739.23</v>
      </c>
      <c r="L96" s="112">
        <f>3332.93+13.09</f>
        <v>3346.02</v>
      </c>
      <c r="M96" s="112"/>
      <c r="N96" s="112"/>
      <c r="O96" s="112"/>
      <c r="P96" s="114"/>
      <c r="Q96" s="115">
        <f t="shared" si="41"/>
        <v>4085.25</v>
      </c>
      <c r="R96" s="116"/>
      <c r="S96" s="117"/>
      <c r="T96" s="164"/>
      <c r="U96" s="117"/>
      <c r="V96" s="117"/>
      <c r="W96" s="117"/>
      <c r="X96" s="118"/>
      <c r="Y96" s="118"/>
      <c r="Z96" s="119"/>
      <c r="AA96" s="119">
        <v>0</v>
      </c>
      <c r="AB96" s="115">
        <f t="shared" si="42"/>
        <v>4085.25</v>
      </c>
      <c r="AC96" s="120">
        <f t="shared" si="43"/>
        <v>408.52500000000003</v>
      </c>
      <c r="AD96" s="115">
        <f t="shared" si="44"/>
        <v>3676.7249999999999</v>
      </c>
      <c r="AE96" s="121">
        <f t="shared" si="45"/>
        <v>0</v>
      </c>
      <c r="AF96" s="120">
        <v>10.23</v>
      </c>
      <c r="AG96" s="120">
        <f t="shared" si="46"/>
        <v>0</v>
      </c>
      <c r="AH96" s="122">
        <f t="shared" si="47"/>
        <v>4095.48</v>
      </c>
      <c r="AI96" s="239">
        <v>577.4</v>
      </c>
      <c r="AJ96" s="244">
        <v>3099.33</v>
      </c>
      <c r="AK96" s="194">
        <f t="shared" si="34"/>
        <v>5.0000000001091394E-3</v>
      </c>
      <c r="AL96" s="124"/>
      <c r="AM96" s="124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>
      <c r="A97" s="129"/>
      <c r="B97" s="110"/>
      <c r="C97" s="110"/>
      <c r="D97" s="111"/>
      <c r="E97" s="110"/>
      <c r="F97" s="110"/>
      <c r="G97" s="110"/>
      <c r="H97" s="110"/>
      <c r="I97" s="112"/>
      <c r="J97" s="180"/>
      <c r="K97" s="112"/>
      <c r="L97" s="112"/>
      <c r="M97" s="112"/>
      <c r="N97" s="112"/>
      <c r="O97" s="112"/>
      <c r="P97" s="114"/>
      <c r="Q97" s="115">
        <f t="shared" si="41"/>
        <v>0</v>
      </c>
      <c r="R97" s="116"/>
      <c r="S97" s="117"/>
      <c r="T97" s="117"/>
      <c r="U97" s="117"/>
      <c r="V97" s="117"/>
      <c r="W97" s="117"/>
      <c r="X97" s="118"/>
      <c r="Y97" s="118"/>
      <c r="Z97" s="118"/>
      <c r="AA97" s="118"/>
      <c r="AB97" s="115"/>
      <c r="AC97" s="120">
        <f t="shared" si="43"/>
        <v>0</v>
      </c>
      <c r="AD97" s="115"/>
      <c r="AE97" s="121">
        <f t="shared" si="45"/>
        <v>0</v>
      </c>
      <c r="AF97" s="120"/>
      <c r="AG97" s="120">
        <f t="shared" si="46"/>
        <v>0</v>
      </c>
      <c r="AH97" s="122">
        <f t="shared" si="47"/>
        <v>0</v>
      </c>
      <c r="AI97" s="128"/>
      <c r="AJ97" s="128"/>
      <c r="AK97" s="194">
        <f t="shared" si="34"/>
        <v>0</v>
      </c>
      <c r="AL97" s="124"/>
      <c r="AM97" s="124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</row>
    <row r="98" spans="1:193" s="39" customFormat="1">
      <c r="A98" s="106"/>
      <c r="B98" s="107"/>
      <c r="C98" s="107"/>
      <c r="D98" s="107"/>
      <c r="E98" s="107"/>
      <c r="F98" s="107"/>
      <c r="G98" s="107"/>
      <c r="H98" s="107"/>
      <c r="I98" s="108"/>
      <c r="J98" s="183"/>
      <c r="K98" s="108"/>
      <c r="L98" s="108"/>
      <c r="M98" s="108"/>
      <c r="N98" s="108"/>
      <c r="O98" s="108"/>
      <c r="P98" s="108"/>
      <c r="Q98" s="109"/>
      <c r="R98" s="108"/>
      <c r="S98" s="108"/>
      <c r="T98" s="108"/>
      <c r="U98" s="108"/>
      <c r="V98" s="108"/>
      <c r="W98" s="108"/>
      <c r="X98" s="139"/>
      <c r="Y98" s="139"/>
      <c r="Z98" s="139"/>
      <c r="AA98" s="139"/>
      <c r="AB98" s="109"/>
      <c r="AC98" s="139"/>
      <c r="AD98" s="109"/>
      <c r="AE98" s="139"/>
      <c r="AF98" s="139"/>
      <c r="AG98" s="139"/>
      <c r="AH98" s="109"/>
      <c r="AI98" s="160"/>
      <c r="AJ98" s="160"/>
      <c r="AK98" s="101"/>
    </row>
    <row r="99" spans="1:193">
      <c r="B99" s="140" t="s">
        <v>17</v>
      </c>
      <c r="C99" s="140"/>
      <c r="D99" s="140"/>
      <c r="E99" s="140"/>
      <c r="F99" s="140"/>
      <c r="G99" s="140"/>
      <c r="H99" s="140"/>
      <c r="I99" s="112"/>
      <c r="J99" s="184"/>
      <c r="K99" s="141">
        <f>SUM(K7:K98)</f>
        <v>85744.048666666742</v>
      </c>
      <c r="L99" s="141">
        <f>SUM(L7:L98)</f>
        <v>432549.08999999997</v>
      </c>
      <c r="M99" s="141"/>
      <c r="N99" s="141">
        <f>SUM(N7:N98)</f>
        <v>0</v>
      </c>
      <c r="O99" s="141">
        <f>SUM(O7:O98)</f>
        <v>0</v>
      </c>
      <c r="P99" s="141">
        <f>SUM(P7:P98)</f>
        <v>0</v>
      </c>
      <c r="Q99" s="141">
        <f>SUM(Q7:Q98)</f>
        <v>518293.13866666646</v>
      </c>
      <c r="R99" s="141">
        <f>SUM(R7:R98)</f>
        <v>0</v>
      </c>
      <c r="S99" s="141"/>
      <c r="T99" s="142">
        <f t="shared" ref="T99:AK99" si="48">SUM(T7:T98)</f>
        <v>3633.1019999999999</v>
      </c>
      <c r="U99" s="142">
        <f t="shared" si="48"/>
        <v>2750.3866600000001</v>
      </c>
      <c r="V99" s="142">
        <f t="shared" si="48"/>
        <v>561.66120000000001</v>
      </c>
      <c r="W99" s="142">
        <f t="shared" si="48"/>
        <v>879.38</v>
      </c>
      <c r="X99" s="141">
        <f t="shared" si="48"/>
        <v>3083.85</v>
      </c>
      <c r="Y99" s="141">
        <f t="shared" si="48"/>
        <v>335.5</v>
      </c>
      <c r="Z99" s="141">
        <f t="shared" si="48"/>
        <v>406.94</v>
      </c>
      <c r="AA99" s="141">
        <f t="shared" si="48"/>
        <v>6743.21</v>
      </c>
      <c r="AB99" s="141">
        <f t="shared" si="48"/>
        <v>499251.09880666679</v>
      </c>
      <c r="AC99" s="141">
        <f t="shared" si="48"/>
        <v>47096.415000000001</v>
      </c>
      <c r="AD99" s="141">
        <f t="shared" si="48"/>
        <v>452154.6838066667</v>
      </c>
      <c r="AE99" s="141">
        <f t="shared" si="48"/>
        <v>9165.986866666668</v>
      </c>
      <c r="AF99" s="141">
        <f t="shared" si="48"/>
        <v>890.01000000000101</v>
      </c>
      <c r="AG99" s="141">
        <f t="shared" si="48"/>
        <v>2750.3866600000001</v>
      </c>
      <c r="AH99" s="141">
        <f t="shared" si="48"/>
        <v>531099.52219333302</v>
      </c>
      <c r="AI99" s="161">
        <f t="shared" si="48"/>
        <v>44698.590000000055</v>
      </c>
      <c r="AJ99" s="161">
        <f t="shared" si="48"/>
        <v>396174.79</v>
      </c>
      <c r="AK99" s="143">
        <f t="shared" si="48"/>
        <v>58.894193333329014</v>
      </c>
      <c r="AL99" s="110"/>
      <c r="AM99" s="110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H100" s="24">
        <f>AH99*0.16</f>
        <v>84975.923550933279</v>
      </c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101" s="225" t="s">
        <v>292</v>
      </c>
      <c r="B101" s="225"/>
      <c r="C101" s="144"/>
      <c r="D101" s="110"/>
      <c r="E101" s="110"/>
      <c r="F101" s="110"/>
      <c r="G101" s="110"/>
      <c r="H101" s="110"/>
      <c r="I101" s="112"/>
      <c r="J101" s="180"/>
      <c r="K101" s="112"/>
      <c r="L101" s="112"/>
      <c r="M101" s="112"/>
      <c r="N101" s="112"/>
      <c r="O101" s="112"/>
      <c r="P101" s="112"/>
      <c r="Q101" s="141"/>
      <c r="R101" s="112"/>
      <c r="S101" s="112"/>
      <c r="T101" s="128"/>
      <c r="U101" s="128"/>
      <c r="V101" s="128"/>
      <c r="W101" s="128"/>
      <c r="X101" s="112"/>
      <c r="Y101" s="112"/>
      <c r="Z101" s="112"/>
      <c r="AA101" s="112"/>
      <c r="AB101" s="141"/>
      <c r="AC101" s="112"/>
      <c r="AD101" s="141"/>
      <c r="AE101" s="112"/>
      <c r="AF101" s="112"/>
      <c r="AG101" s="112"/>
      <c r="AH101" s="141">
        <f>+AH99+AH100</f>
        <v>616075.44574426627</v>
      </c>
      <c r="AI101" s="161"/>
      <c r="AJ101" s="161"/>
      <c r="AK101" s="143"/>
      <c r="AL101" s="110"/>
      <c r="AM101" s="110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129"/>
      <c r="B102" s="110" t="s">
        <v>293</v>
      </c>
      <c r="C102" s="110"/>
      <c r="D102" s="111"/>
      <c r="E102" s="110"/>
      <c r="F102" s="110"/>
      <c r="G102" s="110"/>
      <c r="H102" s="110"/>
      <c r="I102" s="112"/>
      <c r="J102" s="180"/>
      <c r="K102" s="128">
        <v>623.36</v>
      </c>
      <c r="L102" s="112">
        <f>2129.65+5.57</f>
        <v>2135.2200000000003</v>
      </c>
      <c r="M102" s="112"/>
      <c r="N102" s="112"/>
      <c r="O102" s="112"/>
      <c r="P102" s="112"/>
      <c r="Q102" s="115">
        <f>SUM(K102:P102)</f>
        <v>2758.5800000000004</v>
      </c>
      <c r="R102" s="116"/>
      <c r="S102" s="116"/>
      <c r="T102" s="128"/>
      <c r="U102" s="126">
        <f>Q102*4.9%</f>
        <v>135.17042000000004</v>
      </c>
      <c r="V102" s="126">
        <f>Q102*1%</f>
        <v>27.585800000000006</v>
      </c>
      <c r="W102" s="128"/>
      <c r="X102" s="145"/>
      <c r="Y102" s="145"/>
      <c r="Z102" s="145"/>
      <c r="AA102" s="145"/>
      <c r="AB102" s="115">
        <f t="shared" ref="AB102:AB103" si="49">+Q102-SUM(R102:AA102)</f>
        <v>2595.8237800000002</v>
      </c>
      <c r="AC102" s="120">
        <f>+AB102*0.05</f>
        <v>129.791189</v>
      </c>
      <c r="AD102" s="115">
        <f>+AB102-X102-AA102</f>
        <v>2595.8237800000002</v>
      </c>
      <c r="AE102" s="121">
        <f>IF(AB102&lt;3000,AB102*0.1,0)</f>
        <v>259.58237800000001</v>
      </c>
      <c r="AF102" s="120">
        <v>0</v>
      </c>
      <c r="AG102" s="120"/>
      <c r="AH102" s="115">
        <f>+AB102+AE102+AF102</f>
        <v>2855.4061580000002</v>
      </c>
      <c r="AI102" s="162"/>
      <c r="AJ102" s="162"/>
      <c r="AK102" s="146"/>
      <c r="AL102" s="110"/>
      <c r="AM102" s="12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103" s="129"/>
      <c r="B103" s="111" t="s">
        <v>316</v>
      </c>
      <c r="C103" s="111"/>
      <c r="D103" s="111"/>
      <c r="E103" s="111"/>
      <c r="F103" s="111"/>
      <c r="G103" s="111"/>
      <c r="H103" s="111"/>
      <c r="I103" s="113"/>
      <c r="J103" s="177"/>
      <c r="K103" s="128">
        <v>1166.6600000000001</v>
      </c>
      <c r="L103" s="113">
        <f>4676.5-750</f>
        <v>3926.5</v>
      </c>
      <c r="M103" s="113"/>
      <c r="N103" s="113"/>
      <c r="O103" s="113"/>
      <c r="P103" s="113"/>
      <c r="Q103" s="115">
        <f>SUM(K103:P103)</f>
        <v>5093.16</v>
      </c>
      <c r="R103" s="116"/>
      <c r="S103" s="116"/>
      <c r="T103" s="128"/>
      <c r="U103" s="128"/>
      <c r="V103" s="128"/>
      <c r="W103" s="128"/>
      <c r="X103" s="145"/>
      <c r="Y103" s="145"/>
      <c r="Z103" s="131">
        <v>364.96</v>
      </c>
      <c r="AA103" s="145"/>
      <c r="AB103" s="115">
        <f t="shared" si="49"/>
        <v>4728.2</v>
      </c>
      <c r="AC103" s="120">
        <f>+AB103*0.05</f>
        <v>236.41</v>
      </c>
      <c r="AD103" s="115">
        <f>+AB103-X103-AA103</f>
        <v>4728.2</v>
      </c>
      <c r="AE103" s="121">
        <f>IF(AB103&lt;3000,AB103*0.1,0)</f>
        <v>0</v>
      </c>
      <c r="AF103" s="120">
        <v>0</v>
      </c>
      <c r="AG103" s="120"/>
      <c r="AH103" s="115">
        <f>+AB103+AE103+AF103</f>
        <v>4728.2</v>
      </c>
      <c r="AI103" s="162"/>
      <c r="AJ103" s="162"/>
      <c r="AK103" s="146"/>
      <c r="AL103" s="110"/>
      <c r="AM103" s="110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H104" s="24">
        <f>SUM(AH102:AH103)</f>
        <v>7583.6061580000005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B105" s="55"/>
      <c r="C105" s="55"/>
      <c r="D105" s="55"/>
      <c r="AH105" s="24">
        <f>+AH104*0.16</f>
        <v>1213.3769852800001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A106" s="223" t="s">
        <v>315</v>
      </c>
      <c r="B106" s="223"/>
      <c r="C106" s="55"/>
      <c r="D106" s="55"/>
      <c r="AH106" s="24">
        <f>+AH104+AH105</f>
        <v>8796.9831432800001</v>
      </c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 s="39" customFormat="1">
      <c r="A107" s="124" t="s">
        <v>71</v>
      </c>
      <c r="B107" s="124" t="s">
        <v>250</v>
      </c>
      <c r="C107" s="124" t="s">
        <v>249</v>
      </c>
      <c r="D107" s="137"/>
      <c r="E107" s="124" t="s">
        <v>73</v>
      </c>
      <c r="F107" s="127">
        <v>42240</v>
      </c>
      <c r="G107" s="124"/>
      <c r="H107" s="124"/>
      <c r="I107" s="128"/>
      <c r="J107" s="178"/>
      <c r="K107" s="128">
        <f t="shared" ref="K107" si="50">+I107+J107</f>
        <v>0</v>
      </c>
      <c r="L107" s="128"/>
      <c r="M107" s="128"/>
      <c r="N107" s="128"/>
      <c r="O107" s="128"/>
      <c r="P107" s="171"/>
      <c r="Q107" s="186">
        <f t="shared" ref="Q107" si="51">SUM(K107:O107)-P107</f>
        <v>0</v>
      </c>
      <c r="R107" s="128"/>
      <c r="S107" s="128">
        <v>58.91</v>
      </c>
      <c r="T107" s="128"/>
      <c r="U107" s="128"/>
      <c r="V107" s="128"/>
      <c r="W107" s="128"/>
      <c r="X107" s="120"/>
      <c r="Y107" s="120"/>
      <c r="Z107" s="124"/>
      <c r="AA107" s="124">
        <v>0</v>
      </c>
      <c r="AB107" s="186">
        <f t="shared" ref="AB107" si="52">+Q107-SUM(R107:AA107)</f>
        <v>-58.91</v>
      </c>
      <c r="AC107" s="120">
        <f t="shared" ref="AC107" si="53">IF(Q107&gt;2250,Q107*0.1,0)</f>
        <v>0</v>
      </c>
      <c r="AD107" s="186">
        <f>+AB107-AC107</f>
        <v>-58.91</v>
      </c>
      <c r="AE107" s="120">
        <f>IF(Q107&lt;3500,Q107*0.1,0)</f>
        <v>0</v>
      </c>
      <c r="AF107" s="120">
        <v>10.23</v>
      </c>
      <c r="AG107" s="120">
        <f t="shared" ref="AG107" si="54">+U107</f>
        <v>0</v>
      </c>
      <c r="AH107" s="186">
        <f t="shared" ref="AH107" si="55">+Q107+AE107+AF107+AG107</f>
        <v>10.23</v>
      </c>
      <c r="AI107" s="163"/>
      <c r="AJ107" s="166"/>
      <c r="AK107" s="123">
        <f t="shared" ref="AK107" si="56">+AI107+AJ107-AD107</f>
        <v>58.91</v>
      </c>
      <c r="AL107" s="124"/>
      <c r="AM107" s="170" t="s">
        <v>314</v>
      </c>
    </row>
    <row r="109" spans="1:193"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A115" s="41" t="s">
        <v>57</v>
      </c>
      <c r="B115" s="23"/>
      <c r="C115" s="23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58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59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60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61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A120" s="41" t="s">
        <v>62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4" spans="1:193">
      <c r="B124" s="27"/>
      <c r="C124" s="70"/>
    </row>
    <row r="125" spans="1:193">
      <c r="B125" s="27"/>
      <c r="C125" s="70"/>
    </row>
    <row r="126" spans="1:193">
      <c r="B126" s="27"/>
      <c r="C126" s="70"/>
    </row>
  </sheetData>
  <sheetProtection selectLockedCells="1" selectUnlockedCells="1"/>
  <autoFilter ref="A5:AM97">
    <filterColumn colId="34" showButton="0"/>
    <sortState ref="A8:AN94">
      <sortCondition ref="B5:B94"/>
    </sortState>
  </autoFilter>
  <mergeCells count="37">
    <mergeCell ref="A106:B106"/>
    <mergeCell ref="AM5:AM6"/>
    <mergeCell ref="A101:B101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13" t="s">
        <v>39</v>
      </c>
      <c r="B5" s="215" t="s">
        <v>40</v>
      </c>
      <c r="C5" s="213"/>
      <c r="D5" s="215" t="s">
        <v>41</v>
      </c>
      <c r="E5" s="215" t="s">
        <v>0</v>
      </c>
      <c r="F5" s="213" t="s">
        <v>246</v>
      </c>
      <c r="G5" s="217" t="s">
        <v>67</v>
      </c>
      <c r="H5" s="217" t="s">
        <v>65</v>
      </c>
      <c r="I5" s="219" t="s">
        <v>66</v>
      </c>
      <c r="J5" s="211" t="s">
        <v>68</v>
      </c>
      <c r="K5" s="217" t="s">
        <v>34</v>
      </c>
      <c r="L5" s="211" t="s">
        <v>75</v>
      </c>
      <c r="M5" s="95"/>
      <c r="N5" s="217" t="s">
        <v>35</v>
      </c>
      <c r="O5" s="217" t="s">
        <v>36</v>
      </c>
      <c r="P5" s="217" t="s">
        <v>63</v>
      </c>
      <c r="Q5" s="217" t="s">
        <v>37</v>
      </c>
      <c r="R5" s="217" t="s">
        <v>38</v>
      </c>
      <c r="S5" s="88"/>
      <c r="T5" s="221" t="s">
        <v>186</v>
      </c>
      <c r="U5" s="221" t="s">
        <v>213</v>
      </c>
      <c r="V5" s="221" t="s">
        <v>212</v>
      </c>
      <c r="W5" s="221" t="s">
        <v>187</v>
      </c>
      <c r="X5" s="217" t="s">
        <v>30</v>
      </c>
      <c r="Y5" s="217" t="s">
        <v>56</v>
      </c>
      <c r="Z5" s="217" t="s">
        <v>55</v>
      </c>
      <c r="AA5" s="217" t="s">
        <v>32</v>
      </c>
      <c r="AB5" s="217" t="s">
        <v>64</v>
      </c>
      <c r="AC5" s="217" t="s">
        <v>27</v>
      </c>
      <c r="AD5" s="217" t="s">
        <v>31</v>
      </c>
      <c r="AE5" s="217" t="s">
        <v>26</v>
      </c>
      <c r="AF5" s="217" t="s">
        <v>28</v>
      </c>
      <c r="AG5" s="217" t="s">
        <v>29</v>
      </c>
      <c r="AH5" s="217" t="s">
        <v>188</v>
      </c>
      <c r="AI5" s="217" t="s">
        <v>189</v>
      </c>
      <c r="AJ5" s="230" t="s">
        <v>190</v>
      </c>
      <c r="AK5" s="231"/>
      <c r="AL5" s="224" t="s">
        <v>191</v>
      </c>
      <c r="AM5" s="224" t="s">
        <v>257</v>
      </c>
      <c r="AN5" s="224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29"/>
      <c r="B6" s="215"/>
      <c r="C6" s="229"/>
      <c r="D6" s="215"/>
      <c r="E6" s="215"/>
      <c r="F6" s="229"/>
      <c r="G6" s="217"/>
      <c r="H6" s="217"/>
      <c r="I6" s="234"/>
      <c r="J6" s="235"/>
      <c r="K6" s="217"/>
      <c r="L6" s="235"/>
      <c r="M6" s="96" t="s">
        <v>288</v>
      </c>
      <c r="N6" s="217"/>
      <c r="O6" s="217"/>
      <c r="P6" s="217"/>
      <c r="Q6" s="217"/>
      <c r="R6" s="217"/>
      <c r="S6" s="89" t="s">
        <v>276</v>
      </c>
      <c r="T6" s="232"/>
      <c r="U6" s="232"/>
      <c r="V6" s="232"/>
      <c r="W6" s="232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64" t="s">
        <v>66</v>
      </c>
      <c r="AK6" s="64" t="s">
        <v>68</v>
      </c>
      <c r="AL6" s="224"/>
      <c r="AM6" s="224"/>
      <c r="AN6" s="224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33" t="s">
        <v>33</v>
      </c>
      <c r="B98" s="233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307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306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13" t="s">
        <v>39</v>
      </c>
      <c r="B5" s="215" t="s">
        <v>40</v>
      </c>
      <c r="C5" s="213"/>
      <c r="D5" s="215" t="s">
        <v>41</v>
      </c>
      <c r="E5" s="215" t="s">
        <v>0</v>
      </c>
      <c r="F5" s="213" t="s">
        <v>246</v>
      </c>
      <c r="G5" s="217" t="s">
        <v>67</v>
      </c>
      <c r="H5" s="217" t="s">
        <v>65</v>
      </c>
      <c r="I5" s="219" t="s">
        <v>66</v>
      </c>
      <c r="J5" s="211" t="s">
        <v>68</v>
      </c>
      <c r="K5" s="217" t="s">
        <v>34</v>
      </c>
      <c r="L5" s="211" t="s">
        <v>75</v>
      </c>
      <c r="M5" s="154"/>
      <c r="N5" s="217" t="s">
        <v>35</v>
      </c>
      <c r="O5" s="217" t="s">
        <v>36</v>
      </c>
      <c r="P5" s="217" t="s">
        <v>63</v>
      </c>
      <c r="Q5" s="217" t="s">
        <v>37</v>
      </c>
      <c r="R5" s="217" t="s">
        <v>38</v>
      </c>
      <c r="S5" s="153"/>
      <c r="T5" s="221" t="s">
        <v>186</v>
      </c>
      <c r="U5" s="221" t="s">
        <v>213</v>
      </c>
      <c r="V5" s="221" t="s">
        <v>212</v>
      </c>
      <c r="W5" s="221" t="s">
        <v>187</v>
      </c>
      <c r="X5" s="217" t="s">
        <v>30</v>
      </c>
      <c r="Y5" s="217" t="s">
        <v>56</v>
      </c>
      <c r="Z5" s="217" t="s">
        <v>55</v>
      </c>
      <c r="AA5" s="217" t="s">
        <v>32</v>
      </c>
      <c r="AB5" s="217" t="s">
        <v>64</v>
      </c>
      <c r="AC5" s="217" t="s">
        <v>27</v>
      </c>
      <c r="AD5" s="217" t="s">
        <v>31</v>
      </c>
      <c r="AE5" s="217" t="s">
        <v>26</v>
      </c>
      <c r="AF5" s="217" t="s">
        <v>28</v>
      </c>
      <c r="AG5" s="152"/>
      <c r="AH5" s="217" t="s">
        <v>29</v>
      </c>
      <c r="AI5" s="236" t="s">
        <v>190</v>
      </c>
      <c r="AJ5" s="237"/>
      <c r="AK5" s="228" t="s">
        <v>191</v>
      </c>
      <c r="AL5" s="224" t="s">
        <v>257</v>
      </c>
      <c r="AM5" s="150"/>
      <c r="AN5" s="224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14"/>
      <c r="B6" s="216"/>
      <c r="C6" s="214"/>
      <c r="D6" s="216"/>
      <c r="E6" s="216"/>
      <c r="F6" s="214"/>
      <c r="G6" s="218"/>
      <c r="H6" s="218"/>
      <c r="I6" s="220"/>
      <c r="J6" s="212"/>
      <c r="K6" s="218"/>
      <c r="L6" s="212"/>
      <c r="M6" s="155" t="s">
        <v>288</v>
      </c>
      <c r="N6" s="218"/>
      <c r="O6" s="218"/>
      <c r="P6" s="218"/>
      <c r="Q6" s="218"/>
      <c r="R6" s="218"/>
      <c r="S6" s="104" t="s">
        <v>276</v>
      </c>
      <c r="T6" s="222"/>
      <c r="U6" s="222"/>
      <c r="V6" s="222"/>
      <c r="W6" s="222"/>
      <c r="X6" s="218"/>
      <c r="Y6" s="218"/>
      <c r="Z6" s="218"/>
      <c r="AA6" s="218"/>
      <c r="AB6" s="218"/>
      <c r="AC6" s="218"/>
      <c r="AD6" s="218"/>
      <c r="AE6" s="218"/>
      <c r="AF6" s="218"/>
      <c r="AG6" s="153"/>
      <c r="AH6" s="218"/>
      <c r="AI6" s="105" t="s">
        <v>66</v>
      </c>
      <c r="AJ6" s="105" t="s">
        <v>68</v>
      </c>
      <c r="AK6" s="228"/>
      <c r="AL6" s="224"/>
      <c r="AM6" s="150" t="s">
        <v>308</v>
      </c>
      <c r="AN6" s="224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25" t="s">
        <v>292</v>
      </c>
      <c r="B8" s="225"/>
      <c r="C8" s="151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1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1"/>
      <c r="AC8" s="112"/>
      <c r="AD8" s="141"/>
      <c r="AE8" s="112"/>
      <c r="AF8" s="112"/>
      <c r="AG8" s="112"/>
      <c r="AH8" s="141" t="e">
        <f>+#REF!+AH7</f>
        <v>#REF!</v>
      </c>
      <c r="AI8" s="143"/>
      <c r="AJ8" s="143"/>
      <c r="AK8" s="143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6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5"/>
      <c r="Y9" s="145"/>
      <c r="Z9" s="145"/>
      <c r="AA9" s="145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6"/>
      <c r="AJ9" s="146"/>
      <c r="AK9" s="146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2016-05-02T14:41:03Z</dcterms:modified>
</cp:coreProperties>
</file>