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320" windowHeight="11445" tabRatio="704"/>
  </bookViews>
  <sheets>
    <sheet name="FORMATO NOMINA COM" sheetId="4" r:id="rId1"/>
    <sheet name="FORMATO NOMINA" sheetId="1" r:id="rId2"/>
    <sheet name="descuentos" sheetId="2" r:id="rId3"/>
    <sheet name="INFONAVIT" sheetId="3" r:id="rId4"/>
    <sheet name="COMPLEMENTO" sheetId="5" r:id="rId5"/>
  </sheets>
  <definedNames>
    <definedName name="_xlnm._FilterDatabase" localSheetId="4" hidden="1">COMPLEMENTO!$A$5:$AN$6</definedName>
    <definedName name="_xlnm._FilterDatabase" localSheetId="1" hidden="1">'FORMATO NOMINA'!$A$5:$AL$94</definedName>
    <definedName name="_xlnm._FilterDatabase" localSheetId="0" hidden="1">'FORMATO NOMINA COM'!$A$5:$AM$101</definedName>
  </definedNames>
  <calcPr calcId="124519"/>
</workbook>
</file>

<file path=xl/calcChain.xml><?xml version="1.0" encoding="utf-8"?>
<calcChain xmlns="http://schemas.openxmlformats.org/spreadsheetml/2006/main">
  <c r="AK18" i="4"/>
  <c r="AK16"/>
  <c r="AK74"/>
  <c r="L54"/>
  <c r="L40"/>
  <c r="AG78"/>
  <c r="L66" l="1"/>
  <c r="L70"/>
  <c r="L75"/>
  <c r="L28"/>
  <c r="L52"/>
  <c r="L76"/>
  <c r="L100"/>
  <c r="L26"/>
  <c r="L92"/>
  <c r="L89"/>
  <c r="L93"/>
  <c r="L73"/>
  <c r="L31"/>
  <c r="L10"/>
  <c r="L41"/>
  <c r="L12"/>
  <c r="L77"/>
  <c r="L82"/>
  <c r="L53"/>
  <c r="L32"/>
  <c r="L68"/>
  <c r="L83"/>
  <c r="L21"/>
  <c r="L97"/>
  <c r="L67"/>
  <c r="L9"/>
  <c r="L51"/>
  <c r="L88"/>
  <c r="L49"/>
  <c r="L72"/>
  <c r="AG16"/>
  <c r="K16"/>
  <c r="Q16" s="1"/>
  <c r="AB16" s="1"/>
  <c r="AG74"/>
  <c r="K74"/>
  <c r="Q74" s="1"/>
  <c r="AE74" s="1"/>
  <c r="AG43"/>
  <c r="K43"/>
  <c r="Q43" s="1"/>
  <c r="AG54"/>
  <c r="K54"/>
  <c r="Q54" s="1"/>
  <c r="AE54" s="1"/>
  <c r="AG71"/>
  <c r="K71"/>
  <c r="Q71" s="1"/>
  <c r="AE71" s="1"/>
  <c r="AH54" l="1"/>
  <c r="AC16"/>
  <c r="AD16" s="1"/>
  <c r="AH71"/>
  <c r="AE16"/>
  <c r="AH16" s="1"/>
  <c r="AB71"/>
  <c r="AB43"/>
  <c r="AC71"/>
  <c r="AC43"/>
  <c r="AB74"/>
  <c r="AE43"/>
  <c r="AH43" s="1"/>
  <c r="AH74"/>
  <c r="AC54"/>
  <c r="AB54"/>
  <c r="AC74"/>
  <c r="AG111"/>
  <c r="K111"/>
  <c r="Q111" s="1"/>
  <c r="AD74" l="1"/>
  <c r="AD71"/>
  <c r="AD43"/>
  <c r="AK43" s="1"/>
  <c r="AD54"/>
  <c r="AK54" s="1"/>
  <c r="AE111"/>
  <c r="AH111" s="1"/>
  <c r="AB111"/>
  <c r="AC111"/>
  <c r="AD111" l="1"/>
  <c r="AK111" s="1"/>
  <c r="K39"/>
  <c r="K40"/>
  <c r="Q40" s="1"/>
  <c r="AB40" s="1"/>
  <c r="K88"/>
  <c r="K76"/>
  <c r="AE40" l="1"/>
  <c r="AC40"/>
  <c r="AD40" s="1"/>
  <c r="AG40" l="1"/>
  <c r="AH40" s="1"/>
  <c r="AG91"/>
  <c r="K91"/>
  <c r="Q91" s="1"/>
  <c r="AG50"/>
  <c r="Q39"/>
  <c r="AE39" s="1"/>
  <c r="AB91" l="1"/>
  <c r="AE91"/>
  <c r="AH91" s="1"/>
  <c r="AC91"/>
  <c r="AB39"/>
  <c r="AD91" l="1"/>
  <c r="AK91" s="1"/>
  <c r="AK40"/>
  <c r="K50" l="1"/>
  <c r="Q50" s="1"/>
  <c r="AE50" l="1"/>
  <c r="AC50"/>
  <c r="AH50"/>
  <c r="AB50"/>
  <c r="K10"/>
  <c r="AD50" l="1"/>
  <c r="K34"/>
  <c r="AK101"/>
  <c r="Q9" i="5" l="1"/>
  <c r="V9" s="1"/>
  <c r="AG34" i="4"/>
  <c r="Q34"/>
  <c r="AE34" l="1"/>
  <c r="AH34" s="1"/>
  <c r="AB34"/>
  <c r="U9" i="5"/>
  <c r="AB9"/>
  <c r="AC34" i="4"/>
  <c r="AD34" l="1"/>
  <c r="AK34" s="1"/>
  <c r="AE9" i="5"/>
  <c r="AH9" s="1"/>
  <c r="AH10" s="1"/>
  <c r="AC9"/>
  <c r="AD9"/>
  <c r="AH11" l="1"/>
  <c r="AH12" s="1"/>
  <c r="AH7" l="1"/>
  <c r="AH8" s="1"/>
  <c r="AH14" s="1"/>
  <c r="Q101" i="4" l="1"/>
  <c r="AC101" s="1"/>
  <c r="K61"/>
  <c r="Q61" s="1"/>
  <c r="K80"/>
  <c r="Q80" s="1"/>
  <c r="AC80" s="1"/>
  <c r="AG80"/>
  <c r="AG61"/>
  <c r="AB61" l="1"/>
  <c r="AC61"/>
  <c r="AE61"/>
  <c r="AH61" s="1"/>
  <c r="AE80"/>
  <c r="AH80" s="1"/>
  <c r="AB80"/>
  <c r="AD61" l="1"/>
  <c r="AK61" s="1"/>
  <c r="AD80"/>
  <c r="AK80" s="1"/>
  <c r="AG72"/>
  <c r="AG37"/>
  <c r="AG25"/>
  <c r="AG19"/>
  <c r="AG60" l="1"/>
  <c r="AG62" l="1"/>
  <c r="Q62"/>
  <c r="AC62" s="1"/>
  <c r="AE62" l="1"/>
  <c r="AH62" s="1"/>
  <c r="AB62"/>
  <c r="K77"/>
  <c r="Q77" s="1"/>
  <c r="AC77" s="1"/>
  <c r="K72"/>
  <c r="Q72" s="1"/>
  <c r="AC72" s="1"/>
  <c r="K37"/>
  <c r="Q37" s="1"/>
  <c r="AC37" s="1"/>
  <c r="AD62" l="1"/>
  <c r="AK62" s="1"/>
  <c r="AB72"/>
  <c r="AE72"/>
  <c r="AH72" s="1"/>
  <c r="AB37"/>
  <c r="AD37" s="1"/>
  <c r="AK37" s="1"/>
  <c r="AE37"/>
  <c r="AH37" s="1"/>
  <c r="K25"/>
  <c r="Q25" s="1"/>
  <c r="AC25" s="1"/>
  <c r="K19"/>
  <c r="Q19" s="1"/>
  <c r="AC19" s="1"/>
  <c r="AG101"/>
  <c r="AG63"/>
  <c r="AG39"/>
  <c r="AH39" s="1"/>
  <c r="AG94"/>
  <c r="AG100"/>
  <c r="AG98"/>
  <c r="AG99"/>
  <c r="AG96"/>
  <c r="AG95"/>
  <c r="AG93"/>
  <c r="AG92"/>
  <c r="AG90"/>
  <c r="AG89"/>
  <c r="AG86"/>
  <c r="AG85"/>
  <c r="AG84"/>
  <c r="AG83"/>
  <c r="AG82"/>
  <c r="AG81"/>
  <c r="AG75"/>
  <c r="AG73"/>
  <c r="AG70"/>
  <c r="AG69"/>
  <c r="AG66"/>
  <c r="AG64"/>
  <c r="AG59"/>
  <c r="AG58"/>
  <c r="AG57"/>
  <c r="AG56"/>
  <c r="AG53"/>
  <c r="AG52"/>
  <c r="AG55"/>
  <c r="AG47"/>
  <c r="AG46"/>
  <c r="AG45"/>
  <c r="AG44"/>
  <c r="AG42"/>
  <c r="AG41"/>
  <c r="AG38"/>
  <c r="AG36"/>
  <c r="AG35"/>
  <c r="AG33"/>
  <c r="AG30"/>
  <c r="AG29"/>
  <c r="AG28"/>
  <c r="AG27"/>
  <c r="AG26"/>
  <c r="AG24"/>
  <c r="AG22"/>
  <c r="AG20"/>
  <c r="AG18"/>
  <c r="AG17"/>
  <c r="AG13"/>
  <c r="AG14"/>
  <c r="AG12"/>
  <c r="AG11"/>
  <c r="AG10"/>
  <c r="AG8"/>
  <c r="AG7"/>
  <c r="AD72" l="1"/>
  <c r="AK72" s="1"/>
  <c r="AE19"/>
  <c r="AH19" s="1"/>
  <c r="AB19"/>
  <c r="AE25"/>
  <c r="AH25" s="1"/>
  <c r="AB25"/>
  <c r="U77"/>
  <c r="AG77" s="1"/>
  <c r="AE77"/>
  <c r="V77"/>
  <c r="K63"/>
  <c r="Q63" s="1"/>
  <c r="AC63" s="1"/>
  <c r="AD25" l="1"/>
  <c r="AK25" s="1"/>
  <c r="AD19"/>
  <c r="AK19" s="1"/>
  <c r="AH77"/>
  <c r="AB77"/>
  <c r="AD77" s="1"/>
  <c r="AK77" s="1"/>
  <c r="AE63"/>
  <c r="AH63" s="1"/>
  <c r="AB63"/>
  <c r="AE101"/>
  <c r="AH101" s="1"/>
  <c r="K60"/>
  <c r="Q60" s="1"/>
  <c r="AC60" s="1"/>
  <c r="K75"/>
  <c r="Q75" s="1"/>
  <c r="AC75" s="1"/>
  <c r="AD63" l="1"/>
  <c r="AK63" s="1"/>
  <c r="AE60"/>
  <c r="AH60" s="1"/>
  <c r="AB60"/>
  <c r="AE75"/>
  <c r="AH75" s="1"/>
  <c r="AF103"/>
  <c r="AB75"/>
  <c r="Q107"/>
  <c r="AB107" s="1"/>
  <c r="AD107" s="1"/>
  <c r="Q106"/>
  <c r="AJ103"/>
  <c r="AI103"/>
  <c r="X103"/>
  <c r="W103"/>
  <c r="R103"/>
  <c r="P103"/>
  <c r="O103"/>
  <c r="N103"/>
  <c r="AC39"/>
  <c r="AD39" s="1"/>
  <c r="K94"/>
  <c r="Q94" s="1"/>
  <c r="AC94" s="1"/>
  <c r="K78"/>
  <c r="Q78" s="1"/>
  <c r="K100"/>
  <c r="Q100" s="1"/>
  <c r="AC100" s="1"/>
  <c r="K98"/>
  <c r="K99"/>
  <c r="Q99" s="1"/>
  <c r="AC99" s="1"/>
  <c r="K97"/>
  <c r="Q97" s="1"/>
  <c r="AC97" s="1"/>
  <c r="K96"/>
  <c r="Q96" s="1"/>
  <c r="AC96" s="1"/>
  <c r="K95"/>
  <c r="K93"/>
  <c r="Q93" s="1"/>
  <c r="AC93" s="1"/>
  <c r="K92"/>
  <c r="Q92" s="1"/>
  <c r="AC92" s="1"/>
  <c r="K90"/>
  <c r="Q90" s="1"/>
  <c r="AC90" s="1"/>
  <c r="K89"/>
  <c r="Q89" s="1"/>
  <c r="AC89" s="1"/>
  <c r="Q88"/>
  <c r="AC88" s="1"/>
  <c r="K87"/>
  <c r="Q87" s="1"/>
  <c r="AC87" s="1"/>
  <c r="K86"/>
  <c r="Q86" s="1"/>
  <c r="AC86" s="1"/>
  <c r="Q85"/>
  <c r="AC85" s="1"/>
  <c r="K84"/>
  <c r="Q84" s="1"/>
  <c r="AC84" s="1"/>
  <c r="K83"/>
  <c r="Q83" s="1"/>
  <c r="AC83" s="1"/>
  <c r="K82"/>
  <c r="Q82" s="1"/>
  <c r="AC82" s="1"/>
  <c r="K81"/>
  <c r="Q81" s="1"/>
  <c r="AC81" s="1"/>
  <c r="K79"/>
  <c r="Q79" s="1"/>
  <c r="AC79" s="1"/>
  <c r="Q76"/>
  <c r="AC76" s="1"/>
  <c r="K73"/>
  <c r="Q73" s="1"/>
  <c r="AC73" s="1"/>
  <c r="K70"/>
  <c r="Q70" s="1"/>
  <c r="AC70" s="1"/>
  <c r="K69"/>
  <c r="Q69" s="1"/>
  <c r="AC69" s="1"/>
  <c r="K68"/>
  <c r="Q68" s="1"/>
  <c r="AC68" s="1"/>
  <c r="K67"/>
  <c r="Q67" s="1"/>
  <c r="AC67" s="1"/>
  <c r="K66"/>
  <c r="Q66" s="1"/>
  <c r="AC66" s="1"/>
  <c r="K65"/>
  <c r="Q65" s="1"/>
  <c r="AC65" s="1"/>
  <c r="K64"/>
  <c r="Q64" s="1"/>
  <c r="AC64" s="1"/>
  <c r="K59"/>
  <c r="Q59" s="1"/>
  <c r="AC59" s="1"/>
  <c r="K58"/>
  <c r="Q58" s="1"/>
  <c r="AC58" s="1"/>
  <c r="K57"/>
  <c r="Q57" s="1"/>
  <c r="AC57" s="1"/>
  <c r="K56"/>
  <c r="Q56" s="1"/>
  <c r="AC56" s="1"/>
  <c r="K53"/>
  <c r="Q53" s="1"/>
  <c r="K52"/>
  <c r="Q52" s="1"/>
  <c r="AC52" s="1"/>
  <c r="K51"/>
  <c r="Q51" s="1"/>
  <c r="AC51" s="1"/>
  <c r="K49"/>
  <c r="Q49" s="1"/>
  <c r="AC49" s="1"/>
  <c r="K48"/>
  <c r="Q48" s="1"/>
  <c r="AC48" s="1"/>
  <c r="Q55"/>
  <c r="AC55" s="1"/>
  <c r="K47"/>
  <c r="Q47" s="1"/>
  <c r="AC47" s="1"/>
  <c r="K46"/>
  <c r="Q46" s="1"/>
  <c r="AC46" s="1"/>
  <c r="K45"/>
  <c r="Q45" s="1"/>
  <c r="AC45" s="1"/>
  <c r="K44"/>
  <c r="Q44" s="1"/>
  <c r="AC44" s="1"/>
  <c r="K42"/>
  <c r="Q42" s="1"/>
  <c r="AC42" s="1"/>
  <c r="K41"/>
  <c r="Q41" s="1"/>
  <c r="AC41" s="1"/>
  <c r="K38"/>
  <c r="K36"/>
  <c r="K35"/>
  <c r="Q35" s="1"/>
  <c r="AC35" s="1"/>
  <c r="K33"/>
  <c r="Q33" s="1"/>
  <c r="AC33" s="1"/>
  <c r="K32"/>
  <c r="Q32" s="1"/>
  <c r="AC32" s="1"/>
  <c r="K31"/>
  <c r="Q31" s="1"/>
  <c r="AC31" s="1"/>
  <c r="K30"/>
  <c r="K29"/>
  <c r="Q29" s="1"/>
  <c r="AC29" s="1"/>
  <c r="K28"/>
  <c r="Q28" s="1"/>
  <c r="AC28" s="1"/>
  <c r="K27"/>
  <c r="Q27" s="1"/>
  <c r="AC27" s="1"/>
  <c r="K26"/>
  <c r="Q26" s="1"/>
  <c r="AC26" s="1"/>
  <c r="K24"/>
  <c r="Q24" s="1"/>
  <c r="AC24" s="1"/>
  <c r="K23"/>
  <c r="Q23" s="1"/>
  <c r="AC23" s="1"/>
  <c r="K22"/>
  <c r="Q22" s="1"/>
  <c r="AC22" s="1"/>
  <c r="K21"/>
  <c r="Q21" s="1"/>
  <c r="AC21" s="1"/>
  <c r="K20"/>
  <c r="Q20" s="1"/>
  <c r="AC20" s="1"/>
  <c r="K18"/>
  <c r="K17"/>
  <c r="Q17" s="1"/>
  <c r="AC17" s="1"/>
  <c r="K15"/>
  <c r="Q15" s="1"/>
  <c r="AC15" s="1"/>
  <c r="K13"/>
  <c r="K14"/>
  <c r="Q14" s="1"/>
  <c r="AC14" s="1"/>
  <c r="K12"/>
  <c r="Q12" s="1"/>
  <c r="AC12" s="1"/>
  <c r="K11"/>
  <c r="Q11" s="1"/>
  <c r="AC11" s="1"/>
  <c r="Q10"/>
  <c r="AC10" s="1"/>
  <c r="K9"/>
  <c r="Q9" s="1"/>
  <c r="AC9" s="1"/>
  <c r="K8"/>
  <c r="Q8" s="1"/>
  <c r="AC8" s="1"/>
  <c r="K7"/>
  <c r="AC78" l="1"/>
  <c r="AB78"/>
  <c r="AE78"/>
  <c r="AH78" s="1"/>
  <c r="Q18"/>
  <c r="AC18" s="1"/>
  <c r="Q36"/>
  <c r="AC36" s="1"/>
  <c r="Q95"/>
  <c r="AC95" s="1"/>
  <c r="Q98"/>
  <c r="AC98" s="1"/>
  <c r="Q13"/>
  <c r="AE13" s="1"/>
  <c r="AH13" s="1"/>
  <c r="Q38"/>
  <c r="AC38" s="1"/>
  <c r="AC53"/>
  <c r="AB106"/>
  <c r="AD106" s="1"/>
  <c r="V106"/>
  <c r="U106"/>
  <c r="Y103"/>
  <c r="Q30"/>
  <c r="AC30" s="1"/>
  <c r="AD60"/>
  <c r="AK60" s="1"/>
  <c r="AD75"/>
  <c r="AK75" s="1"/>
  <c r="V49"/>
  <c r="U49"/>
  <c r="AG49" s="1"/>
  <c r="AE10"/>
  <c r="AH10" s="1"/>
  <c r="AE14"/>
  <c r="AH14" s="1"/>
  <c r="AE17"/>
  <c r="AH17" s="1"/>
  <c r="AE22"/>
  <c r="AH22" s="1"/>
  <c r="AE29"/>
  <c r="AH29" s="1"/>
  <c r="AE33"/>
  <c r="AH33" s="1"/>
  <c r="AE45"/>
  <c r="AH45" s="1"/>
  <c r="AE55"/>
  <c r="AH55" s="1"/>
  <c r="AE52"/>
  <c r="AH52" s="1"/>
  <c r="AE58"/>
  <c r="AH58" s="1"/>
  <c r="AE65"/>
  <c r="AE69"/>
  <c r="AH69" s="1"/>
  <c r="AE90"/>
  <c r="AH90" s="1"/>
  <c r="AE93"/>
  <c r="AH93" s="1"/>
  <c r="AE99"/>
  <c r="AH99" s="1"/>
  <c r="AE94"/>
  <c r="AH94" s="1"/>
  <c r="AE23"/>
  <c r="AE26"/>
  <c r="AH26" s="1"/>
  <c r="AE41"/>
  <c r="AH41" s="1"/>
  <c r="AE48"/>
  <c r="AE53"/>
  <c r="AH53" s="1"/>
  <c r="AE59"/>
  <c r="AH59" s="1"/>
  <c r="AE66"/>
  <c r="AH66" s="1"/>
  <c r="AB70"/>
  <c r="AE70"/>
  <c r="AH70" s="1"/>
  <c r="AE79"/>
  <c r="AE87"/>
  <c r="AE8"/>
  <c r="AH8" s="1"/>
  <c r="AE11"/>
  <c r="AH11" s="1"/>
  <c r="AE15"/>
  <c r="AB20"/>
  <c r="AE20"/>
  <c r="AH20" s="1"/>
  <c r="AE27"/>
  <c r="AH27" s="1"/>
  <c r="U31"/>
  <c r="AG31" s="1"/>
  <c r="AE31"/>
  <c r="AE35"/>
  <c r="AH35" s="1"/>
  <c r="AE49"/>
  <c r="AE56"/>
  <c r="AH56" s="1"/>
  <c r="AE67"/>
  <c r="AE73"/>
  <c r="AH73" s="1"/>
  <c r="AE81"/>
  <c r="AH81" s="1"/>
  <c r="AE84"/>
  <c r="AH84" s="1"/>
  <c r="V88"/>
  <c r="AE88"/>
  <c r="AE96"/>
  <c r="AH96" s="1"/>
  <c r="AE100"/>
  <c r="AH100" s="1"/>
  <c r="AE9"/>
  <c r="AE12"/>
  <c r="AH12" s="1"/>
  <c r="AE21"/>
  <c r="AE28"/>
  <c r="AH28" s="1"/>
  <c r="AE32"/>
  <c r="V51"/>
  <c r="AE51"/>
  <c r="AE64"/>
  <c r="AH64" s="1"/>
  <c r="AE68"/>
  <c r="AE76"/>
  <c r="AE82"/>
  <c r="AH82" s="1"/>
  <c r="AE85"/>
  <c r="AH85" s="1"/>
  <c r="AE89"/>
  <c r="AH89" s="1"/>
  <c r="AE92"/>
  <c r="AH92" s="1"/>
  <c r="AE97"/>
  <c r="Z103"/>
  <c r="AB12"/>
  <c r="AB55"/>
  <c r="AD55" s="1"/>
  <c r="AK55" s="1"/>
  <c r="AB82"/>
  <c r="U21"/>
  <c r="AG21" s="1"/>
  <c r="AB58"/>
  <c r="V21"/>
  <c r="AB66"/>
  <c r="AK39"/>
  <c r="AB11"/>
  <c r="V48"/>
  <c r="AB59"/>
  <c r="AB89"/>
  <c r="AB96"/>
  <c r="AD96" s="1"/>
  <c r="AK96" s="1"/>
  <c r="AB22"/>
  <c r="U51"/>
  <c r="AG51" s="1"/>
  <c r="AB99"/>
  <c r="AD99" s="1"/>
  <c r="AK99" s="1"/>
  <c r="L103"/>
  <c r="U48"/>
  <c r="AG48" s="1"/>
  <c r="AB10"/>
  <c r="AD10" s="1"/>
  <c r="AK10" s="1"/>
  <c r="AB8"/>
  <c r="AB17"/>
  <c r="AD17" s="1"/>
  <c r="AK17" s="1"/>
  <c r="AB41"/>
  <c r="AB52"/>
  <c r="AD52" s="1"/>
  <c r="AK52" s="1"/>
  <c r="K103"/>
  <c r="Q7"/>
  <c r="AC7" s="1"/>
  <c r="V9"/>
  <c r="V15"/>
  <c r="U15"/>
  <c r="AG15" s="1"/>
  <c r="AB27"/>
  <c r="U32"/>
  <c r="AG32" s="1"/>
  <c r="V32"/>
  <c r="T65"/>
  <c r="U65"/>
  <c r="AG65" s="1"/>
  <c r="U76"/>
  <c r="AG76" s="1"/>
  <c r="V76"/>
  <c r="U79"/>
  <c r="AG79" s="1"/>
  <c r="V79"/>
  <c r="AB92"/>
  <c r="AB94"/>
  <c r="U9"/>
  <c r="AG9" s="1"/>
  <c r="AB14"/>
  <c r="AD14" s="1"/>
  <c r="AK14" s="1"/>
  <c r="AB26"/>
  <c r="AD26" s="1"/>
  <c r="AK26" s="1"/>
  <c r="AB93"/>
  <c r="AE106"/>
  <c r="AH106" s="1"/>
  <c r="AC106"/>
  <c r="U23"/>
  <c r="AG23" s="1"/>
  <c r="T23"/>
  <c r="AB64"/>
  <c r="AD64" s="1"/>
  <c r="AK64" s="1"/>
  <c r="AB81"/>
  <c r="AD81" s="1"/>
  <c r="AK81" s="1"/>
  <c r="V67"/>
  <c r="AB28"/>
  <c r="AB33"/>
  <c r="AB56"/>
  <c r="U67"/>
  <c r="AG67" s="1"/>
  <c r="V68"/>
  <c r="U68"/>
  <c r="AG68" s="1"/>
  <c r="AB85"/>
  <c r="U97"/>
  <c r="AG97" s="1"/>
  <c r="AB29"/>
  <c r="AD29" s="1"/>
  <c r="AK29" s="1"/>
  <c r="V31"/>
  <c r="AB35"/>
  <c r="AB45"/>
  <c r="AD45" s="1"/>
  <c r="AK45" s="1"/>
  <c r="V53"/>
  <c r="AB53" s="1"/>
  <c r="AB73"/>
  <c r="AB84"/>
  <c r="U87"/>
  <c r="AG87" s="1"/>
  <c r="V87"/>
  <c r="U88"/>
  <c r="AG88" s="1"/>
  <c r="V97"/>
  <c r="AE107"/>
  <c r="AC107"/>
  <c r="AB69"/>
  <c r="AD69" s="1"/>
  <c r="AK69" s="1"/>
  <c r="AB90"/>
  <c r="AB100"/>
  <c r="AD100" s="1"/>
  <c r="AK100" s="1"/>
  <c r="AD78" l="1"/>
  <c r="AK78" s="1"/>
  <c r="AB13"/>
  <c r="AC13"/>
  <c r="AD13" s="1"/>
  <c r="AK13" s="1"/>
  <c r="AB95"/>
  <c r="AD95" s="1"/>
  <c r="AK95" s="1"/>
  <c r="AB38"/>
  <c r="AD38" s="1"/>
  <c r="AK38" s="1"/>
  <c r="AE38"/>
  <c r="AH38" s="1"/>
  <c r="AE95"/>
  <c r="AH95" s="1"/>
  <c r="AE18"/>
  <c r="AH18" s="1"/>
  <c r="AB98"/>
  <c r="AD98" s="1"/>
  <c r="AK98" s="1"/>
  <c r="AE98"/>
  <c r="AH98" s="1"/>
  <c r="AB36"/>
  <c r="AD36" s="1"/>
  <c r="AK36" s="1"/>
  <c r="AE36"/>
  <c r="AH36" s="1"/>
  <c r="AB30"/>
  <c r="AD30" s="1"/>
  <c r="AK30" s="1"/>
  <c r="AD94"/>
  <c r="AK94" s="1"/>
  <c r="AD53"/>
  <c r="AK53" s="1"/>
  <c r="AD20"/>
  <c r="AK20" s="1"/>
  <c r="AD41"/>
  <c r="AK41" s="1"/>
  <c r="AD66"/>
  <c r="AK66" s="1"/>
  <c r="AE30"/>
  <c r="AH30" s="1"/>
  <c r="AD35"/>
  <c r="AK35" s="1"/>
  <c r="AD85"/>
  <c r="AK85" s="1"/>
  <c r="AD56"/>
  <c r="AK56" s="1"/>
  <c r="AD59"/>
  <c r="AK59" s="1"/>
  <c r="AD73"/>
  <c r="AK73" s="1"/>
  <c r="AD22"/>
  <c r="AK22" s="1"/>
  <c r="AD8"/>
  <c r="AK8" s="1"/>
  <c r="AD70"/>
  <c r="AK70" s="1"/>
  <c r="AD27"/>
  <c r="AK27" s="1"/>
  <c r="AD92"/>
  <c r="AK92" s="1"/>
  <c r="AD58"/>
  <c r="AK58" s="1"/>
  <c r="AD28"/>
  <c r="AK28" s="1"/>
  <c r="AD89"/>
  <c r="AK89" s="1"/>
  <c r="AD93"/>
  <c r="AK93" s="1"/>
  <c r="AD82"/>
  <c r="AK82" s="1"/>
  <c r="AD84"/>
  <c r="AK84" s="1"/>
  <c r="AD11"/>
  <c r="AK11" s="1"/>
  <c r="AD33"/>
  <c r="AK33" s="1"/>
  <c r="AD12"/>
  <c r="AK12" s="1"/>
  <c r="AD90"/>
  <c r="AK90" s="1"/>
  <c r="AH32"/>
  <c r="AH97"/>
  <c r="AH76"/>
  <c r="AH88"/>
  <c r="AH49"/>
  <c r="AH48"/>
  <c r="AH65"/>
  <c r="AH51"/>
  <c r="AH79"/>
  <c r="AH21"/>
  <c r="AH9"/>
  <c r="AH67"/>
  <c r="AH23"/>
  <c r="AH31"/>
  <c r="AH15"/>
  <c r="AH68"/>
  <c r="AH87"/>
  <c r="AG103"/>
  <c r="AB49"/>
  <c r="AD49" s="1"/>
  <c r="AK49" s="1"/>
  <c r="AB51"/>
  <c r="AD51" s="1"/>
  <c r="AK51" s="1"/>
  <c r="AB88"/>
  <c r="AD88" s="1"/>
  <c r="AK88" s="1"/>
  <c r="AE42"/>
  <c r="AH42" s="1"/>
  <c r="AB18"/>
  <c r="AD18" s="1"/>
  <c r="AB31"/>
  <c r="AD31" s="1"/>
  <c r="AK31" s="1"/>
  <c r="AB44"/>
  <c r="AE44"/>
  <c r="AH44" s="1"/>
  <c r="AE24"/>
  <c r="AH24" s="1"/>
  <c r="AE86"/>
  <c r="AH86" s="1"/>
  <c r="AB47"/>
  <c r="AE47"/>
  <c r="AH47" s="1"/>
  <c r="AB46"/>
  <c r="AE46"/>
  <c r="AH46" s="1"/>
  <c r="AE7"/>
  <c r="AH7" s="1"/>
  <c r="AB57"/>
  <c r="AE57"/>
  <c r="AH57" s="1"/>
  <c r="AB83"/>
  <c r="AE83"/>
  <c r="AH83" s="1"/>
  <c r="AB21"/>
  <c r="AD21" s="1"/>
  <c r="AK21" s="1"/>
  <c r="AB24"/>
  <c r="AB67"/>
  <c r="AD67" s="1"/>
  <c r="AK67" s="1"/>
  <c r="AB68"/>
  <c r="AD68" s="1"/>
  <c r="AK68" s="1"/>
  <c r="AB48"/>
  <c r="AD48" s="1"/>
  <c r="AK48" s="1"/>
  <c r="AB32"/>
  <c r="AD32" s="1"/>
  <c r="AK32" s="1"/>
  <c r="AB15"/>
  <c r="AD15" s="1"/>
  <c r="AK15" s="1"/>
  <c r="T103"/>
  <c r="AB65"/>
  <c r="AD65" s="1"/>
  <c r="AK65" s="1"/>
  <c r="AB79"/>
  <c r="AD79" s="1"/>
  <c r="AK79" s="1"/>
  <c r="AB97"/>
  <c r="AD97" s="1"/>
  <c r="AK97" s="1"/>
  <c r="AB76"/>
  <c r="AD76" s="1"/>
  <c r="AK76" s="1"/>
  <c r="U103"/>
  <c r="V103"/>
  <c r="AB7"/>
  <c r="Q103"/>
  <c r="AB86"/>
  <c r="AB42"/>
  <c r="AB23"/>
  <c r="AD23" s="1"/>
  <c r="AK23" s="1"/>
  <c r="AB9"/>
  <c r="AD9" s="1"/>
  <c r="AK9" s="1"/>
  <c r="AH107"/>
  <c r="AH108" s="1"/>
  <c r="AB87"/>
  <c r="AD87" s="1"/>
  <c r="AK87" s="1"/>
  <c r="AD42" l="1"/>
  <c r="AK42" s="1"/>
  <c r="AD24"/>
  <c r="AK24" s="1"/>
  <c r="AD46"/>
  <c r="AD44"/>
  <c r="AK44" s="1"/>
  <c r="AD86"/>
  <c r="AK86" s="1"/>
  <c r="AD47"/>
  <c r="AK47" s="1"/>
  <c r="AD57"/>
  <c r="AK57" s="1"/>
  <c r="AD83"/>
  <c r="AK83" s="1"/>
  <c r="AA103"/>
  <c r="AB103"/>
  <c r="AD7"/>
  <c r="AK7" s="1"/>
  <c r="AC103"/>
  <c r="AH103"/>
  <c r="AH109"/>
  <c r="AH110" s="1"/>
  <c r="AE103"/>
  <c r="AK103" l="1"/>
  <c r="AH104"/>
  <c r="AH105" s="1"/>
  <c r="AD103"/>
  <c r="L67" i="1" l="1"/>
  <c r="K55" l="1"/>
  <c r="Q55" s="1"/>
  <c r="AC55" s="1"/>
  <c r="L71"/>
  <c r="AE55" l="1"/>
  <c r="AG55" s="1"/>
  <c r="AB55"/>
  <c r="AD55" s="1"/>
  <c r="AN17"/>
  <c r="AA78"/>
  <c r="AA82"/>
  <c r="AA71"/>
  <c r="AA24" l="1"/>
  <c r="L25" l="1"/>
  <c r="L40"/>
  <c r="L42"/>
  <c r="L74"/>
  <c r="L36"/>
  <c r="L39"/>
  <c r="L19"/>
  <c r="L44"/>
  <c r="L51"/>
  <c r="L52"/>
  <c r="K64" l="1"/>
  <c r="Q64" s="1"/>
  <c r="K13"/>
  <c r="Q13" s="1"/>
  <c r="AE13" s="1"/>
  <c r="AE64" l="1"/>
  <c r="AG64" s="1"/>
  <c r="AC64"/>
  <c r="AB64"/>
  <c r="AG13"/>
  <c r="AB13"/>
  <c r="AC13"/>
  <c r="K34"/>
  <c r="Q34" s="1"/>
  <c r="K47"/>
  <c r="Q47" s="1"/>
  <c r="AE47" s="1"/>
  <c r="AD13" l="1"/>
  <c r="AD64"/>
  <c r="AG47"/>
  <c r="AB47"/>
  <c r="AC47"/>
  <c r="AC34"/>
  <c r="AB34"/>
  <c r="AE34"/>
  <c r="AG34" s="1"/>
  <c r="AA25"/>
  <c r="AD34" l="1"/>
  <c r="AD47"/>
  <c r="L96"/>
  <c r="N96"/>
  <c r="O96"/>
  <c r="P96"/>
  <c r="R96"/>
  <c r="W96"/>
  <c r="X96"/>
  <c r="Y96"/>
  <c r="Z96"/>
  <c r="AH96"/>
  <c r="AJ96"/>
  <c r="AK96"/>
  <c r="K90"/>
  <c r="Q90" s="1"/>
  <c r="AE90" s="1"/>
  <c r="K89"/>
  <c r="AG90" l="1"/>
  <c r="AC90"/>
  <c r="AB90"/>
  <c r="AD90" l="1"/>
  <c r="Q89"/>
  <c r="AE89" s="1"/>
  <c r="K88"/>
  <c r="Q88" s="1"/>
  <c r="AG89" l="1"/>
  <c r="AB89"/>
  <c r="AC89"/>
  <c r="AB88"/>
  <c r="AC88"/>
  <c r="AE88"/>
  <c r="AG88" s="1"/>
  <c r="K10"/>
  <c r="Q10" s="1"/>
  <c r="AD89" l="1"/>
  <c r="AD88"/>
  <c r="AE10"/>
  <c r="AG10" s="1"/>
  <c r="AB10"/>
  <c r="AD10" s="1"/>
  <c r="K35"/>
  <c r="Q35" s="1"/>
  <c r="K14"/>
  <c r="Q14" s="1"/>
  <c r="K50"/>
  <c r="Q50" s="1"/>
  <c r="K70"/>
  <c r="Q70" s="1"/>
  <c r="K45"/>
  <c r="Q45" s="1"/>
  <c r="AB45" s="1"/>
  <c r="K79"/>
  <c r="Q79" s="1"/>
  <c r="AB79" s="1"/>
  <c r="AC14" l="1"/>
  <c r="AE14"/>
  <c r="AG14" s="1"/>
  <c r="AB14"/>
  <c r="AC35"/>
  <c r="AB35"/>
  <c r="AE35"/>
  <c r="AG35" s="1"/>
  <c r="AE50"/>
  <c r="AG50" s="1"/>
  <c r="V50"/>
  <c r="AB50" s="1"/>
  <c r="AE70"/>
  <c r="AG70" s="1"/>
  <c r="AC70"/>
  <c r="AB70"/>
  <c r="AC50"/>
  <c r="AC45"/>
  <c r="AD45" s="1"/>
  <c r="AE45"/>
  <c r="AG45" s="1"/>
  <c r="AC79"/>
  <c r="AD79" s="1"/>
  <c r="AE79"/>
  <c r="AG79" s="1"/>
  <c r="AI94"/>
  <c r="AI93"/>
  <c r="AI92"/>
  <c r="AD35" l="1"/>
  <c r="AD14"/>
  <c r="AD70"/>
  <c r="AD50"/>
  <c r="K27"/>
  <c r="Q27" s="1"/>
  <c r="K25"/>
  <c r="Q25" s="1"/>
  <c r="K41"/>
  <c r="Q41" s="1"/>
  <c r="K54"/>
  <c r="Q54" s="1"/>
  <c r="K83"/>
  <c r="Q83" s="1"/>
  <c r="K9"/>
  <c r="Q9" s="1"/>
  <c r="K16"/>
  <c r="Q16" s="1"/>
  <c r="K21"/>
  <c r="Q21" s="1"/>
  <c r="K23"/>
  <c r="Q23" s="1"/>
  <c r="K31"/>
  <c r="Q31" s="1"/>
  <c r="K32"/>
  <c r="Q32" s="1"/>
  <c r="K46"/>
  <c r="Q46" s="1"/>
  <c r="K48"/>
  <c r="Q48" s="1"/>
  <c r="K57"/>
  <c r="Q57" s="1"/>
  <c r="K59"/>
  <c r="Q59" s="1"/>
  <c r="K60"/>
  <c r="Q60" s="1"/>
  <c r="K65"/>
  <c r="Q65" s="1"/>
  <c r="K66"/>
  <c r="Q66" s="1"/>
  <c r="K71"/>
  <c r="Q71" s="1"/>
  <c r="AB71" s="1"/>
  <c r="K68"/>
  <c r="Q68" s="1"/>
  <c r="K75"/>
  <c r="Q75" s="1"/>
  <c r="K76"/>
  <c r="Q76" s="1"/>
  <c r="K84"/>
  <c r="Q84" s="1"/>
  <c r="K12"/>
  <c r="Q12" s="1"/>
  <c r="K22"/>
  <c r="Q22" s="1"/>
  <c r="K52"/>
  <c r="Q52" s="1"/>
  <c r="K17"/>
  <c r="Q17" s="1"/>
  <c r="K8"/>
  <c r="Q8" s="1"/>
  <c r="K15"/>
  <c r="Q15" s="1"/>
  <c r="K19"/>
  <c r="Q19" s="1"/>
  <c r="AC19" s="1"/>
  <c r="K36"/>
  <c r="Q36" s="1"/>
  <c r="AE36" s="1"/>
  <c r="K37"/>
  <c r="Q37" s="1"/>
  <c r="K39"/>
  <c r="Q39" s="1"/>
  <c r="K40"/>
  <c r="Q40" s="1"/>
  <c r="AB40" s="1"/>
  <c r="K42"/>
  <c r="Q42" s="1"/>
  <c r="AE42" s="1"/>
  <c r="K51"/>
  <c r="Q51" s="1"/>
  <c r="K44"/>
  <c r="Q44" s="1"/>
  <c r="AB44" s="1"/>
  <c r="K53"/>
  <c r="Q53" s="1"/>
  <c r="AA53" s="1"/>
  <c r="K56"/>
  <c r="Q56" s="1"/>
  <c r="K61"/>
  <c r="Q61" s="1"/>
  <c r="K74"/>
  <c r="Q74" s="1"/>
  <c r="K82"/>
  <c r="Q82" s="1"/>
  <c r="AE82" s="1"/>
  <c r="K86"/>
  <c r="Q86" s="1"/>
  <c r="AE86" s="1"/>
  <c r="K78"/>
  <c r="Q78" s="1"/>
  <c r="AC78" s="1"/>
  <c r="K73"/>
  <c r="Q73" s="1"/>
  <c r="K67"/>
  <c r="Q67" s="1"/>
  <c r="AC67" s="1"/>
  <c r="K69"/>
  <c r="Q69" s="1"/>
  <c r="K43"/>
  <c r="Q43" s="1"/>
  <c r="AC43" s="1"/>
  <c r="K30"/>
  <c r="Q30" s="1"/>
  <c r="K28"/>
  <c r="Q28" s="1"/>
  <c r="AC28" s="1"/>
  <c r="K24"/>
  <c r="Q24" s="1"/>
  <c r="K29"/>
  <c r="Q29" s="1"/>
  <c r="K18"/>
  <c r="Q18" s="1"/>
  <c r="K85"/>
  <c r="Q85" s="1"/>
  <c r="K87"/>
  <c r="Q87" s="1"/>
  <c r="K81"/>
  <c r="Q81" s="1"/>
  <c r="AE81" s="1"/>
  <c r="K77"/>
  <c r="Q77" s="1"/>
  <c r="K80"/>
  <c r="Q80" s="1"/>
  <c r="K63"/>
  <c r="Q63" s="1"/>
  <c r="AC63" s="1"/>
  <c r="K62"/>
  <c r="Q62" s="1"/>
  <c r="K58"/>
  <c r="Q58" s="1"/>
  <c r="K49"/>
  <c r="Q49" s="1"/>
  <c r="K38"/>
  <c r="Q38" s="1"/>
  <c r="K26"/>
  <c r="Q26" s="1"/>
  <c r="K72"/>
  <c r="Q72" s="1"/>
  <c r="K33"/>
  <c r="Q33" s="1"/>
  <c r="K20"/>
  <c r="K11"/>
  <c r="Q11" s="1"/>
  <c r="AE11" s="1"/>
  <c r="K7"/>
  <c r="D21" i="3"/>
  <c r="E21" s="1"/>
  <c r="G21" s="1"/>
  <c r="D20"/>
  <c r="E20" s="1"/>
  <c r="G20" s="1"/>
  <c r="D13"/>
  <c r="E13" s="1"/>
  <c r="G13" s="1"/>
  <c r="D12"/>
  <c r="E12" s="1"/>
  <c r="G12" s="1"/>
  <c r="D8"/>
  <c r="E8" s="1"/>
  <c r="G8" s="1"/>
  <c r="D26"/>
  <c r="E26" s="1"/>
  <c r="G26" s="1"/>
  <c r="D25"/>
  <c r="E25" s="1"/>
  <c r="G25" s="1"/>
  <c r="D24"/>
  <c r="E24" s="1"/>
  <c r="G24" s="1"/>
  <c r="D23"/>
  <c r="E23" s="1"/>
  <c r="G23" s="1"/>
  <c r="D22"/>
  <c r="E22" s="1"/>
  <c r="G22" s="1"/>
  <c r="D19"/>
  <c r="E19" s="1"/>
  <c r="G19" s="1"/>
  <c r="D18"/>
  <c r="E18" s="1"/>
  <c r="D17"/>
  <c r="E17" s="1"/>
  <c r="G17" s="1"/>
  <c r="D16"/>
  <c r="E16" s="1"/>
  <c r="G16" s="1"/>
  <c r="D15"/>
  <c r="E15" s="1"/>
  <c r="G15" s="1"/>
  <c r="D14"/>
  <c r="E14" s="1"/>
  <c r="G14" s="1"/>
  <c r="D11"/>
  <c r="E11" s="1"/>
  <c r="G11" s="1"/>
  <c r="D10"/>
  <c r="E10" s="1"/>
  <c r="G10" s="1"/>
  <c r="D9"/>
  <c r="E9" s="1"/>
  <c r="G9" s="1"/>
  <c r="D7"/>
  <c r="E7" s="1"/>
  <c r="G7" s="1"/>
  <c r="C9" i="2"/>
  <c r="C8"/>
  <c r="Q100" i="1"/>
  <c r="AB100" s="1"/>
  <c r="AC100" s="1"/>
  <c r="Q99"/>
  <c r="AB99" s="1"/>
  <c r="D28" i="3" l="1"/>
  <c r="AA17" i="1"/>
  <c r="AA96" s="1"/>
  <c r="U57"/>
  <c r="T57"/>
  <c r="U23"/>
  <c r="T23"/>
  <c r="U59"/>
  <c r="V59"/>
  <c r="V84"/>
  <c r="U84"/>
  <c r="V76"/>
  <c r="U76"/>
  <c r="V66"/>
  <c r="U66"/>
  <c r="V75"/>
  <c r="U75"/>
  <c r="V65"/>
  <c r="U65"/>
  <c r="V68"/>
  <c r="U68"/>
  <c r="U32"/>
  <c r="V32"/>
  <c r="V16"/>
  <c r="U16"/>
  <c r="V31"/>
  <c r="U31"/>
  <c r="V9"/>
  <c r="U9"/>
  <c r="U48"/>
  <c r="V48"/>
  <c r="U60"/>
  <c r="V60"/>
  <c r="U46"/>
  <c r="V46"/>
  <c r="V21"/>
  <c r="U21"/>
  <c r="AF96"/>
  <c r="Q7"/>
  <c r="AE7" s="1"/>
  <c r="K96"/>
  <c r="AC66"/>
  <c r="AE75"/>
  <c r="AG75" s="1"/>
  <c r="AE65"/>
  <c r="AG65" s="1"/>
  <c r="G28" i="3"/>
  <c r="AE100" i="1"/>
  <c r="AG100" s="1"/>
  <c r="AD100"/>
  <c r="AG81"/>
  <c r="AD99"/>
  <c r="AE99"/>
  <c r="AC99"/>
  <c r="AB80"/>
  <c r="AE80"/>
  <c r="AG80" s="1"/>
  <c r="AE48"/>
  <c r="AG48" s="1"/>
  <c r="AC81"/>
  <c r="AE66"/>
  <c r="AG66" s="1"/>
  <c r="AE54"/>
  <c r="AG54" s="1"/>
  <c r="AC54"/>
  <c r="AB54"/>
  <c r="AE16"/>
  <c r="AG16" s="1"/>
  <c r="AC16"/>
  <c r="AE52"/>
  <c r="AG52" s="1"/>
  <c r="AC52"/>
  <c r="AB52"/>
  <c r="AE37"/>
  <c r="AG37" s="1"/>
  <c r="AC37"/>
  <c r="AB41"/>
  <c r="AC41"/>
  <c r="AE84"/>
  <c r="AG84" s="1"/>
  <c r="AC84"/>
  <c r="AE8"/>
  <c r="AG8" s="1"/>
  <c r="AB8"/>
  <c r="AB74"/>
  <c r="AC74"/>
  <c r="AB86"/>
  <c r="AE41"/>
  <c r="AG41" s="1"/>
  <c r="AE9"/>
  <c r="AG9" s="1"/>
  <c r="AC9"/>
  <c r="AE21"/>
  <c r="AG21" s="1"/>
  <c r="AE68"/>
  <c r="AG68" s="1"/>
  <c r="AC68"/>
  <c r="AE27"/>
  <c r="AG27" s="1"/>
  <c r="AC27"/>
  <c r="AB27"/>
  <c r="AE59"/>
  <c r="AG59" s="1"/>
  <c r="AC59"/>
  <c r="AE76"/>
  <c r="AG76" s="1"/>
  <c r="AC76"/>
  <c r="AB12"/>
  <c r="AE12"/>
  <c r="AG12" s="1"/>
  <c r="AB37"/>
  <c r="AE61"/>
  <c r="AG61" s="1"/>
  <c r="AC61"/>
  <c r="AB61"/>
  <c r="AE51"/>
  <c r="AG51" s="1"/>
  <c r="AC51"/>
  <c r="AB51"/>
  <c r="AE39"/>
  <c r="AG39" s="1"/>
  <c r="AC39"/>
  <c r="AB39"/>
  <c r="AE19"/>
  <c r="AG19" s="1"/>
  <c r="AB19"/>
  <c r="AD19" s="1"/>
  <c r="AE71"/>
  <c r="AG71" s="1"/>
  <c r="AC71"/>
  <c r="AD71" s="1"/>
  <c r="AE32"/>
  <c r="AG32" s="1"/>
  <c r="AC32"/>
  <c r="AE17"/>
  <c r="AG17" s="1"/>
  <c r="AC40"/>
  <c r="AD40" s="1"/>
  <c r="AC44"/>
  <c r="AD44" s="1"/>
  <c r="AE40"/>
  <c r="AG40" s="1"/>
  <c r="AB25"/>
  <c r="AE25"/>
  <c r="AG25" s="1"/>
  <c r="AC31"/>
  <c r="AC46"/>
  <c r="AE57"/>
  <c r="AG57" s="1"/>
  <c r="AC57"/>
  <c r="AC22"/>
  <c r="AE22"/>
  <c r="AG22" s="1"/>
  <c r="AB22"/>
  <c r="AC25"/>
  <c r="AC83"/>
  <c r="AB83"/>
  <c r="AC23"/>
  <c r="AE23"/>
  <c r="AG23" s="1"/>
  <c r="AE31"/>
  <c r="AG31" s="1"/>
  <c r="AE46"/>
  <c r="AG46" s="1"/>
  <c r="AE60"/>
  <c r="AG60" s="1"/>
  <c r="AE15"/>
  <c r="AG15" s="1"/>
  <c r="AC15"/>
  <c r="AB15"/>
  <c r="AE83"/>
  <c r="AG83" s="1"/>
  <c r="AC60"/>
  <c r="AC75"/>
  <c r="AG42"/>
  <c r="AC42"/>
  <c r="AC53"/>
  <c r="AB53"/>
  <c r="AC56"/>
  <c r="AC65"/>
  <c r="AC17"/>
  <c r="AG36"/>
  <c r="AC36"/>
  <c r="AB42"/>
  <c r="AB56"/>
  <c r="AC21"/>
  <c r="AC48"/>
  <c r="AC12"/>
  <c r="AC8"/>
  <c r="AB36"/>
  <c r="AE53"/>
  <c r="AG53" s="1"/>
  <c r="AE56"/>
  <c r="AG56" s="1"/>
  <c r="AG82"/>
  <c r="AC82"/>
  <c r="AB82"/>
  <c r="AG86"/>
  <c r="AC86"/>
  <c r="AE44"/>
  <c r="AG44" s="1"/>
  <c r="AE74"/>
  <c r="AG74" s="1"/>
  <c r="AB49"/>
  <c r="AE49"/>
  <c r="AG49" s="1"/>
  <c r="AB78"/>
  <c r="AD78" s="1"/>
  <c r="AC38"/>
  <c r="AB38"/>
  <c r="AE77"/>
  <c r="AG77" s="1"/>
  <c r="AC77"/>
  <c r="AC73"/>
  <c r="AB73"/>
  <c r="AC26"/>
  <c r="AB26"/>
  <c r="AE26"/>
  <c r="AG26" s="1"/>
  <c r="AB58"/>
  <c r="AE58"/>
  <c r="AG58" s="1"/>
  <c r="AE69"/>
  <c r="AG69" s="1"/>
  <c r="AB69"/>
  <c r="AB67"/>
  <c r="AD67" s="1"/>
  <c r="AB63"/>
  <c r="AD63" s="1"/>
  <c r="AC80"/>
  <c r="AB81"/>
  <c r="AE67"/>
  <c r="AG67" s="1"/>
  <c r="AE43"/>
  <c r="AG43" s="1"/>
  <c r="AC49"/>
  <c r="AC24"/>
  <c r="AE24"/>
  <c r="AG24" s="1"/>
  <c r="AB24"/>
  <c r="AG11"/>
  <c r="AC72"/>
  <c r="AB72"/>
  <c r="AE72"/>
  <c r="AG72" s="1"/>
  <c r="AE62"/>
  <c r="AG62" s="1"/>
  <c r="AB62"/>
  <c r="AC62"/>
  <c r="AB29"/>
  <c r="AE29"/>
  <c r="AG29" s="1"/>
  <c r="AC29"/>
  <c r="AE30"/>
  <c r="AG30" s="1"/>
  <c r="AB30"/>
  <c r="AC30"/>
  <c r="AC87"/>
  <c r="AB87"/>
  <c r="AE87"/>
  <c r="AG87" s="1"/>
  <c r="AC85"/>
  <c r="AE85"/>
  <c r="AG85" s="1"/>
  <c r="AB85"/>
  <c r="AE33"/>
  <c r="AG33" s="1"/>
  <c r="AC33"/>
  <c r="AB33"/>
  <c r="AB18"/>
  <c r="AC18"/>
  <c r="AE18"/>
  <c r="AG18" s="1"/>
  <c r="AB43"/>
  <c r="AD43" s="1"/>
  <c r="AE63"/>
  <c r="AG63" s="1"/>
  <c r="AC69"/>
  <c r="AB77"/>
  <c r="AE73"/>
  <c r="AG73" s="1"/>
  <c r="AE28"/>
  <c r="AG28" s="1"/>
  <c r="AB11"/>
  <c r="AC58"/>
  <c r="AE78"/>
  <c r="AG78" s="1"/>
  <c r="AE38"/>
  <c r="AG38" s="1"/>
  <c r="AC11"/>
  <c r="Q20"/>
  <c r="AB28"/>
  <c r="AD28" s="1"/>
  <c r="AB57" l="1"/>
  <c r="AD57" s="1"/>
  <c r="T96"/>
  <c r="AB23"/>
  <c r="AD23" s="1"/>
  <c r="AB17"/>
  <c r="AD17" s="1"/>
  <c r="AB7"/>
  <c r="AG7"/>
  <c r="U96"/>
  <c r="V96"/>
  <c r="Q96"/>
  <c r="AC7"/>
  <c r="AG99"/>
  <c r="AH99" s="1"/>
  <c r="AI99" s="1"/>
  <c r="AH100"/>
  <c r="AI100" s="1"/>
  <c r="AB59"/>
  <c r="AD59" s="1"/>
  <c r="AB76"/>
  <c r="AD76" s="1"/>
  <c r="AB84"/>
  <c r="AD84" s="1"/>
  <c r="AB46"/>
  <c r="AD46" s="1"/>
  <c r="AB68"/>
  <c r="AD68" s="1"/>
  <c r="AB65"/>
  <c r="AD65" s="1"/>
  <c r="AB31"/>
  <c r="AD31" s="1"/>
  <c r="AB21"/>
  <c r="AD21" s="1"/>
  <c r="AB48"/>
  <c r="AD48" s="1"/>
  <c r="AB9"/>
  <c r="AD9" s="1"/>
  <c r="AB66"/>
  <c r="AD66" s="1"/>
  <c r="AB75"/>
  <c r="AD75" s="1"/>
  <c r="AB16"/>
  <c r="AD16" s="1"/>
  <c r="AB32"/>
  <c r="AD32" s="1"/>
  <c r="AB60"/>
  <c r="AD60" s="1"/>
  <c r="AD72"/>
  <c r="AD81"/>
  <c r="AD80"/>
  <c r="AD69"/>
  <c r="AD27"/>
  <c r="AD73"/>
  <c r="AD53"/>
  <c r="AD22"/>
  <c r="AD54"/>
  <c r="AD83"/>
  <c r="AD39"/>
  <c r="AD52"/>
  <c r="AD33"/>
  <c r="AD26"/>
  <c r="AD38"/>
  <c r="AD86"/>
  <c r="AD12"/>
  <c r="AD8"/>
  <c r="AD37"/>
  <c r="AD82"/>
  <c r="AD15"/>
  <c r="AD51"/>
  <c r="AD61"/>
  <c r="AD74"/>
  <c r="AD41"/>
  <c r="AD58"/>
  <c r="AD56"/>
  <c r="AD25"/>
  <c r="AD36"/>
  <c r="AD42"/>
  <c r="AD49"/>
  <c r="AD77"/>
  <c r="AD24"/>
  <c r="AD85"/>
  <c r="AD18"/>
  <c r="AD29"/>
  <c r="AD11"/>
  <c r="AE20"/>
  <c r="AE96" s="1"/>
  <c r="AB20"/>
  <c r="AC20"/>
  <c r="AD30"/>
  <c r="AD87"/>
  <c r="AD62"/>
  <c r="AG101" l="1"/>
  <c r="AG102" s="1"/>
  <c r="AG103" s="1"/>
  <c r="AC96"/>
  <c r="AD7"/>
  <c r="AB96"/>
  <c r="AJ99"/>
  <c r="AK99" s="1"/>
  <c r="AJ100"/>
  <c r="AK100" s="1"/>
  <c r="AD20"/>
  <c r="AG20"/>
  <c r="AG96" s="1"/>
  <c r="AG97" l="1"/>
  <c r="AG98" s="1"/>
  <c r="AG105" s="1"/>
  <c r="AD96"/>
  <c r="AL99"/>
  <c r="AL100"/>
  <c r="AI96" l="1"/>
  <c r="AL96" l="1"/>
</calcChain>
</file>

<file path=xl/sharedStrings.xml><?xml version="1.0" encoding="utf-8"?>
<sst xmlns="http://schemas.openxmlformats.org/spreadsheetml/2006/main" count="970" uniqueCount="356">
  <si>
    <t>Puesto</t>
  </si>
  <si>
    <t xml:space="preserve">García Espinoza Ma De la Luz </t>
  </si>
  <si>
    <t>Sánchez Villeda Ma. Del Rosario</t>
  </si>
  <si>
    <t xml:space="preserve">Garnica Téllez Adriana Miriam </t>
  </si>
  <si>
    <t>Padron Lorenzo Christian Josue</t>
  </si>
  <si>
    <t xml:space="preserve">Suarez Martínez Salvador </t>
  </si>
  <si>
    <t xml:space="preserve">Gómez López Jaime </t>
  </si>
  <si>
    <t>Islas Romero Juan Carlos</t>
  </si>
  <si>
    <t>Joachin Cardenas Epifanio</t>
  </si>
  <si>
    <t>Garcia Barrera Luis Alberto</t>
  </si>
  <si>
    <t>Bautista Valencia Jorge</t>
  </si>
  <si>
    <t xml:space="preserve">González Mejía Jesús Eduardo </t>
  </si>
  <si>
    <t>Godinez Aviles Efrén</t>
  </si>
  <si>
    <t>Farias Delgado Marco Polo</t>
  </si>
  <si>
    <t>Martinez Gaytan Erika</t>
  </si>
  <si>
    <t>Martinez Barragan Enoc</t>
  </si>
  <si>
    <t>Escamilla Hinojosa Ma. Esther</t>
  </si>
  <si>
    <t>TOTAL NOMINA</t>
  </si>
  <si>
    <t>PASA A NOMINA SEMANAL</t>
  </si>
  <si>
    <t>BAJAS DURANTE LA QUINCENA</t>
  </si>
  <si>
    <t>Orozco Ordoñez Jose Domingo</t>
  </si>
  <si>
    <t>Rodriguez Ponce Zozimo Enoch</t>
  </si>
  <si>
    <t>Diaz Gutierrez Juan Francisco</t>
  </si>
  <si>
    <t>Cortes Trejo German</t>
  </si>
  <si>
    <t>Consultores &amp; Asesores Integrales S.C.</t>
  </si>
  <si>
    <t>Servicios Prestados a :  ALECSA PACHUCA S DE RL DE CV</t>
  </si>
  <si>
    <t>Comision subsidiada</t>
  </si>
  <si>
    <t>Comision empleado</t>
  </si>
  <si>
    <t>Impto Nomina</t>
  </si>
  <si>
    <t>Factura</t>
  </si>
  <si>
    <t>Fonacot</t>
  </si>
  <si>
    <t>Neto a Recibir</t>
  </si>
  <si>
    <t>Infonavit</t>
  </si>
  <si>
    <t>INCAPACIDAD</t>
  </si>
  <si>
    <t>Sueldo Quincenal</t>
  </si>
  <si>
    <t>Prima Vacacional</t>
  </si>
  <si>
    <t>Dias de Vacaciones</t>
  </si>
  <si>
    <t>Total Percepciones</t>
  </si>
  <si>
    <t>Descuentos Cta 254</t>
  </si>
  <si>
    <t>Area</t>
  </si>
  <si>
    <t>Nombre</t>
  </si>
  <si>
    <t>Suc</t>
  </si>
  <si>
    <t>CORONA ESCOBAR GUADALUPE</t>
  </si>
  <si>
    <t>SOLIS MEDINA GUADALUPE BEATRIZ</t>
  </si>
  <si>
    <t>QUINCENAL</t>
  </si>
  <si>
    <t>ANUAL</t>
  </si>
  <si>
    <t>GASTOS MEDICOS MAYORES</t>
  </si>
  <si>
    <t>Descuentos Infonavit 2016</t>
  </si>
  <si>
    <t>25 %</t>
  </si>
  <si>
    <t>Leon Sanchez Ernesto</t>
  </si>
  <si>
    <t>%</t>
  </si>
  <si>
    <t>CF</t>
  </si>
  <si>
    <t>VSM</t>
  </si>
  <si>
    <t>MENSUAL</t>
  </si>
  <si>
    <t>BAJA</t>
  </si>
  <si>
    <t>SEG GTS MED MAY</t>
  </si>
  <si>
    <t>Pension</t>
  </si>
  <si>
    <t>700-070 VENTAS</t>
  </si>
  <si>
    <t>701-070 USADOS</t>
  </si>
  <si>
    <t>703-070 ADMON</t>
  </si>
  <si>
    <t>704-070 REFACC</t>
  </si>
  <si>
    <t>705-001-070 SERV</t>
  </si>
  <si>
    <t>683-001-001 COSTO</t>
  </si>
  <si>
    <t>SEGURO DE VIDA (-)</t>
  </si>
  <si>
    <t>Total Deduciones</t>
  </si>
  <si>
    <t>sub   S/N</t>
  </si>
  <si>
    <t>CONSULTORES</t>
  </si>
  <si>
    <t>FIJO / VARIABLE</t>
  </si>
  <si>
    <t>SINDICATO</t>
  </si>
  <si>
    <t>ADMON SERVICIO</t>
  </si>
  <si>
    <t>SEMINUEVOS</t>
  </si>
  <si>
    <t>VENTAS</t>
  </si>
  <si>
    <t>ASESOR DE SERVICIO</t>
  </si>
  <si>
    <t>ASESOR DE VENTAS</t>
  </si>
  <si>
    <t>COACH DE VENTAS</t>
  </si>
  <si>
    <t>COMISION</t>
  </si>
  <si>
    <t>Servicios Prestados a : QUERETARO MOTORS, SA</t>
  </si>
  <si>
    <t>OLVERA BAUTISTA J. D</t>
  </si>
  <si>
    <t>PEREZ PEREZ ISMAEL</t>
  </si>
  <si>
    <t>TELLEZ GAYTAN DANIEL</t>
  </si>
  <si>
    <t>VEGA RIVERA ISMAEL</t>
  </si>
  <si>
    <t>LOPEZ DE LEON DANIEL</t>
  </si>
  <si>
    <t>RESENDIZ SOTO EMILIO</t>
  </si>
  <si>
    <t>SERENO CUELLAR JUVEN</t>
  </si>
  <si>
    <t>LARA OVIEDO SORAYA</t>
  </si>
  <si>
    <t>RESENDIZ CRESPO JOSE</t>
  </si>
  <si>
    <t>SALDAñA GARCIA MARCO</t>
  </si>
  <si>
    <t>ARENAS VARGAS MOISES</t>
  </si>
  <si>
    <t>MEDINA CASTRO CARLOS</t>
  </si>
  <si>
    <t>RUIZ RODRIGUEZ OMAR</t>
  </si>
  <si>
    <t>VERA GARCIA GERARDO</t>
  </si>
  <si>
    <t>SERVICIO</t>
  </si>
  <si>
    <t>HOJALATERIA</t>
  </si>
  <si>
    <t>ADMINISTRACION</t>
  </si>
  <si>
    <t>COSTO</t>
  </si>
  <si>
    <t>AB27</t>
  </si>
  <si>
    <t>AOR15</t>
  </si>
  <si>
    <t>CMM24</t>
  </si>
  <si>
    <t>GZ20</t>
  </si>
  <si>
    <t>RR02</t>
  </si>
  <si>
    <t>CHG</t>
  </si>
  <si>
    <t>HS11</t>
  </si>
  <si>
    <t>ML23</t>
  </si>
  <si>
    <t>OB15</t>
  </si>
  <si>
    <t>PP05</t>
  </si>
  <si>
    <t>RB08</t>
  </si>
  <si>
    <t>SL08</t>
  </si>
  <si>
    <t>SR27</t>
  </si>
  <si>
    <t>TG06</t>
  </si>
  <si>
    <t>VM21</t>
  </si>
  <si>
    <t>VR23</t>
  </si>
  <si>
    <t>BC22</t>
  </si>
  <si>
    <t>CO16</t>
  </si>
  <si>
    <t>CR06</t>
  </si>
  <si>
    <t>CO02</t>
  </si>
  <si>
    <t>DC20</t>
  </si>
  <si>
    <t>LL19</t>
  </si>
  <si>
    <t>RA13</t>
  </si>
  <si>
    <t>RS03</t>
  </si>
  <si>
    <t>RV23</t>
  </si>
  <si>
    <t>SC25</t>
  </si>
  <si>
    <t>CM22</t>
  </si>
  <si>
    <t>CO24</t>
  </si>
  <si>
    <t>LO14</t>
  </si>
  <si>
    <t>MPJ04</t>
  </si>
  <si>
    <t>TDA18</t>
  </si>
  <si>
    <t>AL17</t>
  </si>
  <si>
    <t>AR01</t>
  </si>
  <si>
    <t>CR14</t>
  </si>
  <si>
    <t>CT26</t>
  </si>
  <si>
    <t>ER14</t>
  </si>
  <si>
    <t>FG14</t>
  </si>
  <si>
    <t>MA08</t>
  </si>
  <si>
    <t>MG14</t>
  </si>
  <si>
    <t>NS26</t>
  </si>
  <si>
    <t>OH11</t>
  </si>
  <si>
    <t>OS06</t>
  </si>
  <si>
    <t>RCJ07</t>
  </si>
  <si>
    <t>RE14</t>
  </si>
  <si>
    <t>RG12</t>
  </si>
  <si>
    <t>RH14</t>
  </si>
  <si>
    <t>SG05</t>
  </si>
  <si>
    <t>SH17</t>
  </si>
  <si>
    <t>VM14</t>
  </si>
  <si>
    <t>AC19</t>
  </si>
  <si>
    <t>AG07</t>
  </si>
  <si>
    <t>AZ14</t>
  </si>
  <si>
    <t>BL011</t>
  </si>
  <si>
    <t>GO01</t>
  </si>
  <si>
    <t>HCG28</t>
  </si>
  <si>
    <t>HS08</t>
  </si>
  <si>
    <t>JH19</t>
  </si>
  <si>
    <t>LR05</t>
  </si>
  <si>
    <t>MC14</t>
  </si>
  <si>
    <t>MH09</t>
  </si>
  <si>
    <t>MH25</t>
  </si>
  <si>
    <t>NB02</t>
  </si>
  <si>
    <t>PG04</t>
  </si>
  <si>
    <t>RR05</t>
  </si>
  <si>
    <t>TS31</t>
  </si>
  <si>
    <t>VG25</t>
  </si>
  <si>
    <t>HOJALATERO Y PINTOR</t>
  </si>
  <si>
    <t>PREPARADOR</t>
  </si>
  <si>
    <t>HOJALATERO</t>
  </si>
  <si>
    <t>HOJALATERO PINTOR</t>
  </si>
  <si>
    <t>ARMADOR</t>
  </si>
  <si>
    <t>PINTOR</t>
  </si>
  <si>
    <t>AYUDANTE DE HOJALATE</t>
  </si>
  <si>
    <t>AYUDANTE GENERAL</t>
  </si>
  <si>
    <t>TELEMARKETING</t>
  </si>
  <si>
    <t>CONTACT CENTER</t>
  </si>
  <si>
    <t>VIGILANTE</t>
  </si>
  <si>
    <t>MANTENIMIENTO</t>
  </si>
  <si>
    <t>ASESOR DE VENTAS SEM</t>
  </si>
  <si>
    <t>AYUDANTE DE MECANICO</t>
  </si>
  <si>
    <t>AYUDANTE DE GENERAL</t>
  </si>
  <si>
    <t>OPARARIO C</t>
  </si>
  <si>
    <t>OPERARIO B</t>
  </si>
  <si>
    <t>AYUDANTE GENERAL DE</t>
  </si>
  <si>
    <t>OPERARIO A</t>
  </si>
  <si>
    <t>AYUDANTE DE PREVIAS</t>
  </si>
  <si>
    <t>TECNICO C</t>
  </si>
  <si>
    <t>ESTETICAS</t>
  </si>
  <si>
    <t>OPERARIO</t>
  </si>
  <si>
    <t>ASISTENTE F&amp;I</t>
  </si>
  <si>
    <t>COACH DE PISO</t>
  </si>
  <si>
    <t>AHORRO CTM</t>
  </si>
  <si>
    <t>PRESTAMO CTM</t>
  </si>
  <si>
    <t>PAGADO</t>
  </si>
  <si>
    <t>DIF</t>
  </si>
  <si>
    <t>DISPERCION</t>
  </si>
  <si>
    <t>DIFERENCIA</t>
  </si>
  <si>
    <t>MARTINEZ ALVARADO ADRIAN</t>
  </si>
  <si>
    <t>SANCHEZ HURTADO CARLOS</t>
  </si>
  <si>
    <t>MARTINEZ GUERRERO LEONEL</t>
  </si>
  <si>
    <t>REYES HURTADO GUILLERMO</t>
  </si>
  <si>
    <t>ALAVEZ LOPEZ INOCENCIO</t>
  </si>
  <si>
    <t>VALDEZ MARTINEZ MARTIN</t>
  </si>
  <si>
    <t>CANCINO RODRIGUEZ GREGORIO</t>
  </si>
  <si>
    <t>OLVERA SOTO LUIS ANGEL</t>
  </si>
  <si>
    <t>MATA GONZALEZ ALEJANDRO</t>
  </si>
  <si>
    <t>RIVERA GALLEGOS FRANCISCO</t>
  </si>
  <si>
    <t xml:space="preserve">MARTINEZ MONTOYA EFRAIN </t>
  </si>
  <si>
    <t>ARTEAGA SILVA ALFREDO</t>
  </si>
  <si>
    <t>GRANADOS PEREZ BRENDA</t>
  </si>
  <si>
    <t>ALFARO LAZARO ISAAC</t>
  </si>
  <si>
    <t>AL26</t>
  </si>
  <si>
    <t>DE JESUS CRUZ JUAN CARLOS</t>
  </si>
  <si>
    <t>OLVERA HERNANDEZ JOSE TOMAS</t>
  </si>
  <si>
    <t>CORTES HERNANDEZ GERMAN</t>
  </si>
  <si>
    <t>VIGUERAS MARTINEZ JUAN CARLOS</t>
  </si>
  <si>
    <t>SANCHEZ RODRIGUEZ FREDY</t>
  </si>
  <si>
    <t>CUOTA SINDICAL 1%</t>
  </si>
  <si>
    <t>FONDO DE AHORRO 4.9%</t>
  </si>
  <si>
    <t>RIVERA GONZALEZ JOSE ADAN</t>
  </si>
  <si>
    <t>RESENDIZ ECHEVERRIA MARIO</t>
  </si>
  <si>
    <t>MIJANGOS HERNANDEZ JULIO CESAR</t>
  </si>
  <si>
    <t>REYES FLORES ALAN RICARDO</t>
  </si>
  <si>
    <t>RF27</t>
  </si>
  <si>
    <t>AGUILAR GONZALEZ ANAEL</t>
  </si>
  <si>
    <t>CORTES MIRANDA CARLOS</t>
  </si>
  <si>
    <t>MELENDEZ PADILLA CLAUDIA</t>
  </si>
  <si>
    <t>ARROYO ZARAZUA GILBERTO</t>
  </si>
  <si>
    <t>HERNANDEZ CARREON GREGORIO</t>
  </si>
  <si>
    <t>HERNANDEZ SOLIS GUMERCINDO</t>
  </si>
  <si>
    <t>MIRANDA PEON JULIO CESAR</t>
  </si>
  <si>
    <t>GUTIERREZ OLVERA MARIURI</t>
  </si>
  <si>
    <t>CRUZ ORTIZ JUAN ANTONIO</t>
  </si>
  <si>
    <t>CASTELLANOS ROCHA LUCIA</t>
  </si>
  <si>
    <t>FONSECA GUILLEN JOSE FELIPE</t>
  </si>
  <si>
    <t>HERNANDEZ SILVA EDGAR SAMUEL</t>
  </si>
  <si>
    <t>ENRIQUEZ RUBIO FERNADO</t>
  </si>
  <si>
    <t>RAMIREZ BAUTISTA MARCOS SAMUEL</t>
  </si>
  <si>
    <t>MARTINEZ LORENZO LUIS ALEJANDRO</t>
  </si>
  <si>
    <t>ARVIZU RODRIGUEZ  ALEJANDRO</t>
  </si>
  <si>
    <t>ALVAREZ ORTIZ RICARDO</t>
  </si>
  <si>
    <t>GALICIA ZARATE SERGIO</t>
  </si>
  <si>
    <t>CALDERON MARTINEZ MARIO</t>
  </si>
  <si>
    <t>AGUILAR BRAVO CRISTIAN SAUL</t>
  </si>
  <si>
    <t>RODRIGUEZ RODRIGUEZ ANUAR</t>
  </si>
  <si>
    <t>CORTEZ OVANDO FAUSTINO</t>
  </si>
  <si>
    <t>TINOCO LOPEZ ALFREDO</t>
  </si>
  <si>
    <t>ASESOR SERVICIO</t>
  </si>
  <si>
    <t>NUÑEZ DE JESUS JOSE DANIEL</t>
  </si>
  <si>
    <t>RIVERA AGUILAR GABRIEL</t>
  </si>
  <si>
    <t>CASTILLO ORDOÑEZ JORGE</t>
  </si>
  <si>
    <t>FECHA DE INICIO</t>
  </si>
  <si>
    <t>AYALA CONTRERAS HECTOR</t>
  </si>
  <si>
    <t>MARTIN</t>
  </si>
  <si>
    <t>ANAEL</t>
  </si>
  <si>
    <t xml:space="preserve">HERNANDEZ CHAVEZ PEDRO </t>
  </si>
  <si>
    <t>ARTURO</t>
  </si>
  <si>
    <t>COACH</t>
  </si>
  <si>
    <t>ADMON VENTAS</t>
  </si>
  <si>
    <t>MOISES</t>
  </si>
  <si>
    <t>JIMENEZ HERNANDEZ JULIO</t>
  </si>
  <si>
    <t>LOBATO RECAMIER ROSELLIN</t>
  </si>
  <si>
    <t>CUENTA</t>
  </si>
  <si>
    <t>OBSERVACIONES</t>
  </si>
  <si>
    <t>17/02/2016 AL 23/02/2016</t>
  </si>
  <si>
    <t>Periodo Semana 08</t>
  </si>
  <si>
    <t>BERDEJA LEON FRANCISCO</t>
  </si>
  <si>
    <t>MALDONADO HERNANDEZ ERICK</t>
  </si>
  <si>
    <t>NORIA BADILLO JUAN JOSE</t>
  </si>
  <si>
    <t>MARTINEZ GALLEGOS LUIS FERNANDO</t>
  </si>
  <si>
    <t>MG</t>
  </si>
  <si>
    <t>NUEVO INGRESO</t>
  </si>
  <si>
    <t>CARRASCO TOVAR ARTURO</t>
  </si>
  <si>
    <t>CASTAÑON TAVARES MANUEL</t>
  </si>
  <si>
    <t>ARMENTA LUJANO CARLOS</t>
  </si>
  <si>
    <t>LAVADOR</t>
  </si>
  <si>
    <t>SUAREZ LUNA EFREN AGUSTIN</t>
  </si>
  <si>
    <t>RESENDIZ CAMPUZANO ISRAEL</t>
  </si>
  <si>
    <t>RODRIGUEZ VENTURA CALOS</t>
  </si>
  <si>
    <t>TIRADO SAAVEDRA CARLOS</t>
  </si>
  <si>
    <t>TORIBIO DEL ANGEL OSCAR</t>
  </si>
  <si>
    <t>UNIFORMES</t>
  </si>
  <si>
    <t>BARCENAS COMENERO JORGE</t>
  </si>
  <si>
    <t>DIFERENCIA EN INFONAVIT QUE QUEDA A DEBER</t>
  </si>
  <si>
    <t>DE INFONAVIT QUE QUEDA A DEBER</t>
  </si>
  <si>
    <t>24 HORAS EXTRAS</t>
  </si>
  <si>
    <t>GONZALEZ AGUILLON HUMBERTO</t>
  </si>
  <si>
    <t>NUEVO INGRESO 22 FEB; SOLO PAGAR COMISIONES POR SINDICATO</t>
  </si>
  <si>
    <t>1 FALTA</t>
  </si>
  <si>
    <t>REGRESO DE INCAPACIDAD</t>
  </si>
  <si>
    <t>MONROY HERRERA VICTOR JAVIER</t>
  </si>
  <si>
    <t>SERVIN CHAVEZ OSCAR ERICK</t>
  </si>
  <si>
    <t>PALETA GUADARRAMA RICARDO</t>
  </si>
  <si>
    <t>Subsidio</t>
  </si>
  <si>
    <t>SE LE PAGA UNA DIFERENCIA DE 100 PESOS</t>
  </si>
  <si>
    <t>14 HORAS EXTRA, DIFERENCIA DE 100 PESOS</t>
  </si>
  <si>
    <t>NM01</t>
  </si>
  <si>
    <t>ESPECIALES</t>
  </si>
  <si>
    <t xml:space="preserve">AGUILAR PEREZ MARCOS ARTEMIO </t>
  </si>
  <si>
    <t>BRAVO QUINTERO RICARDO ALBERTO</t>
  </si>
  <si>
    <t>CORONEL DE LEON JONATHAN</t>
  </si>
  <si>
    <t>HERNANDEZ BARCENAS JOSE DIEGO</t>
  </si>
  <si>
    <t>QUINTANILLA VAZQUEZ JEOVANY</t>
  </si>
  <si>
    <t>MOJICA RODRIGUEZ JOSUE NEFTALI</t>
  </si>
  <si>
    <t>MORALES SANCHEZ ANGEL</t>
  </si>
  <si>
    <t>MS00</t>
  </si>
  <si>
    <t>OSCAR</t>
  </si>
  <si>
    <t>COACH DE VENTAS SEMINUEVOS</t>
  </si>
  <si>
    <t>SERENO CUELLAR JUVENAL</t>
  </si>
  <si>
    <t>REYES MONTES LUIS TEODULO</t>
  </si>
  <si>
    <t>MONTES DE OCA JUAREZ JOSE ANTONIO</t>
  </si>
  <si>
    <t>VEGA GARCIA GERARDO</t>
  </si>
  <si>
    <t>NIETO MEDINA PEDRO EMMANUEL</t>
  </si>
  <si>
    <t>23/03/2016 AL 29/03/2016</t>
  </si>
  <si>
    <t>Periodo Semana 13</t>
  </si>
  <si>
    <t>Num. Cuenta</t>
  </si>
  <si>
    <t>GARCIA HUERTA ALAN</t>
  </si>
  <si>
    <t>AYUDANTE DE HOJALATERIA</t>
  </si>
  <si>
    <t>DISPERSION</t>
  </si>
  <si>
    <t>Cuenta</t>
  </si>
  <si>
    <t>Banorte</t>
  </si>
  <si>
    <t>SIFONTES SARDUA DAYAN JESUS</t>
  </si>
  <si>
    <t>HERNANDEZ CRUZ MIGUEL</t>
  </si>
  <si>
    <t>MARTINEZ GAMIÑO RODRIGO ISAURO</t>
  </si>
  <si>
    <t>RESENDIZ CRESPO JOSE DAVID</t>
  </si>
  <si>
    <t>Periodo Semana 15</t>
  </si>
  <si>
    <t>06/04/2016 AL 12/04/2016</t>
  </si>
  <si>
    <t>Incapacidad</t>
  </si>
  <si>
    <t>INCAPACIDADES</t>
  </si>
  <si>
    <t>HUGO RANGEL ZUÑIGA</t>
  </si>
  <si>
    <t>CALDERON MARTINEZ MARIO RAUL</t>
  </si>
  <si>
    <t>QUILLO ARRIAGA OSIEL JONATHAN</t>
  </si>
  <si>
    <t>Nuevo Ingreso, se le paga 1 dìa laborado, ya aplicado.</t>
  </si>
  <si>
    <t>Cta en tràmite</t>
  </si>
  <si>
    <t>MARTINEZ OLVERA ISMAEL</t>
  </si>
  <si>
    <t>Nuevo Ingreso, se le pagan 2 dìas laborados, ya aplicado.</t>
  </si>
  <si>
    <t>HONDALL FLORES KARLA ISABEL</t>
  </si>
  <si>
    <t>EJECUTIVO DE TELEMARKETING</t>
  </si>
  <si>
    <t>RESENDIZ CAMARILLO ANDRES</t>
  </si>
  <si>
    <t>Nuevo Ingreso, se le pagan 6 dìas laborados, ya aplicado.</t>
  </si>
  <si>
    <t>BARRAGAN SERRANO HECTOR TONATIUH</t>
  </si>
  <si>
    <t>Nuevo Ingreso</t>
  </si>
  <si>
    <t>Se le descuenta 1 dìa de Falta, ya aplicado</t>
  </si>
  <si>
    <t>RODRIGUEZ VENTURA CARLOS JAVIER</t>
  </si>
  <si>
    <t>CORTES MIRANDA CARLOS ARMANDO</t>
  </si>
  <si>
    <t>TIRADO SAAVEDRA CARLOS ALEJANDRO</t>
  </si>
  <si>
    <t>RIVERA GALLEGOS FRANCISCO ALEJANDRO</t>
  </si>
  <si>
    <t>CORTEZ OVANDO FAUSTINO ALI</t>
  </si>
  <si>
    <t>OLVERA BAUTISTA J. DOLORES GILBERTO</t>
  </si>
  <si>
    <t>Baja</t>
  </si>
  <si>
    <t>ARIS</t>
  </si>
  <si>
    <t>VALDEZ MARTINEZ JOSE MARTIN</t>
  </si>
  <si>
    <t>RESENDIZ ECHEVERRIA MARIO ALBERTO</t>
  </si>
  <si>
    <t>MEDINA CASTRO CARLOS MANUEL</t>
  </si>
  <si>
    <t>SALDAÑA GARCIA MARCO ANTONIO</t>
  </si>
  <si>
    <t>ARVIZU RODRIGUEZ ALEJANDRO URIEL</t>
  </si>
  <si>
    <t>GUTIERREZ OLVERA MARIHURI</t>
  </si>
  <si>
    <t>JIMENEZ HERNANDEZ JULIO CESAR</t>
  </si>
  <si>
    <t>BARCENAS COMENERO JORGE ALEJANDRO</t>
  </si>
  <si>
    <t>PAGO EN</t>
  </si>
  <si>
    <t>EFECTIVO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</si>
</sst>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#,##0.00_);\-#,##0.00"/>
  </numFmts>
  <fonts count="24"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name val="Verdana"/>
      <family val="2"/>
    </font>
    <font>
      <b/>
      <sz val="18"/>
      <color indexed="60"/>
      <name val="Verdana"/>
      <family val="2"/>
    </font>
    <font>
      <b/>
      <sz val="14"/>
      <color indexed="48"/>
      <name val="Verdana"/>
      <family val="2"/>
    </font>
    <font>
      <b/>
      <sz val="12"/>
      <color indexed="60"/>
      <name val="Verdana"/>
      <family val="2"/>
    </font>
    <font>
      <sz val="10"/>
      <name val="Arial"/>
      <family val="2"/>
      <charset val="1"/>
    </font>
    <font>
      <sz val="10"/>
      <color indexed="8"/>
      <name val="Arial"/>
      <family val="2"/>
      <charset val="1"/>
    </font>
    <font>
      <sz val="11"/>
      <color rgb="FFFF0000"/>
      <name val="Calibri"/>
      <family val="2"/>
      <scheme val="minor"/>
    </font>
    <font>
      <b/>
      <sz val="11"/>
      <color indexed="6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48"/>
      <name val="Calibri"/>
      <family val="2"/>
      <scheme val="minor"/>
    </font>
    <font>
      <b/>
      <sz val="11"/>
      <color rgb="FF00B0F0"/>
      <name val="Calibri"/>
      <family val="2"/>
      <scheme val="minor"/>
    </font>
    <font>
      <sz val="10"/>
      <name val="Calibri   "/>
    </font>
    <font>
      <sz val="11"/>
      <name val="Calibri   "/>
    </font>
    <font>
      <sz val="11"/>
      <color rgb="FF000000"/>
      <name val="Calibri   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0"/>
      <name val="Arial"/>
      <family val="2"/>
    </font>
    <font>
      <sz val="11"/>
      <name val="Calibri  "/>
    </font>
    <font>
      <sz val="11"/>
      <color rgb="FF000000"/>
      <name val="Calibri  "/>
    </font>
    <font>
      <sz val="11"/>
      <color theme="0"/>
      <name val="Calibri  "/>
    </font>
  </fonts>
  <fills count="1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33CCFF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4B082"/>
        <bgColor indexed="64"/>
      </patternFill>
    </fill>
    <fill>
      <patternFill patternType="solid">
        <fgColor rgb="FFBCD6EE"/>
        <bgColor indexed="64"/>
      </patternFill>
    </fill>
  </fills>
  <borders count="11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thin">
        <color indexed="64"/>
      </top>
      <bottom style="double">
        <color indexed="64"/>
      </bottom>
      <diagonal/>
    </border>
    <border>
      <left/>
      <right/>
      <top/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/>
      <diagonal/>
    </border>
  </borders>
  <cellStyleXfs count="4">
    <xf numFmtId="0" fontId="0" fillId="0" borderId="0"/>
    <xf numFmtId="0" fontId="7" fillId="0" borderId="0"/>
    <xf numFmtId="43" fontId="1" fillId="0" borderId="0" applyFill="0" applyBorder="0" applyAlignment="0" applyProtection="0"/>
    <xf numFmtId="0" fontId="3" fillId="0" borderId="0"/>
  </cellStyleXfs>
  <cellXfs count="256">
    <xf numFmtId="0" fontId="0" fillId="0" borderId="0" xfId="0"/>
    <xf numFmtId="0" fontId="4" fillId="0" borderId="0" xfId="3" applyFont="1" applyFill="1" applyAlignment="1" applyProtection="1">
      <alignment horizontal="left"/>
    </xf>
    <xf numFmtId="0" fontId="5" fillId="0" borderId="0" xfId="3" applyFont="1" applyFill="1" applyAlignment="1" applyProtection="1">
      <alignment horizontal="left"/>
    </xf>
    <xf numFmtId="15" fontId="6" fillId="0" borderId="0" xfId="3" applyNumberFormat="1" applyFont="1" applyFill="1" applyAlignment="1" applyProtection="1">
      <alignment horizontal="left"/>
    </xf>
    <xf numFmtId="43" fontId="1" fillId="0" borderId="0" xfId="2"/>
    <xf numFmtId="0" fontId="2" fillId="0" borderId="1" xfId="0" applyFont="1" applyFill="1" applyBorder="1"/>
    <xf numFmtId="49" fontId="2" fillId="0" borderId="1" xfId="0" applyNumberFormat="1" applyFont="1" applyFill="1" applyBorder="1"/>
    <xf numFmtId="4" fontId="2" fillId="0" borderId="1" xfId="0" applyNumberFormat="1" applyFont="1" applyFill="1" applyBorder="1"/>
    <xf numFmtId="4" fontId="2" fillId="0" borderId="0" xfId="0" applyNumberFormat="1" applyFont="1" applyFill="1" applyBorder="1"/>
    <xf numFmtId="164" fontId="8" fillId="0" borderId="1" xfId="1" applyNumberFormat="1" applyFont="1" applyFill="1" applyBorder="1" applyAlignment="1">
      <alignment horizontal="right" vertical="center"/>
    </xf>
    <xf numFmtId="0" fontId="2" fillId="0" borderId="0" xfId="0" applyFont="1" applyFill="1" applyBorder="1"/>
    <xf numFmtId="43" fontId="0" fillId="0" borderId="0" xfId="2" applyFont="1"/>
    <xf numFmtId="0" fontId="10" fillId="0" borderId="0" xfId="3" applyFont="1" applyFill="1" applyAlignment="1" applyProtection="1">
      <alignment horizontal="left"/>
    </xf>
    <xf numFmtId="0" fontId="10" fillId="0" borderId="0" xfId="3" applyFont="1" applyFill="1" applyAlignment="1" applyProtection="1">
      <alignment horizontal="center"/>
    </xf>
    <xf numFmtId="43" fontId="11" fillId="0" borderId="0" xfId="2" applyFont="1" applyFill="1" applyAlignment="1" applyProtection="1">
      <alignment horizontal="center"/>
    </xf>
    <xf numFmtId="43" fontId="12" fillId="0" borderId="0" xfId="2" applyFont="1" applyFill="1" applyAlignment="1" applyProtection="1">
      <alignment horizontal="center"/>
    </xf>
    <xf numFmtId="0" fontId="11" fillId="0" borderId="0" xfId="0" applyFont="1" applyFill="1" applyProtection="1"/>
    <xf numFmtId="0" fontId="11" fillId="0" borderId="0" xfId="0" applyFont="1" applyProtection="1"/>
    <xf numFmtId="0" fontId="13" fillId="0" borderId="0" xfId="3" applyFont="1" applyFill="1" applyAlignment="1" applyProtection="1">
      <alignment horizontal="left"/>
    </xf>
    <xf numFmtId="0" fontId="13" fillId="0" borderId="0" xfId="3" applyFont="1" applyFill="1" applyAlignment="1" applyProtection="1">
      <alignment horizontal="center"/>
    </xf>
    <xf numFmtId="15" fontId="10" fillId="0" borderId="0" xfId="3" applyNumberFormat="1" applyFont="1" applyFill="1" applyAlignment="1" applyProtection="1">
      <alignment horizontal="left"/>
    </xf>
    <xf numFmtId="15" fontId="10" fillId="0" borderId="0" xfId="3" applyNumberFormat="1" applyFont="1" applyFill="1" applyAlignment="1" applyProtection="1">
      <alignment horizontal="center"/>
    </xf>
    <xf numFmtId="0" fontId="12" fillId="0" borderId="0" xfId="0" applyFont="1"/>
    <xf numFmtId="43" fontId="11" fillId="0" borderId="0" xfId="2" applyFont="1"/>
    <xf numFmtId="43" fontId="12" fillId="0" borderId="0" xfId="2" applyFont="1"/>
    <xf numFmtId="43" fontId="11" fillId="0" borderId="0" xfId="2" applyFont="1" applyFill="1"/>
    <xf numFmtId="0" fontId="12" fillId="0" borderId="0" xfId="0" applyFont="1" applyFill="1"/>
    <xf numFmtId="0" fontId="11" fillId="0" borderId="1" xfId="0" applyFont="1" applyBorder="1"/>
    <xf numFmtId="0" fontId="11" fillId="2" borderId="1" xfId="0" applyFont="1" applyFill="1" applyBorder="1"/>
    <xf numFmtId="4" fontId="11" fillId="0" borderId="1" xfId="0" applyNumberFormat="1" applyFont="1" applyBorder="1"/>
    <xf numFmtId="43" fontId="11" fillId="0" borderId="1" xfId="2" applyFont="1" applyBorder="1"/>
    <xf numFmtId="43" fontId="11" fillId="2" borderId="1" xfId="2" applyFont="1" applyFill="1" applyBorder="1"/>
    <xf numFmtId="43" fontId="9" fillId="2" borderId="1" xfId="2" applyFont="1" applyFill="1" applyBorder="1"/>
    <xf numFmtId="43" fontId="12" fillId="3" borderId="1" xfId="2" applyFont="1" applyFill="1" applyBorder="1"/>
    <xf numFmtId="43" fontId="11" fillId="4" borderId="1" xfId="2" applyFont="1" applyFill="1" applyBorder="1"/>
    <xf numFmtId="0" fontId="11" fillId="10" borderId="1" xfId="0" applyFont="1" applyFill="1" applyBorder="1"/>
    <xf numFmtId="43" fontId="11" fillId="10" borderId="1" xfId="2" applyFont="1" applyFill="1" applyBorder="1" applyAlignment="1">
      <alignment horizontal="center"/>
    </xf>
    <xf numFmtId="43" fontId="11" fillId="0" borderId="1" xfId="2" applyFont="1" applyFill="1" applyBorder="1" applyAlignment="1">
      <alignment horizontal="center"/>
    </xf>
    <xf numFmtId="43" fontId="11" fillId="6" borderId="1" xfId="2" applyFont="1" applyFill="1" applyBorder="1" applyAlignment="1">
      <alignment horizontal="center"/>
    </xf>
    <xf numFmtId="0" fontId="11" fillId="0" borderId="0" xfId="0" applyFont="1" applyFill="1"/>
    <xf numFmtId="0" fontId="11" fillId="2" borderId="0" xfId="0" applyFont="1" applyFill="1"/>
    <xf numFmtId="0" fontId="11" fillId="0" borderId="0" xfId="0" applyFont="1"/>
    <xf numFmtId="12" fontId="11" fillId="2" borderId="1" xfId="2" applyNumberFormat="1" applyFont="1" applyFill="1" applyBorder="1"/>
    <xf numFmtId="4" fontId="11" fillId="10" borderId="1" xfId="0" applyNumberFormat="1" applyFont="1" applyFill="1" applyBorder="1"/>
    <xf numFmtId="0" fontId="11" fillId="0" borderId="1" xfId="0" applyFont="1" applyBorder="1" applyAlignment="1">
      <alignment horizontal="right"/>
    </xf>
    <xf numFmtId="43" fontId="11" fillId="10" borderId="1" xfId="2" applyFont="1" applyFill="1" applyBorder="1"/>
    <xf numFmtId="0" fontId="12" fillId="0" borderId="1" xfId="0" applyFont="1" applyFill="1" applyBorder="1"/>
    <xf numFmtId="0" fontId="11" fillId="0" borderId="2" xfId="0" applyFont="1" applyFill="1" applyBorder="1"/>
    <xf numFmtId="43" fontId="11" fillId="0" borderId="2" xfId="2" applyFont="1" applyFill="1" applyBorder="1"/>
    <xf numFmtId="43" fontId="12" fillId="0" borderId="1" xfId="2" applyFont="1" applyFill="1" applyBorder="1"/>
    <xf numFmtId="43" fontId="12" fillId="0" borderId="2" xfId="2" applyFont="1" applyFill="1" applyBorder="1"/>
    <xf numFmtId="0" fontId="12" fillId="0" borderId="3" xfId="0" applyFont="1" applyBorder="1"/>
    <xf numFmtId="43" fontId="12" fillId="0" borderId="3" xfId="2" applyFont="1" applyBorder="1"/>
    <xf numFmtId="43" fontId="11" fillId="0" borderId="1" xfId="2" applyFont="1" applyFill="1" applyBorder="1"/>
    <xf numFmtId="43" fontId="11" fillId="5" borderId="1" xfId="2" applyFont="1" applyFill="1" applyBorder="1" applyAlignment="1">
      <alignment horizontal="center"/>
    </xf>
    <xf numFmtId="0" fontId="14" fillId="0" borderId="0" xfId="0" applyFont="1"/>
    <xf numFmtId="43" fontId="11" fillId="0" borderId="0" xfId="0" applyNumberFormat="1" applyFont="1" applyFill="1"/>
    <xf numFmtId="0" fontId="11" fillId="11" borderId="1" xfId="0" applyFont="1" applyFill="1" applyBorder="1"/>
    <xf numFmtId="43" fontId="11" fillId="11" borderId="1" xfId="2" applyFont="1" applyFill="1" applyBorder="1"/>
    <xf numFmtId="43" fontId="12" fillId="11" borderId="1" xfId="2" applyFont="1" applyFill="1" applyBorder="1"/>
    <xf numFmtId="43" fontId="11" fillId="11" borderId="1" xfId="2" applyFont="1" applyFill="1" applyBorder="1" applyAlignment="1">
      <alignment horizontal="center"/>
    </xf>
    <xf numFmtId="0" fontId="11" fillId="11" borderId="0" xfId="0" applyFont="1" applyFill="1"/>
    <xf numFmtId="0" fontId="11" fillId="12" borderId="1" xfId="0" applyFont="1" applyFill="1" applyBorder="1"/>
    <xf numFmtId="0" fontId="11" fillId="0" borderId="1" xfId="0" applyFont="1" applyFill="1" applyBorder="1"/>
    <xf numFmtId="43" fontId="12" fillId="8" borderId="1" xfId="2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43" fontId="12" fillId="14" borderId="1" xfId="2" applyFont="1" applyFill="1" applyBorder="1"/>
    <xf numFmtId="14" fontId="11" fillId="0" borderId="1" xfId="0" applyNumberFormat="1" applyFont="1" applyBorder="1"/>
    <xf numFmtId="0" fontId="12" fillId="7" borderId="0" xfId="0" applyFont="1" applyFill="1" applyBorder="1" applyAlignment="1">
      <alignment horizontal="center"/>
    </xf>
    <xf numFmtId="0" fontId="11" fillId="0" borderId="0" xfId="0" applyFont="1" applyBorder="1"/>
    <xf numFmtId="43" fontId="12" fillId="13" borderId="3" xfId="2" applyFont="1" applyFill="1" applyBorder="1"/>
    <xf numFmtId="14" fontId="11" fillId="0" borderId="1" xfId="0" applyNumberFormat="1" applyFont="1" applyFill="1" applyBorder="1"/>
    <xf numFmtId="43" fontId="9" fillId="0" borderId="1" xfId="2" applyFont="1" applyFill="1" applyBorder="1"/>
    <xf numFmtId="4" fontId="11" fillId="0" borderId="1" xfId="0" applyNumberFormat="1" applyFont="1" applyFill="1" applyBorder="1"/>
    <xf numFmtId="43" fontId="11" fillId="12" borderId="1" xfId="2" applyFont="1" applyFill="1" applyBorder="1"/>
    <xf numFmtId="43" fontId="11" fillId="0" borderId="5" xfId="2" applyFont="1" applyFill="1" applyBorder="1"/>
    <xf numFmtId="43" fontId="11" fillId="0" borderId="3" xfId="2" applyFont="1" applyBorder="1"/>
    <xf numFmtId="0" fontId="12" fillId="15" borderId="0" xfId="0" applyFont="1" applyFill="1"/>
    <xf numFmtId="0" fontId="11" fillId="15" borderId="1" xfId="0" applyFont="1" applyFill="1" applyBorder="1"/>
    <xf numFmtId="43" fontId="11" fillId="15" borderId="1" xfId="2" applyFont="1" applyFill="1" applyBorder="1"/>
    <xf numFmtId="43" fontId="9" fillId="15" borderId="1" xfId="2" applyFont="1" applyFill="1" applyBorder="1"/>
    <xf numFmtId="43" fontId="12" fillId="15" borderId="1" xfId="2" applyFont="1" applyFill="1" applyBorder="1"/>
    <xf numFmtId="43" fontId="11" fillId="15" borderId="1" xfId="2" applyFont="1" applyFill="1" applyBorder="1" applyAlignment="1">
      <alignment horizontal="center"/>
    </xf>
    <xf numFmtId="0" fontId="11" fillId="15" borderId="0" xfId="0" applyFont="1" applyFill="1"/>
    <xf numFmtId="43" fontId="11" fillId="15" borderId="0" xfId="0" applyNumberFormat="1" applyFont="1" applyFill="1"/>
    <xf numFmtId="4" fontId="11" fillId="15" borderId="1" xfId="0" applyNumberFormat="1" applyFont="1" applyFill="1" applyBorder="1"/>
    <xf numFmtId="14" fontId="11" fillId="15" borderId="1" xfId="0" applyNumberFormat="1" applyFont="1" applyFill="1" applyBorder="1"/>
    <xf numFmtId="43" fontId="12" fillId="8" borderId="2" xfId="2" applyFont="1" applyFill="1" applyBorder="1" applyAlignment="1">
      <alignment horizontal="center" wrapText="1"/>
    </xf>
    <xf numFmtId="43" fontId="12" fillId="8" borderId="8" xfId="2" applyFont="1" applyFill="1" applyBorder="1" applyAlignment="1">
      <alignment horizontal="center" wrapText="1"/>
    </xf>
    <xf numFmtId="2" fontId="11" fillId="10" borderId="1" xfId="0" applyNumberFormat="1" applyFont="1" applyFill="1" applyBorder="1"/>
    <xf numFmtId="12" fontId="11" fillId="0" borderId="0" xfId="0" applyNumberFormat="1" applyFont="1" applyFill="1"/>
    <xf numFmtId="43" fontId="9" fillId="11" borderId="1" xfId="2" applyFont="1" applyFill="1" applyBorder="1"/>
    <xf numFmtId="43" fontId="11" fillId="11" borderId="0" xfId="0" applyNumberFormat="1" applyFont="1" applyFill="1"/>
    <xf numFmtId="0" fontId="12" fillId="11" borderId="0" xfId="0" applyFont="1" applyFill="1"/>
    <xf numFmtId="43" fontId="12" fillId="8" borderId="2" xfId="2" applyFont="1" applyFill="1" applyBorder="1" applyAlignment="1">
      <alignment horizontal="center" vertical="center" wrapText="1"/>
    </xf>
    <xf numFmtId="43" fontId="12" fillId="8" borderId="8" xfId="2" applyFont="1" applyFill="1" applyBorder="1" applyAlignment="1">
      <alignment horizontal="center" vertical="center" wrapText="1"/>
    </xf>
    <xf numFmtId="2" fontId="11" fillId="13" borderId="1" xfId="0" applyNumberFormat="1" applyFont="1" applyFill="1" applyBorder="1"/>
    <xf numFmtId="14" fontId="11" fillId="11" borderId="1" xfId="0" applyNumberFormat="1" applyFont="1" applyFill="1" applyBorder="1"/>
    <xf numFmtId="43" fontId="12" fillId="8" borderId="2" xfId="2" applyFont="1" applyFill="1" applyBorder="1" applyAlignment="1">
      <alignment horizontal="center" vertical="center" wrapText="1"/>
    </xf>
    <xf numFmtId="43" fontId="1" fillId="0" borderId="0" xfId="2" applyProtection="1"/>
    <xf numFmtId="43" fontId="1" fillId="0" borderId="0" xfId="2" applyFill="1"/>
    <xf numFmtId="43" fontId="12" fillId="8" borderId="1" xfId="2" applyFont="1" applyFill="1" applyBorder="1" applyAlignment="1">
      <alignment horizontal="center" wrapText="1"/>
    </xf>
    <xf numFmtId="0" fontId="0" fillId="0" borderId="0" xfId="0" applyFill="1"/>
    <xf numFmtId="43" fontId="12" fillId="8" borderId="10" xfId="2" applyFont="1" applyFill="1" applyBorder="1" applyAlignment="1">
      <alignment horizontal="center" vertical="center" wrapText="1"/>
    </xf>
    <xf numFmtId="43" fontId="12" fillId="8" borderId="10" xfId="2" applyFont="1" applyFill="1" applyBorder="1" applyAlignment="1">
      <alignment horizontal="center" wrapText="1"/>
    </xf>
    <xf numFmtId="43" fontId="1" fillId="8" borderId="2" xfId="2" applyFill="1" applyBorder="1" applyAlignment="1">
      <alignment horizontal="center" vertical="center" wrapText="1"/>
    </xf>
    <xf numFmtId="0" fontId="12" fillId="0" borderId="8" xfId="0" applyFont="1" applyFill="1" applyBorder="1"/>
    <xf numFmtId="0" fontId="11" fillId="0" borderId="10" xfId="0" applyFont="1" applyFill="1" applyBorder="1"/>
    <xf numFmtId="43" fontId="11" fillId="0" borderId="10" xfId="2" applyFont="1" applyFill="1" applyBorder="1"/>
    <xf numFmtId="43" fontId="12" fillId="0" borderId="10" xfId="2" applyFont="1" applyFill="1" applyBorder="1"/>
    <xf numFmtId="0" fontId="11" fillId="0" borderId="9" xfId="0" applyFont="1" applyBorder="1"/>
    <xf numFmtId="0" fontId="11" fillId="2" borderId="9" xfId="0" applyFont="1" applyFill="1" applyBorder="1"/>
    <xf numFmtId="43" fontId="11" fillId="0" borderId="9" xfId="2" applyFont="1" applyBorder="1"/>
    <xf numFmtId="43" fontId="11" fillId="2" borderId="9" xfId="2" applyFont="1" applyFill="1" applyBorder="1"/>
    <xf numFmtId="43" fontId="9" fillId="2" borderId="9" xfId="2" applyFont="1" applyFill="1" applyBorder="1"/>
    <xf numFmtId="43" fontId="12" fillId="3" borderId="9" xfId="2" applyFont="1" applyFill="1" applyBorder="1"/>
    <xf numFmtId="43" fontId="11" fillId="4" borderId="9" xfId="2" applyFont="1" applyFill="1" applyBorder="1"/>
    <xf numFmtId="43" fontId="11" fillId="10" borderId="9" xfId="2" applyFont="1" applyFill="1" applyBorder="1"/>
    <xf numFmtId="43" fontId="11" fillId="10" borderId="9" xfId="2" applyFont="1" applyFill="1" applyBorder="1" applyAlignment="1">
      <alignment horizontal="center"/>
    </xf>
    <xf numFmtId="0" fontId="11" fillId="10" borderId="9" xfId="0" applyFont="1" applyFill="1" applyBorder="1"/>
    <xf numFmtId="43" fontId="11" fillId="0" borderId="9" xfId="2" applyFont="1" applyFill="1" applyBorder="1" applyAlignment="1">
      <alignment horizontal="center"/>
    </xf>
    <xf numFmtId="43" fontId="11" fillId="6" borderId="9" xfId="2" applyFont="1" applyFill="1" applyBorder="1" applyAlignment="1">
      <alignment horizontal="center"/>
    </xf>
    <xf numFmtId="43" fontId="12" fillId="14" borderId="9" xfId="2" applyFont="1" applyFill="1" applyBorder="1"/>
    <xf numFmtId="43" fontId="1" fillId="0" borderId="9" xfId="2" applyFill="1" applyBorder="1"/>
    <xf numFmtId="0" fontId="11" fillId="0" borderId="9" xfId="0" applyFont="1" applyFill="1" applyBorder="1"/>
    <xf numFmtId="0" fontId="11" fillId="12" borderId="9" xfId="0" applyFont="1" applyFill="1" applyBorder="1"/>
    <xf numFmtId="43" fontId="11" fillId="12" borderId="9" xfId="2" applyFont="1" applyFill="1" applyBorder="1"/>
    <xf numFmtId="14" fontId="11" fillId="0" borderId="9" xfId="0" applyNumberFormat="1" applyFont="1" applyFill="1" applyBorder="1"/>
    <xf numFmtId="43" fontId="11" fillId="0" borderId="9" xfId="2" applyFont="1" applyFill="1" applyBorder="1"/>
    <xf numFmtId="0" fontId="12" fillId="0" borderId="9" xfId="0" applyFont="1" applyFill="1" applyBorder="1"/>
    <xf numFmtId="2" fontId="11" fillId="10" borderId="9" xfId="0" applyNumberFormat="1" applyFont="1" applyFill="1" applyBorder="1"/>
    <xf numFmtId="43" fontId="11" fillId="12" borderId="9" xfId="2" applyFont="1" applyFill="1" applyBorder="1" applyAlignment="1">
      <alignment horizontal="center"/>
    </xf>
    <xf numFmtId="14" fontId="11" fillId="0" borderId="9" xfId="0" applyNumberFormat="1" applyFont="1" applyBorder="1"/>
    <xf numFmtId="2" fontId="11" fillId="0" borderId="9" xfId="0" applyNumberFormat="1" applyFont="1" applyBorder="1"/>
    <xf numFmtId="12" fontId="11" fillId="2" borderId="9" xfId="2" applyNumberFormat="1" applyFont="1" applyFill="1" applyBorder="1"/>
    <xf numFmtId="12" fontId="11" fillId="0" borderId="9" xfId="2" applyNumberFormat="1" applyFont="1" applyFill="1" applyBorder="1"/>
    <xf numFmtId="0" fontId="11" fillId="0" borderId="9" xfId="0" applyFont="1" applyBorder="1" applyAlignment="1">
      <alignment horizontal="right"/>
    </xf>
    <xf numFmtId="0" fontId="11" fillId="0" borderId="9" xfId="0" applyFont="1" applyFill="1" applyBorder="1" applyAlignment="1">
      <alignment horizontal="right"/>
    </xf>
    <xf numFmtId="0" fontId="0" fillId="0" borderId="9" xfId="0" applyBorder="1"/>
    <xf numFmtId="43" fontId="11" fillId="0" borderId="10" xfId="2" applyFont="1" applyFill="1" applyBorder="1" applyAlignment="1">
      <alignment horizontal="center"/>
    </xf>
    <xf numFmtId="0" fontId="12" fillId="0" borderId="9" xfId="0" applyFont="1" applyBorder="1"/>
    <xf numFmtId="43" fontId="12" fillId="0" borderId="9" xfId="2" applyFont="1" applyBorder="1"/>
    <xf numFmtId="43" fontId="12" fillId="13" borderId="9" xfId="2" applyFont="1" applyFill="1" applyBorder="1"/>
    <xf numFmtId="43" fontId="1" fillId="0" borderId="9" xfId="2" applyBorder="1"/>
    <xf numFmtId="0" fontId="12" fillId="7" borderId="9" xfId="0" applyFont="1" applyFill="1" applyBorder="1" applyAlignment="1">
      <alignment horizontal="center"/>
    </xf>
    <xf numFmtId="43" fontId="11" fillId="5" borderId="9" xfId="2" applyFont="1" applyFill="1" applyBorder="1" applyAlignment="1">
      <alignment horizontal="center"/>
    </xf>
    <xf numFmtId="43" fontId="1" fillId="3" borderId="9" xfId="2" applyFill="1" applyBorder="1"/>
    <xf numFmtId="0" fontId="0" fillId="0" borderId="9" xfId="0" applyFill="1" applyBorder="1"/>
    <xf numFmtId="2" fontId="11" fillId="12" borderId="9" xfId="0" applyNumberFormat="1" applyFont="1" applyFill="1" applyBorder="1"/>
    <xf numFmtId="0" fontId="11" fillId="16" borderId="9" xfId="0" applyFont="1" applyFill="1" applyBorder="1"/>
    <xf numFmtId="0" fontId="12" fillId="7" borderId="7" xfId="0" applyFont="1" applyFill="1" applyBorder="1" applyAlignment="1">
      <alignment horizontal="center"/>
    </xf>
    <xf numFmtId="0" fontId="12" fillId="7" borderId="9" xfId="0" applyFont="1" applyFill="1" applyBorder="1" applyAlignment="1">
      <alignment horizontal="center"/>
    </xf>
    <xf numFmtId="43" fontId="12" fillId="8" borderId="1" xfId="2" applyFont="1" applyFill="1" applyBorder="1" applyAlignment="1">
      <alignment horizontal="center" wrapText="1"/>
    </xf>
    <xf numFmtId="43" fontId="12" fillId="8" borderId="2" xfId="2" applyFont="1" applyFill="1" applyBorder="1" applyAlignment="1">
      <alignment horizontal="center" wrapText="1"/>
    </xf>
    <xf numFmtId="43" fontId="12" fillId="8" borderId="2" xfId="2" applyFont="1" applyFill="1" applyBorder="1" applyAlignment="1">
      <alignment horizontal="center" vertical="center" wrapText="1"/>
    </xf>
    <xf numFmtId="43" fontId="12" fillId="8" borderId="10" xfId="2" applyFont="1" applyFill="1" applyBorder="1" applyAlignment="1">
      <alignment horizontal="center" vertical="center" wrapText="1"/>
    </xf>
    <xf numFmtId="43" fontId="11" fillId="11" borderId="9" xfId="2" applyFont="1" applyFill="1" applyBorder="1"/>
    <xf numFmtId="43" fontId="15" fillId="8" borderId="2" xfId="2" applyFont="1" applyFill="1" applyBorder="1" applyAlignment="1">
      <alignment horizontal="center" vertical="center" wrapText="1"/>
    </xf>
    <xf numFmtId="43" fontId="16" fillId="0" borderId="0" xfId="2" applyFont="1" applyProtection="1"/>
    <xf numFmtId="43" fontId="16" fillId="0" borderId="0" xfId="2" applyFont="1"/>
    <xf numFmtId="43" fontId="16" fillId="0" borderId="0" xfId="2" applyFont="1" applyFill="1"/>
    <xf numFmtId="43" fontId="16" fillId="0" borderId="9" xfId="2" applyFont="1" applyBorder="1"/>
    <xf numFmtId="43" fontId="16" fillId="3" borderId="9" xfId="2" applyFont="1" applyFill="1" applyBorder="1"/>
    <xf numFmtId="0" fontId="17" fillId="0" borderId="9" xfId="0" applyFont="1" applyFill="1" applyBorder="1"/>
    <xf numFmtId="43" fontId="11" fillId="16" borderId="9" xfId="2" applyFont="1" applyFill="1" applyBorder="1"/>
    <xf numFmtId="43" fontId="11" fillId="16" borderId="9" xfId="2" applyFont="1" applyFill="1" applyBorder="1" applyAlignment="1">
      <alignment horizontal="center"/>
    </xf>
    <xf numFmtId="4" fontId="17" fillId="0" borderId="9" xfId="0" applyNumberFormat="1" applyFont="1" applyFill="1" applyBorder="1"/>
    <xf numFmtId="43" fontId="11" fillId="17" borderId="9" xfId="2" applyFont="1" applyFill="1" applyBorder="1" applyAlignment="1">
      <alignment horizontal="center"/>
    </xf>
    <xf numFmtId="4" fontId="11" fillId="12" borderId="9" xfId="0" applyNumberFormat="1" applyFont="1" applyFill="1" applyBorder="1"/>
    <xf numFmtId="43" fontId="11" fillId="12" borderId="9" xfId="0" applyNumberFormat="1" applyFont="1" applyFill="1" applyBorder="1"/>
    <xf numFmtId="0" fontId="12" fillId="14" borderId="9" xfId="0" applyFont="1" applyFill="1" applyBorder="1"/>
    <xf numFmtId="43" fontId="9" fillId="0" borderId="9" xfId="2" applyFont="1" applyFill="1" applyBorder="1"/>
    <xf numFmtId="0" fontId="10" fillId="0" borderId="0" xfId="3" applyFont="1" applyFill="1" applyAlignment="1" applyProtection="1">
      <alignment horizontal="center" vertical="center"/>
    </xf>
    <xf numFmtId="0" fontId="13" fillId="0" borderId="0" xfId="3" applyFont="1" applyFill="1" applyAlignment="1" applyProtection="1">
      <alignment horizontal="center" vertical="center"/>
    </xf>
    <xf numFmtId="15" fontId="10" fillId="0" borderId="0" xfId="3" applyNumberFormat="1" applyFont="1" applyFill="1" applyAlignment="1" applyProtection="1">
      <alignment horizontal="center" vertical="center"/>
    </xf>
    <xf numFmtId="0" fontId="12" fillId="0" borderId="0" xfId="0" applyFont="1" applyAlignment="1">
      <alignment horizontal="center" vertical="center"/>
    </xf>
    <xf numFmtId="4" fontId="11" fillId="0" borderId="9" xfId="0" applyNumberFormat="1" applyFont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/>
    </xf>
    <xf numFmtId="2" fontId="11" fillId="0" borderId="9" xfId="0" applyNumberFormat="1" applyFont="1" applyFill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43" fontId="11" fillId="0" borderId="9" xfId="0" applyNumberFormat="1" applyFont="1" applyBorder="1" applyAlignment="1">
      <alignment horizontal="center" vertical="center"/>
    </xf>
    <xf numFmtId="4" fontId="11" fillId="0" borderId="9" xfId="0" applyNumberFormat="1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43" fontId="12" fillId="0" borderId="9" xfId="2" applyFont="1" applyFill="1" applyBorder="1"/>
    <xf numFmtId="0" fontId="11" fillId="14" borderId="9" xfId="0" applyFont="1" applyFill="1" applyBorder="1"/>
    <xf numFmtId="0" fontId="11" fillId="14" borderId="9" xfId="0" applyFont="1" applyFill="1" applyBorder="1" applyAlignment="1">
      <alignment horizontal="right"/>
    </xf>
    <xf numFmtId="14" fontId="11" fillId="14" borderId="9" xfId="0" applyNumberFormat="1" applyFont="1" applyFill="1" applyBorder="1"/>
    <xf numFmtId="43" fontId="11" fillId="14" borderId="9" xfId="2" applyFont="1" applyFill="1" applyBorder="1"/>
    <xf numFmtId="0" fontId="11" fillId="14" borderId="9" xfId="0" applyFont="1" applyFill="1" applyBorder="1" applyAlignment="1">
      <alignment horizontal="center" vertical="center"/>
    </xf>
    <xf numFmtId="43" fontId="9" fillId="14" borderId="9" xfId="2" applyFont="1" applyFill="1" applyBorder="1"/>
    <xf numFmtId="43" fontId="11" fillId="14" borderId="9" xfId="2" applyFont="1" applyFill="1" applyBorder="1" applyAlignment="1">
      <alignment horizontal="center"/>
    </xf>
    <xf numFmtId="14" fontId="11" fillId="12" borderId="9" xfId="0" applyNumberFormat="1" applyFont="1" applyFill="1" applyBorder="1"/>
    <xf numFmtId="0" fontId="11" fillId="12" borderId="9" xfId="0" applyFont="1" applyFill="1" applyBorder="1" applyAlignment="1">
      <alignment horizontal="center" vertical="center"/>
    </xf>
    <xf numFmtId="12" fontId="11" fillId="12" borderId="9" xfId="2" applyNumberFormat="1" applyFont="1" applyFill="1" applyBorder="1"/>
    <xf numFmtId="43" fontId="9" fillId="12" borderId="9" xfId="2" applyFont="1" applyFill="1" applyBorder="1"/>
    <xf numFmtId="43" fontId="12" fillId="12" borderId="9" xfId="2" applyFont="1" applyFill="1" applyBorder="1"/>
    <xf numFmtId="0" fontId="12" fillId="12" borderId="9" xfId="0" applyFont="1" applyFill="1" applyBorder="1"/>
    <xf numFmtId="0" fontId="12" fillId="11" borderId="9" xfId="0" applyFont="1" applyFill="1" applyBorder="1"/>
    <xf numFmtId="0" fontId="19" fillId="13" borderId="9" xfId="0" applyFont="1" applyFill="1" applyBorder="1"/>
    <xf numFmtId="14" fontId="19" fillId="13" borderId="9" xfId="0" applyNumberFormat="1" applyFont="1" applyFill="1" applyBorder="1"/>
    <xf numFmtId="43" fontId="19" fillId="13" borderId="9" xfId="2" applyFont="1" applyFill="1" applyBorder="1"/>
    <xf numFmtId="0" fontId="19" fillId="13" borderId="9" xfId="0" applyFont="1" applyFill="1" applyBorder="1" applyAlignment="1">
      <alignment horizontal="center" vertical="center"/>
    </xf>
    <xf numFmtId="43" fontId="18" fillId="13" borderId="9" xfId="2" applyFont="1" applyFill="1" applyBorder="1"/>
    <xf numFmtId="43" fontId="19" fillId="13" borderId="9" xfId="2" applyFont="1" applyFill="1" applyBorder="1" applyAlignment="1">
      <alignment horizontal="center"/>
    </xf>
    <xf numFmtId="0" fontId="18" fillId="13" borderId="9" xfId="0" applyFont="1" applyFill="1" applyBorder="1"/>
    <xf numFmtId="0" fontId="20" fillId="13" borderId="9" xfId="0" applyFont="1" applyFill="1" applyBorder="1"/>
    <xf numFmtId="43" fontId="12" fillId="8" borderId="2" xfId="2" applyFont="1" applyFill="1" applyBorder="1" applyAlignment="1">
      <alignment horizontal="center" vertical="center" wrapText="1"/>
    </xf>
    <xf numFmtId="43" fontId="12" fillId="8" borderId="10" xfId="2" applyFont="1" applyFill="1" applyBorder="1" applyAlignment="1">
      <alignment horizontal="center" vertical="center" wrapText="1"/>
    </xf>
    <xf numFmtId="3" fontId="12" fillId="8" borderId="2" xfId="0" applyNumberFormat="1" applyFont="1" applyFill="1" applyBorder="1" applyAlignment="1">
      <alignment horizontal="center"/>
    </xf>
    <xf numFmtId="3" fontId="12" fillId="8" borderId="10" xfId="0" applyNumberFormat="1" applyFont="1" applyFill="1" applyBorder="1" applyAlignment="1">
      <alignment horizontal="center"/>
    </xf>
    <xf numFmtId="3" fontId="12" fillId="8" borderId="1" xfId="0" applyNumberFormat="1" applyFont="1" applyFill="1" applyBorder="1"/>
    <xf numFmtId="3" fontId="12" fillId="8" borderId="2" xfId="0" applyNumberFormat="1" applyFont="1" applyFill="1" applyBorder="1"/>
    <xf numFmtId="43" fontId="12" fillId="8" borderId="1" xfId="2" applyFont="1" applyFill="1" applyBorder="1" applyAlignment="1">
      <alignment horizontal="center" wrapText="1"/>
    </xf>
    <xf numFmtId="43" fontId="12" fillId="8" borderId="2" xfId="2" applyFont="1" applyFill="1" applyBorder="1" applyAlignment="1">
      <alignment horizontal="center" wrapText="1"/>
    </xf>
    <xf numFmtId="43" fontId="11" fillId="8" borderId="2" xfId="2" applyFont="1" applyFill="1" applyBorder="1" applyAlignment="1">
      <alignment horizontal="center" vertical="center" wrapText="1"/>
    </xf>
    <xf numFmtId="43" fontId="11" fillId="8" borderId="10" xfId="2" applyFont="1" applyFill="1" applyBorder="1" applyAlignment="1">
      <alignment horizontal="center" vertical="center" wrapText="1"/>
    </xf>
    <xf numFmtId="0" fontId="12" fillId="9" borderId="2" xfId="0" applyFont="1" applyFill="1" applyBorder="1" applyAlignment="1">
      <alignment horizontal="center" vertical="center" wrapText="1"/>
    </xf>
    <xf numFmtId="0" fontId="12" fillId="9" borderId="10" xfId="0" applyFont="1" applyFill="1" applyBorder="1" applyAlignment="1">
      <alignment horizontal="center" vertical="center" wrapText="1"/>
    </xf>
    <xf numFmtId="0" fontId="12" fillId="14" borderId="9" xfId="0" applyFont="1" applyFill="1" applyBorder="1" applyAlignment="1">
      <alignment horizontal="center"/>
    </xf>
    <xf numFmtId="0" fontId="12" fillId="7" borderId="7" xfId="0" applyFont="1" applyFill="1" applyBorder="1" applyAlignment="1">
      <alignment horizontal="center"/>
    </xf>
    <xf numFmtId="0" fontId="12" fillId="7" borderId="9" xfId="0" applyFont="1" applyFill="1" applyBorder="1" applyAlignment="1">
      <alignment horizontal="center"/>
    </xf>
    <xf numFmtId="43" fontId="15" fillId="8" borderId="5" xfId="2" applyFont="1" applyFill="1" applyBorder="1" applyAlignment="1">
      <alignment horizontal="center" wrapText="1"/>
    </xf>
    <xf numFmtId="43" fontId="15" fillId="8" borderId="6" xfId="2" applyFont="1" applyFill="1" applyBorder="1" applyAlignment="1">
      <alignment horizontal="center" wrapText="1"/>
    </xf>
    <xf numFmtId="43" fontId="1" fillId="7" borderId="7" xfId="2" applyFill="1" applyBorder="1" applyAlignment="1">
      <alignment horizontal="center"/>
    </xf>
    <xf numFmtId="3" fontId="12" fillId="8" borderId="8" xfId="0" applyNumberFormat="1" applyFont="1" applyFill="1" applyBorder="1" applyAlignment="1">
      <alignment horizontal="center"/>
    </xf>
    <xf numFmtId="43" fontId="12" fillId="8" borderId="5" xfId="2" applyFont="1" applyFill="1" applyBorder="1" applyAlignment="1">
      <alignment horizontal="center" wrapText="1"/>
    </xf>
    <xf numFmtId="43" fontId="12" fillId="8" borderId="6" xfId="2" applyFont="1" applyFill="1" applyBorder="1" applyAlignment="1">
      <alignment horizontal="center" wrapText="1"/>
    </xf>
    <xf numFmtId="0" fontId="12" fillId="9" borderId="8" xfId="0" applyFont="1" applyFill="1" applyBorder="1" applyAlignment="1">
      <alignment horizontal="center" vertical="center" wrapText="1"/>
    </xf>
    <xf numFmtId="0" fontId="12" fillId="7" borderId="4" xfId="0" applyFont="1" applyFill="1" applyBorder="1" applyAlignment="1">
      <alignment horizontal="center"/>
    </xf>
    <xf numFmtId="43" fontId="11" fillId="8" borderId="8" xfId="2" applyFont="1" applyFill="1" applyBorder="1" applyAlignment="1">
      <alignment horizontal="center" vertical="center" wrapText="1"/>
    </xf>
    <xf numFmtId="43" fontId="12" fillId="8" borderId="8" xfId="2" applyFont="1" applyFill="1" applyBorder="1" applyAlignment="1">
      <alignment horizontal="center" vertical="center" wrapText="1"/>
    </xf>
    <xf numFmtId="43" fontId="1" fillId="8" borderId="5" xfId="2" applyFill="1" applyBorder="1" applyAlignment="1">
      <alignment horizontal="center" wrapText="1"/>
    </xf>
    <xf numFmtId="43" fontId="1" fillId="8" borderId="6" xfId="2" applyFill="1" applyBorder="1" applyAlignment="1">
      <alignment horizontal="center" wrapText="1"/>
    </xf>
    <xf numFmtId="0" fontId="21" fillId="0" borderId="9" xfId="0" applyFont="1" applyBorder="1"/>
    <xf numFmtId="0" fontId="22" fillId="12" borderId="9" xfId="0" applyFont="1" applyFill="1" applyBorder="1"/>
    <xf numFmtId="0" fontId="22" fillId="13" borderId="9" xfId="0" applyFont="1" applyFill="1" applyBorder="1"/>
    <xf numFmtId="0" fontId="23" fillId="13" borderId="9" xfId="0" applyFont="1" applyFill="1" applyBorder="1"/>
    <xf numFmtId="0" fontId="22" fillId="14" borderId="9" xfId="0" applyFont="1" applyFill="1" applyBorder="1"/>
    <xf numFmtId="4" fontId="22" fillId="14" borderId="9" xfId="0" applyNumberFormat="1" applyFont="1" applyFill="1" applyBorder="1"/>
    <xf numFmtId="43" fontId="21" fillId="11" borderId="9" xfId="2" applyFont="1" applyFill="1" applyBorder="1"/>
    <xf numFmtId="4" fontId="23" fillId="13" borderId="9" xfId="0" applyNumberFormat="1" applyFont="1" applyFill="1" applyBorder="1"/>
    <xf numFmtId="4" fontId="22" fillId="12" borderId="9" xfId="0" applyNumberFormat="1" applyFont="1" applyFill="1" applyBorder="1"/>
    <xf numFmtId="43" fontId="21" fillId="0" borderId="9" xfId="2" applyFont="1" applyFill="1" applyBorder="1"/>
    <xf numFmtId="4" fontId="21" fillId="0" borderId="9" xfId="0" applyNumberFormat="1" applyFont="1" applyBorder="1"/>
    <xf numFmtId="0" fontId="21" fillId="0" borderId="9" xfId="0" applyFont="1" applyBorder="1" applyAlignment="1">
      <alignment wrapText="1"/>
    </xf>
    <xf numFmtId="0" fontId="21" fillId="12" borderId="9" xfId="0" applyFont="1" applyFill="1" applyBorder="1"/>
    <xf numFmtId="43" fontId="21" fillId="12" borderId="9" xfId="2" applyFont="1" applyFill="1" applyBorder="1"/>
    <xf numFmtId="43" fontId="21" fillId="13" borderId="9" xfId="2" applyFont="1" applyFill="1" applyBorder="1"/>
    <xf numFmtId="4" fontId="21" fillId="0" borderId="9" xfId="0" applyNumberFormat="1" applyFont="1" applyBorder="1" applyAlignment="1">
      <alignment wrapText="1"/>
    </xf>
    <xf numFmtId="43" fontId="23" fillId="13" borderId="9" xfId="2" applyFont="1" applyFill="1" applyBorder="1"/>
    <xf numFmtId="43" fontId="21" fillId="14" borderId="9" xfId="2" applyFont="1" applyFill="1" applyBorder="1"/>
    <xf numFmtId="0" fontId="21" fillId="12" borderId="9" xfId="0" applyFont="1" applyFill="1" applyBorder="1" applyAlignment="1">
      <alignment wrapText="1"/>
    </xf>
  </cellXfs>
  <cellStyles count="4">
    <cellStyle name="Excel Built-in Normal" xfId="1"/>
    <cellStyle name="Millares" xfId="2" builtinId="3"/>
    <cellStyle name="Normal" xfId="0" builtinId="0"/>
    <cellStyle name="Normal_Hoja1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4B082"/>
      <color rgb="FFFF00FF"/>
      <color rgb="FF9999FF"/>
      <color rgb="FFBCD6EE"/>
      <color rgb="FF66CCFF"/>
      <color rgb="FFFFFF66"/>
      <color rgb="FF33CC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K130"/>
  <sheetViews>
    <sheetView tabSelected="1" workbookViewId="0">
      <pane xSplit="2" ySplit="6" topLeftCell="AE7" activePane="bottomRight" state="frozen"/>
      <selection pane="topRight" activeCell="C1" sqref="C1"/>
      <selection pane="bottomLeft" activeCell="A7" sqref="A7"/>
      <selection pane="bottomRight" activeCell="A2" sqref="A2"/>
    </sheetView>
  </sheetViews>
  <sheetFormatPr baseColWidth="10" defaultColWidth="11.5703125" defaultRowHeight="15"/>
  <cols>
    <col min="1" max="1" width="28.7109375" style="41" customWidth="1"/>
    <col min="2" max="2" width="39.140625" style="41" customWidth="1"/>
    <col min="3" max="3" width="8.140625" style="41" bestFit="1" customWidth="1"/>
    <col min="4" max="4" width="8.85546875" style="41" customWidth="1"/>
    <col min="5" max="5" width="31.5703125" style="41" customWidth="1"/>
    <col min="6" max="6" width="20.140625" style="41" bestFit="1" customWidth="1"/>
    <col min="7" max="7" width="13" style="41" bestFit="1" customWidth="1"/>
    <col min="8" max="8" width="11.7109375" style="41" customWidth="1"/>
    <col min="9" max="9" width="17.140625" style="23" customWidth="1"/>
    <col min="10" max="10" width="11.7109375" style="186" customWidth="1"/>
    <col min="11" max="13" width="13.85546875" style="23" customWidth="1"/>
    <col min="14" max="16" width="13.5703125" style="23" customWidth="1"/>
    <col min="17" max="17" width="17" style="24" customWidth="1"/>
    <col min="18" max="19" width="13.5703125" style="23" customWidth="1"/>
    <col min="20" max="20" width="13.5703125" style="25" customWidth="1"/>
    <col min="21" max="21" width="19.28515625" style="25" customWidth="1"/>
    <col min="22" max="22" width="16.85546875" style="25" customWidth="1"/>
    <col min="23" max="23" width="16.140625" style="25" customWidth="1"/>
    <col min="24" max="27" width="13.5703125" style="23" customWidth="1"/>
    <col min="28" max="28" width="16.7109375" style="24" customWidth="1"/>
    <col min="29" max="29" width="16.7109375" style="23" customWidth="1"/>
    <col min="30" max="30" width="15.42578125" style="24" customWidth="1"/>
    <col min="31" max="33" width="13.5703125" style="23" customWidth="1"/>
    <col min="34" max="34" width="15.42578125" style="24" customWidth="1"/>
    <col min="35" max="35" width="15.28515625" style="160" customWidth="1"/>
    <col min="36" max="36" width="12.7109375" style="160" customWidth="1"/>
    <col min="37" max="37" width="11.5703125" style="4" customWidth="1"/>
    <col min="38" max="38" width="13.85546875" style="41" customWidth="1"/>
    <col min="39" max="39" width="73.42578125" style="41" bestFit="1" customWidth="1"/>
    <col min="40" max="53" width="11.5703125" style="39"/>
    <col min="54" max="16384" width="11.5703125" style="41"/>
  </cols>
  <sheetData>
    <row r="1" spans="1:193" s="17" customFormat="1">
      <c r="A1" s="12" t="s">
        <v>24</v>
      </c>
      <c r="B1" s="12"/>
      <c r="C1" s="12"/>
      <c r="D1" s="12"/>
      <c r="E1" s="13"/>
      <c r="F1" s="13"/>
      <c r="G1" s="13"/>
      <c r="H1" s="13"/>
      <c r="I1" s="14"/>
      <c r="J1" s="173"/>
      <c r="K1" s="14"/>
      <c r="L1" s="14"/>
      <c r="M1" s="14"/>
      <c r="N1" s="14"/>
      <c r="O1" s="14"/>
      <c r="P1" s="14"/>
      <c r="Q1" s="15"/>
      <c r="R1" s="14"/>
      <c r="S1" s="14"/>
      <c r="T1" s="14"/>
      <c r="U1" s="14"/>
      <c r="V1" s="14"/>
      <c r="W1" s="14"/>
      <c r="X1" s="14"/>
      <c r="Y1" s="14"/>
      <c r="Z1" s="14"/>
      <c r="AA1" s="14"/>
      <c r="AB1" s="15"/>
      <c r="AC1" s="14"/>
      <c r="AD1" s="15"/>
      <c r="AE1" s="14"/>
      <c r="AF1" s="14"/>
      <c r="AG1" s="14"/>
      <c r="AH1" s="15"/>
      <c r="AI1" s="159"/>
      <c r="AJ1" s="159"/>
      <c r="AK1" s="100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</row>
    <row r="2" spans="1:193" s="17" customFormat="1">
      <c r="A2" s="18" t="s">
        <v>76</v>
      </c>
      <c r="B2" s="18"/>
      <c r="C2" s="18"/>
      <c r="D2" s="18"/>
      <c r="E2" s="19"/>
      <c r="F2" s="19"/>
      <c r="G2" s="19"/>
      <c r="H2" s="19"/>
      <c r="I2" s="14"/>
      <c r="J2" s="174"/>
      <c r="K2" s="14"/>
      <c r="L2" s="14"/>
      <c r="M2" s="14"/>
      <c r="N2" s="14"/>
      <c r="O2" s="14"/>
      <c r="P2" s="14"/>
      <c r="Q2" s="15"/>
      <c r="R2" s="14"/>
      <c r="S2" s="14"/>
      <c r="T2" s="14"/>
      <c r="U2" s="14"/>
      <c r="V2" s="14"/>
      <c r="W2" s="14"/>
      <c r="X2" s="14"/>
      <c r="Y2" s="14"/>
      <c r="Z2" s="14"/>
      <c r="AA2" s="14"/>
      <c r="AB2" s="15"/>
      <c r="AC2" s="14"/>
      <c r="AD2" s="15"/>
      <c r="AE2" s="14"/>
      <c r="AF2" s="14"/>
      <c r="AG2" s="14"/>
      <c r="AH2" s="15"/>
      <c r="AI2" s="159"/>
      <c r="AJ2" s="159"/>
      <c r="AK2" s="100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</row>
    <row r="3" spans="1:193" s="17" customFormat="1">
      <c r="A3" s="20" t="s">
        <v>320</v>
      </c>
      <c r="B3" s="20"/>
      <c r="C3" s="20"/>
      <c r="D3" s="20"/>
      <c r="E3" s="21"/>
      <c r="F3" s="21"/>
      <c r="G3" s="21"/>
      <c r="H3" s="21"/>
      <c r="I3" s="14"/>
      <c r="J3" s="175"/>
      <c r="K3" s="14"/>
      <c r="L3" s="14"/>
      <c r="M3" s="14"/>
      <c r="N3" s="14"/>
      <c r="O3" s="14"/>
      <c r="P3" s="14"/>
      <c r="Q3" s="15"/>
      <c r="R3" s="14"/>
      <c r="S3" s="14"/>
      <c r="T3" s="14"/>
      <c r="U3" s="14"/>
      <c r="V3" s="14"/>
      <c r="W3" s="14"/>
      <c r="X3" s="14"/>
      <c r="Y3" s="14"/>
      <c r="Z3" s="14"/>
      <c r="AA3" s="14"/>
      <c r="AB3" s="15"/>
      <c r="AC3" s="14"/>
      <c r="AD3" s="15"/>
      <c r="AE3" s="14"/>
      <c r="AF3" s="14"/>
      <c r="AG3" s="14"/>
      <c r="AH3" s="15"/>
      <c r="AI3" s="159"/>
      <c r="AJ3" s="159"/>
      <c r="AK3" s="100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</row>
    <row r="4" spans="1:193" s="22" customFormat="1">
      <c r="A4" s="22" t="s">
        <v>321</v>
      </c>
      <c r="I4" s="23"/>
      <c r="J4" s="176"/>
      <c r="K4" s="23"/>
      <c r="L4" s="23"/>
      <c r="M4" s="23"/>
      <c r="N4" s="23"/>
      <c r="O4" s="23"/>
      <c r="P4" s="23"/>
      <c r="Q4" s="24"/>
      <c r="R4" s="23"/>
      <c r="S4" s="23"/>
      <c r="T4" s="25"/>
      <c r="U4" s="25"/>
      <c r="V4" s="25"/>
      <c r="W4" s="25"/>
      <c r="X4" s="23"/>
      <c r="Y4" s="23"/>
      <c r="Z4" s="23"/>
      <c r="AA4" s="23"/>
      <c r="AB4" s="24"/>
      <c r="AC4" s="23"/>
      <c r="AD4" s="24"/>
      <c r="AE4" s="23"/>
      <c r="AF4" s="23"/>
      <c r="AG4" s="23"/>
      <c r="AH4" s="24"/>
      <c r="AI4" s="160"/>
      <c r="AJ4" s="160"/>
      <c r="AK4" s="4"/>
      <c r="AN4" s="26"/>
      <c r="AO4" s="26"/>
      <c r="AP4" s="26"/>
      <c r="AQ4" s="26"/>
      <c r="AR4" s="26"/>
      <c r="AS4" s="26"/>
      <c r="AT4" s="26"/>
      <c r="AU4" s="26"/>
      <c r="AV4" s="26"/>
      <c r="AW4" s="26"/>
      <c r="AX4" s="26"/>
      <c r="AY4" s="26"/>
      <c r="AZ4" s="26"/>
      <c r="BA4" s="26"/>
    </row>
    <row r="5" spans="1:193" s="22" customFormat="1" ht="28.5" customHeight="1">
      <c r="A5" s="212" t="s">
        <v>39</v>
      </c>
      <c r="B5" s="214" t="s">
        <v>40</v>
      </c>
      <c r="C5" s="212" t="s">
        <v>252</v>
      </c>
      <c r="D5" s="214" t="s">
        <v>41</v>
      </c>
      <c r="E5" s="214" t="s">
        <v>0</v>
      </c>
      <c r="F5" s="212" t="s">
        <v>246</v>
      </c>
      <c r="G5" s="216" t="s">
        <v>67</v>
      </c>
      <c r="H5" s="216" t="s">
        <v>65</v>
      </c>
      <c r="I5" s="218" t="s">
        <v>66</v>
      </c>
      <c r="J5" s="210" t="s">
        <v>68</v>
      </c>
      <c r="K5" s="216" t="s">
        <v>34</v>
      </c>
      <c r="L5" s="210" t="s">
        <v>75</v>
      </c>
      <c r="M5" s="99"/>
      <c r="N5" s="216" t="s">
        <v>35</v>
      </c>
      <c r="O5" s="216" t="s">
        <v>36</v>
      </c>
      <c r="P5" s="216" t="s">
        <v>63</v>
      </c>
      <c r="Q5" s="216" t="s">
        <v>37</v>
      </c>
      <c r="R5" s="216" t="s">
        <v>38</v>
      </c>
      <c r="S5" s="88"/>
      <c r="T5" s="220" t="s">
        <v>186</v>
      </c>
      <c r="U5" s="220" t="s">
        <v>213</v>
      </c>
      <c r="V5" s="220" t="s">
        <v>212</v>
      </c>
      <c r="W5" s="220" t="s">
        <v>187</v>
      </c>
      <c r="X5" s="216" t="s">
        <v>30</v>
      </c>
      <c r="Y5" s="216" t="s">
        <v>56</v>
      </c>
      <c r="Z5" s="216" t="s">
        <v>55</v>
      </c>
      <c r="AA5" s="216" t="s">
        <v>32</v>
      </c>
      <c r="AB5" s="216" t="s">
        <v>64</v>
      </c>
      <c r="AC5" s="216" t="s">
        <v>27</v>
      </c>
      <c r="AD5" s="216" t="s">
        <v>31</v>
      </c>
      <c r="AE5" s="216" t="s">
        <v>26</v>
      </c>
      <c r="AF5" s="216" t="s">
        <v>28</v>
      </c>
      <c r="AG5" s="102"/>
      <c r="AH5" s="216" t="s">
        <v>29</v>
      </c>
      <c r="AI5" s="225" t="s">
        <v>313</v>
      </c>
      <c r="AJ5" s="226"/>
      <c r="AK5" s="227" t="s">
        <v>191</v>
      </c>
      <c r="AL5" s="223" t="s">
        <v>257</v>
      </c>
      <c r="AM5" s="223" t="s">
        <v>258</v>
      </c>
      <c r="AN5" s="26"/>
      <c r="AO5" s="26"/>
      <c r="AP5" s="26"/>
      <c r="AQ5" s="26"/>
      <c r="AR5" s="26"/>
      <c r="AS5" s="26"/>
      <c r="AT5" s="26"/>
      <c r="AU5" s="26"/>
      <c r="AV5" s="26"/>
      <c r="AW5" s="26"/>
      <c r="AX5" s="26"/>
      <c r="AY5" s="26"/>
      <c r="AZ5" s="26"/>
      <c r="BA5" s="26"/>
    </row>
    <row r="6" spans="1:193" s="66" customFormat="1" ht="39" customHeight="1">
      <c r="A6" s="213"/>
      <c r="B6" s="215"/>
      <c r="C6" s="213"/>
      <c r="D6" s="215"/>
      <c r="E6" s="215"/>
      <c r="F6" s="213"/>
      <c r="G6" s="217"/>
      <c r="H6" s="217"/>
      <c r="I6" s="219"/>
      <c r="J6" s="211"/>
      <c r="K6" s="217"/>
      <c r="L6" s="211"/>
      <c r="M6" s="104" t="s">
        <v>288</v>
      </c>
      <c r="N6" s="217"/>
      <c r="O6" s="217"/>
      <c r="P6" s="217"/>
      <c r="Q6" s="217"/>
      <c r="R6" s="217"/>
      <c r="S6" s="105" t="s">
        <v>276</v>
      </c>
      <c r="T6" s="221"/>
      <c r="U6" s="221"/>
      <c r="V6" s="221"/>
      <c r="W6" s="221"/>
      <c r="X6" s="217"/>
      <c r="Y6" s="217"/>
      <c r="Z6" s="217"/>
      <c r="AA6" s="217"/>
      <c r="AB6" s="217"/>
      <c r="AC6" s="217"/>
      <c r="AD6" s="217"/>
      <c r="AE6" s="217"/>
      <c r="AF6" s="217"/>
      <c r="AG6" s="88"/>
      <c r="AH6" s="217"/>
      <c r="AI6" s="158" t="s">
        <v>66</v>
      </c>
      <c r="AJ6" s="158" t="s">
        <v>68</v>
      </c>
      <c r="AK6" s="227"/>
      <c r="AL6" s="223"/>
      <c r="AM6" s="223"/>
      <c r="AN6" s="65"/>
      <c r="AO6" s="65"/>
      <c r="AP6" s="65"/>
      <c r="AQ6" s="65"/>
      <c r="AR6" s="65"/>
      <c r="AS6" s="65"/>
      <c r="AT6" s="65"/>
      <c r="AU6" s="65"/>
      <c r="AV6" s="65"/>
      <c r="AW6" s="65"/>
      <c r="AX6" s="65"/>
      <c r="AY6" s="65"/>
      <c r="AZ6" s="65"/>
      <c r="BA6" s="65"/>
    </row>
    <row r="7" spans="1:193" s="40" customFormat="1">
      <c r="A7" s="125" t="s">
        <v>91</v>
      </c>
      <c r="B7" s="111" t="s">
        <v>238</v>
      </c>
      <c r="C7" s="111"/>
      <c r="D7" s="111" t="s">
        <v>95</v>
      </c>
      <c r="E7" s="111" t="s">
        <v>72</v>
      </c>
      <c r="F7" s="133">
        <v>42062</v>
      </c>
      <c r="G7" s="112"/>
      <c r="H7" s="112"/>
      <c r="I7" s="113">
        <v>1166.26</v>
      </c>
      <c r="J7" s="177"/>
      <c r="K7" s="113">
        <f t="shared" ref="K7:K40" si="0">+I7+J7</f>
        <v>1166.26</v>
      </c>
      <c r="L7" s="113">
        <v>1947.17</v>
      </c>
      <c r="M7" s="113"/>
      <c r="N7" s="114"/>
      <c r="O7" s="114"/>
      <c r="P7" s="115"/>
      <c r="Q7" s="116">
        <f t="shared" ref="Q7:Q40" si="1">SUM(K7:O7)-P7</f>
        <v>3113.4300000000003</v>
      </c>
      <c r="R7" s="117"/>
      <c r="S7" s="118"/>
      <c r="T7" s="118">
        <v>0</v>
      </c>
      <c r="U7" s="118"/>
      <c r="V7" s="118"/>
      <c r="W7" s="118"/>
      <c r="X7" s="119"/>
      <c r="Y7" s="119"/>
      <c r="Z7" s="120"/>
      <c r="AA7" s="120">
        <v>0</v>
      </c>
      <c r="AB7" s="116">
        <f t="shared" ref="AB7:AB39" si="2">+Q7-SUM(R7:AA7)</f>
        <v>3113.4300000000003</v>
      </c>
      <c r="AC7" s="121">
        <f>IF(Q7&gt;2250,Q7*0.1,0)</f>
        <v>311.34300000000007</v>
      </c>
      <c r="AD7" s="116">
        <f t="shared" ref="AD7:AD38" si="3">+AB7-AC7</f>
        <v>2802.0870000000004</v>
      </c>
      <c r="AE7" s="122">
        <f t="shared" ref="AE7:AE38" si="4">IF(Q7&lt;3500,Q7*0.1,0)</f>
        <v>311.34300000000007</v>
      </c>
      <c r="AF7" s="121">
        <v>10.23</v>
      </c>
      <c r="AG7" s="121">
        <f t="shared" ref="AG7:AG39" si="5">+U7</f>
        <v>0</v>
      </c>
      <c r="AH7" s="123">
        <f t="shared" ref="AH7:AH40" si="6">+Q7+AE7+AF7+AG7</f>
        <v>3435.0030000000002</v>
      </c>
      <c r="AI7" s="237">
        <v>577.4</v>
      </c>
      <c r="AJ7" s="247">
        <v>2224.69</v>
      </c>
      <c r="AK7" s="246">
        <f t="shared" ref="AK7:AK76" si="7">+AI7+AJ7-AD7</f>
        <v>2.9999999997016857E-3</v>
      </c>
      <c r="AL7" s="125"/>
      <c r="AM7" s="125"/>
      <c r="AN7" s="39"/>
      <c r="AO7" s="39"/>
      <c r="AP7" s="39"/>
      <c r="AQ7" s="39"/>
      <c r="AR7" s="39"/>
      <c r="AS7" s="39"/>
      <c r="AT7" s="39"/>
      <c r="AU7" s="39"/>
      <c r="AV7" s="39"/>
      <c r="AW7" s="39"/>
      <c r="AX7" s="39"/>
      <c r="AY7" s="39"/>
      <c r="AZ7" s="39"/>
      <c r="BA7" s="39"/>
    </row>
    <row r="8" spans="1:193">
      <c r="A8" s="125" t="s">
        <v>71</v>
      </c>
      <c r="B8" s="111" t="s">
        <v>219</v>
      </c>
      <c r="C8" s="111" t="s">
        <v>252</v>
      </c>
      <c r="D8" s="111" t="s">
        <v>145</v>
      </c>
      <c r="E8" s="111" t="s">
        <v>74</v>
      </c>
      <c r="F8" s="111"/>
      <c r="G8" s="112"/>
      <c r="H8" s="112"/>
      <c r="I8" s="113">
        <v>1633.33</v>
      </c>
      <c r="J8" s="178"/>
      <c r="K8" s="113">
        <f t="shared" si="0"/>
        <v>1633.33</v>
      </c>
      <c r="L8" s="113">
        <v>1841.57</v>
      </c>
      <c r="M8" s="113"/>
      <c r="N8" s="114"/>
      <c r="O8" s="114"/>
      <c r="P8" s="115"/>
      <c r="Q8" s="116">
        <f t="shared" si="1"/>
        <v>3474.8999999999996</v>
      </c>
      <c r="R8" s="117"/>
      <c r="S8" s="118"/>
      <c r="T8" s="118">
        <v>0</v>
      </c>
      <c r="U8" s="118"/>
      <c r="V8" s="118"/>
      <c r="W8" s="118"/>
      <c r="X8" s="119"/>
      <c r="Y8" s="119"/>
      <c r="Z8" s="120"/>
      <c r="AA8" s="120">
        <v>0</v>
      </c>
      <c r="AB8" s="116">
        <f t="shared" si="2"/>
        <v>3474.8999999999996</v>
      </c>
      <c r="AC8" s="121">
        <f t="shared" ref="AC8:AC77" si="8">IF(Q8&gt;2250,Q8*0.1,0)</f>
        <v>347.49</v>
      </c>
      <c r="AD8" s="116">
        <f t="shared" si="3"/>
        <v>3127.41</v>
      </c>
      <c r="AE8" s="122">
        <f t="shared" si="4"/>
        <v>347.49</v>
      </c>
      <c r="AF8" s="121">
        <v>10.23</v>
      </c>
      <c r="AG8" s="121">
        <f t="shared" si="5"/>
        <v>0</v>
      </c>
      <c r="AH8" s="123">
        <f t="shared" si="6"/>
        <v>3832.6199999999994</v>
      </c>
      <c r="AI8" s="237">
        <v>577.4</v>
      </c>
      <c r="AJ8" s="247">
        <v>2550.0100000000002</v>
      </c>
      <c r="AK8" s="246">
        <f t="shared" si="7"/>
        <v>0</v>
      </c>
      <c r="AL8" s="125"/>
      <c r="AM8" s="125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  <c r="EP8" s="39"/>
      <c r="EQ8" s="39"/>
      <c r="ER8" s="39"/>
      <c r="ES8" s="39"/>
      <c r="ET8" s="39"/>
      <c r="EU8" s="39"/>
      <c r="EV8" s="39"/>
      <c r="EW8" s="39"/>
      <c r="EX8" s="39"/>
      <c r="EY8" s="39"/>
      <c r="EZ8" s="39"/>
      <c r="FA8" s="39"/>
      <c r="FB8" s="39"/>
      <c r="FC8" s="39"/>
      <c r="FD8" s="39"/>
      <c r="FE8" s="39"/>
      <c r="FF8" s="39"/>
      <c r="FG8" s="39"/>
      <c r="FH8" s="39"/>
      <c r="FI8" s="39"/>
      <c r="FJ8" s="39"/>
      <c r="FK8" s="39"/>
      <c r="FL8" s="39"/>
      <c r="FM8" s="39"/>
      <c r="FN8" s="39"/>
      <c r="FO8" s="39"/>
      <c r="FP8" s="39"/>
      <c r="FQ8" s="39"/>
      <c r="FR8" s="39"/>
      <c r="FS8" s="39"/>
      <c r="FT8" s="39"/>
      <c r="FU8" s="39"/>
      <c r="FV8" s="39"/>
      <c r="FW8" s="39"/>
      <c r="FX8" s="39"/>
      <c r="FY8" s="39"/>
      <c r="FZ8" s="39"/>
      <c r="GA8" s="39"/>
      <c r="GB8" s="39"/>
      <c r="GC8" s="39"/>
      <c r="GD8" s="39"/>
      <c r="GE8" s="39"/>
      <c r="GF8" s="39"/>
      <c r="GG8" s="39"/>
      <c r="GH8" s="39"/>
      <c r="GI8" s="39"/>
      <c r="GJ8" s="39"/>
      <c r="GK8" s="39"/>
    </row>
    <row r="9" spans="1:193">
      <c r="A9" s="125" t="s">
        <v>94</v>
      </c>
      <c r="B9" s="111" t="s">
        <v>196</v>
      </c>
      <c r="C9" s="111"/>
      <c r="D9" s="111" t="s">
        <v>126</v>
      </c>
      <c r="E9" s="111" t="s">
        <v>181</v>
      </c>
      <c r="F9" s="111"/>
      <c r="G9" s="112"/>
      <c r="H9" s="112"/>
      <c r="I9" s="113">
        <v>608.16</v>
      </c>
      <c r="J9" s="178"/>
      <c r="K9" s="113">
        <f t="shared" si="0"/>
        <v>608.16</v>
      </c>
      <c r="L9" s="113">
        <f>3809.56+2.59</f>
        <v>3812.15</v>
      </c>
      <c r="M9" s="113"/>
      <c r="N9" s="114"/>
      <c r="O9" s="114"/>
      <c r="P9" s="115"/>
      <c r="Q9" s="116">
        <f t="shared" si="1"/>
        <v>4420.3100000000004</v>
      </c>
      <c r="R9" s="117"/>
      <c r="S9" s="118"/>
      <c r="T9" s="118"/>
      <c r="U9" s="127">
        <f>Q9*4.9%</f>
        <v>216.59519000000003</v>
      </c>
      <c r="V9" s="127">
        <f>Q9*1%</f>
        <v>44.203100000000006</v>
      </c>
      <c r="W9" s="118"/>
      <c r="X9" s="119"/>
      <c r="Y9" s="119"/>
      <c r="Z9" s="120"/>
      <c r="AA9" s="120">
        <v>0</v>
      </c>
      <c r="AB9" s="116">
        <f t="shared" si="2"/>
        <v>4159.5117100000007</v>
      </c>
      <c r="AC9" s="121">
        <f t="shared" si="8"/>
        <v>442.03100000000006</v>
      </c>
      <c r="AD9" s="116">
        <f t="shared" si="3"/>
        <v>3717.4807100000007</v>
      </c>
      <c r="AE9" s="122">
        <f t="shared" si="4"/>
        <v>0</v>
      </c>
      <c r="AF9" s="121">
        <v>10.23</v>
      </c>
      <c r="AG9" s="121">
        <f t="shared" si="5"/>
        <v>216.59519000000003</v>
      </c>
      <c r="AH9" s="123">
        <f t="shared" si="6"/>
        <v>4647.13519</v>
      </c>
      <c r="AI9" s="237">
        <v>577.4</v>
      </c>
      <c r="AJ9" s="247">
        <v>3140.08</v>
      </c>
      <c r="AK9" s="246">
        <f t="shared" si="7"/>
        <v>-7.1000000070853275E-4</v>
      </c>
      <c r="AL9" s="125"/>
      <c r="AM9" s="125"/>
      <c r="BB9" s="39"/>
      <c r="BC9" s="39"/>
      <c r="BD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O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BZ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K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V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G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R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C9" s="39"/>
      <c r="ED9" s="39"/>
      <c r="EE9" s="39"/>
      <c r="EF9" s="39"/>
      <c r="EG9" s="39"/>
      <c r="EH9" s="39"/>
      <c r="EI9" s="39"/>
      <c r="EJ9" s="39"/>
      <c r="EK9" s="39"/>
      <c r="EL9" s="39"/>
      <c r="EM9" s="39"/>
      <c r="EN9" s="39"/>
      <c r="EO9" s="39"/>
      <c r="EP9" s="39"/>
      <c r="EQ9" s="39"/>
      <c r="ER9" s="39"/>
      <c r="ES9" s="39"/>
      <c r="ET9" s="39"/>
      <c r="EU9" s="39"/>
      <c r="EV9" s="39"/>
      <c r="EW9" s="39"/>
      <c r="EX9" s="39"/>
      <c r="EY9" s="39"/>
      <c r="EZ9" s="39"/>
      <c r="FA9" s="39"/>
      <c r="FB9" s="39"/>
      <c r="FC9" s="39"/>
      <c r="FD9" s="39"/>
      <c r="FE9" s="39"/>
      <c r="FF9" s="39"/>
      <c r="FG9" s="39"/>
      <c r="FH9" s="39"/>
      <c r="FI9" s="39"/>
      <c r="FJ9" s="39"/>
      <c r="FK9" s="39"/>
      <c r="FL9" s="39"/>
      <c r="FM9" s="39"/>
      <c r="FN9" s="39"/>
      <c r="FO9" s="39"/>
      <c r="FP9" s="39"/>
      <c r="FQ9" s="39"/>
      <c r="FR9" s="39"/>
      <c r="FS9" s="39"/>
      <c r="FT9" s="39"/>
      <c r="FU9" s="39"/>
      <c r="FV9" s="39"/>
      <c r="FW9" s="39"/>
      <c r="FX9" s="39"/>
      <c r="FY9" s="39"/>
      <c r="FZ9" s="39"/>
      <c r="GA9" s="39"/>
      <c r="GB9" s="39"/>
      <c r="GC9" s="39"/>
      <c r="GD9" s="39"/>
      <c r="GE9" s="39"/>
      <c r="GF9" s="39"/>
      <c r="GG9" s="39"/>
      <c r="GH9" s="39"/>
      <c r="GI9" s="39"/>
      <c r="GJ9" s="39"/>
      <c r="GK9" s="39"/>
    </row>
    <row r="10" spans="1:193">
      <c r="A10" s="125" t="s">
        <v>92</v>
      </c>
      <c r="B10" s="111" t="s">
        <v>205</v>
      </c>
      <c r="C10" s="111"/>
      <c r="D10" s="111" t="s">
        <v>206</v>
      </c>
      <c r="E10" s="111" t="s">
        <v>167</v>
      </c>
      <c r="F10" s="111"/>
      <c r="G10" s="112"/>
      <c r="H10" s="112"/>
      <c r="I10" s="30">
        <v>739.23</v>
      </c>
      <c r="J10" s="178"/>
      <c r="K10" s="113">
        <f t="shared" si="0"/>
        <v>739.23</v>
      </c>
      <c r="L10" s="113">
        <f>1389.48+7.42</f>
        <v>1396.9</v>
      </c>
      <c r="M10" s="113"/>
      <c r="N10" s="114"/>
      <c r="O10" s="114"/>
      <c r="P10" s="115"/>
      <c r="Q10" s="116">
        <f t="shared" si="1"/>
        <v>2136.13</v>
      </c>
      <c r="R10" s="117"/>
      <c r="S10" s="118"/>
      <c r="T10" s="118"/>
      <c r="U10" s="118"/>
      <c r="V10" s="118"/>
      <c r="W10" s="118"/>
      <c r="X10" s="119"/>
      <c r="Y10" s="119"/>
      <c r="Z10" s="120"/>
      <c r="AA10" s="120"/>
      <c r="AB10" s="116">
        <f t="shared" si="2"/>
        <v>2136.13</v>
      </c>
      <c r="AC10" s="121">
        <f t="shared" si="8"/>
        <v>0</v>
      </c>
      <c r="AD10" s="116">
        <f t="shared" si="3"/>
        <v>2136.13</v>
      </c>
      <c r="AE10" s="122">
        <f t="shared" si="4"/>
        <v>213.61300000000003</v>
      </c>
      <c r="AF10" s="121">
        <v>10.23</v>
      </c>
      <c r="AG10" s="121">
        <f t="shared" si="5"/>
        <v>0</v>
      </c>
      <c r="AH10" s="123">
        <f t="shared" si="6"/>
        <v>2359.973</v>
      </c>
      <c r="AI10" s="248">
        <v>577.4</v>
      </c>
      <c r="AJ10" s="247">
        <v>1558.73</v>
      </c>
      <c r="AK10" s="246">
        <f t="shared" si="7"/>
        <v>0</v>
      </c>
      <c r="AL10" s="125"/>
      <c r="AM10" s="125"/>
      <c r="BB10" s="39"/>
      <c r="BC10" s="39"/>
      <c r="BD10" s="39"/>
      <c r="BE10" s="39"/>
      <c r="BF10" s="39"/>
      <c r="BG10" s="39"/>
      <c r="BH10" s="39"/>
      <c r="BI10" s="39"/>
      <c r="BJ10" s="39"/>
      <c r="BK10" s="39"/>
      <c r="BL10" s="39"/>
      <c r="BM10" s="39"/>
      <c r="BN10" s="39"/>
      <c r="BO10" s="39"/>
      <c r="BP10" s="39"/>
      <c r="BQ10" s="39"/>
      <c r="BR10" s="39"/>
      <c r="BS10" s="39"/>
      <c r="BT10" s="39"/>
      <c r="BU10" s="39"/>
      <c r="BV10" s="39"/>
      <c r="BW10" s="39"/>
      <c r="BX10" s="39"/>
      <c r="BY10" s="39"/>
      <c r="BZ10" s="39"/>
      <c r="CA10" s="39"/>
      <c r="CB10" s="39"/>
      <c r="CC10" s="39"/>
      <c r="CD10" s="39"/>
      <c r="CE10" s="39"/>
      <c r="CF10" s="39"/>
      <c r="CG10" s="39"/>
      <c r="CH10" s="39"/>
      <c r="CI10" s="39"/>
      <c r="CJ10" s="39"/>
      <c r="CK10" s="39"/>
      <c r="CL10" s="39"/>
      <c r="CM10" s="39"/>
      <c r="CN10" s="39"/>
      <c r="CO10" s="39"/>
      <c r="CP10" s="39"/>
      <c r="CQ10" s="39"/>
      <c r="CR10" s="39"/>
      <c r="CS10" s="39"/>
      <c r="CT10" s="39"/>
      <c r="CU10" s="39"/>
      <c r="CV10" s="39"/>
      <c r="CW10" s="39"/>
      <c r="CX10" s="39"/>
      <c r="CY10" s="39"/>
      <c r="CZ10" s="39"/>
      <c r="DA10" s="39"/>
      <c r="DB10" s="39"/>
      <c r="DC10" s="39"/>
      <c r="DD10" s="39"/>
      <c r="DE10" s="39"/>
      <c r="DF10" s="39"/>
      <c r="DG10" s="39"/>
      <c r="DH10" s="39"/>
      <c r="DI10" s="39"/>
      <c r="DJ10" s="39"/>
      <c r="DK10" s="39"/>
      <c r="DL10" s="39"/>
      <c r="DM10" s="39"/>
      <c r="DN10" s="39"/>
      <c r="DO10" s="39"/>
      <c r="DP10" s="39"/>
      <c r="DQ10" s="39"/>
      <c r="DR10" s="39"/>
      <c r="DS10" s="39"/>
      <c r="DT10" s="39"/>
      <c r="DU10" s="39"/>
      <c r="DV10" s="39"/>
      <c r="DW10" s="39"/>
      <c r="DX10" s="39"/>
      <c r="DY10" s="39"/>
      <c r="DZ10" s="39"/>
      <c r="EA10" s="39"/>
      <c r="EB10" s="39"/>
      <c r="EC10" s="39"/>
      <c r="ED10" s="39"/>
      <c r="EE10" s="39"/>
      <c r="EF10" s="39"/>
      <c r="EG10" s="39"/>
      <c r="EH10" s="39"/>
      <c r="EI10" s="39"/>
      <c r="EJ10" s="39"/>
      <c r="EK10" s="39"/>
      <c r="EL10" s="39"/>
      <c r="EM10" s="39"/>
      <c r="EN10" s="39"/>
      <c r="EO10" s="39"/>
      <c r="EP10" s="39"/>
      <c r="EQ10" s="39"/>
      <c r="ER10" s="39"/>
      <c r="ES10" s="39"/>
      <c r="ET10" s="39"/>
      <c r="EU10" s="39"/>
      <c r="EV10" s="39"/>
      <c r="EW10" s="39"/>
      <c r="EX10" s="39"/>
      <c r="EY10" s="39"/>
      <c r="EZ10" s="39"/>
      <c r="FA10" s="39"/>
      <c r="FB10" s="39"/>
      <c r="FC10" s="39"/>
      <c r="FD10" s="39"/>
      <c r="FE10" s="39"/>
      <c r="FF10" s="39"/>
      <c r="FG10" s="39"/>
      <c r="FH10" s="39"/>
      <c r="FI10" s="39"/>
      <c r="FJ10" s="39"/>
      <c r="FK10" s="39"/>
      <c r="FL10" s="39"/>
      <c r="FM10" s="39"/>
      <c r="FN10" s="39"/>
      <c r="FO10" s="39"/>
      <c r="FP10" s="39"/>
      <c r="FQ10" s="39"/>
      <c r="FR10" s="39"/>
      <c r="FS10" s="39"/>
      <c r="FT10" s="39"/>
      <c r="FU10" s="39"/>
      <c r="FV10" s="39"/>
      <c r="FW10" s="39"/>
      <c r="FX10" s="39"/>
      <c r="FY10" s="39"/>
      <c r="FZ10" s="39"/>
      <c r="GA10" s="39"/>
      <c r="GB10" s="39"/>
      <c r="GC10" s="39"/>
      <c r="GD10" s="39"/>
      <c r="GE10" s="39"/>
      <c r="GF10" s="39"/>
      <c r="GG10" s="39"/>
      <c r="GH10" s="39"/>
      <c r="GI10" s="39"/>
      <c r="GJ10" s="39"/>
      <c r="GK10" s="39"/>
    </row>
    <row r="11" spans="1:193">
      <c r="A11" s="125" t="s">
        <v>71</v>
      </c>
      <c r="B11" s="111" t="s">
        <v>87</v>
      </c>
      <c r="C11" s="111" t="s">
        <v>252</v>
      </c>
      <c r="D11" s="111">
        <v>16</v>
      </c>
      <c r="E11" s="111" t="s">
        <v>74</v>
      </c>
      <c r="F11" s="111"/>
      <c r="G11" s="112"/>
      <c r="H11" s="112"/>
      <c r="I11" s="113">
        <v>1633.33</v>
      </c>
      <c r="J11" s="178"/>
      <c r="K11" s="113">
        <f t="shared" si="0"/>
        <v>1633.33</v>
      </c>
      <c r="L11" s="113">
        <v>3948.68</v>
      </c>
      <c r="M11" s="113"/>
      <c r="N11" s="114"/>
      <c r="O11" s="114"/>
      <c r="P11" s="115"/>
      <c r="Q11" s="116">
        <f t="shared" si="1"/>
        <v>5582.01</v>
      </c>
      <c r="R11" s="117"/>
      <c r="S11" s="118"/>
      <c r="T11" s="118">
        <v>0</v>
      </c>
      <c r="U11" s="118"/>
      <c r="V11" s="118"/>
      <c r="W11" s="118"/>
      <c r="X11" s="119"/>
      <c r="Y11" s="119"/>
      <c r="Z11" s="120"/>
      <c r="AA11" s="120">
        <v>0</v>
      </c>
      <c r="AB11" s="116">
        <f t="shared" si="2"/>
        <v>5582.01</v>
      </c>
      <c r="AC11" s="121">
        <f t="shared" si="8"/>
        <v>558.20100000000002</v>
      </c>
      <c r="AD11" s="116">
        <f t="shared" si="3"/>
        <v>5023.8090000000002</v>
      </c>
      <c r="AE11" s="122">
        <f t="shared" si="4"/>
        <v>0</v>
      </c>
      <c r="AF11" s="121">
        <v>10.23</v>
      </c>
      <c r="AG11" s="121">
        <f t="shared" si="5"/>
        <v>0</v>
      </c>
      <c r="AH11" s="123">
        <f t="shared" si="6"/>
        <v>5592.24</v>
      </c>
      <c r="AI11" s="248">
        <v>577.4</v>
      </c>
      <c r="AJ11" s="247">
        <v>4446.41</v>
      </c>
      <c r="AK11" s="246">
        <f t="shared" si="7"/>
        <v>9.9999999929423211E-4</v>
      </c>
      <c r="AL11" s="125"/>
      <c r="AM11" s="125"/>
      <c r="BB11" s="39"/>
      <c r="BC11" s="39"/>
      <c r="BD11" s="39"/>
      <c r="BE11" s="39"/>
      <c r="BF11" s="39"/>
      <c r="BG11" s="39"/>
      <c r="BH11" s="39"/>
      <c r="BI11" s="39"/>
      <c r="BJ11" s="39"/>
      <c r="BK11" s="39"/>
      <c r="BL11" s="39"/>
      <c r="BM11" s="39"/>
      <c r="BN11" s="39"/>
      <c r="BO11" s="39"/>
      <c r="BP11" s="39"/>
      <c r="BQ11" s="39"/>
      <c r="BR11" s="39"/>
      <c r="BS11" s="39"/>
      <c r="BT11" s="39"/>
      <c r="BU11" s="39"/>
      <c r="BV11" s="39"/>
      <c r="BW11" s="39"/>
      <c r="BX11" s="39"/>
      <c r="BY11" s="39"/>
      <c r="BZ11" s="39"/>
      <c r="CA11" s="39"/>
      <c r="CB11" s="39"/>
      <c r="CC11" s="39"/>
      <c r="CD11" s="39"/>
      <c r="CE11" s="39"/>
      <c r="CF11" s="39"/>
      <c r="CG11" s="39"/>
      <c r="CH11" s="39"/>
      <c r="CI11" s="39"/>
      <c r="CJ11" s="39"/>
      <c r="CK11" s="39"/>
      <c r="CL11" s="39"/>
      <c r="CM11" s="39"/>
      <c r="CN11" s="39"/>
      <c r="CO11" s="39"/>
      <c r="CP11" s="39"/>
      <c r="CQ11" s="39"/>
      <c r="CR11" s="39"/>
      <c r="CS11" s="39"/>
      <c r="CT11" s="39"/>
      <c r="CU11" s="39"/>
      <c r="CV11" s="39"/>
      <c r="CW11" s="39"/>
      <c r="CX11" s="39"/>
      <c r="CY11" s="39"/>
      <c r="CZ11" s="39"/>
      <c r="DA11" s="39"/>
      <c r="DB11" s="39"/>
      <c r="DC11" s="39"/>
      <c r="DD11" s="39"/>
      <c r="DE11" s="39"/>
      <c r="DF11" s="39"/>
      <c r="DG11" s="39"/>
      <c r="DH11" s="39"/>
      <c r="DI11" s="39"/>
      <c r="DJ11" s="39"/>
      <c r="DK11" s="39"/>
      <c r="DL11" s="39"/>
      <c r="DM11" s="39"/>
      <c r="DN11" s="39"/>
      <c r="DO11" s="39"/>
      <c r="DP11" s="39"/>
      <c r="DQ11" s="39"/>
      <c r="DR11" s="39"/>
      <c r="DS11" s="39"/>
      <c r="DT11" s="39"/>
      <c r="DU11" s="39"/>
      <c r="DV11" s="39"/>
      <c r="DW11" s="39"/>
      <c r="DX11" s="39"/>
      <c r="DY11" s="39"/>
      <c r="DZ11" s="39"/>
      <c r="EA11" s="39"/>
      <c r="EB11" s="39"/>
      <c r="EC11" s="39"/>
      <c r="ED11" s="39"/>
      <c r="EE11" s="39"/>
      <c r="EF11" s="39"/>
      <c r="EG11" s="39"/>
      <c r="EH11" s="39"/>
      <c r="EI11" s="39"/>
      <c r="EJ11" s="39"/>
      <c r="EK11" s="39"/>
      <c r="EL11" s="39"/>
      <c r="EM11" s="39"/>
      <c r="EN11" s="39"/>
      <c r="EO11" s="39"/>
      <c r="EP11" s="39"/>
      <c r="EQ11" s="39"/>
      <c r="ER11" s="39"/>
      <c r="ES11" s="39"/>
      <c r="ET11" s="39"/>
      <c r="EU11" s="39"/>
      <c r="EV11" s="39"/>
      <c r="EW11" s="39"/>
      <c r="EX11" s="39"/>
      <c r="EY11" s="39"/>
      <c r="EZ11" s="39"/>
      <c r="FA11" s="39"/>
      <c r="FB11" s="39"/>
      <c r="FC11" s="39"/>
      <c r="FD11" s="39"/>
      <c r="FE11" s="39"/>
      <c r="FF11" s="39"/>
      <c r="FG11" s="39"/>
      <c r="FH11" s="39"/>
      <c r="FI11" s="39"/>
      <c r="FJ11" s="39"/>
      <c r="FK11" s="39"/>
      <c r="FL11" s="39"/>
      <c r="FM11" s="39"/>
      <c r="FN11" s="39"/>
      <c r="FO11" s="39"/>
      <c r="FP11" s="39"/>
      <c r="FQ11" s="39"/>
      <c r="FR11" s="39"/>
      <c r="FS11" s="39"/>
      <c r="FT11" s="39"/>
      <c r="FU11" s="39"/>
      <c r="FV11" s="39"/>
      <c r="FW11" s="39"/>
      <c r="FX11" s="39"/>
      <c r="FY11" s="39"/>
      <c r="FZ11" s="39"/>
      <c r="GA11" s="39"/>
      <c r="GB11" s="39"/>
      <c r="GC11" s="39"/>
      <c r="GD11" s="39"/>
      <c r="GE11" s="39"/>
      <c r="GF11" s="39"/>
      <c r="GG11" s="39"/>
      <c r="GH11" s="39"/>
      <c r="GI11" s="39"/>
      <c r="GJ11" s="39"/>
      <c r="GK11" s="39"/>
    </row>
    <row r="12" spans="1:193" s="84" customFormat="1">
      <c r="A12" s="125" t="s">
        <v>91</v>
      </c>
      <c r="B12" s="125" t="s">
        <v>269</v>
      </c>
      <c r="C12" s="125"/>
      <c r="D12" s="125"/>
      <c r="E12" s="125" t="s">
        <v>270</v>
      </c>
      <c r="F12" s="128">
        <v>42422</v>
      </c>
      <c r="G12" s="125"/>
      <c r="H12" s="125"/>
      <c r="I12" s="129">
        <v>608.16</v>
      </c>
      <c r="J12" s="179"/>
      <c r="K12" s="129">
        <f t="shared" si="0"/>
        <v>608.16</v>
      </c>
      <c r="L12" s="129">
        <f>556.24+2.59</f>
        <v>558.83000000000004</v>
      </c>
      <c r="M12" s="129"/>
      <c r="N12" s="129"/>
      <c r="O12" s="129"/>
      <c r="P12" s="115"/>
      <c r="Q12" s="116">
        <f t="shared" si="1"/>
        <v>1166.99</v>
      </c>
      <c r="R12" s="117"/>
      <c r="S12" s="118"/>
      <c r="T12" s="118">
        <v>0</v>
      </c>
      <c r="U12" s="118"/>
      <c r="V12" s="118"/>
      <c r="W12" s="118"/>
      <c r="X12" s="119"/>
      <c r="Y12" s="119"/>
      <c r="Z12" s="120"/>
      <c r="AA12" s="120">
        <v>0</v>
      </c>
      <c r="AB12" s="116">
        <f t="shared" si="2"/>
        <v>1166.99</v>
      </c>
      <c r="AC12" s="121">
        <f t="shared" si="8"/>
        <v>0</v>
      </c>
      <c r="AD12" s="116">
        <f t="shared" si="3"/>
        <v>1166.99</v>
      </c>
      <c r="AE12" s="168">
        <f t="shared" si="4"/>
        <v>116.69900000000001</v>
      </c>
      <c r="AF12" s="121">
        <v>10.23</v>
      </c>
      <c r="AG12" s="121">
        <f t="shared" si="5"/>
        <v>0</v>
      </c>
      <c r="AH12" s="123">
        <f t="shared" si="6"/>
        <v>1293.9190000000001</v>
      </c>
      <c r="AI12" s="248">
        <v>577.4</v>
      </c>
      <c r="AJ12" s="237">
        <v>589.59</v>
      </c>
      <c r="AK12" s="246">
        <f t="shared" si="7"/>
        <v>0</v>
      </c>
      <c r="AL12" s="125">
        <v>1456104819</v>
      </c>
      <c r="AM12" s="130"/>
      <c r="AN12" s="39"/>
      <c r="AO12" s="39"/>
      <c r="AP12" s="39"/>
      <c r="AQ12" s="39"/>
      <c r="AR12" s="39"/>
      <c r="AS12" s="39"/>
      <c r="AT12" s="39"/>
      <c r="AU12" s="39"/>
      <c r="AV12" s="39"/>
      <c r="AW12" s="39"/>
      <c r="AX12" s="39"/>
      <c r="AY12" s="39"/>
      <c r="AZ12" s="39"/>
      <c r="BA12" s="39"/>
      <c r="BB12" s="39"/>
      <c r="BC12" s="39"/>
      <c r="BD12" s="39"/>
      <c r="BE12" s="39"/>
      <c r="BF12" s="39"/>
      <c r="BG12" s="39"/>
      <c r="BH12" s="39"/>
      <c r="BI12" s="39"/>
      <c r="BJ12" s="39"/>
      <c r="BK12" s="39"/>
      <c r="BL12" s="39"/>
      <c r="BM12" s="39"/>
      <c r="BN12" s="39"/>
      <c r="BO12" s="39"/>
      <c r="BP12" s="39"/>
      <c r="BQ12" s="39"/>
      <c r="BR12" s="39"/>
      <c r="BS12" s="39"/>
      <c r="BT12" s="39"/>
      <c r="BU12" s="39"/>
      <c r="BV12" s="39"/>
      <c r="BW12" s="39"/>
      <c r="BX12" s="39"/>
      <c r="BY12" s="39"/>
      <c r="BZ12" s="39"/>
      <c r="CA12" s="39"/>
      <c r="CB12" s="39"/>
      <c r="CC12" s="39"/>
      <c r="CD12" s="39"/>
      <c r="CE12" s="39"/>
      <c r="CF12" s="39"/>
      <c r="CG12" s="39"/>
      <c r="CH12" s="39"/>
      <c r="CI12" s="39"/>
      <c r="CJ12" s="39"/>
      <c r="CK12" s="39"/>
      <c r="CL12" s="39"/>
      <c r="CM12" s="39"/>
      <c r="CN12" s="39"/>
      <c r="CO12" s="39"/>
      <c r="CP12" s="39"/>
      <c r="CQ12" s="39"/>
      <c r="CR12" s="39"/>
      <c r="CS12" s="39"/>
      <c r="CT12" s="39"/>
      <c r="CU12" s="39"/>
      <c r="CV12" s="39"/>
      <c r="CW12" s="39"/>
      <c r="CX12" s="39"/>
      <c r="CY12" s="39"/>
      <c r="CZ12" s="39"/>
      <c r="DA12" s="39"/>
      <c r="DB12" s="39"/>
      <c r="DC12" s="39"/>
      <c r="DD12" s="39"/>
      <c r="DE12" s="39"/>
      <c r="DF12" s="39"/>
      <c r="DG12" s="39"/>
      <c r="DH12" s="39"/>
      <c r="DI12" s="39"/>
      <c r="DJ12" s="39"/>
      <c r="DK12" s="39"/>
      <c r="DL12" s="39"/>
      <c r="DM12" s="39"/>
      <c r="DN12" s="39"/>
      <c r="DO12" s="39"/>
      <c r="DP12" s="39"/>
      <c r="DQ12" s="39"/>
      <c r="DR12" s="39"/>
      <c r="DS12" s="39"/>
      <c r="DT12" s="39"/>
      <c r="DU12" s="39"/>
      <c r="DV12" s="39"/>
      <c r="DW12" s="39"/>
      <c r="DX12" s="39"/>
      <c r="DY12" s="39"/>
      <c r="DZ12" s="39"/>
      <c r="EA12" s="39"/>
      <c r="EB12" s="39"/>
      <c r="EC12" s="39"/>
      <c r="ED12" s="39"/>
      <c r="EE12" s="39"/>
      <c r="EF12" s="39"/>
      <c r="EG12" s="39"/>
      <c r="EH12" s="39"/>
      <c r="EI12" s="39"/>
      <c r="EJ12" s="39"/>
      <c r="EK12" s="39"/>
      <c r="EL12" s="39"/>
      <c r="EM12" s="39"/>
      <c r="EN12" s="39"/>
      <c r="EO12" s="39"/>
      <c r="EP12" s="39"/>
      <c r="EQ12" s="39"/>
      <c r="ER12" s="39"/>
      <c r="ES12" s="39"/>
      <c r="ET12" s="39"/>
      <c r="EU12" s="39"/>
      <c r="EV12" s="39"/>
      <c r="EW12" s="39"/>
      <c r="EX12" s="39"/>
      <c r="EY12" s="39"/>
      <c r="EZ12" s="39"/>
      <c r="FA12" s="39"/>
      <c r="FB12" s="39"/>
      <c r="FC12" s="39"/>
      <c r="FD12" s="39"/>
      <c r="FE12" s="39"/>
      <c r="FF12" s="39"/>
      <c r="FG12" s="39"/>
      <c r="FH12" s="39"/>
      <c r="FI12" s="39"/>
      <c r="FJ12" s="39"/>
      <c r="FK12" s="39"/>
      <c r="FL12" s="39"/>
      <c r="FM12" s="39"/>
      <c r="FN12" s="39"/>
      <c r="FO12" s="39"/>
      <c r="FP12" s="39"/>
      <c r="FQ12" s="39"/>
      <c r="FR12" s="39"/>
      <c r="FS12" s="39"/>
      <c r="FT12" s="39"/>
      <c r="FU12" s="39"/>
      <c r="FV12" s="39"/>
      <c r="FW12" s="39"/>
      <c r="FX12" s="39"/>
      <c r="FY12" s="39"/>
      <c r="FZ12" s="39"/>
      <c r="GA12" s="39"/>
      <c r="GB12" s="39"/>
      <c r="GC12" s="39"/>
      <c r="GD12" s="39"/>
      <c r="GE12" s="39"/>
      <c r="GF12" s="39"/>
      <c r="GG12" s="39"/>
      <c r="GH12" s="39"/>
      <c r="GI12" s="39"/>
      <c r="GJ12" s="39"/>
      <c r="GK12" s="39"/>
    </row>
    <row r="13" spans="1:193" s="39" customFormat="1">
      <c r="A13" s="125" t="s">
        <v>71</v>
      </c>
      <c r="B13" s="125" t="s">
        <v>222</v>
      </c>
      <c r="C13" s="125" t="s">
        <v>249</v>
      </c>
      <c r="D13" s="125" t="s">
        <v>146</v>
      </c>
      <c r="E13" s="125" t="s">
        <v>73</v>
      </c>
      <c r="F13" s="128">
        <v>42383</v>
      </c>
      <c r="G13" s="125"/>
      <c r="H13" s="125"/>
      <c r="I13" s="129">
        <v>513.33000000000004</v>
      </c>
      <c r="J13" s="179">
        <v>653.33000000000004</v>
      </c>
      <c r="K13" s="129">
        <f t="shared" si="0"/>
        <v>1166.6600000000001</v>
      </c>
      <c r="L13" s="129"/>
      <c r="M13" s="129"/>
      <c r="N13" s="129"/>
      <c r="O13" s="129"/>
      <c r="P13" s="115"/>
      <c r="Q13" s="116">
        <f t="shared" si="1"/>
        <v>1166.6600000000001</v>
      </c>
      <c r="R13" s="117"/>
      <c r="S13" s="118"/>
      <c r="T13" s="118">
        <v>0</v>
      </c>
      <c r="U13" s="118"/>
      <c r="V13" s="118"/>
      <c r="W13" s="118"/>
      <c r="X13" s="119"/>
      <c r="Y13" s="119"/>
      <c r="Z13" s="120"/>
      <c r="AA13" s="126">
        <v>368.35</v>
      </c>
      <c r="AB13" s="116">
        <f t="shared" si="2"/>
        <v>798.31000000000006</v>
      </c>
      <c r="AC13" s="121">
        <f t="shared" si="8"/>
        <v>0</v>
      </c>
      <c r="AD13" s="116">
        <f t="shared" si="3"/>
        <v>798.31000000000006</v>
      </c>
      <c r="AE13" s="168">
        <f t="shared" si="4"/>
        <v>116.66600000000001</v>
      </c>
      <c r="AF13" s="121">
        <v>10.23</v>
      </c>
      <c r="AG13" s="121">
        <f t="shared" si="5"/>
        <v>0</v>
      </c>
      <c r="AH13" s="123">
        <f t="shared" si="6"/>
        <v>1293.556</v>
      </c>
      <c r="AI13" s="237">
        <v>209.05</v>
      </c>
      <c r="AJ13" s="237">
        <v>589.26</v>
      </c>
      <c r="AK13" s="246">
        <f t="shared" si="7"/>
        <v>0</v>
      </c>
      <c r="AL13" s="125"/>
      <c r="AM13" s="125"/>
    </row>
    <row r="14" spans="1:193">
      <c r="A14" s="125" t="s">
        <v>70</v>
      </c>
      <c r="B14" s="125" t="s">
        <v>203</v>
      </c>
      <c r="C14" s="125" t="s">
        <v>301</v>
      </c>
      <c r="D14" s="125"/>
      <c r="E14" s="125" t="s">
        <v>173</v>
      </c>
      <c r="F14" s="128">
        <v>42417</v>
      </c>
      <c r="G14" s="125"/>
      <c r="H14" s="125"/>
      <c r="I14" s="129">
        <v>513.33000000000004</v>
      </c>
      <c r="J14" s="179">
        <v>653.33000000000004</v>
      </c>
      <c r="K14" s="129">
        <f t="shared" si="0"/>
        <v>1166.6600000000001</v>
      </c>
      <c r="L14" s="129">
        <v>1000</v>
      </c>
      <c r="M14" s="129"/>
      <c r="N14" s="129"/>
      <c r="O14" s="129"/>
      <c r="P14" s="115"/>
      <c r="Q14" s="116">
        <f t="shared" si="1"/>
        <v>2166.66</v>
      </c>
      <c r="R14" s="117"/>
      <c r="S14" s="118"/>
      <c r="T14" s="118">
        <v>0</v>
      </c>
      <c r="U14" s="118"/>
      <c r="V14" s="118"/>
      <c r="W14" s="118"/>
      <c r="X14" s="119"/>
      <c r="Y14" s="119"/>
      <c r="Z14" s="120"/>
      <c r="AA14" s="120">
        <v>0</v>
      </c>
      <c r="AB14" s="116">
        <f t="shared" si="2"/>
        <v>2166.66</v>
      </c>
      <c r="AC14" s="121">
        <f t="shared" si="8"/>
        <v>0</v>
      </c>
      <c r="AD14" s="116">
        <f t="shared" si="3"/>
        <v>2166.66</v>
      </c>
      <c r="AE14" s="122">
        <f t="shared" si="4"/>
        <v>216.666</v>
      </c>
      <c r="AF14" s="121">
        <v>10.23</v>
      </c>
      <c r="AG14" s="121">
        <f t="shared" si="5"/>
        <v>0</v>
      </c>
      <c r="AH14" s="123">
        <f t="shared" si="6"/>
        <v>2393.556</v>
      </c>
      <c r="AI14" s="237">
        <v>577.4</v>
      </c>
      <c r="AJ14" s="247">
        <v>1589.26</v>
      </c>
      <c r="AK14" s="246">
        <f t="shared" si="7"/>
        <v>0</v>
      </c>
      <c r="AL14" s="125"/>
      <c r="AM14" s="125"/>
      <c r="BB14" s="39"/>
      <c r="BC14" s="39"/>
      <c r="BD14" s="39"/>
      <c r="BE14" s="39"/>
      <c r="BF14" s="39"/>
      <c r="BG14" s="39"/>
      <c r="BH14" s="39"/>
      <c r="BI14" s="39"/>
      <c r="BJ14" s="39"/>
      <c r="BK14" s="39"/>
      <c r="BL14" s="39"/>
      <c r="BM14" s="39"/>
      <c r="BN14" s="39"/>
      <c r="BO14" s="39"/>
      <c r="BP14" s="39"/>
      <c r="BQ14" s="39"/>
      <c r="BR14" s="39"/>
      <c r="BS14" s="39"/>
      <c r="BT14" s="39"/>
      <c r="BU14" s="39"/>
      <c r="BV14" s="39"/>
      <c r="BW14" s="39"/>
      <c r="BX14" s="39"/>
      <c r="BY14" s="39"/>
      <c r="BZ14" s="39"/>
      <c r="CA14" s="39"/>
      <c r="CB14" s="39"/>
      <c r="CC14" s="39"/>
      <c r="CD14" s="39"/>
      <c r="CE14" s="39"/>
      <c r="CF14" s="39"/>
      <c r="CG14" s="39"/>
      <c r="CH14" s="39"/>
      <c r="CI14" s="39"/>
      <c r="CJ14" s="39"/>
      <c r="CK14" s="39"/>
      <c r="CL14" s="39"/>
      <c r="CM14" s="39"/>
      <c r="CN14" s="39"/>
      <c r="CO14" s="39"/>
      <c r="CP14" s="39"/>
      <c r="CQ14" s="39"/>
      <c r="CR14" s="39"/>
      <c r="CS14" s="39"/>
      <c r="CT14" s="39"/>
      <c r="CU14" s="39"/>
      <c r="CV14" s="39"/>
      <c r="CW14" s="39"/>
      <c r="CX14" s="39"/>
      <c r="CY14" s="39"/>
      <c r="CZ14" s="39"/>
      <c r="DA14" s="39"/>
      <c r="DB14" s="39"/>
      <c r="DC14" s="39"/>
      <c r="DD14" s="39"/>
      <c r="DE14" s="39"/>
      <c r="DF14" s="39"/>
      <c r="DG14" s="39"/>
      <c r="DH14" s="39"/>
      <c r="DI14" s="39"/>
      <c r="DJ14" s="39"/>
      <c r="DK14" s="39"/>
      <c r="DL14" s="39"/>
      <c r="DM14" s="39"/>
      <c r="DN14" s="39"/>
      <c r="DO14" s="39"/>
      <c r="DP14" s="39"/>
      <c r="DQ14" s="39"/>
      <c r="DR14" s="39"/>
      <c r="DS14" s="39"/>
      <c r="DT14" s="39"/>
      <c r="DU14" s="39"/>
      <c r="DV14" s="39"/>
      <c r="DW14" s="39"/>
      <c r="DX14" s="39"/>
      <c r="DY14" s="39"/>
      <c r="DZ14" s="39"/>
      <c r="EA14" s="39"/>
      <c r="EB14" s="39"/>
      <c r="EC14" s="39"/>
      <c r="ED14" s="39"/>
      <c r="EE14" s="39"/>
      <c r="EF14" s="39"/>
      <c r="EG14" s="39"/>
      <c r="EH14" s="39"/>
      <c r="EI14" s="39"/>
      <c r="EJ14" s="39"/>
      <c r="EK14" s="39"/>
      <c r="EL14" s="39"/>
      <c r="EM14" s="39"/>
      <c r="EN14" s="39"/>
      <c r="EO14" s="39"/>
      <c r="EP14" s="39"/>
      <c r="EQ14" s="39"/>
      <c r="ER14" s="39"/>
      <c r="ES14" s="39"/>
      <c r="ET14" s="39"/>
      <c r="EU14" s="39"/>
      <c r="EV14" s="39"/>
      <c r="EW14" s="39"/>
      <c r="EX14" s="39"/>
      <c r="EY14" s="39"/>
      <c r="EZ14" s="39"/>
      <c r="FA14" s="39"/>
      <c r="FB14" s="39"/>
      <c r="FC14" s="39"/>
      <c r="FD14" s="39"/>
      <c r="FE14" s="39"/>
      <c r="FF14" s="39"/>
      <c r="FG14" s="39"/>
      <c r="FH14" s="39"/>
      <c r="FI14" s="39"/>
      <c r="FJ14" s="39"/>
      <c r="FK14" s="39"/>
      <c r="FL14" s="39"/>
      <c r="FM14" s="39"/>
      <c r="FN14" s="39"/>
      <c r="FO14" s="39"/>
      <c r="FP14" s="39"/>
      <c r="FQ14" s="39"/>
      <c r="FR14" s="39"/>
      <c r="FS14" s="39"/>
      <c r="FT14" s="39"/>
      <c r="FU14" s="39"/>
      <c r="FV14" s="39"/>
      <c r="FW14" s="39"/>
      <c r="FX14" s="39"/>
      <c r="FY14" s="39"/>
      <c r="FZ14" s="39"/>
      <c r="GA14" s="39"/>
      <c r="GB14" s="39"/>
      <c r="GC14" s="39"/>
      <c r="GD14" s="39"/>
      <c r="GE14" s="39"/>
      <c r="GF14" s="39"/>
      <c r="GG14" s="39"/>
      <c r="GH14" s="39"/>
      <c r="GI14" s="39"/>
      <c r="GJ14" s="39"/>
      <c r="GK14" s="39"/>
    </row>
    <row r="15" spans="1:193">
      <c r="A15" s="125" t="s">
        <v>94</v>
      </c>
      <c r="B15" s="125" t="s">
        <v>350</v>
      </c>
      <c r="C15" s="125"/>
      <c r="D15" s="111" t="s">
        <v>127</v>
      </c>
      <c r="E15" s="111" t="s">
        <v>174</v>
      </c>
      <c r="F15" s="111"/>
      <c r="G15" s="112"/>
      <c r="H15" s="112"/>
      <c r="I15" s="113">
        <v>608.16</v>
      </c>
      <c r="J15" s="178"/>
      <c r="K15" s="113">
        <f t="shared" si="0"/>
        <v>608.16</v>
      </c>
      <c r="L15" s="113">
        <v>743.4</v>
      </c>
      <c r="M15" s="113"/>
      <c r="N15" s="114"/>
      <c r="O15" s="114"/>
      <c r="P15" s="115"/>
      <c r="Q15" s="116">
        <f t="shared" si="1"/>
        <v>1351.56</v>
      </c>
      <c r="R15" s="117"/>
      <c r="S15" s="118"/>
      <c r="T15" s="127">
        <v>150</v>
      </c>
      <c r="U15" s="127">
        <f>Q15*4.9%</f>
        <v>66.226439999999997</v>
      </c>
      <c r="V15" s="127">
        <f>Q15*1%</f>
        <v>13.515599999999999</v>
      </c>
      <c r="W15" s="118"/>
      <c r="X15" s="119"/>
      <c r="Y15" s="119"/>
      <c r="Z15" s="120"/>
      <c r="AA15" s="120">
        <v>0</v>
      </c>
      <c r="AB15" s="116">
        <f t="shared" si="2"/>
        <v>1121.8179599999999</v>
      </c>
      <c r="AC15" s="121">
        <f t="shared" si="8"/>
        <v>0</v>
      </c>
      <c r="AD15" s="116">
        <f t="shared" si="3"/>
        <v>1121.8179599999999</v>
      </c>
      <c r="AE15" s="122">
        <f t="shared" si="4"/>
        <v>135.15600000000001</v>
      </c>
      <c r="AF15" s="121">
        <v>10.23</v>
      </c>
      <c r="AG15" s="121">
        <f t="shared" si="5"/>
        <v>66.226439999999997</v>
      </c>
      <c r="AH15" s="123">
        <f t="shared" si="6"/>
        <v>1563.1724399999998</v>
      </c>
      <c r="AI15" s="237">
        <v>577.4</v>
      </c>
      <c r="AJ15" s="237">
        <v>544.41999999999996</v>
      </c>
      <c r="AK15" s="246">
        <f t="shared" si="7"/>
        <v>2.0400000000790897E-3</v>
      </c>
      <c r="AL15" s="125"/>
      <c r="AM15" s="130"/>
      <c r="BB15" s="39"/>
      <c r="BC15" s="39"/>
      <c r="BD15" s="39"/>
      <c r="BE15" s="39"/>
      <c r="BF15" s="39"/>
      <c r="BG15" s="39"/>
      <c r="BH15" s="39"/>
      <c r="BI15" s="39"/>
      <c r="BJ15" s="39"/>
      <c r="BK15" s="39"/>
      <c r="BL15" s="39"/>
      <c r="BM15" s="39"/>
      <c r="BN15" s="39"/>
      <c r="BO15" s="39"/>
      <c r="BP15" s="39"/>
      <c r="BQ15" s="39"/>
      <c r="BR15" s="39"/>
      <c r="BS15" s="39"/>
      <c r="BT15" s="39"/>
      <c r="BU15" s="39"/>
      <c r="BV15" s="39"/>
      <c r="BW15" s="39"/>
      <c r="BX15" s="39"/>
      <c r="BY15" s="39"/>
      <c r="BZ15" s="39"/>
      <c r="CA15" s="39"/>
      <c r="CB15" s="39"/>
      <c r="CC15" s="39"/>
      <c r="CD15" s="39"/>
      <c r="CE15" s="39"/>
      <c r="CF15" s="39"/>
      <c r="CG15" s="39"/>
      <c r="CH15" s="39"/>
      <c r="CI15" s="39"/>
      <c r="CJ15" s="39"/>
      <c r="CK15" s="39"/>
      <c r="CL15" s="39"/>
      <c r="CM15" s="39"/>
      <c r="CN15" s="39"/>
      <c r="CO15" s="39"/>
      <c r="CP15" s="39"/>
      <c r="CQ15" s="39"/>
      <c r="CR15" s="39"/>
      <c r="CS15" s="39"/>
      <c r="CT15" s="39"/>
      <c r="CU15" s="39"/>
      <c r="CV15" s="39"/>
      <c r="CW15" s="39"/>
      <c r="CX15" s="39"/>
      <c r="CY15" s="39"/>
      <c r="CZ15" s="39"/>
      <c r="DA15" s="39"/>
      <c r="DB15" s="39"/>
      <c r="DC15" s="39"/>
      <c r="DD15" s="39"/>
      <c r="DE15" s="39"/>
      <c r="DF15" s="39"/>
      <c r="DG15" s="39"/>
      <c r="DH15" s="39"/>
      <c r="DI15" s="39"/>
      <c r="DJ15" s="39"/>
      <c r="DK15" s="39"/>
      <c r="DL15" s="39"/>
      <c r="DM15" s="39"/>
      <c r="DN15" s="39"/>
      <c r="DO15" s="39"/>
      <c r="DP15" s="39"/>
      <c r="DQ15" s="39"/>
      <c r="DR15" s="39"/>
      <c r="DS15" s="39"/>
      <c r="DT15" s="39"/>
      <c r="DU15" s="39"/>
      <c r="DV15" s="39"/>
      <c r="DW15" s="39"/>
      <c r="DX15" s="39"/>
      <c r="DY15" s="39"/>
      <c r="DZ15" s="39"/>
      <c r="EA15" s="39"/>
      <c r="EB15" s="39"/>
      <c r="EC15" s="39"/>
      <c r="ED15" s="39"/>
      <c r="EE15" s="39"/>
      <c r="EF15" s="39"/>
      <c r="EG15" s="39"/>
      <c r="EH15" s="39"/>
      <c r="EI15" s="39"/>
      <c r="EJ15" s="39"/>
      <c r="EK15" s="39"/>
      <c r="EL15" s="39"/>
      <c r="EM15" s="39"/>
      <c r="EN15" s="39"/>
      <c r="EO15" s="39"/>
      <c r="EP15" s="39"/>
      <c r="EQ15" s="39"/>
      <c r="ER15" s="39"/>
      <c r="ES15" s="39"/>
      <c r="ET15" s="39"/>
      <c r="EU15" s="39"/>
      <c r="EV15" s="39"/>
      <c r="EW15" s="39"/>
      <c r="EX15" s="39"/>
      <c r="EY15" s="39"/>
      <c r="EZ15" s="39"/>
      <c r="FA15" s="39"/>
      <c r="FB15" s="39"/>
      <c r="FC15" s="39"/>
      <c r="FD15" s="39"/>
      <c r="FE15" s="39"/>
      <c r="FF15" s="39"/>
      <c r="FG15" s="39"/>
      <c r="FH15" s="39"/>
      <c r="FI15" s="39"/>
      <c r="FJ15" s="39"/>
      <c r="FK15" s="39"/>
      <c r="FL15" s="39"/>
      <c r="FM15" s="39"/>
      <c r="FN15" s="39"/>
      <c r="FO15" s="39"/>
      <c r="FP15" s="39"/>
      <c r="FQ15" s="39"/>
      <c r="FR15" s="39"/>
      <c r="FS15" s="39"/>
      <c r="FT15" s="39"/>
      <c r="FU15" s="39"/>
      <c r="FV15" s="39"/>
      <c r="FW15" s="39"/>
      <c r="FX15" s="39"/>
      <c r="FY15" s="39"/>
      <c r="FZ15" s="39"/>
      <c r="GA15" s="39"/>
      <c r="GB15" s="39"/>
      <c r="GC15" s="39"/>
      <c r="GD15" s="39"/>
      <c r="GE15" s="39"/>
      <c r="GF15" s="39"/>
      <c r="GG15" s="39"/>
      <c r="GH15" s="39"/>
      <c r="GI15" s="39"/>
      <c r="GJ15" s="39"/>
      <c r="GK15" s="39"/>
    </row>
    <row r="16" spans="1:193">
      <c r="A16" s="126" t="s">
        <v>71</v>
      </c>
      <c r="B16" s="126" t="s">
        <v>335</v>
      </c>
      <c r="C16" s="126"/>
      <c r="D16" s="126"/>
      <c r="E16" s="126" t="s">
        <v>73</v>
      </c>
      <c r="F16" s="195">
        <v>42466</v>
      </c>
      <c r="G16" s="126"/>
      <c r="H16" s="126"/>
      <c r="I16" s="127">
        <v>513.33000000000004</v>
      </c>
      <c r="J16" s="196"/>
      <c r="K16" s="127">
        <f t="shared" si="0"/>
        <v>513.33000000000004</v>
      </c>
      <c r="L16" s="127"/>
      <c r="M16" s="127"/>
      <c r="N16" s="127"/>
      <c r="O16" s="127"/>
      <c r="P16" s="198"/>
      <c r="Q16" s="199">
        <f t="shared" si="1"/>
        <v>513.33000000000004</v>
      </c>
      <c r="R16" s="127"/>
      <c r="S16" s="127"/>
      <c r="T16" s="127"/>
      <c r="U16" s="127"/>
      <c r="V16" s="127"/>
      <c r="W16" s="127"/>
      <c r="X16" s="132"/>
      <c r="Y16" s="132"/>
      <c r="Z16" s="126"/>
      <c r="AA16" s="126">
        <v>0</v>
      </c>
      <c r="AB16" s="199">
        <f t="shared" si="2"/>
        <v>513.33000000000004</v>
      </c>
      <c r="AC16" s="132">
        <f t="shared" ref="AC16" si="9">IF(Q16&gt;2250,Q16*0.1,0)</f>
        <v>0</v>
      </c>
      <c r="AD16" s="199">
        <f t="shared" ref="AD16" si="10">+AB16-AC16</f>
        <v>513.33000000000004</v>
      </c>
      <c r="AE16" s="132">
        <f t="shared" ref="AE16" si="11">IF(Q16&lt;3500,Q16*0.1,0)</f>
        <v>51.333000000000006</v>
      </c>
      <c r="AF16" s="132">
        <v>10.23</v>
      </c>
      <c r="AG16" s="132">
        <f t="shared" ref="AG16" si="12">+U16</f>
        <v>0</v>
      </c>
      <c r="AH16" s="199">
        <f t="shared" ref="AH16" si="13">+Q16+AE16+AF16+AG16</f>
        <v>574.89300000000003</v>
      </c>
      <c r="AI16" s="249">
        <v>577.4</v>
      </c>
      <c r="AJ16" s="238"/>
      <c r="AK16" s="250">
        <f t="shared" si="7"/>
        <v>64.069999999999936</v>
      </c>
      <c r="AL16" s="126">
        <v>2899146091</v>
      </c>
      <c r="AM16" s="200" t="s">
        <v>336</v>
      </c>
      <c r="BB16" s="39"/>
      <c r="BC16" s="39"/>
      <c r="BD16" s="39"/>
      <c r="BE16" s="39"/>
      <c r="BF16" s="39"/>
      <c r="BG16" s="39"/>
      <c r="BH16" s="39"/>
      <c r="BI16" s="39"/>
      <c r="BJ16" s="39"/>
      <c r="BK16" s="39"/>
      <c r="BL16" s="39"/>
      <c r="BM16" s="39"/>
      <c r="BN16" s="39"/>
      <c r="BO16" s="39"/>
      <c r="BP16" s="39"/>
      <c r="BQ16" s="39"/>
      <c r="BR16" s="39"/>
      <c r="BS16" s="39"/>
      <c r="BT16" s="39"/>
      <c r="BU16" s="39"/>
      <c r="BV16" s="39"/>
      <c r="BW16" s="39"/>
      <c r="BX16" s="39"/>
      <c r="BY16" s="39"/>
      <c r="BZ16" s="39"/>
      <c r="CA16" s="39"/>
      <c r="CB16" s="39"/>
      <c r="CC16" s="39"/>
      <c r="CD16" s="39"/>
      <c r="CE16" s="39"/>
      <c r="CF16" s="39"/>
      <c r="CG16" s="39"/>
      <c r="CH16" s="39"/>
      <c r="CI16" s="39"/>
      <c r="CJ16" s="39"/>
      <c r="CK16" s="39"/>
      <c r="CL16" s="39"/>
      <c r="CM16" s="39"/>
      <c r="CN16" s="39"/>
      <c r="CO16" s="39"/>
      <c r="CP16" s="39"/>
      <c r="CQ16" s="39"/>
      <c r="CR16" s="39"/>
      <c r="CS16" s="39"/>
      <c r="CT16" s="39"/>
      <c r="CU16" s="39"/>
      <c r="CV16" s="39"/>
      <c r="CW16" s="39"/>
      <c r="CX16" s="39"/>
      <c r="CY16" s="39"/>
      <c r="CZ16" s="39"/>
      <c r="DA16" s="39"/>
      <c r="DB16" s="39"/>
      <c r="DC16" s="39"/>
      <c r="DD16" s="39"/>
      <c r="DE16" s="39"/>
      <c r="DF16" s="39"/>
      <c r="DG16" s="39"/>
      <c r="DH16" s="39"/>
      <c r="DI16" s="39"/>
      <c r="DJ16" s="39"/>
      <c r="DK16" s="39"/>
      <c r="DL16" s="39"/>
      <c r="DM16" s="39"/>
      <c r="DN16" s="39"/>
      <c r="DO16" s="39"/>
      <c r="DP16" s="39"/>
      <c r="DQ16" s="39"/>
      <c r="DR16" s="39"/>
      <c r="DS16" s="39"/>
      <c r="DT16" s="39"/>
      <c r="DU16" s="39"/>
      <c r="DV16" s="39"/>
      <c r="DW16" s="39"/>
      <c r="DX16" s="39"/>
      <c r="DY16" s="39"/>
      <c r="DZ16" s="39"/>
      <c r="EA16" s="39"/>
      <c r="EB16" s="39"/>
      <c r="EC16" s="39"/>
      <c r="ED16" s="39"/>
      <c r="EE16" s="39"/>
      <c r="EF16" s="39"/>
      <c r="EG16" s="39"/>
      <c r="EH16" s="39"/>
      <c r="EI16" s="39"/>
      <c r="EJ16" s="39"/>
      <c r="EK16" s="39"/>
      <c r="EL16" s="39"/>
      <c r="EM16" s="39"/>
      <c r="EN16" s="39"/>
      <c r="EO16" s="39"/>
      <c r="EP16" s="39"/>
      <c r="EQ16" s="39"/>
      <c r="ER16" s="39"/>
      <c r="ES16" s="39"/>
      <c r="ET16" s="39"/>
      <c r="EU16" s="39"/>
      <c r="EV16" s="39"/>
      <c r="EW16" s="39"/>
      <c r="EX16" s="39"/>
      <c r="EY16" s="39"/>
      <c r="EZ16" s="39"/>
      <c r="FA16" s="39"/>
      <c r="FB16" s="39"/>
      <c r="FC16" s="39"/>
      <c r="FD16" s="39"/>
      <c r="FE16" s="39"/>
      <c r="FF16" s="39"/>
      <c r="FG16" s="39"/>
      <c r="FH16" s="39"/>
      <c r="FI16" s="39"/>
      <c r="FJ16" s="39"/>
      <c r="FK16" s="39"/>
      <c r="FL16" s="39"/>
      <c r="FM16" s="39"/>
      <c r="FN16" s="39"/>
      <c r="FO16" s="39"/>
      <c r="FP16" s="39"/>
      <c r="FQ16" s="39"/>
      <c r="FR16" s="39"/>
      <c r="FS16" s="39"/>
      <c r="FT16" s="39"/>
      <c r="FU16" s="39"/>
      <c r="FV16" s="39"/>
      <c r="FW16" s="39"/>
      <c r="FX16" s="39"/>
      <c r="FY16" s="39"/>
      <c r="FZ16" s="39"/>
      <c r="GA16" s="39"/>
      <c r="GB16" s="39"/>
      <c r="GC16" s="39"/>
      <c r="GD16" s="39"/>
      <c r="GE16" s="39"/>
      <c r="GF16" s="39"/>
      <c r="GG16" s="39"/>
      <c r="GH16" s="39"/>
      <c r="GI16" s="39"/>
      <c r="GJ16" s="39"/>
      <c r="GK16" s="39"/>
    </row>
    <row r="17" spans="1:193">
      <c r="A17" s="125" t="s">
        <v>69</v>
      </c>
      <c r="B17" s="111" t="s">
        <v>353</v>
      </c>
      <c r="C17" s="111"/>
      <c r="D17" s="111" t="s">
        <v>111</v>
      </c>
      <c r="E17" s="111" t="s">
        <v>169</v>
      </c>
      <c r="F17" s="111"/>
      <c r="G17" s="112"/>
      <c r="H17" s="112"/>
      <c r="I17" s="113">
        <v>933.33</v>
      </c>
      <c r="J17" s="178"/>
      <c r="K17" s="113">
        <f t="shared" si="0"/>
        <v>933.33</v>
      </c>
      <c r="L17" s="113">
        <v>550</v>
      </c>
      <c r="M17" s="113"/>
      <c r="N17" s="114"/>
      <c r="O17" s="114"/>
      <c r="P17" s="115"/>
      <c r="Q17" s="116">
        <f t="shared" si="1"/>
        <v>1483.33</v>
      </c>
      <c r="R17" s="117"/>
      <c r="S17" s="118">
        <v>58.91</v>
      </c>
      <c r="T17" s="118">
        <v>0</v>
      </c>
      <c r="U17" s="118"/>
      <c r="V17" s="118"/>
      <c r="W17" s="118"/>
      <c r="X17" s="119"/>
      <c r="Y17" s="119"/>
      <c r="Z17" s="131"/>
      <c r="AA17" s="120">
        <v>0</v>
      </c>
      <c r="AB17" s="116">
        <f t="shared" si="2"/>
        <v>1424.4199999999998</v>
      </c>
      <c r="AC17" s="121">
        <f t="shared" si="8"/>
        <v>0</v>
      </c>
      <c r="AD17" s="116">
        <f t="shared" si="3"/>
        <v>1424.4199999999998</v>
      </c>
      <c r="AE17" s="122">
        <f t="shared" si="4"/>
        <v>148.333</v>
      </c>
      <c r="AF17" s="121">
        <v>10.23</v>
      </c>
      <c r="AG17" s="121">
        <f t="shared" si="5"/>
        <v>0</v>
      </c>
      <c r="AH17" s="123">
        <f t="shared" si="6"/>
        <v>1641.893</v>
      </c>
      <c r="AI17" s="237">
        <v>577.25</v>
      </c>
      <c r="AJ17" s="237">
        <v>847.17</v>
      </c>
      <c r="AK17" s="246">
        <f t="shared" si="7"/>
        <v>0</v>
      </c>
      <c r="AL17" s="125"/>
      <c r="AM17" s="125"/>
      <c r="BB17" s="39"/>
      <c r="BC17" s="39"/>
      <c r="BD17" s="39"/>
      <c r="BE17" s="39"/>
      <c r="BF17" s="39"/>
      <c r="BG17" s="39"/>
      <c r="BH17" s="39"/>
      <c r="BI17" s="39"/>
      <c r="BJ17" s="39"/>
      <c r="BK17" s="39"/>
      <c r="BL17" s="39"/>
      <c r="BM17" s="39"/>
      <c r="BN17" s="39"/>
      <c r="BO17" s="39"/>
      <c r="BP17" s="39"/>
      <c r="BQ17" s="39"/>
      <c r="BR17" s="39"/>
      <c r="BS17" s="39"/>
      <c r="BT17" s="39"/>
      <c r="BU17" s="39"/>
      <c r="BV17" s="39"/>
      <c r="BW17" s="39"/>
      <c r="BX17" s="39"/>
      <c r="BY17" s="39"/>
      <c r="BZ17" s="39"/>
      <c r="CA17" s="39"/>
      <c r="CB17" s="39"/>
      <c r="CC17" s="39"/>
      <c r="CD17" s="39"/>
      <c r="CE17" s="39"/>
      <c r="CF17" s="39"/>
      <c r="CG17" s="39"/>
      <c r="CH17" s="39"/>
      <c r="CI17" s="39"/>
      <c r="CJ17" s="39"/>
      <c r="CK17" s="39"/>
      <c r="CL17" s="39"/>
      <c r="CM17" s="39"/>
      <c r="CN17" s="39"/>
      <c r="CO17" s="39"/>
      <c r="CP17" s="39"/>
      <c r="CQ17" s="39"/>
      <c r="CR17" s="39"/>
      <c r="CS17" s="39"/>
      <c r="CT17" s="39"/>
      <c r="CU17" s="39"/>
      <c r="CV17" s="39"/>
      <c r="CW17" s="39"/>
      <c r="CX17" s="39"/>
      <c r="CY17" s="39"/>
      <c r="CZ17" s="39"/>
      <c r="DA17" s="39"/>
      <c r="DB17" s="39"/>
      <c r="DC17" s="39"/>
      <c r="DD17" s="39"/>
      <c r="DE17" s="39"/>
      <c r="DF17" s="39"/>
      <c r="DG17" s="39"/>
      <c r="DH17" s="39"/>
      <c r="DI17" s="39"/>
      <c r="DJ17" s="39"/>
      <c r="DK17" s="39"/>
      <c r="DL17" s="39"/>
      <c r="DM17" s="39"/>
      <c r="DN17" s="39"/>
      <c r="DO17" s="39"/>
      <c r="DP17" s="39"/>
      <c r="DQ17" s="39"/>
      <c r="DR17" s="39"/>
      <c r="DS17" s="39"/>
      <c r="DT17" s="39"/>
      <c r="DU17" s="39"/>
      <c r="DV17" s="39"/>
      <c r="DW17" s="39"/>
      <c r="DX17" s="39"/>
      <c r="DY17" s="39"/>
      <c r="DZ17" s="39"/>
      <c r="EA17" s="39"/>
      <c r="EB17" s="39"/>
      <c r="EC17" s="39"/>
      <c r="ED17" s="39"/>
      <c r="EE17" s="39"/>
      <c r="EF17" s="39"/>
      <c r="EG17" s="39"/>
      <c r="EH17" s="39"/>
      <c r="EI17" s="39"/>
      <c r="EJ17" s="39"/>
      <c r="EK17" s="39"/>
      <c r="EL17" s="39"/>
      <c r="EM17" s="39"/>
      <c r="EN17" s="39"/>
      <c r="EO17" s="39"/>
      <c r="EP17" s="39"/>
      <c r="EQ17" s="39"/>
      <c r="ER17" s="39"/>
      <c r="ES17" s="39"/>
      <c r="ET17" s="39"/>
      <c r="EU17" s="39"/>
      <c r="EV17" s="39"/>
      <c r="EW17" s="39"/>
      <c r="EX17" s="39"/>
      <c r="EY17" s="39"/>
      <c r="EZ17" s="39"/>
      <c r="FA17" s="39"/>
      <c r="FB17" s="39"/>
      <c r="FC17" s="39"/>
      <c r="FD17" s="39"/>
      <c r="FE17" s="39"/>
      <c r="FF17" s="39"/>
      <c r="FG17" s="39"/>
      <c r="FH17" s="39"/>
      <c r="FI17" s="39"/>
      <c r="FJ17" s="39"/>
      <c r="FK17" s="39"/>
      <c r="FL17" s="39"/>
      <c r="FM17" s="39"/>
      <c r="FN17" s="39"/>
      <c r="FO17" s="39"/>
      <c r="FP17" s="39"/>
      <c r="FQ17" s="39"/>
      <c r="FR17" s="39"/>
      <c r="FS17" s="39"/>
      <c r="FT17" s="39"/>
      <c r="FU17" s="39"/>
      <c r="FV17" s="39"/>
      <c r="FW17" s="39"/>
      <c r="FX17" s="39"/>
      <c r="FY17" s="39"/>
      <c r="FZ17" s="39"/>
      <c r="GA17" s="39"/>
      <c r="GB17" s="39"/>
      <c r="GC17" s="39"/>
      <c r="GD17" s="39"/>
      <c r="GE17" s="39"/>
      <c r="GF17" s="39"/>
      <c r="GG17" s="39"/>
      <c r="GH17" s="39"/>
      <c r="GI17" s="39"/>
      <c r="GJ17" s="39"/>
      <c r="GK17" s="39"/>
    </row>
    <row r="18" spans="1:193" s="39" customFormat="1">
      <c r="A18" s="125" t="s">
        <v>71</v>
      </c>
      <c r="B18" s="125" t="s">
        <v>261</v>
      </c>
      <c r="C18" s="125" t="s">
        <v>251</v>
      </c>
      <c r="D18" s="125" t="s">
        <v>147</v>
      </c>
      <c r="E18" s="125" t="s">
        <v>73</v>
      </c>
      <c r="F18" s="128">
        <v>41831</v>
      </c>
      <c r="G18" s="125"/>
      <c r="H18" s="125"/>
      <c r="I18" s="129">
        <v>513.33000000000004</v>
      </c>
      <c r="J18" s="180">
        <v>653.33000000000004</v>
      </c>
      <c r="K18" s="129">
        <f t="shared" si="0"/>
        <v>1166.6600000000001</v>
      </c>
      <c r="L18" s="129"/>
      <c r="M18" s="129"/>
      <c r="N18" s="129"/>
      <c r="O18" s="129"/>
      <c r="P18" s="115"/>
      <c r="Q18" s="116">
        <f t="shared" si="1"/>
        <v>1166.6600000000001</v>
      </c>
      <c r="R18" s="117"/>
      <c r="S18" s="165">
        <v>58.91</v>
      </c>
      <c r="T18" s="127"/>
      <c r="U18" s="165"/>
      <c r="V18" s="165"/>
      <c r="W18" s="165"/>
      <c r="X18" s="166"/>
      <c r="Y18" s="132">
        <v>167.44</v>
      </c>
      <c r="Z18" s="150"/>
      <c r="AA18" s="169">
        <v>940.31</v>
      </c>
      <c r="AB18" s="116">
        <f t="shared" si="2"/>
        <v>0</v>
      </c>
      <c r="AC18" s="121">
        <f t="shared" si="8"/>
        <v>0</v>
      </c>
      <c r="AD18" s="116">
        <f t="shared" si="3"/>
        <v>0</v>
      </c>
      <c r="AE18" s="122">
        <f t="shared" si="4"/>
        <v>116.66600000000001</v>
      </c>
      <c r="AF18" s="121">
        <v>10.23</v>
      </c>
      <c r="AG18" s="121">
        <f t="shared" si="5"/>
        <v>0</v>
      </c>
      <c r="AH18" s="123">
        <f t="shared" si="6"/>
        <v>1293.556</v>
      </c>
      <c r="AI18" s="239"/>
      <c r="AJ18" s="239"/>
      <c r="AK18" s="251">
        <f t="shared" si="7"/>
        <v>0</v>
      </c>
      <c r="AL18" s="125"/>
      <c r="AM18" s="125"/>
    </row>
    <row r="19" spans="1:193" s="39" customFormat="1">
      <c r="A19" s="125" t="s">
        <v>71</v>
      </c>
      <c r="B19" s="125" t="s">
        <v>294</v>
      </c>
      <c r="C19" s="125" t="s">
        <v>254</v>
      </c>
      <c r="D19" s="125"/>
      <c r="E19" s="125" t="s">
        <v>73</v>
      </c>
      <c r="F19" s="128">
        <v>42436</v>
      </c>
      <c r="G19" s="125"/>
      <c r="H19" s="125"/>
      <c r="I19" s="129">
        <v>513.33000000000004</v>
      </c>
      <c r="J19" s="180">
        <v>653.33000000000004</v>
      </c>
      <c r="K19" s="129">
        <f t="shared" si="0"/>
        <v>1166.6600000000001</v>
      </c>
      <c r="L19" s="129"/>
      <c r="M19" s="129"/>
      <c r="N19" s="129"/>
      <c r="O19" s="129"/>
      <c r="P19" s="115"/>
      <c r="Q19" s="116">
        <f t="shared" si="1"/>
        <v>1166.6600000000001</v>
      </c>
      <c r="R19" s="117"/>
      <c r="S19" s="118"/>
      <c r="T19" s="118">
        <v>0</v>
      </c>
      <c r="U19" s="118"/>
      <c r="V19" s="118"/>
      <c r="W19" s="118"/>
      <c r="X19" s="119"/>
      <c r="Y19" s="119"/>
      <c r="Z19" s="120"/>
      <c r="AA19" s="120">
        <v>0</v>
      </c>
      <c r="AB19" s="116">
        <f t="shared" si="2"/>
        <v>1166.6600000000001</v>
      </c>
      <c r="AC19" s="121">
        <f t="shared" si="8"/>
        <v>0</v>
      </c>
      <c r="AD19" s="116">
        <f t="shared" si="3"/>
        <v>1166.6600000000001</v>
      </c>
      <c r="AE19" s="122">
        <f t="shared" si="4"/>
        <v>116.66600000000001</v>
      </c>
      <c r="AF19" s="121">
        <v>10.23</v>
      </c>
      <c r="AG19" s="121">
        <f t="shared" si="5"/>
        <v>0</v>
      </c>
      <c r="AH19" s="123">
        <f t="shared" si="6"/>
        <v>1293.556</v>
      </c>
      <c r="AI19" s="248">
        <v>577.4</v>
      </c>
      <c r="AJ19" s="237">
        <v>589.26</v>
      </c>
      <c r="AK19" s="246">
        <f t="shared" si="7"/>
        <v>0</v>
      </c>
      <c r="AL19" s="125"/>
      <c r="AM19" s="130"/>
      <c r="AP19" s="26"/>
    </row>
    <row r="20" spans="1:193">
      <c r="A20" s="125" t="s">
        <v>91</v>
      </c>
      <c r="B20" s="111" t="s">
        <v>325</v>
      </c>
      <c r="C20" s="111"/>
      <c r="D20" s="111" t="s">
        <v>97</v>
      </c>
      <c r="E20" s="111" t="s">
        <v>72</v>
      </c>
      <c r="F20" s="111"/>
      <c r="G20" s="111"/>
      <c r="H20" s="111"/>
      <c r="I20" s="113">
        <v>1166.26</v>
      </c>
      <c r="J20" s="177"/>
      <c r="K20" s="113">
        <f t="shared" si="0"/>
        <v>1166.26</v>
      </c>
      <c r="L20" s="113">
        <v>845.37</v>
      </c>
      <c r="M20" s="113"/>
      <c r="N20" s="113"/>
      <c r="O20" s="113"/>
      <c r="P20" s="115"/>
      <c r="Q20" s="116">
        <f t="shared" si="1"/>
        <v>2011.63</v>
      </c>
      <c r="R20" s="117"/>
      <c r="S20" s="118"/>
      <c r="T20" s="118">
        <v>0</v>
      </c>
      <c r="U20" s="118"/>
      <c r="V20" s="118"/>
      <c r="W20" s="118"/>
      <c r="X20" s="119"/>
      <c r="Y20" s="119"/>
      <c r="Z20" s="120"/>
      <c r="AA20" s="120">
        <v>0</v>
      </c>
      <c r="AB20" s="116">
        <f t="shared" si="2"/>
        <v>2011.63</v>
      </c>
      <c r="AC20" s="121">
        <f t="shared" si="8"/>
        <v>0</v>
      </c>
      <c r="AD20" s="116">
        <f t="shared" si="3"/>
        <v>2011.63</v>
      </c>
      <c r="AE20" s="122">
        <f t="shared" si="4"/>
        <v>201.16300000000001</v>
      </c>
      <c r="AF20" s="121">
        <v>10.23</v>
      </c>
      <c r="AG20" s="121">
        <f t="shared" si="5"/>
        <v>0</v>
      </c>
      <c r="AH20" s="123">
        <f t="shared" si="6"/>
        <v>2223.0230000000001</v>
      </c>
      <c r="AI20" s="237">
        <v>577.4</v>
      </c>
      <c r="AJ20" s="247">
        <v>1434.23</v>
      </c>
      <c r="AK20" s="246">
        <f t="shared" si="7"/>
        <v>0</v>
      </c>
      <c r="AL20" s="125"/>
      <c r="AM20" s="125"/>
      <c r="BB20" s="39"/>
      <c r="BC20" s="39"/>
      <c r="BD20" s="39"/>
      <c r="BE20" s="39"/>
      <c r="BF20" s="39"/>
      <c r="BG20" s="39"/>
      <c r="BH20" s="39"/>
      <c r="BI20" s="39"/>
      <c r="BJ20" s="39"/>
      <c r="BK20" s="39"/>
      <c r="BL20" s="39"/>
      <c r="BM20" s="39"/>
      <c r="BN20" s="39"/>
      <c r="BO20" s="39"/>
      <c r="BP20" s="39"/>
      <c r="BQ20" s="39"/>
      <c r="BR20" s="39"/>
      <c r="BS20" s="39"/>
      <c r="BT20" s="39"/>
      <c r="BU20" s="39"/>
      <c r="BV20" s="39"/>
      <c r="BW20" s="39"/>
      <c r="BX20" s="39"/>
      <c r="BY20" s="39"/>
      <c r="BZ20" s="39"/>
      <c r="CA20" s="39"/>
      <c r="CB20" s="39"/>
      <c r="CC20" s="39"/>
      <c r="CD20" s="39"/>
      <c r="CE20" s="39"/>
      <c r="CF20" s="39"/>
      <c r="CG20" s="39"/>
      <c r="CH20" s="39"/>
      <c r="CI20" s="39"/>
      <c r="CJ20" s="39"/>
      <c r="CK20" s="39"/>
      <c r="CL20" s="39"/>
      <c r="CM20" s="39"/>
      <c r="CN20" s="39"/>
      <c r="CO20" s="39"/>
      <c r="CP20" s="39"/>
      <c r="CQ20" s="39"/>
      <c r="CR20" s="39"/>
      <c r="CS20" s="39"/>
      <c r="CT20" s="39"/>
      <c r="CU20" s="39"/>
      <c r="CV20" s="39"/>
      <c r="CW20" s="39"/>
      <c r="CX20" s="39"/>
      <c r="CY20" s="39"/>
      <c r="CZ20" s="39"/>
      <c r="DA20" s="39"/>
      <c r="DB20" s="39"/>
      <c r="DC20" s="39"/>
      <c r="DD20" s="39"/>
      <c r="DE20" s="39"/>
      <c r="DF20" s="39"/>
      <c r="DG20" s="39"/>
      <c r="DH20" s="39"/>
      <c r="DI20" s="39"/>
      <c r="DJ20" s="39"/>
      <c r="DK20" s="39"/>
      <c r="DL20" s="39"/>
      <c r="DM20" s="39"/>
      <c r="DN20" s="39"/>
      <c r="DO20" s="39"/>
      <c r="DP20" s="39"/>
      <c r="DQ20" s="39"/>
      <c r="DR20" s="39"/>
      <c r="DS20" s="39"/>
      <c r="DT20" s="39"/>
      <c r="DU20" s="39"/>
      <c r="DV20" s="39"/>
      <c r="DW20" s="39"/>
      <c r="DX20" s="39"/>
      <c r="DY20" s="39"/>
      <c r="DZ20" s="39"/>
      <c r="EA20" s="39"/>
      <c r="EB20" s="39"/>
      <c r="EC20" s="39"/>
      <c r="ED20" s="39"/>
      <c r="EE20" s="39"/>
      <c r="EF20" s="39"/>
      <c r="EG20" s="39"/>
      <c r="EH20" s="39"/>
      <c r="EI20" s="39"/>
      <c r="EJ20" s="39"/>
      <c r="EK20" s="39"/>
      <c r="EL20" s="39"/>
      <c r="EM20" s="39"/>
      <c r="EN20" s="39"/>
      <c r="EO20" s="39"/>
      <c r="EP20" s="39"/>
      <c r="EQ20" s="39"/>
      <c r="ER20" s="39"/>
      <c r="ES20" s="39"/>
      <c r="ET20" s="39"/>
      <c r="EU20" s="39"/>
      <c r="EV20" s="39"/>
      <c r="EW20" s="39"/>
      <c r="EX20" s="39"/>
      <c r="EY20" s="39"/>
      <c r="EZ20" s="39"/>
      <c r="FA20" s="39"/>
      <c r="FB20" s="39"/>
      <c r="FC20" s="39"/>
      <c r="FD20" s="39"/>
      <c r="FE20" s="39"/>
      <c r="FF20" s="39"/>
      <c r="FG20" s="39"/>
      <c r="FH20" s="39"/>
      <c r="FI20" s="39"/>
      <c r="FJ20" s="39"/>
      <c r="FK20" s="39"/>
      <c r="FL20" s="39"/>
      <c r="FM20" s="39"/>
      <c r="FN20" s="39"/>
      <c r="FO20" s="39"/>
      <c r="FP20" s="39"/>
      <c r="FQ20" s="39"/>
      <c r="FR20" s="39"/>
      <c r="FS20" s="39"/>
      <c r="FT20" s="39"/>
      <c r="FU20" s="39"/>
      <c r="FV20" s="39"/>
      <c r="FW20" s="39"/>
      <c r="FX20" s="39"/>
      <c r="FY20" s="39"/>
      <c r="FZ20" s="39"/>
      <c r="GA20" s="39"/>
      <c r="GB20" s="39"/>
      <c r="GC20" s="39"/>
      <c r="GD20" s="39"/>
      <c r="GE20" s="39"/>
      <c r="GF20" s="39"/>
      <c r="GG20" s="39"/>
      <c r="GH20" s="39"/>
      <c r="GI20" s="39"/>
      <c r="GJ20" s="39"/>
      <c r="GK20" s="39"/>
    </row>
    <row r="21" spans="1:193">
      <c r="A21" s="125" t="s">
        <v>94</v>
      </c>
      <c r="B21" s="111" t="s">
        <v>198</v>
      </c>
      <c r="C21" s="111"/>
      <c r="D21" s="111" t="s">
        <v>128</v>
      </c>
      <c r="E21" s="111" t="s">
        <v>162</v>
      </c>
      <c r="F21" s="111"/>
      <c r="G21" s="112"/>
      <c r="H21" s="112"/>
      <c r="I21" s="113">
        <v>511.28</v>
      </c>
      <c r="J21" s="178"/>
      <c r="K21" s="113">
        <f t="shared" si="0"/>
        <v>511.28</v>
      </c>
      <c r="L21" s="113">
        <f>2670+7.42</f>
        <v>2677.42</v>
      </c>
      <c r="M21" s="113"/>
      <c r="N21" s="114"/>
      <c r="O21" s="114"/>
      <c r="P21" s="115"/>
      <c r="Q21" s="116">
        <f t="shared" si="1"/>
        <v>3188.7</v>
      </c>
      <c r="R21" s="117"/>
      <c r="S21" s="118"/>
      <c r="T21" s="127">
        <v>700</v>
      </c>
      <c r="U21" s="127">
        <f>Q21*4.9%</f>
        <v>156.24629999999999</v>
      </c>
      <c r="V21" s="127">
        <f>Q21*1%</f>
        <v>31.887</v>
      </c>
      <c r="W21" s="118"/>
      <c r="X21" s="119"/>
      <c r="Y21" s="119"/>
      <c r="Z21" s="120"/>
      <c r="AA21" s="120">
        <v>0</v>
      </c>
      <c r="AB21" s="116">
        <f t="shared" si="2"/>
        <v>2300.5666999999999</v>
      </c>
      <c r="AC21" s="121">
        <f t="shared" si="8"/>
        <v>318.87</v>
      </c>
      <c r="AD21" s="116">
        <f t="shared" si="3"/>
        <v>1981.6967</v>
      </c>
      <c r="AE21" s="122">
        <f t="shared" si="4"/>
        <v>318.87</v>
      </c>
      <c r="AF21" s="121">
        <v>10.23</v>
      </c>
      <c r="AG21" s="121">
        <f t="shared" si="5"/>
        <v>156.24629999999999</v>
      </c>
      <c r="AH21" s="123">
        <f t="shared" si="6"/>
        <v>3674.0462999999995</v>
      </c>
      <c r="AI21" s="248">
        <v>577.4</v>
      </c>
      <c r="AJ21" s="247">
        <v>1404.3</v>
      </c>
      <c r="AK21" s="246">
        <f t="shared" si="7"/>
        <v>3.2999999998537533E-3</v>
      </c>
      <c r="AL21" s="125"/>
      <c r="AM21" s="125"/>
      <c r="BB21" s="39"/>
      <c r="BC21" s="39"/>
      <c r="BD21" s="39"/>
      <c r="BE21" s="39"/>
      <c r="BF21" s="39"/>
      <c r="BG21" s="39"/>
      <c r="BH21" s="39"/>
      <c r="BI21" s="39"/>
      <c r="BJ21" s="39"/>
      <c r="BK21" s="39"/>
      <c r="BL21" s="39"/>
      <c r="BM21" s="39"/>
      <c r="BN21" s="39"/>
      <c r="BO21" s="39"/>
      <c r="BP21" s="39"/>
      <c r="BQ21" s="39"/>
      <c r="BR21" s="39"/>
      <c r="BS21" s="39"/>
      <c r="BT21" s="39"/>
      <c r="BU21" s="39"/>
      <c r="BV21" s="39"/>
      <c r="BW21" s="39"/>
      <c r="BX21" s="39"/>
      <c r="BY21" s="39"/>
      <c r="BZ21" s="39"/>
      <c r="CA21" s="39"/>
      <c r="CB21" s="39"/>
      <c r="CC21" s="39"/>
      <c r="CD21" s="39"/>
      <c r="CE21" s="39"/>
      <c r="CF21" s="39"/>
      <c r="CG21" s="39"/>
      <c r="CH21" s="39"/>
      <c r="CI21" s="39"/>
      <c r="CJ21" s="39"/>
      <c r="CK21" s="39"/>
      <c r="CL21" s="39"/>
      <c r="CM21" s="39"/>
      <c r="CN21" s="39"/>
      <c r="CO21" s="39"/>
      <c r="CP21" s="39"/>
      <c r="CQ21" s="39"/>
      <c r="CR21" s="39"/>
      <c r="CS21" s="39"/>
      <c r="CT21" s="39"/>
      <c r="CU21" s="39"/>
      <c r="CV21" s="39"/>
      <c r="CW21" s="39"/>
      <c r="CX21" s="39"/>
      <c r="CY21" s="39"/>
      <c r="CZ21" s="39"/>
      <c r="DA21" s="39"/>
      <c r="DB21" s="39"/>
      <c r="DC21" s="39"/>
      <c r="DD21" s="39"/>
      <c r="DE21" s="39"/>
      <c r="DF21" s="39"/>
      <c r="DG21" s="39"/>
      <c r="DH21" s="39"/>
      <c r="DI21" s="39"/>
      <c r="DJ21" s="39"/>
      <c r="DK21" s="39"/>
      <c r="DL21" s="39"/>
      <c r="DM21" s="39"/>
      <c r="DN21" s="39"/>
      <c r="DO21" s="39"/>
      <c r="DP21" s="39"/>
      <c r="DQ21" s="39"/>
      <c r="DR21" s="39"/>
      <c r="DS21" s="39"/>
      <c r="DT21" s="39"/>
      <c r="DU21" s="39"/>
      <c r="DV21" s="39"/>
      <c r="DW21" s="39"/>
      <c r="DX21" s="39"/>
      <c r="DY21" s="39"/>
      <c r="DZ21" s="39"/>
      <c r="EA21" s="39"/>
      <c r="EB21" s="39"/>
      <c r="EC21" s="39"/>
      <c r="ED21" s="39"/>
      <c r="EE21" s="39"/>
      <c r="EF21" s="39"/>
      <c r="EG21" s="39"/>
      <c r="EH21" s="39"/>
      <c r="EI21" s="39"/>
      <c r="EJ21" s="39"/>
      <c r="EK21" s="39"/>
      <c r="EL21" s="39"/>
      <c r="EM21" s="39"/>
      <c r="EN21" s="39"/>
      <c r="EO21" s="39"/>
      <c r="EP21" s="39"/>
      <c r="EQ21" s="39"/>
      <c r="ER21" s="39"/>
      <c r="ES21" s="39"/>
      <c r="ET21" s="39"/>
      <c r="EU21" s="39"/>
      <c r="EV21" s="39"/>
      <c r="EW21" s="39"/>
      <c r="EX21" s="39"/>
      <c r="EY21" s="39"/>
      <c r="EZ21" s="39"/>
      <c r="FA21" s="39"/>
      <c r="FB21" s="39"/>
      <c r="FC21" s="39"/>
      <c r="FD21" s="39"/>
      <c r="FE21" s="39"/>
      <c r="FF21" s="39"/>
      <c r="FG21" s="39"/>
      <c r="FH21" s="39"/>
      <c r="FI21" s="39"/>
      <c r="FJ21" s="39"/>
      <c r="FK21" s="39"/>
      <c r="FL21" s="39"/>
      <c r="FM21" s="39"/>
      <c r="FN21" s="39"/>
      <c r="FO21" s="39"/>
      <c r="FP21" s="39"/>
      <c r="FQ21" s="39"/>
      <c r="FR21" s="39"/>
      <c r="FS21" s="39"/>
      <c r="FT21" s="39"/>
      <c r="FU21" s="39"/>
      <c r="FV21" s="39"/>
      <c r="FW21" s="39"/>
      <c r="FX21" s="39"/>
      <c r="FY21" s="39"/>
      <c r="FZ21" s="39"/>
      <c r="GA21" s="39"/>
      <c r="GB21" s="39"/>
      <c r="GC21" s="39"/>
      <c r="GD21" s="39"/>
      <c r="GE21" s="39"/>
      <c r="GF21" s="39"/>
      <c r="GG21" s="39"/>
      <c r="GH21" s="39"/>
      <c r="GI21" s="39"/>
      <c r="GJ21" s="39"/>
      <c r="GK21" s="39"/>
    </row>
    <row r="22" spans="1:193">
      <c r="A22" s="125" t="s">
        <v>71</v>
      </c>
      <c r="B22" s="111" t="s">
        <v>267</v>
      </c>
      <c r="C22" s="111" t="s">
        <v>252</v>
      </c>
      <c r="D22" s="111">
        <v>18</v>
      </c>
      <c r="E22" s="111" t="s">
        <v>74</v>
      </c>
      <c r="F22" s="111"/>
      <c r="G22" s="112"/>
      <c r="H22" s="112"/>
      <c r="I22" s="113">
        <v>1633.33</v>
      </c>
      <c r="J22" s="178"/>
      <c r="K22" s="113">
        <f t="shared" si="0"/>
        <v>1633.33</v>
      </c>
      <c r="L22" s="113">
        <v>7216.55</v>
      </c>
      <c r="M22" s="113"/>
      <c r="N22" s="114"/>
      <c r="O22" s="114"/>
      <c r="P22" s="115"/>
      <c r="Q22" s="116">
        <f t="shared" si="1"/>
        <v>8849.880000000001</v>
      </c>
      <c r="R22" s="117"/>
      <c r="S22" s="118"/>
      <c r="T22" s="127">
        <v>700</v>
      </c>
      <c r="U22" s="118"/>
      <c r="V22" s="118"/>
      <c r="W22" s="118"/>
      <c r="X22" s="119"/>
      <c r="Y22" s="119"/>
      <c r="Z22" s="126">
        <v>205.7</v>
      </c>
      <c r="AA22" s="120">
        <v>0</v>
      </c>
      <c r="AB22" s="116">
        <f t="shared" si="2"/>
        <v>7944.1800000000012</v>
      </c>
      <c r="AC22" s="121">
        <f t="shared" si="8"/>
        <v>884.98800000000017</v>
      </c>
      <c r="AD22" s="116">
        <f t="shared" si="3"/>
        <v>7059.1920000000009</v>
      </c>
      <c r="AE22" s="122">
        <f t="shared" si="4"/>
        <v>0</v>
      </c>
      <c r="AF22" s="121">
        <v>10.23</v>
      </c>
      <c r="AG22" s="121">
        <f t="shared" si="5"/>
        <v>0</v>
      </c>
      <c r="AH22" s="123">
        <f t="shared" si="6"/>
        <v>8860.11</v>
      </c>
      <c r="AI22" s="248">
        <v>577.4</v>
      </c>
      <c r="AJ22" s="247">
        <v>6481.79</v>
      </c>
      <c r="AK22" s="246">
        <f t="shared" si="7"/>
        <v>-2.0000000013169483E-3</v>
      </c>
      <c r="AL22" s="125"/>
      <c r="AM22" s="125"/>
      <c r="BB22" s="39"/>
      <c r="BC22" s="39"/>
      <c r="BD22" s="39"/>
      <c r="BE22" s="39"/>
      <c r="BF22" s="39"/>
      <c r="BG22" s="39"/>
      <c r="BH22" s="39"/>
      <c r="BI22" s="39"/>
      <c r="BJ22" s="39"/>
      <c r="BK22" s="39"/>
      <c r="BL22" s="39"/>
      <c r="BM22" s="39"/>
      <c r="BN22" s="39"/>
      <c r="BO22" s="39"/>
      <c r="BP22" s="39"/>
      <c r="BQ22" s="39"/>
      <c r="BR22" s="39"/>
      <c r="BS22" s="39"/>
      <c r="BT22" s="39"/>
      <c r="BU22" s="39"/>
      <c r="BV22" s="39"/>
      <c r="BW22" s="39"/>
      <c r="BX22" s="39"/>
      <c r="BY22" s="39"/>
      <c r="BZ22" s="39"/>
      <c r="CA22" s="39"/>
      <c r="CB22" s="39"/>
      <c r="CC22" s="39"/>
      <c r="CD22" s="39"/>
      <c r="CE22" s="39"/>
      <c r="CF22" s="39"/>
      <c r="CG22" s="39"/>
      <c r="CH22" s="39"/>
      <c r="CI22" s="39"/>
      <c r="CJ22" s="39"/>
      <c r="CK22" s="39"/>
      <c r="CL22" s="39"/>
      <c r="CM22" s="39"/>
      <c r="CN22" s="39"/>
      <c r="CO22" s="39"/>
      <c r="CP22" s="39"/>
      <c r="CQ22" s="39"/>
      <c r="CR22" s="39"/>
      <c r="CS22" s="39"/>
      <c r="CT22" s="39"/>
      <c r="CU22" s="39"/>
      <c r="CV22" s="39"/>
      <c r="CW22" s="39"/>
      <c r="CX22" s="39"/>
      <c r="CY22" s="39"/>
      <c r="CZ22" s="39"/>
      <c r="DA22" s="39"/>
      <c r="DB22" s="39"/>
      <c r="DC22" s="39"/>
      <c r="DD22" s="39"/>
      <c r="DE22" s="39"/>
      <c r="DF22" s="39"/>
      <c r="DG22" s="39"/>
      <c r="DH22" s="39"/>
      <c r="DI22" s="39"/>
      <c r="DJ22" s="39"/>
      <c r="DK22" s="39"/>
      <c r="DL22" s="39"/>
      <c r="DM22" s="39"/>
      <c r="DN22" s="39"/>
      <c r="DO22" s="39"/>
      <c r="DP22" s="39"/>
      <c r="DQ22" s="39"/>
      <c r="DR22" s="39"/>
      <c r="DS22" s="39"/>
      <c r="DT22" s="39"/>
      <c r="DU22" s="39"/>
      <c r="DV22" s="39"/>
      <c r="DW22" s="39"/>
      <c r="DX22" s="39"/>
      <c r="DY22" s="39"/>
      <c r="DZ22" s="39"/>
      <c r="EA22" s="39"/>
      <c r="EB22" s="39"/>
      <c r="EC22" s="39"/>
      <c r="ED22" s="39"/>
      <c r="EE22" s="39"/>
      <c r="EF22" s="39"/>
      <c r="EG22" s="39"/>
      <c r="EH22" s="39"/>
      <c r="EI22" s="39"/>
      <c r="EJ22" s="39"/>
      <c r="EK22" s="39"/>
      <c r="EL22" s="39"/>
      <c r="EM22" s="39"/>
      <c r="EN22" s="39"/>
      <c r="EO22" s="39"/>
      <c r="EP22" s="39"/>
      <c r="EQ22" s="39"/>
      <c r="ER22" s="39"/>
      <c r="ES22" s="39"/>
      <c r="ET22" s="39"/>
      <c r="EU22" s="39"/>
      <c r="EV22" s="39"/>
      <c r="EW22" s="39"/>
      <c r="EX22" s="39"/>
      <c r="EY22" s="39"/>
      <c r="EZ22" s="39"/>
      <c r="FA22" s="39"/>
      <c r="FB22" s="39"/>
      <c r="FC22" s="39"/>
      <c r="FD22" s="39"/>
      <c r="FE22" s="39"/>
      <c r="FF22" s="39"/>
      <c r="FG22" s="39"/>
      <c r="FH22" s="39"/>
      <c r="FI22" s="39"/>
      <c r="FJ22" s="39"/>
      <c r="FK22" s="39"/>
      <c r="FL22" s="39"/>
      <c r="FM22" s="39"/>
      <c r="FN22" s="39"/>
      <c r="FO22" s="39"/>
      <c r="FP22" s="39"/>
      <c r="FQ22" s="39"/>
      <c r="FR22" s="39"/>
      <c r="FS22" s="39"/>
      <c r="FT22" s="39"/>
      <c r="FU22" s="39"/>
      <c r="FV22" s="39"/>
      <c r="FW22" s="39"/>
      <c r="FX22" s="39"/>
      <c r="FY22" s="39"/>
      <c r="FZ22" s="39"/>
      <c r="GA22" s="39"/>
      <c r="GB22" s="39"/>
      <c r="GC22" s="39"/>
      <c r="GD22" s="39"/>
      <c r="GE22" s="39"/>
      <c r="GF22" s="39"/>
      <c r="GG22" s="39"/>
      <c r="GH22" s="39"/>
      <c r="GI22" s="39"/>
      <c r="GJ22" s="39"/>
      <c r="GK22" s="39"/>
    </row>
    <row r="23" spans="1:193">
      <c r="A23" s="125" t="s">
        <v>94</v>
      </c>
      <c r="B23" s="111" t="s">
        <v>268</v>
      </c>
      <c r="C23" s="111"/>
      <c r="D23" s="111" t="s">
        <v>129</v>
      </c>
      <c r="E23" s="111" t="s">
        <v>175</v>
      </c>
      <c r="F23" s="111"/>
      <c r="G23" s="112"/>
      <c r="H23" s="112"/>
      <c r="I23" s="113">
        <v>1100</v>
      </c>
      <c r="J23" s="178"/>
      <c r="K23" s="113">
        <f t="shared" si="0"/>
        <v>1100</v>
      </c>
      <c r="L23" s="113">
        <v>635.70000000000005</v>
      </c>
      <c r="M23" s="113"/>
      <c r="N23" s="114"/>
      <c r="O23" s="114"/>
      <c r="P23" s="115"/>
      <c r="Q23" s="116">
        <f t="shared" si="1"/>
        <v>1735.7</v>
      </c>
      <c r="R23" s="117"/>
      <c r="S23" s="118"/>
      <c r="T23" s="127">
        <f>+Q23*1%</f>
        <v>17.356999999999999</v>
      </c>
      <c r="U23" s="127">
        <f>+Q23*4.9%</f>
        <v>85.049300000000002</v>
      </c>
      <c r="V23" s="118"/>
      <c r="W23" s="118"/>
      <c r="X23" s="119"/>
      <c r="Y23" s="119"/>
      <c r="Z23" s="120"/>
      <c r="AA23" s="120">
        <v>0</v>
      </c>
      <c r="AB23" s="116">
        <f t="shared" si="2"/>
        <v>1633.2936999999999</v>
      </c>
      <c r="AC23" s="121">
        <f t="shared" si="8"/>
        <v>0</v>
      </c>
      <c r="AD23" s="116">
        <f t="shared" si="3"/>
        <v>1633.2936999999999</v>
      </c>
      <c r="AE23" s="122">
        <f t="shared" si="4"/>
        <v>173.57000000000002</v>
      </c>
      <c r="AF23" s="121">
        <v>10.23</v>
      </c>
      <c r="AG23" s="121">
        <f t="shared" si="5"/>
        <v>85.049300000000002</v>
      </c>
      <c r="AH23" s="123">
        <f t="shared" si="6"/>
        <v>2004.5492999999999</v>
      </c>
      <c r="AI23" s="248">
        <v>577.4</v>
      </c>
      <c r="AJ23" s="247">
        <v>1055.8900000000001</v>
      </c>
      <c r="AK23" s="246">
        <f t="shared" si="7"/>
        <v>-3.6999999999807187E-3</v>
      </c>
      <c r="AL23" s="125"/>
      <c r="AM23" s="125"/>
      <c r="BB23" s="39"/>
      <c r="BC23" s="39"/>
      <c r="BD23" s="39"/>
      <c r="BE23" s="39"/>
      <c r="BF23" s="39"/>
      <c r="BG23" s="39"/>
      <c r="BH23" s="39"/>
      <c r="BI23" s="39"/>
      <c r="BJ23" s="39"/>
      <c r="BK23" s="39"/>
      <c r="BL23" s="39"/>
      <c r="BM23" s="39"/>
      <c r="BN23" s="39"/>
      <c r="BO23" s="39"/>
      <c r="BP23" s="39"/>
      <c r="BQ23" s="39"/>
      <c r="BR23" s="39"/>
      <c r="BS23" s="39"/>
      <c r="BT23" s="39"/>
      <c r="BU23" s="39"/>
      <c r="BV23" s="39"/>
      <c r="BW23" s="39"/>
      <c r="BX23" s="39"/>
      <c r="BY23" s="39"/>
      <c r="BZ23" s="39"/>
      <c r="CA23" s="39"/>
      <c r="CB23" s="39"/>
      <c r="CC23" s="39"/>
      <c r="CD23" s="39"/>
      <c r="CE23" s="39"/>
      <c r="CF23" s="39"/>
      <c r="CG23" s="39"/>
      <c r="CH23" s="39"/>
      <c r="CI23" s="39"/>
      <c r="CJ23" s="39"/>
      <c r="CK23" s="39"/>
      <c r="CL23" s="39"/>
      <c r="CM23" s="39"/>
      <c r="CN23" s="39"/>
      <c r="CO23" s="39"/>
      <c r="CP23" s="39"/>
      <c r="CQ23" s="39"/>
      <c r="CR23" s="39"/>
      <c r="CS23" s="39"/>
      <c r="CT23" s="39"/>
      <c r="CU23" s="39"/>
      <c r="CV23" s="39"/>
      <c r="CW23" s="39"/>
      <c r="CX23" s="39"/>
      <c r="CY23" s="39"/>
      <c r="CZ23" s="39"/>
      <c r="DA23" s="39"/>
      <c r="DB23" s="39"/>
      <c r="DC23" s="39"/>
      <c r="DD23" s="39"/>
      <c r="DE23" s="39"/>
      <c r="DF23" s="39"/>
      <c r="DG23" s="39"/>
      <c r="DH23" s="39"/>
      <c r="DI23" s="39"/>
      <c r="DJ23" s="39"/>
      <c r="DK23" s="39"/>
      <c r="DL23" s="39"/>
      <c r="DM23" s="39"/>
      <c r="DN23" s="39"/>
      <c r="DO23" s="39"/>
      <c r="DP23" s="39"/>
      <c r="DQ23" s="39"/>
      <c r="DR23" s="39"/>
      <c r="DS23" s="39"/>
      <c r="DT23" s="39"/>
      <c r="DU23" s="39"/>
      <c r="DV23" s="39"/>
      <c r="DW23" s="39"/>
      <c r="DX23" s="39"/>
      <c r="DY23" s="39"/>
      <c r="DZ23" s="39"/>
      <c r="EA23" s="39"/>
      <c r="EB23" s="39"/>
      <c r="EC23" s="39"/>
      <c r="ED23" s="39"/>
      <c r="EE23" s="39"/>
      <c r="EF23" s="39"/>
      <c r="EG23" s="39"/>
      <c r="EH23" s="39"/>
      <c r="EI23" s="39"/>
      <c r="EJ23" s="39"/>
      <c r="EK23" s="39"/>
      <c r="EL23" s="39"/>
      <c r="EM23" s="39"/>
      <c r="EN23" s="39"/>
      <c r="EO23" s="39"/>
      <c r="EP23" s="39"/>
      <c r="EQ23" s="39"/>
      <c r="ER23" s="39"/>
      <c r="ES23" s="39"/>
      <c r="ET23" s="39"/>
      <c r="EU23" s="39"/>
      <c r="EV23" s="39"/>
      <c r="EW23" s="39"/>
      <c r="EX23" s="39"/>
      <c r="EY23" s="39"/>
      <c r="EZ23" s="39"/>
      <c r="FA23" s="39"/>
      <c r="FB23" s="39"/>
      <c r="FC23" s="39"/>
      <c r="FD23" s="39"/>
      <c r="FE23" s="39"/>
      <c r="FF23" s="39"/>
      <c r="FG23" s="39"/>
      <c r="FH23" s="39"/>
      <c r="FI23" s="39"/>
      <c r="FJ23" s="39"/>
      <c r="FK23" s="39"/>
      <c r="FL23" s="39"/>
      <c r="FM23" s="39"/>
      <c r="FN23" s="39"/>
      <c r="FO23" s="39"/>
      <c r="FP23" s="39"/>
      <c r="FQ23" s="39"/>
      <c r="FR23" s="39"/>
      <c r="FS23" s="39"/>
      <c r="FT23" s="39"/>
      <c r="FU23" s="39"/>
      <c r="FV23" s="39"/>
      <c r="FW23" s="39"/>
      <c r="FX23" s="39"/>
      <c r="FY23" s="39"/>
      <c r="FZ23" s="39"/>
      <c r="GA23" s="39"/>
      <c r="GB23" s="39"/>
      <c r="GC23" s="39"/>
      <c r="GD23" s="39"/>
      <c r="GE23" s="39"/>
      <c r="GF23" s="39"/>
      <c r="GG23" s="39"/>
      <c r="GH23" s="39"/>
      <c r="GI23" s="39"/>
      <c r="GJ23" s="39"/>
      <c r="GK23" s="39"/>
    </row>
    <row r="24" spans="1:193">
      <c r="A24" s="125" t="s">
        <v>70</v>
      </c>
      <c r="B24" s="111" t="s">
        <v>245</v>
      </c>
      <c r="C24" s="125" t="s">
        <v>301</v>
      </c>
      <c r="D24" s="111" t="s">
        <v>122</v>
      </c>
      <c r="E24" s="125" t="s">
        <v>173</v>
      </c>
      <c r="F24" s="133">
        <v>42432</v>
      </c>
      <c r="G24" s="112"/>
      <c r="H24" s="112"/>
      <c r="I24" s="113">
        <v>513.33000000000004</v>
      </c>
      <c r="J24" s="178">
        <v>513.33000000000004</v>
      </c>
      <c r="K24" s="113">
        <f t="shared" si="0"/>
        <v>1026.6600000000001</v>
      </c>
      <c r="L24" s="113">
        <v>4960.6400000000003</v>
      </c>
      <c r="M24" s="113"/>
      <c r="N24" s="114"/>
      <c r="O24" s="114"/>
      <c r="P24" s="115"/>
      <c r="Q24" s="116">
        <f t="shared" si="1"/>
        <v>5987.3</v>
      </c>
      <c r="R24" s="117"/>
      <c r="S24" s="118"/>
      <c r="T24" s="118">
        <v>0</v>
      </c>
      <c r="U24" s="118"/>
      <c r="V24" s="118"/>
      <c r="W24" s="118"/>
      <c r="X24" s="119"/>
      <c r="Y24" s="119"/>
      <c r="Z24" s="120"/>
      <c r="AA24" s="126">
        <v>566.61</v>
      </c>
      <c r="AB24" s="116">
        <f t="shared" si="2"/>
        <v>5420.6900000000005</v>
      </c>
      <c r="AC24" s="121">
        <f t="shared" si="8"/>
        <v>598.73</v>
      </c>
      <c r="AD24" s="116">
        <f t="shared" si="3"/>
        <v>4821.9600000000009</v>
      </c>
      <c r="AE24" s="122">
        <f t="shared" si="4"/>
        <v>0</v>
      </c>
      <c r="AF24" s="121">
        <v>10.23</v>
      </c>
      <c r="AG24" s="121">
        <f t="shared" si="5"/>
        <v>0</v>
      </c>
      <c r="AH24" s="123">
        <f t="shared" si="6"/>
        <v>5997.53</v>
      </c>
      <c r="AI24" s="237">
        <v>577.4</v>
      </c>
      <c r="AJ24" s="247">
        <v>4031.56</v>
      </c>
      <c r="AK24" s="246">
        <f t="shared" si="7"/>
        <v>-213.00000000000091</v>
      </c>
      <c r="AL24" s="125"/>
      <c r="AM24" s="125"/>
      <c r="BB24" s="39"/>
      <c r="BC24" s="39"/>
      <c r="BD24" s="39"/>
      <c r="BE24" s="39"/>
      <c r="BF24" s="39"/>
      <c r="BG24" s="39"/>
      <c r="BH24" s="39"/>
      <c r="BI24" s="39"/>
      <c r="BJ24" s="39"/>
      <c r="BK24" s="39"/>
      <c r="BL24" s="39"/>
      <c r="BM24" s="39"/>
      <c r="BN24" s="39"/>
      <c r="BO24" s="39"/>
      <c r="BP24" s="39"/>
      <c r="BQ24" s="39"/>
      <c r="BR24" s="39"/>
      <c r="BS24" s="39"/>
      <c r="BT24" s="39"/>
      <c r="BU24" s="39"/>
      <c r="BV24" s="39"/>
      <c r="BW24" s="39"/>
      <c r="BX24" s="39"/>
      <c r="BY24" s="39"/>
      <c r="BZ24" s="39"/>
      <c r="CA24" s="39"/>
      <c r="CB24" s="39"/>
      <c r="CC24" s="39"/>
      <c r="CD24" s="39"/>
      <c r="CE24" s="39"/>
      <c r="CF24" s="39"/>
      <c r="CG24" s="39"/>
      <c r="CH24" s="39"/>
      <c r="CI24" s="39"/>
      <c r="CJ24" s="39"/>
      <c r="CK24" s="39"/>
      <c r="CL24" s="39"/>
      <c r="CM24" s="39"/>
      <c r="CN24" s="39"/>
      <c r="CO24" s="39"/>
      <c r="CP24" s="39"/>
      <c r="CQ24" s="39"/>
      <c r="CR24" s="39"/>
      <c r="CS24" s="39"/>
      <c r="CT24" s="39"/>
      <c r="CU24" s="39"/>
      <c r="CV24" s="39"/>
      <c r="CW24" s="39"/>
      <c r="CX24" s="39"/>
      <c r="CY24" s="39"/>
      <c r="CZ24" s="39"/>
      <c r="DA24" s="39"/>
      <c r="DB24" s="39"/>
      <c r="DC24" s="39"/>
      <c r="DD24" s="39"/>
      <c r="DE24" s="39"/>
      <c r="DF24" s="39"/>
      <c r="DG24" s="39"/>
      <c r="DH24" s="39"/>
      <c r="DI24" s="39"/>
      <c r="DJ24" s="39"/>
      <c r="DK24" s="39"/>
      <c r="DL24" s="39"/>
      <c r="DM24" s="39"/>
      <c r="DN24" s="39"/>
      <c r="DO24" s="39"/>
      <c r="DP24" s="39"/>
      <c r="DQ24" s="39"/>
      <c r="DR24" s="39"/>
      <c r="DS24" s="39"/>
      <c r="DT24" s="39"/>
      <c r="DU24" s="39"/>
      <c r="DV24" s="39"/>
      <c r="DW24" s="39"/>
      <c r="DX24" s="39"/>
      <c r="DY24" s="39"/>
      <c r="DZ24" s="39"/>
      <c r="EA24" s="39"/>
      <c r="EB24" s="39"/>
      <c r="EC24" s="39"/>
      <c r="ED24" s="39"/>
      <c r="EE24" s="39"/>
      <c r="EF24" s="39"/>
      <c r="EG24" s="39"/>
      <c r="EH24" s="39"/>
      <c r="EI24" s="39"/>
      <c r="EJ24" s="39"/>
      <c r="EK24" s="39"/>
      <c r="EL24" s="39"/>
      <c r="EM24" s="39"/>
      <c r="EN24" s="39"/>
      <c r="EO24" s="39"/>
      <c r="EP24" s="39"/>
      <c r="EQ24" s="39"/>
      <c r="ER24" s="39"/>
      <c r="ES24" s="39"/>
      <c r="ET24" s="39"/>
      <c r="EU24" s="39"/>
      <c r="EV24" s="39"/>
      <c r="EW24" s="39"/>
      <c r="EX24" s="39"/>
      <c r="EY24" s="39"/>
      <c r="EZ24" s="39"/>
      <c r="FA24" s="39"/>
      <c r="FB24" s="39"/>
      <c r="FC24" s="39"/>
      <c r="FD24" s="39"/>
      <c r="FE24" s="39"/>
      <c r="FF24" s="39"/>
      <c r="FG24" s="39"/>
      <c r="FH24" s="39"/>
      <c r="FI24" s="39"/>
      <c r="FJ24" s="39"/>
      <c r="FK24" s="39"/>
      <c r="FL24" s="39"/>
      <c r="FM24" s="39"/>
      <c r="FN24" s="39"/>
      <c r="FO24" s="39"/>
      <c r="FP24" s="39"/>
      <c r="FQ24" s="39"/>
      <c r="FR24" s="39"/>
      <c r="FS24" s="39"/>
      <c r="FT24" s="39"/>
      <c r="FU24" s="39"/>
      <c r="FV24" s="39"/>
      <c r="FW24" s="39"/>
      <c r="FX24" s="39"/>
      <c r="FY24" s="39"/>
      <c r="FZ24" s="39"/>
      <c r="GA24" s="39"/>
      <c r="GB24" s="39"/>
      <c r="GC24" s="39"/>
      <c r="GD24" s="39"/>
      <c r="GE24" s="39"/>
      <c r="GF24" s="39"/>
      <c r="GG24" s="39"/>
      <c r="GH24" s="39"/>
      <c r="GI24" s="39"/>
      <c r="GJ24" s="39"/>
      <c r="GK24" s="39"/>
    </row>
    <row r="25" spans="1:193">
      <c r="A25" s="125" t="s">
        <v>71</v>
      </c>
      <c r="B25" s="125" t="s">
        <v>295</v>
      </c>
      <c r="C25" s="125" t="s">
        <v>254</v>
      </c>
      <c r="D25" s="125"/>
      <c r="E25" s="125" t="s">
        <v>73</v>
      </c>
      <c r="F25" s="128">
        <v>42437</v>
      </c>
      <c r="G25" s="125"/>
      <c r="H25" s="125"/>
      <c r="I25" s="113">
        <v>513.33000000000004</v>
      </c>
      <c r="J25" s="178">
        <v>653.33000000000004</v>
      </c>
      <c r="K25" s="129">
        <f t="shared" si="0"/>
        <v>1166.6600000000001</v>
      </c>
      <c r="L25" s="129"/>
      <c r="M25" s="129"/>
      <c r="N25" s="129"/>
      <c r="O25" s="129"/>
      <c r="P25" s="115"/>
      <c r="Q25" s="116">
        <f t="shared" si="1"/>
        <v>1166.6600000000001</v>
      </c>
      <c r="R25" s="117"/>
      <c r="S25" s="118"/>
      <c r="T25" s="118">
        <v>0</v>
      </c>
      <c r="U25" s="118"/>
      <c r="V25" s="118"/>
      <c r="W25" s="118"/>
      <c r="X25" s="119"/>
      <c r="Y25" s="119"/>
      <c r="Z25" s="120"/>
      <c r="AA25" s="120">
        <v>0</v>
      </c>
      <c r="AB25" s="116">
        <f t="shared" si="2"/>
        <v>1166.6600000000001</v>
      </c>
      <c r="AC25" s="121">
        <f t="shared" si="8"/>
        <v>0</v>
      </c>
      <c r="AD25" s="116">
        <f t="shared" si="3"/>
        <v>1166.6600000000001</v>
      </c>
      <c r="AE25" s="122">
        <f t="shared" si="4"/>
        <v>116.66600000000001</v>
      </c>
      <c r="AF25" s="121">
        <v>10.23</v>
      </c>
      <c r="AG25" s="121">
        <f t="shared" si="5"/>
        <v>0</v>
      </c>
      <c r="AH25" s="123">
        <f t="shared" si="6"/>
        <v>1293.556</v>
      </c>
      <c r="AI25" s="248">
        <v>577.4</v>
      </c>
      <c r="AJ25" s="237">
        <v>589.26</v>
      </c>
      <c r="AK25" s="246">
        <f t="shared" si="7"/>
        <v>0</v>
      </c>
      <c r="AL25" s="125"/>
      <c r="AM25" s="130"/>
      <c r="BB25" s="39"/>
      <c r="BC25" s="39"/>
      <c r="BD25" s="39"/>
      <c r="BE25" s="39"/>
      <c r="BF25" s="39"/>
      <c r="BG25" s="39"/>
      <c r="BH25" s="39"/>
      <c r="BI25" s="39"/>
      <c r="BJ25" s="39"/>
      <c r="BK25" s="39"/>
      <c r="BL25" s="39"/>
      <c r="BM25" s="39"/>
      <c r="BN25" s="39"/>
      <c r="BO25" s="39"/>
      <c r="BP25" s="39"/>
      <c r="BQ25" s="39"/>
      <c r="BR25" s="39"/>
      <c r="BS25" s="39"/>
      <c r="BT25" s="39"/>
      <c r="BU25" s="39"/>
      <c r="BV25" s="39"/>
      <c r="BW25" s="39"/>
      <c r="BX25" s="39"/>
      <c r="BY25" s="39"/>
      <c r="BZ25" s="39"/>
      <c r="CA25" s="39"/>
      <c r="CB25" s="39"/>
      <c r="CC25" s="39"/>
      <c r="CD25" s="39"/>
      <c r="CE25" s="39"/>
      <c r="CF25" s="39"/>
      <c r="CG25" s="39"/>
      <c r="CH25" s="39"/>
      <c r="CI25" s="39"/>
      <c r="CJ25" s="39"/>
      <c r="CK25" s="39"/>
      <c r="CL25" s="39"/>
      <c r="CM25" s="39"/>
      <c r="CN25" s="39"/>
      <c r="CO25" s="39"/>
      <c r="CP25" s="39"/>
      <c r="CQ25" s="39"/>
      <c r="CR25" s="39"/>
      <c r="CS25" s="39"/>
      <c r="CT25" s="39"/>
      <c r="CU25" s="39"/>
      <c r="CV25" s="39"/>
      <c r="CW25" s="39"/>
      <c r="CX25" s="39"/>
      <c r="CY25" s="39"/>
      <c r="CZ25" s="39"/>
      <c r="DA25" s="39"/>
      <c r="DB25" s="39"/>
      <c r="DC25" s="39"/>
      <c r="DD25" s="39"/>
      <c r="DE25" s="39"/>
      <c r="DF25" s="39"/>
      <c r="DG25" s="39"/>
      <c r="DH25" s="39"/>
      <c r="DI25" s="39"/>
      <c r="DJ25" s="39"/>
      <c r="DK25" s="39"/>
      <c r="DL25" s="39"/>
      <c r="DM25" s="39"/>
      <c r="DN25" s="39"/>
      <c r="DO25" s="39"/>
      <c r="DP25" s="39"/>
      <c r="DQ25" s="39"/>
      <c r="DR25" s="39"/>
      <c r="DS25" s="39"/>
      <c r="DT25" s="39"/>
      <c r="DU25" s="39"/>
      <c r="DV25" s="39"/>
      <c r="DW25" s="39"/>
      <c r="DX25" s="39"/>
      <c r="DY25" s="39"/>
      <c r="DZ25" s="39"/>
      <c r="EA25" s="39"/>
      <c r="EB25" s="39"/>
      <c r="EC25" s="39"/>
      <c r="ED25" s="39"/>
      <c r="EE25" s="39"/>
      <c r="EF25" s="39"/>
      <c r="EG25" s="39"/>
      <c r="EH25" s="39"/>
      <c r="EI25" s="39"/>
      <c r="EJ25" s="39"/>
      <c r="EK25" s="39"/>
      <c r="EL25" s="39"/>
      <c r="EM25" s="39"/>
      <c r="EN25" s="39"/>
      <c r="EO25" s="39"/>
      <c r="EP25" s="39"/>
      <c r="EQ25" s="39"/>
      <c r="ER25" s="39"/>
      <c r="ES25" s="39"/>
      <c r="ET25" s="39"/>
      <c r="EU25" s="39"/>
      <c r="EV25" s="39"/>
      <c r="EW25" s="39"/>
      <c r="EX25" s="39"/>
      <c r="EY25" s="39"/>
      <c r="EZ25" s="39"/>
      <c r="FA25" s="39"/>
      <c r="FB25" s="39"/>
      <c r="FC25" s="39"/>
      <c r="FD25" s="39"/>
      <c r="FE25" s="39"/>
      <c r="FF25" s="39"/>
      <c r="FG25" s="39"/>
      <c r="FH25" s="39"/>
      <c r="FI25" s="39"/>
      <c r="FJ25" s="39"/>
      <c r="FK25" s="39"/>
      <c r="FL25" s="39"/>
      <c r="FM25" s="39"/>
      <c r="FN25" s="39"/>
      <c r="FO25" s="39"/>
      <c r="FP25" s="39"/>
      <c r="FQ25" s="39"/>
      <c r="FR25" s="39"/>
      <c r="FS25" s="39"/>
      <c r="FT25" s="39"/>
      <c r="FU25" s="39"/>
      <c r="FV25" s="39"/>
      <c r="FW25" s="39"/>
      <c r="FX25" s="39"/>
      <c r="FY25" s="39"/>
      <c r="FZ25" s="39"/>
      <c r="GA25" s="39"/>
      <c r="GB25" s="39"/>
      <c r="GC25" s="39"/>
      <c r="GD25" s="39"/>
      <c r="GE25" s="39"/>
      <c r="GF25" s="39"/>
      <c r="GG25" s="39"/>
      <c r="GH25" s="39"/>
      <c r="GI25" s="39"/>
      <c r="GJ25" s="39"/>
      <c r="GK25" s="39"/>
    </row>
    <row r="26" spans="1:193">
      <c r="A26" s="125" t="s">
        <v>92</v>
      </c>
      <c r="B26" s="111" t="s">
        <v>209</v>
      </c>
      <c r="C26" s="111"/>
      <c r="D26" s="111" t="s">
        <v>100</v>
      </c>
      <c r="E26" s="111" t="s">
        <v>161</v>
      </c>
      <c r="F26" s="111"/>
      <c r="G26" s="111"/>
      <c r="H26" s="111"/>
      <c r="I26" s="129">
        <v>739.23</v>
      </c>
      <c r="J26" s="181"/>
      <c r="K26" s="113">
        <f t="shared" si="0"/>
        <v>739.23</v>
      </c>
      <c r="L26" s="113">
        <f>3372.22+13.09</f>
        <v>3385.31</v>
      </c>
      <c r="M26" s="113"/>
      <c r="N26" s="113"/>
      <c r="O26" s="113"/>
      <c r="P26" s="115"/>
      <c r="Q26" s="116">
        <f t="shared" si="1"/>
        <v>4124.54</v>
      </c>
      <c r="R26" s="117"/>
      <c r="S26" s="118"/>
      <c r="T26" s="118">
        <v>0</v>
      </c>
      <c r="U26" s="118"/>
      <c r="V26" s="118"/>
      <c r="W26" s="118"/>
      <c r="X26" s="119"/>
      <c r="Y26" s="119"/>
      <c r="Z26" s="120"/>
      <c r="AA26" s="120">
        <v>0</v>
      </c>
      <c r="AB26" s="116">
        <f t="shared" si="2"/>
        <v>4124.54</v>
      </c>
      <c r="AC26" s="121">
        <f t="shared" si="8"/>
        <v>412.45400000000001</v>
      </c>
      <c r="AD26" s="116">
        <f t="shared" si="3"/>
        <v>3712.0859999999998</v>
      </c>
      <c r="AE26" s="122">
        <f t="shared" si="4"/>
        <v>0</v>
      </c>
      <c r="AF26" s="121">
        <v>10.23</v>
      </c>
      <c r="AG26" s="121">
        <f t="shared" si="5"/>
        <v>0</v>
      </c>
      <c r="AH26" s="123">
        <f t="shared" si="6"/>
        <v>4134.7699999999995</v>
      </c>
      <c r="AI26" s="237">
        <v>577.4</v>
      </c>
      <c r="AJ26" s="247">
        <v>3134.69</v>
      </c>
      <c r="AK26" s="246">
        <f t="shared" si="7"/>
        <v>4.0000000003601599E-3</v>
      </c>
      <c r="AL26" s="125"/>
      <c r="AM26" s="125"/>
      <c r="BB26" s="39"/>
      <c r="BC26" s="39"/>
      <c r="BD26" s="39"/>
      <c r="BE26" s="39"/>
      <c r="BF26" s="39"/>
      <c r="BG26" s="39"/>
      <c r="BH26" s="39"/>
      <c r="BI26" s="39"/>
      <c r="BJ26" s="39"/>
      <c r="BK26" s="39"/>
      <c r="BL26" s="39"/>
      <c r="BM26" s="39"/>
      <c r="BN26" s="39"/>
      <c r="BO26" s="39"/>
      <c r="BP26" s="39"/>
      <c r="BQ26" s="39"/>
      <c r="BR26" s="39"/>
      <c r="BS26" s="39"/>
      <c r="BT26" s="39"/>
      <c r="BU26" s="39"/>
      <c r="BV26" s="39"/>
      <c r="BW26" s="39"/>
      <c r="BX26" s="39"/>
      <c r="BY26" s="39"/>
      <c r="BZ26" s="39"/>
      <c r="CA26" s="39"/>
      <c r="CB26" s="39"/>
      <c r="CC26" s="39"/>
      <c r="CD26" s="39"/>
      <c r="CE26" s="39"/>
      <c r="CF26" s="39"/>
      <c r="CG26" s="39"/>
      <c r="CH26" s="39"/>
      <c r="CI26" s="39"/>
      <c r="CJ26" s="39"/>
      <c r="CK26" s="39"/>
      <c r="CL26" s="39"/>
      <c r="CM26" s="39"/>
      <c r="CN26" s="39"/>
      <c r="CO26" s="39"/>
      <c r="CP26" s="39"/>
      <c r="CQ26" s="39"/>
      <c r="CR26" s="39"/>
      <c r="CS26" s="39"/>
      <c r="CT26" s="39"/>
      <c r="CU26" s="39"/>
      <c r="CV26" s="39"/>
      <c r="CW26" s="39"/>
      <c r="CX26" s="39"/>
      <c r="CY26" s="39"/>
      <c r="CZ26" s="39"/>
      <c r="DA26" s="39"/>
      <c r="DB26" s="39"/>
      <c r="DC26" s="39"/>
      <c r="DD26" s="39"/>
      <c r="DE26" s="39"/>
      <c r="DF26" s="39"/>
      <c r="DG26" s="39"/>
      <c r="DH26" s="39"/>
      <c r="DI26" s="39"/>
      <c r="DJ26" s="39"/>
      <c r="DK26" s="39"/>
      <c r="DL26" s="39"/>
      <c r="DM26" s="39"/>
      <c r="DN26" s="39"/>
      <c r="DO26" s="39"/>
      <c r="DP26" s="39"/>
      <c r="DQ26" s="39"/>
      <c r="DR26" s="39"/>
      <c r="DS26" s="39"/>
      <c r="DT26" s="39"/>
      <c r="DU26" s="39"/>
      <c r="DV26" s="39"/>
      <c r="DW26" s="39"/>
      <c r="DX26" s="39"/>
      <c r="DY26" s="39"/>
      <c r="DZ26" s="39"/>
      <c r="EA26" s="39"/>
      <c r="EB26" s="39"/>
      <c r="EC26" s="39"/>
      <c r="ED26" s="39"/>
      <c r="EE26" s="39"/>
      <c r="EF26" s="39"/>
      <c r="EG26" s="39"/>
      <c r="EH26" s="39"/>
      <c r="EI26" s="39"/>
      <c r="EJ26" s="39"/>
      <c r="EK26" s="39"/>
      <c r="EL26" s="39"/>
      <c r="EM26" s="39"/>
      <c r="EN26" s="39"/>
      <c r="EO26" s="39"/>
      <c r="EP26" s="39"/>
      <c r="EQ26" s="39"/>
      <c r="ER26" s="39"/>
      <c r="ES26" s="39"/>
      <c r="ET26" s="39"/>
      <c r="EU26" s="39"/>
      <c r="EV26" s="39"/>
      <c r="EW26" s="39"/>
      <c r="EX26" s="39"/>
      <c r="EY26" s="39"/>
      <c r="EZ26" s="39"/>
      <c r="FA26" s="39"/>
      <c r="FB26" s="39"/>
      <c r="FC26" s="39"/>
      <c r="FD26" s="39"/>
      <c r="FE26" s="39"/>
      <c r="FF26" s="39"/>
      <c r="FG26" s="39"/>
      <c r="FH26" s="39"/>
      <c r="FI26" s="39"/>
      <c r="FJ26" s="39"/>
      <c r="FK26" s="39"/>
      <c r="FL26" s="39"/>
      <c r="FM26" s="39"/>
      <c r="FN26" s="39"/>
      <c r="FO26" s="39"/>
      <c r="FP26" s="39"/>
      <c r="FQ26" s="39"/>
      <c r="FR26" s="39"/>
      <c r="FS26" s="39"/>
      <c r="FT26" s="39"/>
      <c r="FU26" s="39"/>
      <c r="FV26" s="39"/>
      <c r="FW26" s="39"/>
      <c r="FX26" s="39"/>
      <c r="FY26" s="39"/>
      <c r="FZ26" s="39"/>
      <c r="GA26" s="39"/>
      <c r="GB26" s="39"/>
      <c r="GC26" s="39"/>
      <c r="GD26" s="39"/>
      <c r="GE26" s="39"/>
      <c r="GF26" s="39"/>
      <c r="GG26" s="39"/>
      <c r="GH26" s="39"/>
      <c r="GI26" s="39"/>
      <c r="GJ26" s="39"/>
      <c r="GK26" s="39"/>
    </row>
    <row r="27" spans="1:193" s="40" customFormat="1">
      <c r="A27" s="125" t="s">
        <v>70</v>
      </c>
      <c r="B27" s="111" t="s">
        <v>339</v>
      </c>
      <c r="C27" s="125" t="s">
        <v>301</v>
      </c>
      <c r="D27" s="111" t="s">
        <v>121</v>
      </c>
      <c r="E27" s="111" t="s">
        <v>173</v>
      </c>
      <c r="F27" s="133">
        <v>42304</v>
      </c>
      <c r="G27" s="112"/>
      <c r="H27" s="112"/>
      <c r="I27" s="113">
        <v>513.33000000000004</v>
      </c>
      <c r="J27" s="178"/>
      <c r="K27" s="113">
        <f t="shared" si="0"/>
        <v>513.33000000000004</v>
      </c>
      <c r="L27" s="129">
        <v>1000</v>
      </c>
      <c r="M27" s="113"/>
      <c r="N27" s="114"/>
      <c r="O27" s="114"/>
      <c r="P27" s="115"/>
      <c r="Q27" s="116">
        <f t="shared" si="1"/>
        <v>1513.33</v>
      </c>
      <c r="R27" s="117"/>
      <c r="S27" s="118"/>
      <c r="T27" s="118">
        <v>0</v>
      </c>
      <c r="U27" s="118"/>
      <c r="V27" s="118"/>
      <c r="W27" s="118"/>
      <c r="X27" s="119"/>
      <c r="Y27" s="119"/>
      <c r="Z27" s="120"/>
      <c r="AA27" s="120">
        <v>0</v>
      </c>
      <c r="AB27" s="116">
        <f t="shared" si="2"/>
        <v>1513.33</v>
      </c>
      <c r="AC27" s="121">
        <f t="shared" si="8"/>
        <v>0</v>
      </c>
      <c r="AD27" s="116">
        <f t="shared" si="3"/>
        <v>1513.33</v>
      </c>
      <c r="AE27" s="122">
        <f t="shared" si="4"/>
        <v>151.333</v>
      </c>
      <c r="AF27" s="121">
        <v>10.23</v>
      </c>
      <c r="AG27" s="121">
        <f t="shared" si="5"/>
        <v>0</v>
      </c>
      <c r="AH27" s="123">
        <f t="shared" si="6"/>
        <v>1674.893</v>
      </c>
      <c r="AI27" s="237">
        <v>577.4</v>
      </c>
      <c r="AJ27" s="237">
        <v>935.93</v>
      </c>
      <c r="AK27" s="246">
        <f t="shared" si="7"/>
        <v>0</v>
      </c>
      <c r="AL27" s="125"/>
      <c r="AM27" s="125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39"/>
      <c r="BK27" s="39"/>
      <c r="BL27" s="39"/>
      <c r="BM27" s="39"/>
      <c r="BN27" s="39"/>
      <c r="BO27" s="39"/>
      <c r="BP27" s="39"/>
      <c r="BQ27" s="39"/>
      <c r="BR27" s="39"/>
      <c r="BS27" s="39"/>
      <c r="BT27" s="39"/>
      <c r="BU27" s="39"/>
      <c r="BV27" s="39"/>
      <c r="BW27" s="39"/>
      <c r="BX27" s="39"/>
      <c r="BY27" s="39"/>
      <c r="BZ27" s="39"/>
      <c r="CA27" s="39"/>
      <c r="CB27" s="39"/>
      <c r="CC27" s="39"/>
      <c r="CD27" s="39"/>
      <c r="CE27" s="39"/>
      <c r="CF27" s="39"/>
      <c r="CG27" s="39"/>
      <c r="CH27" s="39"/>
      <c r="CI27" s="39"/>
      <c r="CJ27" s="39"/>
      <c r="CK27" s="39"/>
      <c r="CL27" s="39"/>
      <c r="CM27" s="39"/>
      <c r="CN27" s="39"/>
      <c r="CO27" s="39"/>
      <c r="CP27" s="39"/>
      <c r="CQ27" s="39"/>
      <c r="CR27" s="39"/>
      <c r="CS27" s="39"/>
      <c r="CT27" s="39"/>
      <c r="CU27" s="39"/>
      <c r="CV27" s="39"/>
      <c r="CW27" s="39"/>
      <c r="CX27" s="39"/>
      <c r="CY27" s="39"/>
      <c r="CZ27" s="39"/>
      <c r="DA27" s="39"/>
      <c r="DB27" s="39"/>
      <c r="DC27" s="39"/>
      <c r="DD27" s="39"/>
      <c r="DE27" s="39"/>
      <c r="DF27" s="39"/>
      <c r="DG27" s="39"/>
      <c r="DH27" s="39"/>
      <c r="DI27" s="39"/>
      <c r="DJ27" s="39"/>
      <c r="DK27" s="39"/>
      <c r="DL27" s="39"/>
      <c r="DM27" s="39"/>
      <c r="DN27" s="39"/>
      <c r="DO27" s="39"/>
      <c r="DP27" s="39"/>
      <c r="DQ27" s="39"/>
      <c r="DR27" s="39"/>
      <c r="DS27" s="39"/>
      <c r="DT27" s="39"/>
      <c r="DU27" s="39"/>
      <c r="DV27" s="39"/>
      <c r="DW27" s="39"/>
      <c r="DX27" s="39"/>
      <c r="DY27" s="39"/>
      <c r="DZ27" s="39"/>
      <c r="EA27" s="39"/>
      <c r="EB27" s="39"/>
      <c r="EC27" s="39"/>
      <c r="ED27" s="39"/>
      <c r="EE27" s="39"/>
      <c r="EF27" s="39"/>
      <c r="EG27" s="39"/>
      <c r="EH27" s="39"/>
      <c r="EI27" s="39"/>
      <c r="EJ27" s="39"/>
      <c r="EK27" s="39"/>
      <c r="EL27" s="39"/>
      <c r="EM27" s="39"/>
      <c r="EN27" s="39"/>
      <c r="EO27" s="39"/>
      <c r="EP27" s="39"/>
      <c r="EQ27" s="39"/>
      <c r="ER27" s="39"/>
      <c r="ES27" s="39"/>
      <c r="ET27" s="39"/>
      <c r="EU27" s="39"/>
      <c r="EV27" s="39"/>
      <c r="EW27" s="39"/>
      <c r="EX27" s="39"/>
      <c r="EY27" s="39"/>
      <c r="EZ27" s="39"/>
      <c r="FA27" s="39"/>
      <c r="FB27" s="39"/>
      <c r="FC27" s="39"/>
      <c r="FD27" s="39"/>
      <c r="FE27" s="39"/>
      <c r="FF27" s="39"/>
      <c r="FG27" s="39"/>
      <c r="FH27" s="39"/>
      <c r="FI27" s="39"/>
      <c r="FJ27" s="39"/>
      <c r="FK27" s="39"/>
      <c r="FL27" s="39"/>
      <c r="FM27" s="39"/>
      <c r="FN27" s="39"/>
      <c r="FO27" s="39"/>
      <c r="FP27" s="39"/>
      <c r="FQ27" s="39"/>
      <c r="FR27" s="39"/>
      <c r="FS27" s="39"/>
      <c r="FT27" s="39"/>
      <c r="FU27" s="39"/>
      <c r="FV27" s="39"/>
      <c r="FW27" s="39"/>
      <c r="FX27" s="39"/>
      <c r="FY27" s="39"/>
      <c r="FZ27" s="39"/>
      <c r="GA27" s="39"/>
      <c r="GB27" s="39"/>
      <c r="GC27" s="39"/>
      <c r="GD27" s="39"/>
      <c r="GE27" s="39"/>
      <c r="GF27" s="39"/>
      <c r="GG27" s="39"/>
      <c r="GH27" s="39"/>
      <c r="GI27" s="39"/>
      <c r="GJ27" s="39"/>
      <c r="GK27" s="39"/>
    </row>
    <row r="28" spans="1:193" s="39" customFormat="1">
      <c r="A28" s="125" t="s">
        <v>92</v>
      </c>
      <c r="B28" s="111" t="s">
        <v>342</v>
      </c>
      <c r="C28" s="111"/>
      <c r="D28" s="111" t="s">
        <v>114</v>
      </c>
      <c r="E28" s="111" t="s">
        <v>167</v>
      </c>
      <c r="F28" s="111"/>
      <c r="G28" s="111"/>
      <c r="H28" s="111"/>
      <c r="I28" s="113">
        <v>1100</v>
      </c>
      <c r="J28" s="181"/>
      <c r="K28" s="113">
        <f t="shared" si="0"/>
        <v>1100</v>
      </c>
      <c r="L28" s="113">
        <f>1449.45+5.57</f>
        <v>1455.02</v>
      </c>
      <c r="M28" s="113"/>
      <c r="N28" s="113"/>
      <c r="O28" s="113"/>
      <c r="P28" s="115"/>
      <c r="Q28" s="116">
        <f t="shared" si="1"/>
        <v>2555.02</v>
      </c>
      <c r="R28" s="117"/>
      <c r="S28" s="118"/>
      <c r="T28" s="118">
        <v>0</v>
      </c>
      <c r="U28" s="118"/>
      <c r="V28" s="118"/>
      <c r="W28" s="118"/>
      <c r="X28" s="119"/>
      <c r="Y28" s="119"/>
      <c r="Z28" s="120"/>
      <c r="AA28" s="120">
        <v>0</v>
      </c>
      <c r="AB28" s="116">
        <f t="shared" si="2"/>
        <v>2555.02</v>
      </c>
      <c r="AC28" s="121">
        <f t="shared" si="8"/>
        <v>255.50200000000001</v>
      </c>
      <c r="AD28" s="116">
        <f t="shared" si="3"/>
        <v>2299.518</v>
      </c>
      <c r="AE28" s="122">
        <f t="shared" si="4"/>
        <v>255.50200000000001</v>
      </c>
      <c r="AF28" s="121">
        <v>10.23</v>
      </c>
      <c r="AG28" s="121">
        <f t="shared" si="5"/>
        <v>0</v>
      </c>
      <c r="AH28" s="123">
        <f t="shared" si="6"/>
        <v>2820.752</v>
      </c>
      <c r="AI28" s="237">
        <v>577.4</v>
      </c>
      <c r="AJ28" s="247">
        <v>1722.12</v>
      </c>
      <c r="AK28" s="246">
        <f t="shared" si="7"/>
        <v>1.9999999999527063E-3</v>
      </c>
      <c r="AL28" s="125"/>
      <c r="AM28" s="125"/>
    </row>
    <row r="29" spans="1:193">
      <c r="A29" s="125" t="s">
        <v>69</v>
      </c>
      <c r="B29" s="111" t="s">
        <v>227</v>
      </c>
      <c r="C29" s="111"/>
      <c r="D29" s="111" t="s">
        <v>112</v>
      </c>
      <c r="E29" s="111" t="s">
        <v>169</v>
      </c>
      <c r="F29" s="111"/>
      <c r="G29" s="111"/>
      <c r="H29" s="111"/>
      <c r="I29" s="113">
        <v>933.33</v>
      </c>
      <c r="J29" s="181"/>
      <c r="K29" s="113">
        <f t="shared" si="0"/>
        <v>933.33</v>
      </c>
      <c r="L29" s="113">
        <v>550</v>
      </c>
      <c r="M29" s="113"/>
      <c r="N29" s="113"/>
      <c r="O29" s="113"/>
      <c r="P29" s="115"/>
      <c r="Q29" s="116">
        <f t="shared" si="1"/>
        <v>1483.33</v>
      </c>
      <c r="R29" s="117"/>
      <c r="S29" s="118">
        <v>58.91</v>
      </c>
      <c r="T29" s="118">
        <v>0</v>
      </c>
      <c r="U29" s="118"/>
      <c r="V29" s="118"/>
      <c r="W29" s="118"/>
      <c r="X29" s="119"/>
      <c r="Y29" s="119"/>
      <c r="Z29" s="120"/>
      <c r="AA29" s="120">
        <v>0</v>
      </c>
      <c r="AB29" s="116">
        <f t="shared" si="2"/>
        <v>1424.4199999999998</v>
      </c>
      <c r="AC29" s="121">
        <f t="shared" si="8"/>
        <v>0</v>
      </c>
      <c r="AD29" s="116">
        <f t="shared" si="3"/>
        <v>1424.4199999999998</v>
      </c>
      <c r="AE29" s="122">
        <f t="shared" si="4"/>
        <v>148.333</v>
      </c>
      <c r="AF29" s="121">
        <v>10.23</v>
      </c>
      <c r="AG29" s="121">
        <f t="shared" si="5"/>
        <v>0</v>
      </c>
      <c r="AH29" s="123">
        <f t="shared" si="6"/>
        <v>1641.893</v>
      </c>
      <c r="AI29" s="237">
        <v>577.4</v>
      </c>
      <c r="AJ29" s="248">
        <v>847.02</v>
      </c>
      <c r="AK29" s="246">
        <f t="shared" si="7"/>
        <v>0</v>
      </c>
      <c r="AL29" s="125"/>
      <c r="AM29" s="125"/>
      <c r="BB29" s="39"/>
      <c r="BC29" s="39"/>
      <c r="BD29" s="39"/>
      <c r="BE29" s="39"/>
      <c r="BF29" s="39"/>
      <c r="BG29" s="39"/>
      <c r="BH29" s="39"/>
      <c r="BI29" s="39"/>
      <c r="BJ29" s="39"/>
      <c r="BK29" s="39"/>
      <c r="BL29" s="39"/>
      <c r="BM29" s="39"/>
      <c r="BN29" s="39"/>
      <c r="BO29" s="39"/>
      <c r="BP29" s="39"/>
      <c r="BQ29" s="39"/>
      <c r="BR29" s="39"/>
      <c r="BS29" s="39"/>
      <c r="BT29" s="39"/>
      <c r="BU29" s="39"/>
      <c r="BV29" s="39"/>
      <c r="BW29" s="39"/>
      <c r="BX29" s="39"/>
      <c r="BY29" s="39"/>
      <c r="BZ29" s="39"/>
      <c r="CA29" s="39"/>
      <c r="CB29" s="39"/>
      <c r="CC29" s="39"/>
      <c r="CD29" s="39"/>
      <c r="CE29" s="39"/>
      <c r="CF29" s="39"/>
      <c r="CG29" s="39"/>
      <c r="CH29" s="39"/>
      <c r="CI29" s="39"/>
      <c r="CJ29" s="39"/>
      <c r="CK29" s="39"/>
      <c r="CL29" s="39"/>
      <c r="CM29" s="39"/>
      <c r="CN29" s="39"/>
      <c r="CO29" s="39"/>
      <c r="CP29" s="39"/>
      <c r="CQ29" s="39"/>
      <c r="CR29" s="39"/>
      <c r="CS29" s="39"/>
      <c r="CT29" s="39"/>
      <c r="CU29" s="39"/>
      <c r="CV29" s="39"/>
      <c r="CW29" s="39"/>
      <c r="CX29" s="39"/>
      <c r="CY29" s="39"/>
      <c r="CZ29" s="39"/>
      <c r="DA29" s="39"/>
      <c r="DB29" s="39"/>
      <c r="DC29" s="39"/>
      <c r="DD29" s="39"/>
      <c r="DE29" s="39"/>
      <c r="DF29" s="39"/>
      <c r="DG29" s="39"/>
      <c r="DH29" s="39"/>
      <c r="DI29" s="39"/>
      <c r="DJ29" s="39"/>
      <c r="DK29" s="39"/>
      <c r="DL29" s="39"/>
      <c r="DM29" s="39"/>
      <c r="DN29" s="39"/>
      <c r="DO29" s="39"/>
      <c r="DP29" s="39"/>
      <c r="DQ29" s="39"/>
      <c r="DR29" s="39"/>
      <c r="DS29" s="39"/>
      <c r="DT29" s="39"/>
      <c r="DU29" s="39"/>
      <c r="DV29" s="39"/>
      <c r="DW29" s="39"/>
      <c r="DX29" s="39"/>
      <c r="DY29" s="39"/>
      <c r="DZ29" s="39"/>
      <c r="EA29" s="39"/>
      <c r="EB29" s="39"/>
      <c r="EC29" s="39"/>
      <c r="ED29" s="39"/>
      <c r="EE29" s="39"/>
      <c r="EF29" s="39"/>
      <c r="EG29" s="39"/>
      <c r="EH29" s="39"/>
      <c r="EI29" s="39"/>
      <c r="EJ29" s="39"/>
      <c r="EK29" s="39"/>
      <c r="EL29" s="39"/>
      <c r="EM29" s="39"/>
      <c r="EN29" s="39"/>
      <c r="EO29" s="39"/>
      <c r="EP29" s="39"/>
      <c r="EQ29" s="39"/>
      <c r="ER29" s="39"/>
      <c r="ES29" s="39"/>
      <c r="ET29" s="39"/>
      <c r="EU29" s="39"/>
      <c r="EV29" s="39"/>
      <c r="EW29" s="39"/>
      <c r="EX29" s="39"/>
      <c r="EY29" s="39"/>
      <c r="EZ29" s="39"/>
      <c r="FA29" s="39"/>
      <c r="FB29" s="39"/>
      <c r="FC29" s="39"/>
      <c r="FD29" s="39"/>
      <c r="FE29" s="39"/>
      <c r="FF29" s="39"/>
      <c r="FG29" s="39"/>
      <c r="FH29" s="39"/>
      <c r="FI29" s="39"/>
      <c r="FJ29" s="39"/>
      <c r="FK29" s="39"/>
      <c r="FL29" s="39"/>
      <c r="FM29" s="39"/>
      <c r="FN29" s="39"/>
      <c r="FO29" s="39"/>
      <c r="FP29" s="39"/>
      <c r="FQ29" s="39"/>
      <c r="FR29" s="39"/>
      <c r="FS29" s="39"/>
      <c r="FT29" s="39"/>
      <c r="FU29" s="39"/>
      <c r="FV29" s="39"/>
      <c r="FW29" s="39"/>
      <c r="FX29" s="39"/>
      <c r="FY29" s="39"/>
      <c r="FZ29" s="39"/>
      <c r="GA29" s="39"/>
      <c r="GB29" s="39"/>
      <c r="GC29" s="39"/>
      <c r="GD29" s="39"/>
      <c r="GE29" s="39"/>
      <c r="GF29" s="39"/>
      <c r="GG29" s="39"/>
      <c r="GH29" s="39"/>
      <c r="GI29" s="39"/>
      <c r="GJ29" s="39"/>
      <c r="GK29" s="39"/>
    </row>
    <row r="30" spans="1:193">
      <c r="A30" s="125" t="s">
        <v>253</v>
      </c>
      <c r="B30" s="111" t="s">
        <v>207</v>
      </c>
      <c r="C30" s="111"/>
      <c r="D30" s="111" t="s">
        <v>115</v>
      </c>
      <c r="E30" s="111" t="s">
        <v>171</v>
      </c>
      <c r="F30" s="133">
        <v>42205</v>
      </c>
      <c r="G30" s="111"/>
      <c r="H30" s="134"/>
      <c r="I30" s="113">
        <v>577.38</v>
      </c>
      <c r="J30" s="182">
        <v>1047.6199999999999</v>
      </c>
      <c r="K30" s="113">
        <f t="shared" si="0"/>
        <v>1625</v>
      </c>
      <c r="L30" s="113"/>
      <c r="M30" s="113"/>
      <c r="N30" s="113"/>
      <c r="O30" s="113"/>
      <c r="P30" s="115"/>
      <c r="Q30" s="116">
        <f t="shared" si="1"/>
        <v>1625</v>
      </c>
      <c r="R30" s="117"/>
      <c r="S30" s="118"/>
      <c r="T30" s="127">
        <v>200</v>
      </c>
      <c r="U30" s="118"/>
      <c r="V30" s="118"/>
      <c r="W30" s="118"/>
      <c r="X30" s="119"/>
      <c r="Y30" s="132">
        <v>168.06</v>
      </c>
      <c r="Z30" s="120"/>
      <c r="AA30" s="120">
        <v>0</v>
      </c>
      <c r="AB30" s="116">
        <f t="shared" si="2"/>
        <v>1256.94</v>
      </c>
      <c r="AC30" s="121">
        <f t="shared" si="8"/>
        <v>0</v>
      </c>
      <c r="AD30" s="116">
        <f t="shared" si="3"/>
        <v>1256.94</v>
      </c>
      <c r="AE30" s="122">
        <f t="shared" si="4"/>
        <v>162.5</v>
      </c>
      <c r="AF30" s="121">
        <v>10.23</v>
      </c>
      <c r="AG30" s="121">
        <f t="shared" si="5"/>
        <v>0</v>
      </c>
      <c r="AH30" s="123">
        <f t="shared" si="6"/>
        <v>1797.73</v>
      </c>
      <c r="AI30" s="237">
        <v>409.34</v>
      </c>
      <c r="AJ30" s="237">
        <v>847.6</v>
      </c>
      <c r="AK30" s="246">
        <f t="shared" si="7"/>
        <v>0</v>
      </c>
      <c r="AL30" s="125"/>
      <c r="AM30" s="125"/>
      <c r="BB30" s="39"/>
      <c r="BC30" s="39"/>
      <c r="BD30" s="39"/>
      <c r="BE30" s="39"/>
      <c r="BF30" s="39"/>
      <c r="BG30" s="39"/>
      <c r="BH30" s="39"/>
      <c r="BI30" s="39"/>
      <c r="BJ30" s="39"/>
      <c r="BK30" s="39"/>
      <c r="BL30" s="39"/>
      <c r="BM30" s="39"/>
      <c r="BN30" s="39"/>
      <c r="BO30" s="39"/>
      <c r="BP30" s="39"/>
      <c r="BQ30" s="39"/>
      <c r="BR30" s="39"/>
      <c r="BS30" s="39"/>
      <c r="BT30" s="39"/>
      <c r="BU30" s="39"/>
      <c r="BV30" s="39"/>
      <c r="BW30" s="39"/>
      <c r="BX30" s="39"/>
      <c r="BY30" s="39"/>
      <c r="BZ30" s="39"/>
      <c r="CA30" s="39"/>
      <c r="CB30" s="39"/>
      <c r="CC30" s="39"/>
      <c r="CD30" s="39"/>
      <c r="CE30" s="39"/>
      <c r="CF30" s="39"/>
      <c r="CG30" s="39"/>
      <c r="CH30" s="39"/>
      <c r="CI30" s="39"/>
      <c r="CJ30" s="39"/>
      <c r="CK30" s="39"/>
      <c r="CL30" s="39"/>
      <c r="CM30" s="39"/>
      <c r="CN30" s="39"/>
      <c r="CO30" s="39"/>
      <c r="CP30" s="39"/>
      <c r="CQ30" s="39"/>
      <c r="CR30" s="39"/>
      <c r="CS30" s="39"/>
      <c r="CT30" s="39"/>
      <c r="CU30" s="39"/>
      <c r="CV30" s="39"/>
      <c r="CW30" s="39"/>
      <c r="CX30" s="39"/>
      <c r="CY30" s="39"/>
      <c r="CZ30" s="39"/>
      <c r="DA30" s="39"/>
      <c r="DB30" s="39"/>
      <c r="DC30" s="39"/>
      <c r="DD30" s="39"/>
      <c r="DE30" s="39"/>
      <c r="DF30" s="39"/>
      <c r="DG30" s="39"/>
      <c r="DH30" s="39"/>
      <c r="DI30" s="39"/>
      <c r="DJ30" s="39"/>
      <c r="DK30" s="39"/>
      <c r="DL30" s="39"/>
      <c r="DM30" s="39"/>
      <c r="DN30" s="39"/>
      <c r="DO30" s="39"/>
      <c r="DP30" s="39"/>
      <c r="DQ30" s="39"/>
      <c r="DR30" s="39"/>
      <c r="DS30" s="39"/>
      <c r="DT30" s="39"/>
      <c r="DU30" s="39"/>
      <c r="DV30" s="39"/>
      <c r="DW30" s="39"/>
      <c r="DX30" s="39"/>
      <c r="DY30" s="39"/>
      <c r="DZ30" s="39"/>
      <c r="EA30" s="39"/>
      <c r="EB30" s="39"/>
      <c r="EC30" s="39"/>
      <c r="ED30" s="39"/>
      <c r="EE30" s="39"/>
      <c r="EF30" s="39"/>
      <c r="EG30" s="39"/>
      <c r="EH30" s="39"/>
      <c r="EI30" s="39"/>
      <c r="EJ30" s="39"/>
      <c r="EK30" s="39"/>
      <c r="EL30" s="39"/>
      <c r="EM30" s="39"/>
      <c r="EN30" s="39"/>
      <c r="EO30" s="39"/>
      <c r="EP30" s="39"/>
      <c r="EQ30" s="39"/>
      <c r="ER30" s="39"/>
      <c r="ES30" s="39"/>
      <c r="ET30" s="39"/>
      <c r="EU30" s="39"/>
      <c r="EV30" s="39"/>
      <c r="EW30" s="39"/>
      <c r="EX30" s="39"/>
      <c r="EY30" s="39"/>
      <c r="EZ30" s="39"/>
      <c r="FA30" s="39"/>
      <c r="FB30" s="39"/>
      <c r="FC30" s="39"/>
      <c r="FD30" s="39"/>
      <c r="FE30" s="39"/>
      <c r="FF30" s="39"/>
      <c r="FG30" s="39"/>
      <c r="FH30" s="39"/>
      <c r="FI30" s="39"/>
      <c r="FJ30" s="39"/>
      <c r="FK30" s="39"/>
      <c r="FL30" s="39"/>
      <c r="FM30" s="39"/>
      <c r="FN30" s="39"/>
      <c r="FO30" s="39"/>
      <c r="FP30" s="39"/>
      <c r="FQ30" s="39"/>
      <c r="FR30" s="39"/>
      <c r="FS30" s="39"/>
      <c r="FT30" s="39"/>
      <c r="FU30" s="39"/>
      <c r="FV30" s="39"/>
      <c r="FW30" s="39"/>
      <c r="FX30" s="39"/>
      <c r="FY30" s="39"/>
      <c r="FZ30" s="39"/>
      <c r="GA30" s="39"/>
      <c r="GB30" s="39"/>
      <c r="GC30" s="39"/>
      <c r="GD30" s="39"/>
      <c r="GE30" s="39"/>
      <c r="GF30" s="39"/>
      <c r="GG30" s="39"/>
      <c r="GH30" s="39"/>
      <c r="GI30" s="39"/>
      <c r="GJ30" s="39"/>
      <c r="GK30" s="39"/>
    </row>
    <row r="31" spans="1:193" s="40" customFormat="1">
      <c r="A31" s="125" t="s">
        <v>94</v>
      </c>
      <c r="B31" s="111" t="s">
        <v>231</v>
      </c>
      <c r="C31" s="111"/>
      <c r="D31" s="111" t="s">
        <v>130</v>
      </c>
      <c r="E31" s="111" t="s">
        <v>181</v>
      </c>
      <c r="F31" s="111"/>
      <c r="G31" s="112"/>
      <c r="H31" s="112"/>
      <c r="I31" s="113">
        <v>608.16</v>
      </c>
      <c r="J31" s="178"/>
      <c r="K31" s="113">
        <f t="shared" si="0"/>
        <v>608.16</v>
      </c>
      <c r="L31" s="113">
        <f>3838.2+2.59</f>
        <v>3840.79</v>
      </c>
      <c r="M31" s="113"/>
      <c r="N31" s="114"/>
      <c r="O31" s="114"/>
      <c r="P31" s="115"/>
      <c r="Q31" s="116">
        <f t="shared" si="1"/>
        <v>4448.95</v>
      </c>
      <c r="R31" s="117"/>
      <c r="S31" s="118"/>
      <c r="T31" s="127">
        <v>500</v>
      </c>
      <c r="U31" s="127">
        <f>Q31*4.9%</f>
        <v>217.99854999999999</v>
      </c>
      <c r="V31" s="127">
        <f>Q31*1%</f>
        <v>44.4895</v>
      </c>
      <c r="W31" s="118"/>
      <c r="X31" s="119"/>
      <c r="Y31" s="119"/>
      <c r="Z31" s="120"/>
      <c r="AA31" s="120">
        <v>0</v>
      </c>
      <c r="AB31" s="116">
        <f t="shared" si="2"/>
        <v>3686.4619499999999</v>
      </c>
      <c r="AC31" s="121">
        <f t="shared" si="8"/>
        <v>444.89499999999998</v>
      </c>
      <c r="AD31" s="116">
        <f t="shared" si="3"/>
        <v>3241.5669499999999</v>
      </c>
      <c r="AE31" s="122">
        <f t="shared" si="4"/>
        <v>0</v>
      </c>
      <c r="AF31" s="121">
        <v>10.23</v>
      </c>
      <c r="AG31" s="121">
        <f t="shared" si="5"/>
        <v>217.99854999999999</v>
      </c>
      <c r="AH31" s="123">
        <f t="shared" si="6"/>
        <v>4677.1785499999996</v>
      </c>
      <c r="AI31" s="237">
        <v>577.4</v>
      </c>
      <c r="AJ31" s="247">
        <v>2664.17</v>
      </c>
      <c r="AK31" s="246">
        <f t="shared" si="7"/>
        <v>3.0500000002575689E-3</v>
      </c>
      <c r="AL31" s="125"/>
      <c r="AM31" s="125"/>
      <c r="AN31" s="39"/>
      <c r="AO31" s="39"/>
      <c r="AP31" s="39"/>
      <c r="AQ31" s="39"/>
      <c r="AR31" s="39"/>
      <c r="AS31" s="39"/>
      <c r="AT31" s="39"/>
      <c r="AU31" s="39"/>
      <c r="AV31" s="39"/>
      <c r="AW31" s="39"/>
      <c r="AX31" s="39"/>
      <c r="AY31" s="39"/>
      <c r="AZ31" s="39"/>
      <c r="BA31" s="39"/>
      <c r="BB31" s="39"/>
      <c r="BC31" s="39"/>
      <c r="BD31" s="39"/>
      <c r="BE31" s="39"/>
      <c r="BF31" s="39"/>
      <c r="BG31" s="39"/>
      <c r="BH31" s="39"/>
      <c r="BI31" s="39"/>
      <c r="BJ31" s="39"/>
      <c r="BK31" s="39"/>
      <c r="BL31" s="39"/>
      <c r="BM31" s="39"/>
      <c r="BN31" s="39"/>
      <c r="BO31" s="39"/>
      <c r="BP31" s="39"/>
      <c r="BQ31" s="39"/>
      <c r="BR31" s="39"/>
      <c r="BS31" s="39"/>
      <c r="BT31" s="39"/>
      <c r="BU31" s="39"/>
      <c r="BV31" s="39"/>
      <c r="BW31" s="39"/>
      <c r="BX31" s="39"/>
      <c r="BY31" s="39"/>
      <c r="BZ31" s="39"/>
      <c r="CA31" s="39"/>
      <c r="CB31" s="39"/>
      <c r="CC31" s="39"/>
      <c r="CD31" s="39"/>
      <c r="CE31" s="39"/>
      <c r="CF31" s="39"/>
      <c r="CG31" s="39"/>
      <c r="CH31" s="39"/>
      <c r="CI31" s="39"/>
      <c r="CJ31" s="39"/>
      <c r="CK31" s="39"/>
      <c r="CL31" s="39"/>
      <c r="CM31" s="39"/>
      <c r="CN31" s="39"/>
      <c r="CO31" s="39"/>
      <c r="CP31" s="39"/>
      <c r="CQ31" s="39"/>
      <c r="CR31" s="39"/>
      <c r="CS31" s="39"/>
      <c r="CT31" s="39"/>
      <c r="CU31" s="39"/>
      <c r="CV31" s="39"/>
      <c r="CW31" s="39"/>
      <c r="CX31" s="39"/>
      <c r="CY31" s="39"/>
      <c r="CZ31" s="39"/>
      <c r="DA31" s="39"/>
      <c r="DB31" s="39"/>
      <c r="DC31" s="39"/>
      <c r="DD31" s="39"/>
      <c r="DE31" s="39"/>
      <c r="DF31" s="39"/>
      <c r="DG31" s="39"/>
      <c r="DH31" s="39"/>
      <c r="DI31" s="39"/>
      <c r="DJ31" s="39"/>
      <c r="DK31" s="39"/>
      <c r="DL31" s="39"/>
      <c r="DM31" s="39"/>
      <c r="DN31" s="39"/>
      <c r="DO31" s="39"/>
      <c r="DP31" s="39"/>
      <c r="DQ31" s="39"/>
      <c r="DR31" s="39"/>
      <c r="DS31" s="39"/>
      <c r="DT31" s="39"/>
      <c r="DU31" s="39"/>
      <c r="DV31" s="39"/>
      <c r="DW31" s="39"/>
      <c r="DX31" s="39"/>
      <c r="DY31" s="39"/>
      <c r="DZ31" s="39"/>
      <c r="EA31" s="39"/>
      <c r="EB31" s="39"/>
      <c r="EC31" s="39"/>
      <c r="ED31" s="39"/>
      <c r="EE31" s="39"/>
      <c r="EF31" s="39"/>
      <c r="EG31" s="39"/>
      <c r="EH31" s="39"/>
      <c r="EI31" s="39"/>
      <c r="EJ31" s="39"/>
      <c r="EK31" s="39"/>
      <c r="EL31" s="39"/>
      <c r="EM31" s="39"/>
      <c r="EN31" s="39"/>
      <c r="EO31" s="39"/>
      <c r="EP31" s="39"/>
      <c r="EQ31" s="39"/>
      <c r="ER31" s="39"/>
      <c r="ES31" s="39"/>
      <c r="ET31" s="39"/>
      <c r="EU31" s="39"/>
      <c r="EV31" s="39"/>
      <c r="EW31" s="39"/>
      <c r="EX31" s="39"/>
      <c r="EY31" s="39"/>
      <c r="EZ31" s="39"/>
      <c r="FA31" s="39"/>
      <c r="FB31" s="39"/>
      <c r="FC31" s="39"/>
      <c r="FD31" s="39"/>
      <c r="FE31" s="39"/>
      <c r="FF31" s="39"/>
      <c r="FG31" s="39"/>
      <c r="FH31" s="39"/>
      <c r="FI31" s="39"/>
      <c r="FJ31" s="39"/>
      <c r="FK31" s="39"/>
      <c r="FL31" s="39"/>
      <c r="FM31" s="39"/>
      <c r="FN31" s="39"/>
      <c r="FO31" s="39"/>
      <c r="FP31" s="39"/>
      <c r="FQ31" s="39"/>
      <c r="FR31" s="39"/>
      <c r="FS31" s="39"/>
      <c r="FT31" s="39"/>
      <c r="FU31" s="39"/>
      <c r="FV31" s="39"/>
      <c r="FW31" s="39"/>
      <c r="FX31" s="39"/>
      <c r="FY31" s="39"/>
      <c r="FZ31" s="39"/>
      <c r="GA31" s="39"/>
      <c r="GB31" s="39"/>
      <c r="GC31" s="39"/>
      <c r="GD31" s="39"/>
      <c r="GE31" s="39"/>
      <c r="GF31" s="39"/>
      <c r="GG31" s="39"/>
      <c r="GH31" s="39"/>
      <c r="GI31" s="39"/>
      <c r="GJ31" s="39"/>
      <c r="GK31" s="39"/>
    </row>
    <row r="32" spans="1:193" s="40" customFormat="1">
      <c r="A32" s="125" t="s">
        <v>94</v>
      </c>
      <c r="B32" s="111" t="s">
        <v>229</v>
      </c>
      <c r="C32" s="111"/>
      <c r="D32" s="111" t="s">
        <v>131</v>
      </c>
      <c r="E32" s="111" t="s">
        <v>181</v>
      </c>
      <c r="F32" s="111"/>
      <c r="G32" s="112"/>
      <c r="H32" s="112"/>
      <c r="I32" s="113">
        <v>608.16</v>
      </c>
      <c r="J32" s="178"/>
      <c r="K32" s="113">
        <f t="shared" si="0"/>
        <v>608.16</v>
      </c>
      <c r="L32" s="113">
        <f>3833.05+2.97</f>
        <v>3836.02</v>
      </c>
      <c r="M32" s="113"/>
      <c r="N32" s="114"/>
      <c r="O32" s="114"/>
      <c r="P32" s="115"/>
      <c r="Q32" s="116">
        <f t="shared" si="1"/>
        <v>4444.18</v>
      </c>
      <c r="R32" s="117"/>
      <c r="S32" s="118"/>
      <c r="T32" s="127">
        <v>1000</v>
      </c>
      <c r="U32" s="127">
        <f>Q32*4.9%</f>
        <v>217.76482000000001</v>
      </c>
      <c r="V32" s="127">
        <f>Q32*1%</f>
        <v>44.441800000000001</v>
      </c>
      <c r="W32" s="127">
        <v>300</v>
      </c>
      <c r="X32" s="119"/>
      <c r="Y32" s="119"/>
      <c r="Z32" s="131"/>
      <c r="AA32" s="120">
        <v>0</v>
      </c>
      <c r="AB32" s="116">
        <f t="shared" si="2"/>
        <v>2881.9733800000004</v>
      </c>
      <c r="AC32" s="121">
        <f t="shared" si="8"/>
        <v>444.41800000000006</v>
      </c>
      <c r="AD32" s="116">
        <f t="shared" si="3"/>
        <v>2437.5553800000002</v>
      </c>
      <c r="AE32" s="122">
        <f t="shared" si="4"/>
        <v>0</v>
      </c>
      <c r="AF32" s="121">
        <v>10.23</v>
      </c>
      <c r="AG32" s="121">
        <f t="shared" si="5"/>
        <v>217.76482000000001</v>
      </c>
      <c r="AH32" s="123">
        <f t="shared" si="6"/>
        <v>4672.1748200000002</v>
      </c>
      <c r="AI32" s="237">
        <v>577.4</v>
      </c>
      <c r="AJ32" s="247">
        <v>1860.16</v>
      </c>
      <c r="AK32" s="246">
        <f t="shared" si="7"/>
        <v>4.6199999997043051E-3</v>
      </c>
      <c r="AL32" s="125"/>
      <c r="AM32" s="125"/>
      <c r="AN32" s="39"/>
      <c r="AO32" s="39"/>
      <c r="AP32" s="39"/>
      <c r="AQ32" s="39"/>
      <c r="AR32" s="39"/>
      <c r="AS32" s="39"/>
      <c r="AT32" s="39"/>
      <c r="AU32" s="39"/>
      <c r="AV32" s="39"/>
      <c r="AW32" s="39"/>
      <c r="AX32" s="39"/>
      <c r="AY32" s="39"/>
      <c r="AZ32" s="39"/>
      <c r="BA32" s="39"/>
      <c r="BB32" s="39"/>
      <c r="BC32" s="39"/>
      <c r="BD32" s="39"/>
      <c r="BE32" s="39"/>
      <c r="BF32" s="39"/>
      <c r="BG32" s="39"/>
      <c r="BH32" s="39"/>
      <c r="BI32" s="39"/>
      <c r="BJ32" s="39"/>
      <c r="BK32" s="39"/>
      <c r="BL32" s="39"/>
      <c r="BM32" s="39"/>
      <c r="BN32" s="39"/>
      <c r="BO32" s="39"/>
      <c r="BP32" s="39"/>
      <c r="BQ32" s="39"/>
      <c r="BR32" s="39"/>
      <c r="BS32" s="39"/>
      <c r="BT32" s="39"/>
      <c r="BU32" s="39"/>
      <c r="BV32" s="39"/>
      <c r="BW32" s="39"/>
      <c r="BX32" s="39"/>
      <c r="BY32" s="39"/>
      <c r="BZ32" s="39"/>
      <c r="CA32" s="39"/>
      <c r="CB32" s="39"/>
      <c r="CC32" s="39"/>
      <c r="CD32" s="39"/>
      <c r="CE32" s="39"/>
      <c r="CF32" s="39"/>
      <c r="CG32" s="39"/>
      <c r="CH32" s="39"/>
      <c r="CI32" s="39"/>
      <c r="CJ32" s="39"/>
      <c r="CK32" s="39"/>
      <c r="CL32" s="39"/>
      <c r="CM32" s="39"/>
      <c r="CN32" s="39"/>
      <c r="CO32" s="39"/>
      <c r="CP32" s="39"/>
      <c r="CQ32" s="39"/>
      <c r="CR32" s="39"/>
      <c r="CS32" s="39"/>
      <c r="CT32" s="39"/>
      <c r="CU32" s="39"/>
      <c r="CV32" s="39"/>
      <c r="CW32" s="39"/>
      <c r="CX32" s="39"/>
      <c r="CY32" s="39"/>
      <c r="CZ32" s="39"/>
      <c r="DA32" s="39"/>
      <c r="DB32" s="39"/>
      <c r="DC32" s="39"/>
      <c r="DD32" s="39"/>
      <c r="DE32" s="39"/>
      <c r="DF32" s="39"/>
      <c r="DG32" s="39"/>
      <c r="DH32" s="39"/>
      <c r="DI32" s="39"/>
      <c r="DJ32" s="39"/>
      <c r="DK32" s="39"/>
      <c r="DL32" s="39"/>
      <c r="DM32" s="39"/>
      <c r="DN32" s="39"/>
      <c r="DO32" s="39"/>
      <c r="DP32" s="39"/>
      <c r="DQ32" s="39"/>
      <c r="DR32" s="39"/>
      <c r="DS32" s="39"/>
      <c r="DT32" s="39"/>
      <c r="DU32" s="39"/>
      <c r="DV32" s="39"/>
      <c r="DW32" s="39"/>
      <c r="DX32" s="39"/>
      <c r="DY32" s="39"/>
      <c r="DZ32" s="39"/>
      <c r="EA32" s="39"/>
      <c r="EB32" s="39"/>
      <c r="EC32" s="39"/>
      <c r="ED32" s="39"/>
      <c r="EE32" s="39"/>
      <c r="EF32" s="39"/>
      <c r="EG32" s="39"/>
      <c r="EH32" s="39"/>
      <c r="EI32" s="39"/>
      <c r="EJ32" s="39"/>
      <c r="EK32" s="39"/>
      <c r="EL32" s="39"/>
      <c r="EM32" s="39"/>
      <c r="EN32" s="39"/>
      <c r="EO32" s="39"/>
      <c r="EP32" s="39"/>
      <c r="EQ32" s="39"/>
      <c r="ER32" s="39"/>
      <c r="ES32" s="39"/>
      <c r="ET32" s="39"/>
      <c r="EU32" s="39"/>
      <c r="EV32" s="39"/>
      <c r="EW32" s="39"/>
      <c r="EX32" s="39"/>
      <c r="EY32" s="39"/>
      <c r="EZ32" s="39"/>
      <c r="FA32" s="39"/>
      <c r="FB32" s="39"/>
      <c r="FC32" s="39"/>
      <c r="FD32" s="39"/>
      <c r="FE32" s="39"/>
      <c r="FF32" s="39"/>
      <c r="FG32" s="39"/>
      <c r="FH32" s="39"/>
      <c r="FI32" s="39"/>
      <c r="FJ32" s="39"/>
      <c r="FK32" s="39"/>
      <c r="FL32" s="39"/>
      <c r="FM32" s="39"/>
      <c r="FN32" s="39"/>
      <c r="FO32" s="39"/>
      <c r="FP32" s="39"/>
      <c r="FQ32" s="39"/>
      <c r="FR32" s="39"/>
      <c r="FS32" s="39"/>
      <c r="FT32" s="39"/>
      <c r="FU32" s="39"/>
      <c r="FV32" s="39"/>
      <c r="FW32" s="39"/>
      <c r="FX32" s="39"/>
      <c r="FY32" s="39"/>
      <c r="FZ32" s="39"/>
      <c r="GA32" s="39"/>
      <c r="GB32" s="39"/>
      <c r="GC32" s="39"/>
      <c r="GD32" s="39"/>
      <c r="GE32" s="39"/>
      <c r="GF32" s="39"/>
      <c r="GG32" s="39"/>
      <c r="GH32" s="39"/>
      <c r="GI32" s="39"/>
      <c r="GJ32" s="39"/>
      <c r="GK32" s="39"/>
    </row>
    <row r="33" spans="1:193" s="40" customFormat="1">
      <c r="A33" s="125" t="s">
        <v>91</v>
      </c>
      <c r="B33" s="111" t="s">
        <v>236</v>
      </c>
      <c r="C33" s="111"/>
      <c r="D33" s="111" t="s">
        <v>98</v>
      </c>
      <c r="E33" s="111" t="s">
        <v>72</v>
      </c>
      <c r="F33" s="133">
        <v>42024</v>
      </c>
      <c r="G33" s="111"/>
      <c r="H33" s="111"/>
      <c r="I33" s="113">
        <v>1166.26</v>
      </c>
      <c r="J33" s="177"/>
      <c r="K33" s="113">
        <f t="shared" si="0"/>
        <v>1166.26</v>
      </c>
      <c r="L33" s="113">
        <v>1293.27</v>
      </c>
      <c r="M33" s="113"/>
      <c r="N33" s="113"/>
      <c r="O33" s="113"/>
      <c r="P33" s="115"/>
      <c r="Q33" s="116">
        <f t="shared" si="1"/>
        <v>2459.5299999999997</v>
      </c>
      <c r="R33" s="117"/>
      <c r="S33" s="165"/>
      <c r="T33" s="118">
        <v>0</v>
      </c>
      <c r="U33" s="118"/>
      <c r="V33" s="118"/>
      <c r="W33" s="118"/>
      <c r="X33" s="119"/>
      <c r="Y33" s="119"/>
      <c r="Z33" s="120"/>
      <c r="AA33" s="120">
        <v>0</v>
      </c>
      <c r="AB33" s="116">
        <f t="shared" si="2"/>
        <v>2459.5299999999997</v>
      </c>
      <c r="AC33" s="121">
        <f t="shared" si="8"/>
        <v>245.95299999999997</v>
      </c>
      <c r="AD33" s="116">
        <f t="shared" si="3"/>
        <v>2213.5769999999998</v>
      </c>
      <c r="AE33" s="122">
        <f t="shared" si="4"/>
        <v>245.95299999999997</v>
      </c>
      <c r="AF33" s="121">
        <v>10.23</v>
      </c>
      <c r="AG33" s="121">
        <f t="shared" si="5"/>
        <v>0</v>
      </c>
      <c r="AH33" s="123">
        <f t="shared" si="6"/>
        <v>2715.7129999999997</v>
      </c>
      <c r="AI33" s="237">
        <v>577.4</v>
      </c>
      <c r="AJ33" s="247">
        <v>1636.18</v>
      </c>
      <c r="AK33" s="246">
        <f t="shared" si="7"/>
        <v>3.0000000001564331E-3</v>
      </c>
      <c r="AL33" s="125"/>
      <c r="AM33" s="125"/>
      <c r="AN33" s="39"/>
      <c r="AO33" s="39"/>
      <c r="AP33" s="39"/>
      <c r="AQ33" s="39"/>
      <c r="AR33" s="39"/>
      <c r="AS33" s="39"/>
      <c r="AT33" s="39"/>
      <c r="AU33" s="39"/>
      <c r="AV33" s="39"/>
      <c r="AW33" s="39"/>
      <c r="AX33" s="39"/>
      <c r="AY33" s="39"/>
      <c r="AZ33" s="39"/>
      <c r="BA33" s="39"/>
      <c r="BB33" s="39"/>
      <c r="BC33" s="39"/>
      <c r="BD33" s="39"/>
      <c r="BE33" s="39"/>
      <c r="BF33" s="39"/>
      <c r="BG33" s="39"/>
      <c r="BH33" s="39"/>
      <c r="BI33" s="39"/>
      <c r="BJ33" s="39"/>
      <c r="BK33" s="39"/>
      <c r="BL33" s="39"/>
      <c r="BM33" s="39"/>
      <c r="BN33" s="39"/>
      <c r="BO33" s="39"/>
      <c r="BP33" s="39"/>
      <c r="BQ33" s="39"/>
      <c r="BR33" s="39"/>
      <c r="BS33" s="39"/>
      <c r="BT33" s="39"/>
      <c r="BU33" s="39"/>
      <c r="BV33" s="39"/>
      <c r="BW33" s="39"/>
      <c r="BX33" s="39"/>
      <c r="BY33" s="39"/>
      <c r="BZ33" s="39"/>
      <c r="CA33" s="39"/>
      <c r="CB33" s="39"/>
      <c r="CC33" s="39"/>
      <c r="CD33" s="39"/>
      <c r="CE33" s="39"/>
      <c r="CF33" s="39"/>
      <c r="CG33" s="39"/>
      <c r="CH33" s="39"/>
      <c r="CI33" s="39"/>
      <c r="CJ33" s="39"/>
      <c r="CK33" s="39"/>
      <c r="CL33" s="39"/>
      <c r="CM33" s="39"/>
      <c r="CN33" s="39"/>
      <c r="CO33" s="39"/>
      <c r="CP33" s="39"/>
      <c r="CQ33" s="39"/>
      <c r="CR33" s="39"/>
      <c r="CS33" s="39"/>
      <c r="CT33" s="39"/>
      <c r="CU33" s="39"/>
      <c r="CV33" s="39"/>
      <c r="CW33" s="39"/>
      <c r="CX33" s="39"/>
      <c r="CY33" s="39"/>
      <c r="CZ33" s="39"/>
      <c r="DA33" s="39"/>
      <c r="DB33" s="39"/>
      <c r="DC33" s="39"/>
      <c r="DD33" s="39"/>
      <c r="DE33" s="39"/>
      <c r="DF33" s="39"/>
      <c r="DG33" s="39"/>
      <c r="DH33" s="39"/>
      <c r="DI33" s="39"/>
      <c r="DJ33" s="39"/>
      <c r="DK33" s="39"/>
      <c r="DL33" s="39"/>
      <c r="DM33" s="39"/>
      <c r="DN33" s="39"/>
      <c r="DO33" s="39"/>
      <c r="DP33" s="39"/>
      <c r="DQ33" s="39"/>
      <c r="DR33" s="39"/>
      <c r="DS33" s="39"/>
      <c r="DT33" s="39"/>
      <c r="DU33" s="39"/>
      <c r="DV33" s="39"/>
      <c r="DW33" s="39"/>
      <c r="DX33" s="39"/>
      <c r="DY33" s="39"/>
      <c r="DZ33" s="39"/>
      <c r="EA33" s="39"/>
      <c r="EB33" s="39"/>
      <c r="EC33" s="39"/>
      <c r="ED33" s="39"/>
      <c r="EE33" s="39"/>
      <c r="EF33" s="39"/>
      <c r="EG33" s="39"/>
      <c r="EH33" s="39"/>
      <c r="EI33" s="39"/>
      <c r="EJ33" s="39"/>
      <c r="EK33" s="39"/>
      <c r="EL33" s="39"/>
      <c r="EM33" s="39"/>
      <c r="EN33" s="39"/>
      <c r="EO33" s="39"/>
      <c r="EP33" s="39"/>
      <c r="EQ33" s="39"/>
      <c r="ER33" s="39"/>
      <c r="ES33" s="39"/>
      <c r="ET33" s="39"/>
      <c r="EU33" s="39"/>
      <c r="EV33" s="39"/>
      <c r="EW33" s="39"/>
      <c r="EX33" s="39"/>
      <c r="EY33" s="39"/>
      <c r="EZ33" s="39"/>
      <c r="FA33" s="39"/>
      <c r="FB33" s="39"/>
      <c r="FC33" s="39"/>
      <c r="FD33" s="39"/>
      <c r="FE33" s="39"/>
      <c r="FF33" s="39"/>
      <c r="FG33" s="39"/>
      <c r="FH33" s="39"/>
      <c r="FI33" s="39"/>
      <c r="FJ33" s="39"/>
      <c r="FK33" s="39"/>
      <c r="FL33" s="39"/>
      <c r="FM33" s="39"/>
      <c r="FN33" s="39"/>
      <c r="FO33" s="39"/>
      <c r="FP33" s="39"/>
      <c r="FQ33" s="39"/>
      <c r="FR33" s="39"/>
      <c r="FS33" s="39"/>
      <c r="FT33" s="39"/>
      <c r="FU33" s="39"/>
      <c r="FV33" s="39"/>
      <c r="FW33" s="39"/>
      <c r="FX33" s="39"/>
      <c r="FY33" s="39"/>
      <c r="FZ33" s="39"/>
      <c r="GA33" s="39"/>
      <c r="GB33" s="39"/>
      <c r="GC33" s="39"/>
      <c r="GD33" s="39"/>
      <c r="GE33" s="39"/>
      <c r="GF33" s="39"/>
      <c r="GG33" s="39"/>
      <c r="GH33" s="39"/>
      <c r="GI33" s="39"/>
      <c r="GJ33" s="39"/>
      <c r="GK33" s="39"/>
    </row>
    <row r="34" spans="1:193" s="39" customFormat="1">
      <c r="A34" s="125" t="s">
        <v>92</v>
      </c>
      <c r="B34" s="125" t="s">
        <v>311</v>
      </c>
      <c r="C34" s="125"/>
      <c r="D34" s="125"/>
      <c r="E34" s="125" t="s">
        <v>312</v>
      </c>
      <c r="F34" s="128">
        <v>42457</v>
      </c>
      <c r="G34" s="125"/>
      <c r="H34" s="125"/>
      <c r="I34" s="129">
        <v>1100</v>
      </c>
      <c r="J34" s="183"/>
      <c r="K34" s="113">
        <f t="shared" si="0"/>
        <v>1100</v>
      </c>
      <c r="L34" s="129"/>
      <c r="M34" s="129"/>
      <c r="N34" s="129"/>
      <c r="O34" s="129"/>
      <c r="P34" s="115"/>
      <c r="Q34" s="116">
        <f t="shared" si="1"/>
        <v>1100</v>
      </c>
      <c r="R34" s="117"/>
      <c r="S34" s="165"/>
      <c r="T34" s="165">
        <v>0</v>
      </c>
      <c r="U34" s="165"/>
      <c r="V34" s="165"/>
      <c r="W34" s="165"/>
      <c r="X34" s="166"/>
      <c r="Y34" s="166"/>
      <c r="Z34" s="150"/>
      <c r="AA34" s="150">
        <v>0</v>
      </c>
      <c r="AB34" s="116">
        <f t="shared" si="2"/>
        <v>1100</v>
      </c>
      <c r="AC34" s="121">
        <f t="shared" si="8"/>
        <v>0</v>
      </c>
      <c r="AD34" s="116">
        <f t="shared" si="3"/>
        <v>1100</v>
      </c>
      <c r="AE34" s="122">
        <f t="shared" si="4"/>
        <v>110</v>
      </c>
      <c r="AF34" s="121">
        <v>10.23</v>
      </c>
      <c r="AG34" s="121">
        <f>+U34</f>
        <v>0</v>
      </c>
      <c r="AH34" s="123">
        <f>+Q34+AE34+AF34+AG34</f>
        <v>1220.23</v>
      </c>
      <c r="AI34" s="237">
        <v>577.4</v>
      </c>
      <c r="AJ34" s="237">
        <v>522.6</v>
      </c>
      <c r="AK34" s="246">
        <f t="shared" si="7"/>
        <v>0</v>
      </c>
      <c r="AL34" s="125"/>
      <c r="AM34" s="125"/>
    </row>
    <row r="35" spans="1:193" s="39" customFormat="1">
      <c r="A35" s="125" t="s">
        <v>71</v>
      </c>
      <c r="B35" s="125" t="s">
        <v>204</v>
      </c>
      <c r="C35" s="125" t="s">
        <v>249</v>
      </c>
      <c r="D35" s="125"/>
      <c r="E35" s="125" t="s">
        <v>73</v>
      </c>
      <c r="F35" s="128">
        <v>42415</v>
      </c>
      <c r="G35" s="125"/>
      <c r="H35" s="125"/>
      <c r="I35" s="129">
        <v>513.33000000000004</v>
      </c>
      <c r="J35" s="183">
        <v>653.33000000000004</v>
      </c>
      <c r="K35" s="129">
        <f t="shared" si="0"/>
        <v>1166.6600000000001</v>
      </c>
      <c r="L35" s="129">
        <v>1438.55</v>
      </c>
      <c r="M35" s="129"/>
      <c r="N35" s="129"/>
      <c r="O35" s="129"/>
      <c r="P35" s="115"/>
      <c r="Q35" s="116">
        <f t="shared" si="1"/>
        <v>2605.21</v>
      </c>
      <c r="R35" s="117"/>
      <c r="S35" s="165"/>
      <c r="T35" s="165">
        <v>0</v>
      </c>
      <c r="U35" s="165"/>
      <c r="V35" s="165"/>
      <c r="W35" s="165"/>
      <c r="X35" s="166"/>
      <c r="Y35" s="166"/>
      <c r="Z35" s="150"/>
      <c r="AA35" s="150">
        <v>0</v>
      </c>
      <c r="AB35" s="116">
        <f t="shared" si="2"/>
        <v>2605.21</v>
      </c>
      <c r="AC35" s="121">
        <f t="shared" si="8"/>
        <v>260.52100000000002</v>
      </c>
      <c r="AD35" s="116">
        <f t="shared" si="3"/>
        <v>2344.6889999999999</v>
      </c>
      <c r="AE35" s="122">
        <f t="shared" si="4"/>
        <v>260.52100000000002</v>
      </c>
      <c r="AF35" s="121">
        <v>10.23</v>
      </c>
      <c r="AG35" s="121">
        <f t="shared" si="5"/>
        <v>0</v>
      </c>
      <c r="AH35" s="123">
        <f t="shared" si="6"/>
        <v>2875.9610000000002</v>
      </c>
      <c r="AI35" s="237">
        <v>577.4</v>
      </c>
      <c r="AJ35" s="247">
        <v>1767.29</v>
      </c>
      <c r="AK35" s="246">
        <f t="shared" si="7"/>
        <v>1.0000000002037268E-3</v>
      </c>
      <c r="AL35" s="125"/>
      <c r="AM35" s="125"/>
    </row>
    <row r="36" spans="1:193" s="39" customFormat="1">
      <c r="A36" s="125" t="s">
        <v>71</v>
      </c>
      <c r="B36" s="125" t="s">
        <v>351</v>
      </c>
      <c r="C36" s="125" t="s">
        <v>249</v>
      </c>
      <c r="D36" s="125" t="s">
        <v>148</v>
      </c>
      <c r="E36" s="125" t="s">
        <v>73</v>
      </c>
      <c r="F36" s="128">
        <v>41906</v>
      </c>
      <c r="G36" s="125"/>
      <c r="H36" s="125"/>
      <c r="I36" s="129">
        <v>513.33000000000004</v>
      </c>
      <c r="J36" s="180">
        <v>653.33000000000004</v>
      </c>
      <c r="K36" s="129">
        <f t="shared" si="0"/>
        <v>1166.6600000000001</v>
      </c>
      <c r="L36" s="129">
        <v>5130.42</v>
      </c>
      <c r="M36" s="129"/>
      <c r="N36" s="129"/>
      <c r="O36" s="129"/>
      <c r="P36" s="115"/>
      <c r="Q36" s="116">
        <f t="shared" si="1"/>
        <v>6297.08</v>
      </c>
      <c r="R36" s="117"/>
      <c r="S36" s="165">
        <v>58.91</v>
      </c>
      <c r="T36" s="165">
        <v>0</v>
      </c>
      <c r="U36" s="165"/>
      <c r="V36" s="165"/>
      <c r="W36" s="165"/>
      <c r="X36" s="166"/>
      <c r="Y36" s="166"/>
      <c r="Z36" s="150"/>
      <c r="AA36" s="126">
        <v>349.07</v>
      </c>
      <c r="AB36" s="116">
        <f t="shared" si="2"/>
        <v>5889.1</v>
      </c>
      <c r="AC36" s="121">
        <f t="shared" si="8"/>
        <v>629.70800000000008</v>
      </c>
      <c r="AD36" s="116">
        <f t="shared" si="3"/>
        <v>5259.3919999999998</v>
      </c>
      <c r="AE36" s="122">
        <f t="shared" si="4"/>
        <v>0</v>
      </c>
      <c r="AF36" s="121">
        <v>10.23</v>
      </c>
      <c r="AG36" s="121">
        <f t="shared" si="5"/>
        <v>0</v>
      </c>
      <c r="AH36" s="123">
        <f t="shared" si="6"/>
        <v>6307.3099999999995</v>
      </c>
      <c r="AI36" s="237">
        <v>228.33</v>
      </c>
      <c r="AJ36" s="252">
        <v>5031.0600000000004</v>
      </c>
      <c r="AK36" s="246">
        <f t="shared" si="7"/>
        <v>-1.9999999994979589E-3</v>
      </c>
      <c r="AL36" s="125"/>
      <c r="AM36" s="125"/>
    </row>
    <row r="37" spans="1:193" s="39" customFormat="1">
      <c r="A37" s="202" t="s">
        <v>94</v>
      </c>
      <c r="B37" s="202" t="s">
        <v>296</v>
      </c>
      <c r="C37" s="202"/>
      <c r="D37" s="202"/>
      <c r="E37" s="202" t="s">
        <v>174</v>
      </c>
      <c r="F37" s="203">
        <v>42431</v>
      </c>
      <c r="G37" s="202"/>
      <c r="H37" s="202"/>
      <c r="I37" s="204">
        <v>0</v>
      </c>
      <c r="J37" s="205"/>
      <c r="K37" s="204">
        <f t="shared" si="0"/>
        <v>0</v>
      </c>
      <c r="L37" s="204"/>
      <c r="M37" s="204"/>
      <c r="N37" s="204"/>
      <c r="O37" s="204"/>
      <c r="P37" s="204"/>
      <c r="Q37" s="206">
        <f t="shared" si="1"/>
        <v>0</v>
      </c>
      <c r="R37" s="204"/>
      <c r="S37" s="204"/>
      <c r="T37" s="204">
        <v>0</v>
      </c>
      <c r="U37" s="204"/>
      <c r="V37" s="204"/>
      <c r="W37" s="204"/>
      <c r="X37" s="207"/>
      <c r="Y37" s="207"/>
      <c r="Z37" s="202"/>
      <c r="AA37" s="202">
        <v>0</v>
      </c>
      <c r="AB37" s="206">
        <f t="shared" si="2"/>
        <v>0</v>
      </c>
      <c r="AC37" s="207">
        <f t="shared" si="8"/>
        <v>0</v>
      </c>
      <c r="AD37" s="206">
        <f t="shared" si="3"/>
        <v>0</v>
      </c>
      <c r="AE37" s="207">
        <f t="shared" si="4"/>
        <v>0</v>
      </c>
      <c r="AF37" s="207">
        <v>0</v>
      </c>
      <c r="AG37" s="207">
        <f t="shared" si="5"/>
        <v>0</v>
      </c>
      <c r="AH37" s="206">
        <f t="shared" si="6"/>
        <v>0</v>
      </c>
      <c r="AI37" s="240"/>
      <c r="AJ37" s="240"/>
      <c r="AK37" s="253">
        <f t="shared" si="7"/>
        <v>0</v>
      </c>
      <c r="AL37" s="202"/>
      <c r="AM37" s="209" t="s">
        <v>344</v>
      </c>
      <c r="AN37" s="103"/>
    </row>
    <row r="38" spans="1:193" s="39" customFormat="1">
      <c r="A38" s="125" t="s">
        <v>71</v>
      </c>
      <c r="B38" s="125" t="s">
        <v>223</v>
      </c>
      <c r="C38" s="125" t="s">
        <v>249</v>
      </c>
      <c r="D38" s="125" t="s">
        <v>149</v>
      </c>
      <c r="E38" s="125" t="s">
        <v>73</v>
      </c>
      <c r="F38" s="128">
        <v>42213</v>
      </c>
      <c r="G38" s="125"/>
      <c r="H38" s="125"/>
      <c r="I38" s="129">
        <v>513.33000000000004</v>
      </c>
      <c r="J38" s="180">
        <v>653.33000000000004</v>
      </c>
      <c r="K38" s="129">
        <f t="shared" si="0"/>
        <v>1166.6600000000001</v>
      </c>
      <c r="L38" s="129"/>
      <c r="M38" s="129"/>
      <c r="N38" s="129"/>
      <c r="O38" s="129"/>
      <c r="P38" s="115"/>
      <c r="Q38" s="116">
        <f t="shared" si="1"/>
        <v>1166.6600000000001</v>
      </c>
      <c r="R38" s="117"/>
      <c r="S38" s="165">
        <v>58.91</v>
      </c>
      <c r="T38" s="165">
        <v>0</v>
      </c>
      <c r="U38" s="165"/>
      <c r="V38" s="165"/>
      <c r="W38" s="165"/>
      <c r="X38" s="166"/>
      <c r="Y38" s="166"/>
      <c r="Z38" s="150"/>
      <c r="AA38" s="150">
        <v>0</v>
      </c>
      <c r="AB38" s="116">
        <f t="shared" si="2"/>
        <v>1107.75</v>
      </c>
      <c r="AC38" s="121">
        <f t="shared" si="8"/>
        <v>0</v>
      </c>
      <c r="AD38" s="116">
        <f t="shared" si="3"/>
        <v>1107.75</v>
      </c>
      <c r="AE38" s="122">
        <f t="shared" si="4"/>
        <v>116.66600000000001</v>
      </c>
      <c r="AF38" s="121">
        <v>10.23</v>
      </c>
      <c r="AG38" s="121">
        <f t="shared" si="5"/>
        <v>0</v>
      </c>
      <c r="AH38" s="123">
        <f t="shared" si="6"/>
        <v>1293.556</v>
      </c>
      <c r="AI38" s="248">
        <v>577.4</v>
      </c>
      <c r="AJ38" s="237">
        <v>530.35</v>
      </c>
      <c r="AK38" s="246">
        <f t="shared" si="7"/>
        <v>0</v>
      </c>
      <c r="AL38" s="125"/>
      <c r="AM38" s="125"/>
    </row>
    <row r="39" spans="1:193" s="39" customFormat="1">
      <c r="A39" s="188" t="s">
        <v>71</v>
      </c>
      <c r="B39" s="188" t="s">
        <v>250</v>
      </c>
      <c r="C39" s="188" t="s">
        <v>249</v>
      </c>
      <c r="D39" s="189"/>
      <c r="E39" s="188" t="s">
        <v>73</v>
      </c>
      <c r="F39" s="190">
        <v>42240</v>
      </c>
      <c r="G39" s="188"/>
      <c r="H39" s="188"/>
      <c r="I39" s="191"/>
      <c r="J39" s="192"/>
      <c r="K39" s="191">
        <f t="shared" si="0"/>
        <v>0</v>
      </c>
      <c r="L39" s="191"/>
      <c r="M39" s="191"/>
      <c r="N39" s="191"/>
      <c r="O39" s="191"/>
      <c r="P39" s="193"/>
      <c r="Q39" s="123">
        <f t="shared" si="1"/>
        <v>0</v>
      </c>
      <c r="R39" s="191"/>
      <c r="S39" s="191">
        <v>58.91</v>
      </c>
      <c r="T39" s="191"/>
      <c r="U39" s="191"/>
      <c r="V39" s="191"/>
      <c r="W39" s="191"/>
      <c r="X39" s="194"/>
      <c r="Y39" s="194"/>
      <c r="Z39" s="188"/>
      <c r="AA39" s="188">
        <v>0</v>
      </c>
      <c r="AB39" s="123">
        <f t="shared" si="2"/>
        <v>-58.91</v>
      </c>
      <c r="AC39" s="194">
        <f t="shared" si="8"/>
        <v>0</v>
      </c>
      <c r="AD39" s="123">
        <f>+AB39-AC39</f>
        <v>-58.91</v>
      </c>
      <c r="AE39" s="194">
        <f>IF(Q39&lt;3500,Q39*0.1,0)</f>
        <v>0</v>
      </c>
      <c r="AF39" s="194">
        <v>10.23</v>
      </c>
      <c r="AG39" s="194">
        <f t="shared" si="5"/>
        <v>0</v>
      </c>
      <c r="AH39" s="123">
        <f t="shared" si="6"/>
        <v>10.23</v>
      </c>
      <c r="AI39" s="241"/>
      <c r="AJ39" s="242"/>
      <c r="AK39" s="254">
        <f t="shared" si="7"/>
        <v>58.91</v>
      </c>
      <c r="AL39" s="188"/>
      <c r="AM39" s="171" t="s">
        <v>322</v>
      </c>
    </row>
    <row r="40" spans="1:193" s="39" customFormat="1">
      <c r="A40" s="125" t="s">
        <v>92</v>
      </c>
      <c r="B40" s="125" t="s">
        <v>317</v>
      </c>
      <c r="C40" s="125"/>
      <c r="D40" s="138"/>
      <c r="E40" s="125" t="s">
        <v>164</v>
      </c>
      <c r="F40" s="128">
        <v>42465</v>
      </c>
      <c r="G40" s="125"/>
      <c r="H40" s="125"/>
      <c r="I40" s="113">
        <v>739.23</v>
      </c>
      <c r="J40" s="179"/>
      <c r="K40" s="129">
        <f t="shared" si="0"/>
        <v>739.23</v>
      </c>
      <c r="L40" s="129">
        <f>1596.12+7.42</f>
        <v>1603.54</v>
      </c>
      <c r="M40" s="129"/>
      <c r="N40" s="129"/>
      <c r="O40" s="129"/>
      <c r="P40" s="172"/>
      <c r="Q40" s="116">
        <f t="shared" si="1"/>
        <v>2342.77</v>
      </c>
      <c r="R40" s="117"/>
      <c r="S40" s="165"/>
      <c r="T40" s="165"/>
      <c r="U40" s="165"/>
      <c r="V40" s="165"/>
      <c r="W40" s="165"/>
      <c r="X40" s="166"/>
      <c r="Y40" s="166"/>
      <c r="Z40" s="150"/>
      <c r="AA40" s="126">
        <v>497.26</v>
      </c>
      <c r="AB40" s="116">
        <f>+Q40-SUM(R40:AA40)</f>
        <v>1845.51</v>
      </c>
      <c r="AC40" s="121">
        <f>IF(Q40&gt;2250,Q40*0.1,0)</f>
        <v>234.27700000000002</v>
      </c>
      <c r="AD40" s="116">
        <f>+AB40-AC40</f>
        <v>1611.2329999999999</v>
      </c>
      <c r="AE40" s="122">
        <f>IF(Q40&lt;3500,Q40*0.1,0)</f>
        <v>234.27700000000002</v>
      </c>
      <c r="AF40" s="121">
        <v>10.23</v>
      </c>
      <c r="AG40" s="121">
        <f>+U40</f>
        <v>0</v>
      </c>
      <c r="AH40" s="123">
        <f t="shared" si="6"/>
        <v>2587.277</v>
      </c>
      <c r="AI40" s="248">
        <v>80.069999999999993</v>
      </c>
      <c r="AJ40" s="247">
        <v>1531.16</v>
      </c>
      <c r="AK40" s="246">
        <f t="shared" si="7"/>
        <v>-2.9999999999290594E-3</v>
      </c>
      <c r="AL40" s="125"/>
      <c r="AM40" s="130"/>
    </row>
    <row r="41" spans="1:193">
      <c r="A41" s="125" t="s">
        <v>92</v>
      </c>
      <c r="B41" s="111" t="s">
        <v>230</v>
      </c>
      <c r="C41" s="111"/>
      <c r="D41" s="111" t="s">
        <v>101</v>
      </c>
      <c r="E41" s="111" t="s">
        <v>162</v>
      </c>
      <c r="F41" s="111"/>
      <c r="G41" s="111"/>
      <c r="H41" s="111"/>
      <c r="I41" s="113">
        <v>739.23</v>
      </c>
      <c r="J41" s="181"/>
      <c r="K41" s="113">
        <f t="shared" ref="K41:K77" si="14">+I41+J41</f>
        <v>739.23</v>
      </c>
      <c r="L41" s="113">
        <f>2451.59+7.42</f>
        <v>2459.0100000000002</v>
      </c>
      <c r="M41" s="113"/>
      <c r="N41" s="113"/>
      <c r="O41" s="113"/>
      <c r="P41" s="115"/>
      <c r="Q41" s="116">
        <f t="shared" ref="Q41:Q78" si="15">SUM(K41:O41)-P41</f>
        <v>3198.2400000000002</v>
      </c>
      <c r="R41" s="117"/>
      <c r="S41" s="118"/>
      <c r="T41" s="118">
        <v>0</v>
      </c>
      <c r="U41" s="118"/>
      <c r="V41" s="118"/>
      <c r="W41" s="118"/>
      <c r="X41" s="119"/>
      <c r="Y41" s="119"/>
      <c r="Z41" s="120"/>
      <c r="AA41" s="150">
        <v>0</v>
      </c>
      <c r="AB41" s="116">
        <f t="shared" ref="AB41:AB77" si="16">+Q41-SUM(R41:AA41)</f>
        <v>3198.2400000000002</v>
      </c>
      <c r="AC41" s="121">
        <f t="shared" si="8"/>
        <v>319.82400000000007</v>
      </c>
      <c r="AD41" s="116">
        <f t="shared" ref="AD41:AD77" si="17">+AB41-AC41</f>
        <v>2878.4160000000002</v>
      </c>
      <c r="AE41" s="122">
        <f t="shared" ref="AE41:AE77" si="18">IF(Q41&lt;3500,Q41*0.1,0)</f>
        <v>319.82400000000007</v>
      </c>
      <c r="AF41" s="121">
        <v>10.23</v>
      </c>
      <c r="AG41" s="121">
        <f t="shared" ref="AG41:AG77" si="19">+U41</f>
        <v>0</v>
      </c>
      <c r="AH41" s="123">
        <f t="shared" ref="AH41:AH77" si="20">+Q41+AE41+AF41+AG41</f>
        <v>3528.2940000000003</v>
      </c>
      <c r="AI41" s="237">
        <v>577.4</v>
      </c>
      <c r="AJ41" s="247">
        <v>2301.02</v>
      </c>
      <c r="AK41" s="246">
        <f t="shared" si="7"/>
        <v>3.9999999999054126E-3</v>
      </c>
      <c r="AL41" s="125"/>
      <c r="AM41" s="125"/>
      <c r="BB41" s="39"/>
      <c r="BC41" s="39"/>
      <c r="BD41" s="39"/>
      <c r="BE41" s="39"/>
      <c r="BF41" s="39"/>
      <c r="BG41" s="39"/>
      <c r="BH41" s="39"/>
      <c r="BI41" s="39"/>
      <c r="BJ41" s="39"/>
      <c r="BK41" s="39"/>
      <c r="BL41" s="39"/>
      <c r="BM41" s="39"/>
      <c r="BN41" s="39"/>
      <c r="BO41" s="39"/>
      <c r="BP41" s="39"/>
      <c r="BQ41" s="39"/>
      <c r="BR41" s="39"/>
      <c r="BS41" s="39"/>
      <c r="BT41" s="39"/>
      <c r="BU41" s="39"/>
      <c r="BV41" s="39"/>
      <c r="BW41" s="39"/>
      <c r="BX41" s="39"/>
      <c r="BY41" s="39"/>
      <c r="BZ41" s="39"/>
      <c r="CA41" s="39"/>
      <c r="CB41" s="39"/>
      <c r="CC41" s="39"/>
      <c r="CD41" s="39"/>
      <c r="CE41" s="39"/>
      <c r="CF41" s="39"/>
      <c r="CG41" s="39"/>
      <c r="CH41" s="39"/>
      <c r="CI41" s="39"/>
      <c r="CJ41" s="39"/>
      <c r="CK41" s="39"/>
      <c r="CL41" s="39"/>
      <c r="CM41" s="39"/>
      <c r="CN41" s="39"/>
      <c r="CO41" s="39"/>
      <c r="CP41" s="39"/>
      <c r="CQ41" s="39"/>
      <c r="CR41" s="39"/>
      <c r="CS41" s="39"/>
      <c r="CT41" s="39"/>
      <c r="CU41" s="39"/>
      <c r="CV41" s="39"/>
      <c r="CW41" s="39"/>
      <c r="CX41" s="39"/>
      <c r="CY41" s="39"/>
      <c r="CZ41" s="39"/>
      <c r="DA41" s="39"/>
      <c r="DB41" s="39"/>
      <c r="DC41" s="39"/>
      <c r="DD41" s="39"/>
      <c r="DE41" s="39"/>
      <c r="DF41" s="39"/>
      <c r="DG41" s="39"/>
      <c r="DH41" s="39"/>
      <c r="DI41" s="39"/>
      <c r="DJ41" s="39"/>
      <c r="DK41" s="39"/>
      <c r="DL41" s="39"/>
      <c r="DM41" s="39"/>
      <c r="DN41" s="39"/>
      <c r="DO41" s="39"/>
      <c r="DP41" s="39"/>
      <c r="DQ41" s="39"/>
      <c r="DR41" s="39"/>
      <c r="DS41" s="39"/>
      <c r="DT41" s="39"/>
      <c r="DU41" s="39"/>
      <c r="DV41" s="39"/>
      <c r="DW41" s="39"/>
      <c r="DX41" s="39"/>
      <c r="DY41" s="39"/>
      <c r="DZ41" s="39"/>
      <c r="EA41" s="39"/>
      <c r="EB41" s="39"/>
      <c r="EC41" s="39"/>
      <c r="ED41" s="39"/>
      <c r="EE41" s="39"/>
      <c r="EF41" s="39"/>
      <c r="EG41" s="39"/>
      <c r="EH41" s="39"/>
      <c r="EI41" s="39"/>
      <c r="EJ41" s="39"/>
      <c r="EK41" s="39"/>
      <c r="EL41" s="39"/>
      <c r="EM41" s="39"/>
      <c r="EN41" s="39"/>
      <c r="EO41" s="39"/>
      <c r="EP41" s="39"/>
      <c r="EQ41" s="39"/>
      <c r="ER41" s="39"/>
      <c r="ES41" s="39"/>
      <c r="ET41" s="39"/>
      <c r="EU41" s="39"/>
      <c r="EV41" s="39"/>
      <c r="EW41" s="39"/>
      <c r="EX41" s="39"/>
      <c r="EY41" s="39"/>
      <c r="EZ41" s="39"/>
      <c r="FA41" s="39"/>
      <c r="FB41" s="39"/>
      <c r="FC41" s="39"/>
      <c r="FD41" s="39"/>
      <c r="FE41" s="39"/>
      <c r="FF41" s="39"/>
      <c r="FG41" s="39"/>
      <c r="FH41" s="39"/>
      <c r="FI41" s="39"/>
      <c r="FJ41" s="39"/>
      <c r="FK41" s="39"/>
      <c r="FL41" s="39"/>
      <c r="FM41" s="39"/>
      <c r="FN41" s="39"/>
      <c r="FO41" s="39"/>
      <c r="FP41" s="39"/>
      <c r="FQ41" s="39"/>
      <c r="FR41" s="39"/>
      <c r="FS41" s="39"/>
      <c r="FT41" s="39"/>
      <c r="FU41" s="39"/>
      <c r="FV41" s="39"/>
      <c r="FW41" s="39"/>
      <c r="FX41" s="39"/>
      <c r="FY41" s="39"/>
      <c r="FZ41" s="39"/>
      <c r="GA41" s="39"/>
      <c r="GB41" s="39"/>
      <c r="GC41" s="39"/>
      <c r="GD41" s="39"/>
      <c r="GE41" s="39"/>
      <c r="GF41" s="39"/>
      <c r="GG41" s="39"/>
      <c r="GH41" s="39"/>
      <c r="GI41" s="39"/>
      <c r="GJ41" s="39"/>
      <c r="GK41" s="39"/>
    </row>
    <row r="42" spans="1:193">
      <c r="A42" s="125" t="s">
        <v>71</v>
      </c>
      <c r="B42" s="111" t="s">
        <v>224</v>
      </c>
      <c r="C42" s="111" t="s">
        <v>251</v>
      </c>
      <c r="D42" s="111" t="s">
        <v>150</v>
      </c>
      <c r="E42" s="111" t="s">
        <v>73</v>
      </c>
      <c r="F42" s="111"/>
      <c r="G42" s="112"/>
      <c r="H42" s="112"/>
      <c r="I42" s="129">
        <v>513.33000000000004</v>
      </c>
      <c r="J42" s="180">
        <v>653.33000000000004</v>
      </c>
      <c r="K42" s="113">
        <f t="shared" si="14"/>
        <v>1166.6600000000001</v>
      </c>
      <c r="L42" s="113">
        <v>6342.37</v>
      </c>
      <c r="M42" s="113"/>
      <c r="N42" s="114"/>
      <c r="O42" s="114"/>
      <c r="P42" s="115"/>
      <c r="Q42" s="116">
        <f t="shared" si="15"/>
        <v>7509.03</v>
      </c>
      <c r="R42" s="117"/>
      <c r="S42" s="118">
        <v>58.91</v>
      </c>
      <c r="T42" s="118">
        <v>0</v>
      </c>
      <c r="U42" s="118"/>
      <c r="V42" s="118"/>
      <c r="W42" s="118"/>
      <c r="X42" s="119"/>
      <c r="Y42" s="119"/>
      <c r="Z42" s="120"/>
      <c r="AA42" s="150">
        <v>0</v>
      </c>
      <c r="AB42" s="116">
        <f t="shared" si="16"/>
        <v>7450.12</v>
      </c>
      <c r="AC42" s="121">
        <f t="shared" si="8"/>
        <v>750.90300000000002</v>
      </c>
      <c r="AD42" s="116">
        <f t="shared" si="17"/>
        <v>6699.2169999999996</v>
      </c>
      <c r="AE42" s="122">
        <f t="shared" si="18"/>
        <v>0</v>
      </c>
      <c r="AF42" s="121">
        <v>10.23</v>
      </c>
      <c r="AG42" s="121">
        <f t="shared" si="19"/>
        <v>0</v>
      </c>
      <c r="AH42" s="123">
        <f t="shared" si="20"/>
        <v>7519.2599999999993</v>
      </c>
      <c r="AI42" s="237">
        <v>577.4</v>
      </c>
      <c r="AJ42" s="247">
        <v>6121.82</v>
      </c>
      <c r="AK42" s="246">
        <f t="shared" si="7"/>
        <v>2.9999999997016857E-3</v>
      </c>
      <c r="AL42" s="125"/>
      <c r="AM42" s="125"/>
      <c r="BB42" s="39"/>
      <c r="BC42" s="39"/>
      <c r="BD42" s="39"/>
      <c r="BE42" s="39"/>
      <c r="BF42" s="39"/>
      <c r="BG42" s="39"/>
      <c r="BH42" s="39"/>
      <c r="BI42" s="39"/>
      <c r="BJ42" s="39"/>
      <c r="BK42" s="39"/>
      <c r="BL42" s="39"/>
      <c r="BM42" s="39"/>
      <c r="BN42" s="39"/>
      <c r="BO42" s="39"/>
      <c r="BP42" s="39"/>
      <c r="BQ42" s="39"/>
      <c r="BR42" s="39"/>
      <c r="BS42" s="39"/>
      <c r="BT42" s="39"/>
      <c r="BU42" s="39"/>
      <c r="BV42" s="39"/>
      <c r="BW42" s="39"/>
      <c r="BX42" s="39"/>
      <c r="BY42" s="39"/>
      <c r="BZ42" s="39"/>
      <c r="CA42" s="39"/>
      <c r="CB42" s="39"/>
      <c r="CC42" s="39"/>
      <c r="CD42" s="39"/>
      <c r="CE42" s="39"/>
      <c r="CF42" s="39"/>
      <c r="CG42" s="39"/>
      <c r="CH42" s="39"/>
      <c r="CI42" s="39"/>
      <c r="CJ42" s="39"/>
      <c r="CK42" s="39"/>
      <c r="CL42" s="39"/>
      <c r="CM42" s="39"/>
      <c r="CN42" s="39"/>
      <c r="CO42" s="39"/>
      <c r="CP42" s="39"/>
      <c r="CQ42" s="39"/>
      <c r="CR42" s="39"/>
      <c r="CS42" s="39"/>
      <c r="CT42" s="39"/>
      <c r="CU42" s="39"/>
      <c r="CV42" s="39"/>
      <c r="CW42" s="39"/>
      <c r="CX42" s="39"/>
      <c r="CY42" s="39"/>
      <c r="CZ42" s="39"/>
      <c r="DA42" s="39"/>
      <c r="DB42" s="39"/>
      <c r="DC42" s="39"/>
      <c r="DD42" s="39"/>
      <c r="DE42" s="39"/>
      <c r="DF42" s="39"/>
      <c r="DG42" s="39"/>
      <c r="DH42" s="39"/>
      <c r="DI42" s="39"/>
      <c r="DJ42" s="39"/>
      <c r="DK42" s="39"/>
      <c r="DL42" s="39"/>
      <c r="DM42" s="39"/>
      <c r="DN42" s="39"/>
      <c r="DO42" s="39"/>
      <c r="DP42" s="39"/>
      <c r="DQ42" s="39"/>
      <c r="DR42" s="39"/>
      <c r="DS42" s="39"/>
      <c r="DT42" s="39"/>
      <c r="DU42" s="39"/>
      <c r="DV42" s="39"/>
      <c r="DW42" s="39"/>
      <c r="DX42" s="39"/>
      <c r="DY42" s="39"/>
      <c r="DZ42" s="39"/>
      <c r="EA42" s="39"/>
      <c r="EB42" s="39"/>
      <c r="EC42" s="39"/>
      <c r="ED42" s="39"/>
      <c r="EE42" s="39"/>
      <c r="EF42" s="39"/>
      <c r="EG42" s="39"/>
      <c r="EH42" s="39"/>
      <c r="EI42" s="39"/>
      <c r="EJ42" s="39"/>
      <c r="EK42" s="39"/>
      <c r="EL42" s="39"/>
      <c r="EM42" s="39"/>
      <c r="EN42" s="39"/>
      <c r="EO42" s="39"/>
      <c r="EP42" s="39"/>
      <c r="EQ42" s="39"/>
      <c r="ER42" s="39"/>
      <c r="ES42" s="39"/>
      <c r="ET42" s="39"/>
      <c r="EU42" s="39"/>
      <c r="EV42" s="39"/>
      <c r="EW42" s="39"/>
      <c r="EX42" s="39"/>
      <c r="EY42" s="39"/>
      <c r="EZ42" s="39"/>
      <c r="FA42" s="39"/>
      <c r="FB42" s="39"/>
      <c r="FC42" s="39"/>
      <c r="FD42" s="39"/>
      <c r="FE42" s="39"/>
      <c r="FF42" s="39"/>
      <c r="FG42" s="39"/>
      <c r="FH42" s="39"/>
      <c r="FI42" s="39"/>
      <c r="FJ42" s="39"/>
      <c r="FK42" s="39"/>
      <c r="FL42" s="39"/>
      <c r="FM42" s="39"/>
      <c r="FN42" s="39"/>
      <c r="FO42" s="39"/>
      <c r="FP42" s="39"/>
      <c r="FQ42" s="39"/>
      <c r="FR42" s="39"/>
      <c r="FS42" s="39"/>
      <c r="FT42" s="39"/>
      <c r="FU42" s="39"/>
      <c r="FV42" s="39"/>
      <c r="FW42" s="39"/>
      <c r="FX42" s="39"/>
      <c r="FY42" s="39"/>
      <c r="FZ42" s="39"/>
      <c r="GA42" s="39"/>
      <c r="GB42" s="39"/>
      <c r="GC42" s="39"/>
      <c r="GD42" s="39"/>
      <c r="GE42" s="39"/>
      <c r="GF42" s="39"/>
      <c r="GG42" s="39"/>
      <c r="GH42" s="39"/>
      <c r="GI42" s="39"/>
      <c r="GJ42" s="39"/>
      <c r="GK42" s="39"/>
    </row>
    <row r="43" spans="1:193">
      <c r="A43" s="126" t="s">
        <v>69</v>
      </c>
      <c r="B43" s="126" t="s">
        <v>331</v>
      </c>
      <c r="C43" s="126"/>
      <c r="D43" s="126"/>
      <c r="E43" s="126" t="s">
        <v>332</v>
      </c>
      <c r="F43" s="195">
        <v>42472</v>
      </c>
      <c r="G43" s="126"/>
      <c r="H43" s="126"/>
      <c r="I43" s="127">
        <v>133.33000000000001</v>
      </c>
      <c r="J43" s="196"/>
      <c r="K43" s="127">
        <f t="shared" si="14"/>
        <v>133.33000000000001</v>
      </c>
      <c r="L43" s="127"/>
      <c r="M43" s="127"/>
      <c r="N43" s="127"/>
      <c r="O43" s="127"/>
      <c r="P43" s="198"/>
      <c r="Q43" s="199">
        <f t="shared" si="15"/>
        <v>133.33000000000001</v>
      </c>
      <c r="R43" s="127"/>
      <c r="S43" s="127"/>
      <c r="T43" s="127"/>
      <c r="U43" s="127"/>
      <c r="V43" s="127"/>
      <c r="W43" s="127"/>
      <c r="X43" s="132"/>
      <c r="Y43" s="132"/>
      <c r="Z43" s="126"/>
      <c r="AA43" s="126">
        <v>0</v>
      </c>
      <c r="AB43" s="199">
        <f t="shared" ref="AB43" si="21">+Q43-SUM(R43:AA43)</f>
        <v>133.33000000000001</v>
      </c>
      <c r="AC43" s="132">
        <f t="shared" ref="AC43" si="22">IF(Q43&gt;2250,Q43*0.1,0)</f>
        <v>0</v>
      </c>
      <c r="AD43" s="199">
        <f t="shared" ref="AD43" si="23">+AB43-AC43</f>
        <v>133.33000000000001</v>
      </c>
      <c r="AE43" s="132">
        <f t="shared" ref="AE43" si="24">IF(Q43&lt;3500,Q43*0.1,0)</f>
        <v>13.333000000000002</v>
      </c>
      <c r="AF43" s="132">
        <v>10.23</v>
      </c>
      <c r="AG43" s="132">
        <f t="shared" si="19"/>
        <v>0</v>
      </c>
      <c r="AH43" s="199">
        <f t="shared" si="20"/>
        <v>156.893</v>
      </c>
      <c r="AI43" s="249">
        <v>179.17</v>
      </c>
      <c r="AJ43" s="249">
        <v>18.04</v>
      </c>
      <c r="AK43" s="250">
        <f t="shared" si="7"/>
        <v>63.879999999999967</v>
      </c>
      <c r="AL43" s="126">
        <v>1131468618</v>
      </c>
      <c r="AM43" s="200" t="s">
        <v>327</v>
      </c>
      <c r="BB43" s="39"/>
      <c r="BC43" s="39"/>
      <c r="BD43" s="39"/>
      <c r="BE43" s="39"/>
      <c r="BF43" s="39"/>
      <c r="BG43" s="39"/>
      <c r="BH43" s="39"/>
      <c r="BI43" s="39"/>
      <c r="BJ43" s="39"/>
      <c r="BK43" s="39"/>
      <c r="BL43" s="39"/>
      <c r="BM43" s="39"/>
      <c r="BN43" s="39"/>
      <c r="BO43" s="39"/>
      <c r="BP43" s="39"/>
      <c r="BQ43" s="39"/>
      <c r="BR43" s="39"/>
      <c r="BS43" s="39"/>
      <c r="BT43" s="39"/>
      <c r="BU43" s="39"/>
      <c r="BV43" s="39"/>
      <c r="BW43" s="39"/>
      <c r="BX43" s="39"/>
      <c r="BY43" s="39"/>
      <c r="BZ43" s="39"/>
      <c r="CA43" s="39"/>
      <c r="CB43" s="39"/>
      <c r="CC43" s="39"/>
      <c r="CD43" s="39"/>
      <c r="CE43" s="39"/>
      <c r="CF43" s="39"/>
      <c r="CG43" s="39"/>
      <c r="CH43" s="39"/>
      <c r="CI43" s="39"/>
      <c r="CJ43" s="39"/>
      <c r="CK43" s="39"/>
      <c r="CL43" s="39"/>
      <c r="CM43" s="39"/>
      <c r="CN43" s="39"/>
      <c r="CO43" s="39"/>
      <c r="CP43" s="39"/>
      <c r="CQ43" s="39"/>
      <c r="CR43" s="39"/>
      <c r="CS43" s="39"/>
      <c r="CT43" s="39"/>
      <c r="CU43" s="39"/>
      <c r="CV43" s="39"/>
      <c r="CW43" s="39"/>
      <c r="CX43" s="39"/>
      <c r="CY43" s="39"/>
      <c r="CZ43" s="39"/>
      <c r="DA43" s="39"/>
      <c r="DB43" s="39"/>
      <c r="DC43" s="39"/>
      <c r="DD43" s="39"/>
      <c r="DE43" s="39"/>
      <c r="DF43" s="39"/>
      <c r="DG43" s="39"/>
      <c r="DH43" s="39"/>
      <c r="DI43" s="39"/>
      <c r="DJ43" s="39"/>
      <c r="DK43" s="39"/>
      <c r="DL43" s="39"/>
      <c r="DM43" s="39"/>
      <c r="DN43" s="39"/>
      <c r="DO43" s="39"/>
      <c r="DP43" s="39"/>
      <c r="DQ43" s="39"/>
      <c r="DR43" s="39"/>
      <c r="DS43" s="39"/>
      <c r="DT43" s="39"/>
      <c r="DU43" s="39"/>
      <c r="DV43" s="39"/>
      <c r="DW43" s="39"/>
      <c r="DX43" s="39"/>
      <c r="DY43" s="39"/>
      <c r="DZ43" s="39"/>
      <c r="EA43" s="39"/>
      <c r="EB43" s="39"/>
      <c r="EC43" s="39"/>
      <c r="ED43" s="39"/>
      <c r="EE43" s="39"/>
      <c r="EF43" s="39"/>
      <c r="EG43" s="39"/>
      <c r="EH43" s="39"/>
      <c r="EI43" s="39"/>
      <c r="EJ43" s="39"/>
      <c r="EK43" s="39"/>
      <c r="EL43" s="39"/>
      <c r="EM43" s="39"/>
      <c r="EN43" s="39"/>
      <c r="EO43" s="39"/>
      <c r="EP43" s="39"/>
      <c r="EQ43" s="39"/>
      <c r="ER43" s="39"/>
      <c r="ES43" s="39"/>
      <c r="ET43" s="39"/>
      <c r="EU43" s="39"/>
      <c r="EV43" s="39"/>
      <c r="EW43" s="39"/>
      <c r="EX43" s="39"/>
      <c r="EY43" s="39"/>
      <c r="EZ43" s="39"/>
      <c r="FA43" s="39"/>
      <c r="FB43" s="39"/>
      <c r="FC43" s="39"/>
      <c r="FD43" s="39"/>
      <c r="FE43" s="39"/>
      <c r="FF43" s="39"/>
      <c r="FG43" s="39"/>
      <c r="FH43" s="39"/>
      <c r="FI43" s="39"/>
      <c r="FJ43" s="39"/>
      <c r="FK43" s="39"/>
      <c r="FL43" s="39"/>
      <c r="FM43" s="39"/>
      <c r="FN43" s="39"/>
      <c r="FO43" s="39"/>
      <c r="FP43" s="39"/>
      <c r="FQ43" s="39"/>
      <c r="FR43" s="39"/>
      <c r="FS43" s="39"/>
      <c r="FT43" s="39"/>
      <c r="FU43" s="39"/>
      <c r="FV43" s="39"/>
      <c r="FW43" s="39"/>
      <c r="FX43" s="39"/>
      <c r="FY43" s="39"/>
      <c r="FZ43" s="39"/>
      <c r="GA43" s="39"/>
      <c r="GB43" s="39"/>
      <c r="GC43" s="39"/>
      <c r="GD43" s="39"/>
      <c r="GE43" s="39"/>
      <c r="GF43" s="39"/>
      <c r="GG43" s="39"/>
      <c r="GH43" s="39"/>
      <c r="GI43" s="39"/>
      <c r="GJ43" s="39"/>
      <c r="GK43" s="39"/>
    </row>
    <row r="44" spans="1:193">
      <c r="A44" s="125" t="s">
        <v>71</v>
      </c>
      <c r="B44" s="111" t="s">
        <v>352</v>
      </c>
      <c r="C44" s="111" t="s">
        <v>254</v>
      </c>
      <c r="D44" s="111" t="s">
        <v>151</v>
      </c>
      <c r="E44" s="111" t="s">
        <v>73</v>
      </c>
      <c r="F44" s="111"/>
      <c r="G44" s="112"/>
      <c r="H44" s="112"/>
      <c r="I44" s="113">
        <v>513.33000000000004</v>
      </c>
      <c r="J44" s="180">
        <v>653.33000000000004</v>
      </c>
      <c r="K44" s="113">
        <f t="shared" si="14"/>
        <v>1166.6600000000001</v>
      </c>
      <c r="L44" s="113">
        <v>2456.61</v>
      </c>
      <c r="M44" s="113"/>
      <c r="N44" s="114"/>
      <c r="O44" s="114"/>
      <c r="P44" s="115"/>
      <c r="Q44" s="116">
        <f t="shared" si="15"/>
        <v>3623.2700000000004</v>
      </c>
      <c r="R44" s="117"/>
      <c r="S44" s="118"/>
      <c r="T44" s="118">
        <v>0</v>
      </c>
      <c r="U44" s="118"/>
      <c r="V44" s="118"/>
      <c r="W44" s="118"/>
      <c r="X44" s="119"/>
      <c r="Y44" s="119"/>
      <c r="Z44" s="120"/>
      <c r="AA44" s="126">
        <v>208.6</v>
      </c>
      <c r="AB44" s="116">
        <f t="shared" si="16"/>
        <v>3414.6700000000005</v>
      </c>
      <c r="AC44" s="121">
        <f t="shared" si="8"/>
        <v>362.32700000000006</v>
      </c>
      <c r="AD44" s="116">
        <f t="shared" si="17"/>
        <v>3052.3430000000003</v>
      </c>
      <c r="AE44" s="122">
        <f t="shared" si="18"/>
        <v>0</v>
      </c>
      <c r="AF44" s="121">
        <v>10.23</v>
      </c>
      <c r="AG44" s="121">
        <f t="shared" si="19"/>
        <v>0</v>
      </c>
      <c r="AH44" s="123">
        <f t="shared" si="20"/>
        <v>3633.5000000000005</v>
      </c>
      <c r="AI44" s="237">
        <v>368.8</v>
      </c>
      <c r="AJ44" s="247">
        <v>2683.54</v>
      </c>
      <c r="AK44" s="246">
        <f t="shared" si="7"/>
        <v>-3.0000000001564331E-3</v>
      </c>
      <c r="AL44" s="125"/>
      <c r="AM44" s="125"/>
      <c r="BB44" s="39"/>
      <c r="BC44" s="39"/>
      <c r="BD44" s="39"/>
      <c r="BE44" s="39"/>
      <c r="BF44" s="39"/>
      <c r="BG44" s="39"/>
      <c r="BH44" s="39"/>
      <c r="BI44" s="39"/>
      <c r="BJ44" s="39"/>
      <c r="BK44" s="39"/>
      <c r="BL44" s="39"/>
      <c r="BM44" s="39"/>
      <c r="BN44" s="39"/>
      <c r="BO44" s="39"/>
      <c r="BP44" s="39"/>
      <c r="BQ44" s="39"/>
      <c r="BR44" s="39"/>
      <c r="BS44" s="39"/>
      <c r="BT44" s="39"/>
      <c r="BU44" s="39"/>
      <c r="BV44" s="39"/>
      <c r="BW44" s="39"/>
      <c r="BX44" s="39"/>
      <c r="BY44" s="39"/>
      <c r="BZ44" s="39"/>
      <c r="CA44" s="39"/>
      <c r="CB44" s="39"/>
      <c r="CC44" s="39"/>
      <c r="CD44" s="39"/>
      <c r="CE44" s="39"/>
      <c r="CF44" s="39"/>
      <c r="CG44" s="39"/>
      <c r="CH44" s="39"/>
      <c r="CI44" s="39"/>
      <c r="CJ44" s="39"/>
      <c r="CK44" s="39"/>
      <c r="CL44" s="39"/>
      <c r="CM44" s="39"/>
      <c r="CN44" s="39"/>
      <c r="CO44" s="39"/>
      <c r="CP44" s="39"/>
      <c r="CQ44" s="39"/>
      <c r="CR44" s="39"/>
      <c r="CS44" s="39"/>
      <c r="CT44" s="39"/>
      <c r="CU44" s="39"/>
      <c r="CV44" s="39"/>
      <c r="CW44" s="39"/>
      <c r="CX44" s="39"/>
      <c r="CY44" s="39"/>
      <c r="CZ44" s="39"/>
      <c r="DA44" s="39"/>
      <c r="DB44" s="39"/>
      <c r="DC44" s="39"/>
      <c r="DD44" s="39"/>
      <c r="DE44" s="39"/>
      <c r="DF44" s="39"/>
      <c r="DG44" s="39"/>
      <c r="DH44" s="39"/>
      <c r="DI44" s="39"/>
      <c r="DJ44" s="39"/>
      <c r="DK44" s="39"/>
      <c r="DL44" s="39"/>
      <c r="DM44" s="39"/>
      <c r="DN44" s="39"/>
      <c r="DO44" s="39"/>
      <c r="DP44" s="39"/>
      <c r="DQ44" s="39"/>
      <c r="DR44" s="39"/>
      <c r="DS44" s="39"/>
      <c r="DT44" s="39"/>
      <c r="DU44" s="39"/>
      <c r="DV44" s="39"/>
      <c r="DW44" s="39"/>
      <c r="DX44" s="39"/>
      <c r="DY44" s="39"/>
      <c r="DZ44" s="39"/>
      <c r="EA44" s="39"/>
      <c r="EB44" s="39"/>
      <c r="EC44" s="39"/>
      <c r="ED44" s="39"/>
      <c r="EE44" s="39"/>
      <c r="EF44" s="39"/>
      <c r="EG44" s="39"/>
      <c r="EH44" s="39"/>
      <c r="EI44" s="39"/>
      <c r="EJ44" s="39"/>
      <c r="EK44" s="39"/>
      <c r="EL44" s="39"/>
      <c r="EM44" s="39"/>
      <c r="EN44" s="39"/>
      <c r="EO44" s="39"/>
      <c r="EP44" s="39"/>
      <c r="EQ44" s="39"/>
      <c r="ER44" s="39"/>
      <c r="ES44" s="39"/>
      <c r="ET44" s="39"/>
      <c r="EU44" s="39"/>
      <c r="EV44" s="39"/>
      <c r="EW44" s="39"/>
      <c r="EX44" s="39"/>
      <c r="EY44" s="39"/>
      <c r="EZ44" s="39"/>
      <c r="FA44" s="39"/>
      <c r="FB44" s="39"/>
      <c r="FC44" s="39"/>
      <c r="FD44" s="39"/>
      <c r="FE44" s="39"/>
      <c r="FF44" s="39"/>
      <c r="FG44" s="39"/>
      <c r="FH44" s="39"/>
      <c r="FI44" s="39"/>
      <c r="FJ44" s="39"/>
      <c r="FK44" s="39"/>
      <c r="FL44" s="39"/>
      <c r="FM44" s="39"/>
      <c r="FN44" s="39"/>
      <c r="FO44" s="39"/>
      <c r="FP44" s="39"/>
      <c r="FQ44" s="39"/>
      <c r="FR44" s="39"/>
      <c r="FS44" s="39"/>
      <c r="FT44" s="39"/>
      <c r="FU44" s="39"/>
      <c r="FV44" s="39"/>
      <c r="FW44" s="39"/>
      <c r="FX44" s="39"/>
      <c r="FY44" s="39"/>
      <c r="FZ44" s="39"/>
      <c r="GA44" s="39"/>
      <c r="GB44" s="39"/>
      <c r="GC44" s="39"/>
      <c r="GD44" s="39"/>
      <c r="GE44" s="39"/>
      <c r="GF44" s="39"/>
      <c r="GG44" s="39"/>
      <c r="GH44" s="39"/>
      <c r="GI44" s="39"/>
      <c r="GJ44" s="39"/>
      <c r="GK44" s="39"/>
    </row>
    <row r="45" spans="1:193">
      <c r="A45" s="125" t="s">
        <v>70</v>
      </c>
      <c r="B45" s="111" t="s">
        <v>84</v>
      </c>
      <c r="C45" s="125" t="s">
        <v>301</v>
      </c>
      <c r="D45" s="111" t="s">
        <v>123</v>
      </c>
      <c r="E45" s="111" t="s">
        <v>173</v>
      </c>
      <c r="F45" s="111"/>
      <c r="G45" s="112"/>
      <c r="H45" s="112"/>
      <c r="I45" s="113">
        <v>513.33000000000004</v>
      </c>
      <c r="J45" s="178"/>
      <c r="K45" s="113">
        <f t="shared" si="14"/>
        <v>513.33000000000004</v>
      </c>
      <c r="L45" s="113"/>
      <c r="M45" s="113"/>
      <c r="N45" s="114"/>
      <c r="O45" s="114"/>
      <c r="P45" s="115"/>
      <c r="Q45" s="116">
        <f t="shared" si="15"/>
        <v>513.33000000000004</v>
      </c>
      <c r="R45" s="117"/>
      <c r="S45" s="118">
        <v>58.91</v>
      </c>
      <c r="T45" s="118">
        <v>0</v>
      </c>
      <c r="U45" s="118"/>
      <c r="V45" s="118"/>
      <c r="W45" s="118"/>
      <c r="X45" s="119"/>
      <c r="Y45" s="119"/>
      <c r="Z45" s="120"/>
      <c r="AA45" s="120">
        <v>0</v>
      </c>
      <c r="AB45" s="116">
        <f t="shared" si="16"/>
        <v>454.42000000000007</v>
      </c>
      <c r="AC45" s="121">
        <f t="shared" si="8"/>
        <v>0</v>
      </c>
      <c r="AD45" s="116">
        <f t="shared" si="17"/>
        <v>454.42000000000007</v>
      </c>
      <c r="AE45" s="122">
        <f t="shared" si="18"/>
        <v>51.333000000000006</v>
      </c>
      <c r="AF45" s="121">
        <v>10.23</v>
      </c>
      <c r="AG45" s="121">
        <f t="shared" si="19"/>
        <v>0</v>
      </c>
      <c r="AH45" s="123">
        <f t="shared" si="20"/>
        <v>574.89300000000003</v>
      </c>
      <c r="AI45" s="248">
        <v>370.71</v>
      </c>
      <c r="AJ45" s="237">
        <v>147.58000000000001</v>
      </c>
      <c r="AK45" s="246">
        <f t="shared" si="7"/>
        <v>63.869999999999891</v>
      </c>
      <c r="AL45" s="125"/>
      <c r="AM45" s="125"/>
      <c r="BB45" s="39"/>
      <c r="BC45" s="39"/>
      <c r="BD45" s="39"/>
      <c r="BE45" s="39"/>
      <c r="BF45" s="39"/>
      <c r="BG45" s="39"/>
      <c r="BH45" s="39"/>
      <c r="BI45" s="39"/>
      <c r="BJ45" s="39"/>
      <c r="BK45" s="39"/>
      <c r="BL45" s="39"/>
      <c r="BM45" s="39"/>
      <c r="BN45" s="39"/>
      <c r="BO45" s="39"/>
      <c r="BP45" s="39"/>
      <c r="BQ45" s="39"/>
      <c r="BR45" s="39"/>
      <c r="BS45" s="39"/>
      <c r="BT45" s="39"/>
      <c r="BU45" s="39"/>
      <c r="BV45" s="39"/>
      <c r="BW45" s="39"/>
      <c r="BX45" s="39"/>
      <c r="BY45" s="39"/>
      <c r="BZ45" s="39"/>
      <c r="CA45" s="39"/>
      <c r="CB45" s="39"/>
      <c r="CC45" s="39"/>
      <c r="CD45" s="39"/>
      <c r="CE45" s="39"/>
      <c r="CF45" s="39"/>
      <c r="CG45" s="39"/>
      <c r="CH45" s="39"/>
      <c r="CI45" s="39"/>
      <c r="CJ45" s="39"/>
      <c r="CK45" s="39"/>
      <c r="CL45" s="39"/>
      <c r="CM45" s="39"/>
      <c r="CN45" s="39"/>
      <c r="CO45" s="39"/>
      <c r="CP45" s="39"/>
      <c r="CQ45" s="39"/>
      <c r="CR45" s="39"/>
      <c r="CS45" s="39"/>
      <c r="CT45" s="39"/>
      <c r="CU45" s="39"/>
      <c r="CV45" s="39"/>
      <c r="CW45" s="39"/>
      <c r="CX45" s="39"/>
      <c r="CY45" s="39"/>
      <c r="CZ45" s="39"/>
      <c r="DA45" s="39"/>
      <c r="DB45" s="39"/>
      <c r="DC45" s="39"/>
      <c r="DD45" s="39"/>
      <c r="DE45" s="39"/>
      <c r="DF45" s="39"/>
      <c r="DG45" s="39"/>
      <c r="DH45" s="39"/>
      <c r="DI45" s="39"/>
      <c r="DJ45" s="39"/>
      <c r="DK45" s="39"/>
      <c r="DL45" s="39"/>
      <c r="DM45" s="39"/>
      <c r="DN45" s="39"/>
      <c r="DO45" s="39"/>
      <c r="DP45" s="39"/>
      <c r="DQ45" s="39"/>
      <c r="DR45" s="39"/>
      <c r="DS45" s="39"/>
      <c r="DT45" s="39"/>
      <c r="DU45" s="39"/>
      <c r="DV45" s="39"/>
      <c r="DW45" s="39"/>
      <c r="DX45" s="39"/>
      <c r="DY45" s="39"/>
      <c r="DZ45" s="39"/>
      <c r="EA45" s="39"/>
      <c r="EB45" s="39"/>
      <c r="EC45" s="39"/>
      <c r="ED45" s="39"/>
      <c r="EE45" s="39"/>
      <c r="EF45" s="39"/>
      <c r="EG45" s="39"/>
      <c r="EH45" s="39"/>
      <c r="EI45" s="39"/>
      <c r="EJ45" s="39"/>
      <c r="EK45" s="39"/>
      <c r="EL45" s="39"/>
      <c r="EM45" s="39"/>
      <c r="EN45" s="39"/>
      <c r="EO45" s="39"/>
      <c r="EP45" s="39"/>
      <c r="EQ45" s="39"/>
      <c r="ER45" s="39"/>
      <c r="ES45" s="39"/>
      <c r="ET45" s="39"/>
      <c r="EU45" s="39"/>
      <c r="EV45" s="39"/>
      <c r="EW45" s="39"/>
      <c r="EX45" s="39"/>
      <c r="EY45" s="39"/>
      <c r="EZ45" s="39"/>
      <c r="FA45" s="39"/>
      <c r="FB45" s="39"/>
      <c r="FC45" s="39"/>
      <c r="FD45" s="39"/>
      <c r="FE45" s="39"/>
      <c r="FF45" s="39"/>
      <c r="FG45" s="39"/>
      <c r="FH45" s="39"/>
      <c r="FI45" s="39"/>
      <c r="FJ45" s="39"/>
      <c r="FK45" s="39"/>
      <c r="FL45" s="39"/>
      <c r="FM45" s="39"/>
      <c r="FN45" s="39"/>
      <c r="FO45" s="39"/>
      <c r="FP45" s="39"/>
      <c r="FQ45" s="39"/>
      <c r="FR45" s="39"/>
      <c r="FS45" s="39"/>
      <c r="FT45" s="39"/>
      <c r="FU45" s="39"/>
      <c r="FV45" s="39"/>
      <c r="FW45" s="39"/>
      <c r="FX45" s="39"/>
      <c r="FY45" s="39"/>
      <c r="FZ45" s="39"/>
      <c r="GA45" s="39"/>
      <c r="GB45" s="39"/>
      <c r="GC45" s="39"/>
      <c r="GD45" s="39"/>
      <c r="GE45" s="39"/>
      <c r="GF45" s="39"/>
      <c r="GG45" s="39"/>
      <c r="GH45" s="39"/>
      <c r="GI45" s="39"/>
      <c r="GJ45" s="39"/>
      <c r="GK45" s="39"/>
    </row>
    <row r="46" spans="1:193">
      <c r="A46" s="125" t="s">
        <v>71</v>
      </c>
      <c r="B46" s="111" t="s">
        <v>256</v>
      </c>
      <c r="C46" s="111" t="s">
        <v>254</v>
      </c>
      <c r="D46" s="111" t="s">
        <v>152</v>
      </c>
      <c r="E46" s="111" t="s">
        <v>73</v>
      </c>
      <c r="F46" s="111"/>
      <c r="G46" s="112"/>
      <c r="H46" s="112"/>
      <c r="I46" s="113">
        <v>513.33000000000004</v>
      </c>
      <c r="J46" s="180">
        <v>653.33000000000004</v>
      </c>
      <c r="K46" s="113">
        <f t="shared" si="14"/>
        <v>1166.6600000000001</v>
      </c>
      <c r="L46" s="113"/>
      <c r="M46" s="113"/>
      <c r="N46" s="114"/>
      <c r="O46" s="114"/>
      <c r="P46" s="115"/>
      <c r="Q46" s="116">
        <f t="shared" si="15"/>
        <v>1166.6600000000001</v>
      </c>
      <c r="R46" s="117"/>
      <c r="S46" s="118"/>
      <c r="T46" s="118">
        <v>0</v>
      </c>
      <c r="U46" s="118"/>
      <c r="V46" s="118"/>
      <c r="W46" s="118"/>
      <c r="X46" s="119"/>
      <c r="Y46" s="119"/>
      <c r="Z46" s="120"/>
      <c r="AA46" s="120">
        <v>0</v>
      </c>
      <c r="AB46" s="116">
        <f t="shared" si="16"/>
        <v>1166.6600000000001</v>
      </c>
      <c r="AC46" s="121">
        <f t="shared" si="8"/>
        <v>0</v>
      </c>
      <c r="AD46" s="116">
        <f t="shared" si="17"/>
        <v>1166.6600000000001</v>
      </c>
      <c r="AE46" s="122">
        <f t="shared" si="18"/>
        <v>116.66600000000001</v>
      </c>
      <c r="AF46" s="121">
        <v>10.23</v>
      </c>
      <c r="AG46" s="121">
        <f t="shared" si="19"/>
        <v>0</v>
      </c>
      <c r="AH46" s="123">
        <f t="shared" si="20"/>
        <v>1293.556</v>
      </c>
      <c r="AI46" s="243" t="s">
        <v>314</v>
      </c>
      <c r="AJ46" s="243" t="s">
        <v>315</v>
      </c>
      <c r="AK46" s="246">
        <v>0</v>
      </c>
      <c r="AL46" s="125"/>
      <c r="AM46" s="125"/>
      <c r="BB46" s="39"/>
      <c r="BC46" s="39"/>
      <c r="BD46" s="39"/>
      <c r="BE46" s="39"/>
      <c r="BF46" s="39"/>
      <c r="BG46" s="39"/>
      <c r="BH46" s="39"/>
      <c r="BI46" s="39"/>
      <c r="BJ46" s="39"/>
      <c r="BK46" s="39"/>
      <c r="BL46" s="39"/>
      <c r="BM46" s="39"/>
      <c r="BN46" s="39"/>
      <c r="BO46" s="39"/>
      <c r="BP46" s="39"/>
      <c r="BQ46" s="39"/>
      <c r="BR46" s="39"/>
      <c r="BS46" s="39"/>
      <c r="BT46" s="39"/>
      <c r="BU46" s="39"/>
      <c r="BV46" s="39"/>
      <c r="BW46" s="39"/>
      <c r="BX46" s="39"/>
      <c r="BY46" s="39"/>
      <c r="BZ46" s="39"/>
      <c r="CA46" s="39"/>
      <c r="CB46" s="39"/>
      <c r="CC46" s="39"/>
      <c r="CD46" s="39"/>
      <c r="CE46" s="39"/>
      <c r="CF46" s="39"/>
      <c r="CG46" s="39"/>
      <c r="CH46" s="39"/>
      <c r="CI46" s="39"/>
      <c r="CJ46" s="39"/>
      <c r="CK46" s="39"/>
      <c r="CL46" s="39"/>
      <c r="CM46" s="39"/>
      <c r="CN46" s="39"/>
      <c r="CO46" s="39"/>
      <c r="CP46" s="39"/>
      <c r="CQ46" s="39"/>
      <c r="CR46" s="39"/>
      <c r="CS46" s="39"/>
      <c r="CT46" s="39"/>
      <c r="CU46" s="39"/>
      <c r="CV46" s="39"/>
      <c r="CW46" s="39"/>
      <c r="CX46" s="39"/>
      <c r="CY46" s="39"/>
      <c r="CZ46" s="39"/>
      <c r="DA46" s="39"/>
      <c r="DB46" s="39"/>
      <c r="DC46" s="39"/>
      <c r="DD46" s="39"/>
      <c r="DE46" s="39"/>
      <c r="DF46" s="39"/>
      <c r="DG46" s="39"/>
      <c r="DH46" s="39"/>
      <c r="DI46" s="39"/>
      <c r="DJ46" s="39"/>
      <c r="DK46" s="39"/>
      <c r="DL46" s="39"/>
      <c r="DM46" s="39"/>
      <c r="DN46" s="39"/>
      <c r="DO46" s="39"/>
      <c r="DP46" s="39"/>
      <c r="DQ46" s="39"/>
      <c r="DR46" s="39"/>
      <c r="DS46" s="39"/>
      <c r="DT46" s="39"/>
      <c r="DU46" s="39"/>
      <c r="DV46" s="39"/>
      <c r="DW46" s="39"/>
      <c r="DX46" s="39"/>
      <c r="DY46" s="39"/>
      <c r="DZ46" s="39"/>
      <c r="EA46" s="39"/>
      <c r="EB46" s="39"/>
      <c r="EC46" s="39"/>
      <c r="ED46" s="39"/>
      <c r="EE46" s="39"/>
      <c r="EF46" s="39"/>
      <c r="EG46" s="39"/>
      <c r="EH46" s="39"/>
      <c r="EI46" s="39"/>
      <c r="EJ46" s="39"/>
      <c r="EK46" s="39"/>
      <c r="EL46" s="39"/>
      <c r="EM46" s="39"/>
      <c r="EN46" s="39"/>
      <c r="EO46" s="39"/>
      <c r="EP46" s="39"/>
      <c r="EQ46" s="39"/>
      <c r="ER46" s="39"/>
      <c r="ES46" s="39"/>
      <c r="ET46" s="39"/>
      <c r="EU46" s="39"/>
      <c r="EV46" s="39"/>
      <c r="EW46" s="39"/>
      <c r="EX46" s="39"/>
      <c r="EY46" s="39"/>
      <c r="EZ46" s="39"/>
      <c r="FA46" s="39"/>
      <c r="FB46" s="39"/>
      <c r="FC46" s="39"/>
      <c r="FD46" s="39"/>
      <c r="FE46" s="39"/>
      <c r="FF46" s="39"/>
      <c r="FG46" s="39"/>
      <c r="FH46" s="39"/>
      <c r="FI46" s="39"/>
      <c r="FJ46" s="39"/>
      <c r="FK46" s="39"/>
      <c r="FL46" s="39"/>
      <c r="FM46" s="39"/>
      <c r="FN46" s="39"/>
      <c r="FO46" s="39"/>
      <c r="FP46" s="39"/>
      <c r="FQ46" s="39"/>
      <c r="FR46" s="39"/>
      <c r="FS46" s="39"/>
      <c r="FT46" s="39"/>
      <c r="FU46" s="39"/>
      <c r="FV46" s="39"/>
      <c r="FW46" s="39"/>
      <c r="FX46" s="39"/>
      <c r="FY46" s="39"/>
      <c r="FZ46" s="39"/>
      <c r="GA46" s="39"/>
      <c r="GB46" s="39"/>
      <c r="GC46" s="39"/>
      <c r="GD46" s="39"/>
      <c r="GE46" s="39"/>
      <c r="GF46" s="39"/>
      <c r="GG46" s="39"/>
      <c r="GH46" s="39"/>
      <c r="GI46" s="39"/>
      <c r="GJ46" s="39"/>
      <c r="GK46" s="39"/>
    </row>
    <row r="47" spans="1:193" s="39" customFormat="1">
      <c r="A47" s="125" t="s">
        <v>71</v>
      </c>
      <c r="B47" s="111" t="s">
        <v>262</v>
      </c>
      <c r="C47" s="111"/>
      <c r="D47" s="111" t="s">
        <v>154</v>
      </c>
      <c r="E47" s="111" t="s">
        <v>73</v>
      </c>
      <c r="F47" s="111"/>
      <c r="G47" s="112"/>
      <c r="H47" s="112"/>
      <c r="I47" s="113">
        <v>513.33000000000004</v>
      </c>
      <c r="J47" s="180">
        <v>653.33000000000004</v>
      </c>
      <c r="K47" s="113">
        <f t="shared" si="14"/>
        <v>1166.6600000000001</v>
      </c>
      <c r="L47" s="113">
        <v>1679.66</v>
      </c>
      <c r="M47" s="113"/>
      <c r="N47" s="114"/>
      <c r="O47" s="114"/>
      <c r="P47" s="115"/>
      <c r="Q47" s="116">
        <f t="shared" si="15"/>
        <v>2846.32</v>
      </c>
      <c r="R47" s="117"/>
      <c r="S47" s="118"/>
      <c r="T47" s="118">
        <v>0</v>
      </c>
      <c r="U47" s="118"/>
      <c r="V47" s="118"/>
      <c r="W47" s="118"/>
      <c r="X47" s="119"/>
      <c r="Y47" s="119"/>
      <c r="Z47" s="120"/>
      <c r="AA47" s="120">
        <v>0</v>
      </c>
      <c r="AB47" s="116">
        <f t="shared" si="16"/>
        <v>2846.32</v>
      </c>
      <c r="AC47" s="121">
        <f t="shared" si="8"/>
        <v>284.63200000000001</v>
      </c>
      <c r="AD47" s="116">
        <f t="shared" si="17"/>
        <v>2561.6880000000001</v>
      </c>
      <c r="AE47" s="122">
        <f t="shared" si="18"/>
        <v>284.63200000000001</v>
      </c>
      <c r="AF47" s="121">
        <v>10.23</v>
      </c>
      <c r="AG47" s="121">
        <f t="shared" si="19"/>
        <v>0</v>
      </c>
      <c r="AH47" s="123">
        <f t="shared" si="20"/>
        <v>3141.1820000000002</v>
      </c>
      <c r="AI47" s="237">
        <v>577.4</v>
      </c>
      <c r="AJ47" s="247">
        <v>1984.29</v>
      </c>
      <c r="AK47" s="246">
        <f t="shared" si="7"/>
        <v>1.9999999999527063E-3</v>
      </c>
      <c r="AL47" s="125"/>
      <c r="AM47" s="125"/>
    </row>
    <row r="48" spans="1:193">
      <c r="A48" s="125" t="s">
        <v>94</v>
      </c>
      <c r="B48" s="111" t="s">
        <v>192</v>
      </c>
      <c r="C48" s="111"/>
      <c r="D48" s="111" t="s">
        <v>132</v>
      </c>
      <c r="E48" s="111" t="s">
        <v>174</v>
      </c>
      <c r="F48" s="111"/>
      <c r="G48" s="112"/>
      <c r="H48" s="112"/>
      <c r="I48" s="113">
        <v>543.20000000000005</v>
      </c>
      <c r="J48" s="178"/>
      <c r="K48" s="113">
        <f t="shared" si="14"/>
        <v>543.20000000000005</v>
      </c>
      <c r="L48" s="113">
        <v>376.5</v>
      </c>
      <c r="M48" s="113"/>
      <c r="N48" s="114"/>
      <c r="O48" s="114"/>
      <c r="P48" s="115"/>
      <c r="Q48" s="116">
        <f t="shared" si="15"/>
        <v>919.7</v>
      </c>
      <c r="R48" s="117"/>
      <c r="S48" s="118"/>
      <c r="T48" s="127">
        <v>100</v>
      </c>
      <c r="U48" s="127">
        <f>Q48*4.9%</f>
        <v>45.065300000000001</v>
      </c>
      <c r="V48" s="127">
        <f>Q48*1%</f>
        <v>9.197000000000001</v>
      </c>
      <c r="W48" s="118"/>
      <c r="X48" s="119"/>
      <c r="Y48" s="119"/>
      <c r="Z48" s="120"/>
      <c r="AA48" s="120">
        <v>0</v>
      </c>
      <c r="AB48" s="116">
        <f t="shared" si="16"/>
        <v>765.43770000000006</v>
      </c>
      <c r="AC48" s="121">
        <f t="shared" si="8"/>
        <v>0</v>
      </c>
      <c r="AD48" s="116">
        <f t="shared" si="17"/>
        <v>765.43770000000006</v>
      </c>
      <c r="AE48" s="122">
        <f t="shared" si="18"/>
        <v>91.970000000000013</v>
      </c>
      <c r="AF48" s="121">
        <v>10.23</v>
      </c>
      <c r="AG48" s="121">
        <f t="shared" si="19"/>
        <v>45.065300000000001</v>
      </c>
      <c r="AH48" s="123">
        <f t="shared" si="20"/>
        <v>1066.9653000000001</v>
      </c>
      <c r="AI48" s="237">
        <v>577.4</v>
      </c>
      <c r="AJ48" s="237">
        <v>188.04</v>
      </c>
      <c r="AK48" s="246">
        <f t="shared" si="7"/>
        <v>2.2999999998774001E-3</v>
      </c>
      <c r="AL48" s="125"/>
      <c r="AM48" s="125"/>
      <c r="BB48" s="39"/>
      <c r="BC48" s="39"/>
      <c r="BD48" s="39"/>
      <c r="BE48" s="39"/>
      <c r="BF48" s="39"/>
      <c r="BG48" s="39"/>
      <c r="BH48" s="39"/>
      <c r="BI48" s="39"/>
      <c r="BJ48" s="39"/>
      <c r="BK48" s="39"/>
      <c r="BL48" s="39"/>
      <c r="BM48" s="39"/>
      <c r="BN48" s="39"/>
      <c r="BO48" s="39"/>
      <c r="BP48" s="39"/>
      <c r="BQ48" s="39"/>
      <c r="BR48" s="39"/>
      <c r="BS48" s="39"/>
      <c r="BT48" s="39"/>
      <c r="BU48" s="39"/>
      <c r="BV48" s="39"/>
      <c r="BW48" s="39"/>
      <c r="BX48" s="39"/>
      <c r="BY48" s="39"/>
      <c r="BZ48" s="39"/>
      <c r="CA48" s="39"/>
      <c r="CB48" s="39"/>
      <c r="CC48" s="39"/>
      <c r="CD48" s="39"/>
      <c r="CE48" s="39"/>
      <c r="CF48" s="39"/>
      <c r="CG48" s="39"/>
      <c r="CH48" s="39"/>
      <c r="CI48" s="39"/>
      <c r="CJ48" s="39"/>
      <c r="CK48" s="39"/>
      <c r="CL48" s="39"/>
      <c r="CM48" s="39"/>
      <c r="CN48" s="39"/>
      <c r="CO48" s="39"/>
      <c r="CP48" s="39"/>
      <c r="CQ48" s="39"/>
      <c r="CR48" s="39"/>
      <c r="CS48" s="39"/>
      <c r="CT48" s="39"/>
      <c r="CU48" s="39"/>
      <c r="CV48" s="39"/>
      <c r="CW48" s="39"/>
      <c r="CX48" s="39"/>
      <c r="CY48" s="39"/>
      <c r="CZ48" s="39"/>
      <c r="DA48" s="39"/>
      <c r="DB48" s="39"/>
      <c r="DC48" s="39"/>
      <c r="DD48" s="39"/>
      <c r="DE48" s="39"/>
      <c r="DF48" s="39"/>
      <c r="DG48" s="39"/>
      <c r="DH48" s="39"/>
      <c r="DI48" s="39"/>
      <c r="DJ48" s="39"/>
      <c r="DK48" s="39"/>
      <c r="DL48" s="39"/>
      <c r="DM48" s="39"/>
      <c r="DN48" s="39"/>
      <c r="DO48" s="39"/>
      <c r="DP48" s="39"/>
      <c r="DQ48" s="39"/>
      <c r="DR48" s="39"/>
      <c r="DS48" s="39"/>
      <c r="DT48" s="39"/>
      <c r="DU48" s="39"/>
      <c r="DV48" s="39"/>
      <c r="DW48" s="39"/>
      <c r="DX48" s="39"/>
      <c r="DY48" s="39"/>
      <c r="DZ48" s="39"/>
      <c r="EA48" s="39"/>
      <c r="EB48" s="39"/>
      <c r="EC48" s="39"/>
      <c r="ED48" s="39"/>
      <c r="EE48" s="39"/>
      <c r="EF48" s="39"/>
      <c r="EG48" s="39"/>
      <c r="EH48" s="39"/>
      <c r="EI48" s="39"/>
      <c r="EJ48" s="39"/>
      <c r="EK48" s="39"/>
      <c r="EL48" s="39"/>
      <c r="EM48" s="39"/>
      <c r="EN48" s="39"/>
      <c r="EO48" s="39"/>
      <c r="EP48" s="39"/>
      <c r="EQ48" s="39"/>
      <c r="ER48" s="39"/>
      <c r="ES48" s="39"/>
      <c r="ET48" s="39"/>
      <c r="EU48" s="39"/>
      <c r="EV48" s="39"/>
      <c r="EW48" s="39"/>
      <c r="EX48" s="39"/>
      <c r="EY48" s="39"/>
      <c r="EZ48" s="39"/>
      <c r="FA48" s="39"/>
      <c r="FB48" s="39"/>
      <c r="FC48" s="39"/>
      <c r="FD48" s="39"/>
      <c r="FE48" s="39"/>
      <c r="FF48" s="39"/>
      <c r="FG48" s="39"/>
      <c r="FH48" s="39"/>
      <c r="FI48" s="39"/>
      <c r="FJ48" s="39"/>
      <c r="FK48" s="39"/>
      <c r="FL48" s="39"/>
      <c r="FM48" s="39"/>
      <c r="FN48" s="39"/>
      <c r="FO48" s="39"/>
      <c r="FP48" s="39"/>
      <c r="FQ48" s="39"/>
      <c r="FR48" s="39"/>
      <c r="FS48" s="39"/>
      <c r="FT48" s="39"/>
      <c r="FU48" s="39"/>
      <c r="FV48" s="39"/>
      <c r="FW48" s="39"/>
      <c r="FX48" s="39"/>
      <c r="FY48" s="39"/>
      <c r="FZ48" s="39"/>
      <c r="GA48" s="39"/>
      <c r="GB48" s="39"/>
      <c r="GC48" s="39"/>
      <c r="GD48" s="39"/>
      <c r="GE48" s="39"/>
      <c r="GF48" s="39"/>
      <c r="GG48" s="39"/>
      <c r="GH48" s="39"/>
      <c r="GI48" s="39"/>
      <c r="GJ48" s="39"/>
      <c r="GK48" s="39"/>
    </row>
    <row r="49" spans="1:193" s="39" customFormat="1">
      <c r="A49" s="125" t="s">
        <v>94</v>
      </c>
      <c r="B49" s="125" t="s">
        <v>264</v>
      </c>
      <c r="C49" s="125"/>
      <c r="D49" s="125" t="s">
        <v>265</v>
      </c>
      <c r="E49" s="111" t="s">
        <v>181</v>
      </c>
      <c r="F49" s="125"/>
      <c r="G49" s="125"/>
      <c r="H49" s="125"/>
      <c r="I49" s="129">
        <v>608.16</v>
      </c>
      <c r="J49" s="179"/>
      <c r="K49" s="129">
        <f t="shared" si="14"/>
        <v>608.16</v>
      </c>
      <c r="L49" s="129">
        <f>2624.58+2.59</f>
        <v>2627.17</v>
      </c>
      <c r="M49" s="129"/>
      <c r="N49" s="129"/>
      <c r="O49" s="129"/>
      <c r="P49" s="115"/>
      <c r="Q49" s="116">
        <f t="shared" si="15"/>
        <v>3235.33</v>
      </c>
      <c r="R49" s="117"/>
      <c r="S49" s="118"/>
      <c r="T49" s="118">
        <v>0</v>
      </c>
      <c r="U49" s="127">
        <f>Q49*4.9%</f>
        <v>158.53117</v>
      </c>
      <c r="V49" s="127">
        <f>Q49*1%</f>
        <v>32.353299999999997</v>
      </c>
      <c r="W49" s="118"/>
      <c r="X49" s="119"/>
      <c r="Y49" s="119"/>
      <c r="Z49" s="120"/>
      <c r="AA49" s="120">
        <v>0</v>
      </c>
      <c r="AB49" s="116">
        <f t="shared" si="16"/>
        <v>3044.44553</v>
      </c>
      <c r="AC49" s="121">
        <f t="shared" si="8"/>
        <v>323.53300000000002</v>
      </c>
      <c r="AD49" s="116">
        <f t="shared" si="17"/>
        <v>2720.9125300000001</v>
      </c>
      <c r="AE49" s="122">
        <f t="shared" si="18"/>
        <v>323.53300000000002</v>
      </c>
      <c r="AF49" s="121">
        <v>10.23</v>
      </c>
      <c r="AG49" s="121">
        <f t="shared" si="19"/>
        <v>158.53117</v>
      </c>
      <c r="AH49" s="123">
        <f t="shared" si="20"/>
        <v>3727.62417</v>
      </c>
      <c r="AI49" s="237">
        <v>577.4</v>
      </c>
      <c r="AJ49" s="247">
        <v>2143.5100000000002</v>
      </c>
      <c r="AK49" s="246">
        <f t="shared" si="7"/>
        <v>-2.5299999997514533E-3</v>
      </c>
      <c r="AL49" s="125">
        <v>2948910731</v>
      </c>
      <c r="AM49" s="130"/>
    </row>
    <row r="50" spans="1:193" s="39" customFormat="1">
      <c r="A50" s="202" t="s">
        <v>71</v>
      </c>
      <c r="B50" s="202" t="s">
        <v>318</v>
      </c>
      <c r="C50" s="202"/>
      <c r="D50" s="202"/>
      <c r="E50" s="202" t="s">
        <v>73</v>
      </c>
      <c r="F50" s="203">
        <v>42459</v>
      </c>
      <c r="G50" s="202"/>
      <c r="H50" s="202"/>
      <c r="I50" s="204">
        <v>0</v>
      </c>
      <c r="J50" s="205">
        <v>0</v>
      </c>
      <c r="K50" s="204">
        <f t="shared" si="14"/>
        <v>0</v>
      </c>
      <c r="L50" s="204"/>
      <c r="M50" s="204"/>
      <c r="N50" s="204"/>
      <c r="O50" s="204"/>
      <c r="P50" s="204"/>
      <c r="Q50" s="206">
        <f t="shared" si="15"/>
        <v>0</v>
      </c>
      <c r="R50" s="204"/>
      <c r="S50" s="204"/>
      <c r="T50" s="204"/>
      <c r="U50" s="204"/>
      <c r="V50" s="204"/>
      <c r="W50" s="204"/>
      <c r="X50" s="207"/>
      <c r="Y50" s="207"/>
      <c r="Z50" s="202"/>
      <c r="AA50" s="202">
        <v>0</v>
      </c>
      <c r="AB50" s="206">
        <f>+Q50-SUM(R50:AA50)</f>
        <v>0</v>
      </c>
      <c r="AC50" s="207">
        <f>IF(Q50&gt;2250,Q50*0.1,0)</f>
        <v>0</v>
      </c>
      <c r="AD50" s="206">
        <f>+AB50-AC50</f>
        <v>0</v>
      </c>
      <c r="AE50" s="207">
        <f>IF(Q50&lt;3500,Q50*0.1,0)</f>
        <v>0</v>
      </c>
      <c r="AF50" s="207">
        <v>0</v>
      </c>
      <c r="AG50" s="207">
        <f t="shared" si="19"/>
        <v>0</v>
      </c>
      <c r="AH50" s="206">
        <f t="shared" si="20"/>
        <v>0</v>
      </c>
      <c r="AI50" s="240" t="s">
        <v>314</v>
      </c>
      <c r="AJ50" s="244" t="s">
        <v>315</v>
      </c>
      <c r="AK50" s="253">
        <v>0</v>
      </c>
      <c r="AL50" s="202"/>
      <c r="AM50" s="208" t="s">
        <v>344</v>
      </c>
    </row>
    <row r="51" spans="1:193">
      <c r="A51" s="125" t="s">
        <v>94</v>
      </c>
      <c r="B51" s="111" t="s">
        <v>194</v>
      </c>
      <c r="C51" s="111"/>
      <c r="D51" s="111" t="s">
        <v>133</v>
      </c>
      <c r="E51" s="111" t="s">
        <v>177</v>
      </c>
      <c r="F51" s="111"/>
      <c r="G51" s="112"/>
      <c r="H51" s="112"/>
      <c r="I51" s="113">
        <v>608.16</v>
      </c>
      <c r="J51" s="178"/>
      <c r="K51" s="113">
        <f t="shared" si="14"/>
        <v>608.16</v>
      </c>
      <c r="L51" s="113">
        <f>2970.1+2.97</f>
        <v>2973.0699999999997</v>
      </c>
      <c r="M51" s="113"/>
      <c r="N51" s="114"/>
      <c r="O51" s="114"/>
      <c r="P51" s="115"/>
      <c r="Q51" s="116">
        <f t="shared" si="15"/>
        <v>3581.2299999999996</v>
      </c>
      <c r="R51" s="117"/>
      <c r="S51" s="118"/>
      <c r="T51" s="118"/>
      <c r="U51" s="127">
        <f>Q51*4.9%</f>
        <v>175.48026999999999</v>
      </c>
      <c r="V51" s="127">
        <f>Q51*1%</f>
        <v>35.812299999999993</v>
      </c>
      <c r="W51" s="118"/>
      <c r="X51" s="119"/>
      <c r="Y51" s="119"/>
      <c r="Z51" s="120"/>
      <c r="AA51" s="120">
        <v>0</v>
      </c>
      <c r="AB51" s="116">
        <f t="shared" si="16"/>
        <v>3369.9374299999995</v>
      </c>
      <c r="AC51" s="121">
        <f t="shared" si="8"/>
        <v>358.12299999999999</v>
      </c>
      <c r="AD51" s="116">
        <f t="shared" si="17"/>
        <v>3011.8144299999994</v>
      </c>
      <c r="AE51" s="122">
        <f t="shared" si="18"/>
        <v>0</v>
      </c>
      <c r="AF51" s="121">
        <v>10.23</v>
      </c>
      <c r="AG51" s="121">
        <f t="shared" si="19"/>
        <v>175.48026999999999</v>
      </c>
      <c r="AH51" s="123">
        <f t="shared" si="20"/>
        <v>3766.9402699999996</v>
      </c>
      <c r="AI51" s="248">
        <v>577.4</v>
      </c>
      <c r="AJ51" s="247">
        <v>2434.41</v>
      </c>
      <c r="AK51" s="246">
        <f t="shared" si="7"/>
        <v>-4.4299999995018879E-3</v>
      </c>
      <c r="AL51" s="125"/>
      <c r="AM51" s="125"/>
      <c r="BB51" s="39"/>
      <c r="BC51" s="39"/>
      <c r="BD51" s="39"/>
      <c r="BE51" s="39"/>
      <c r="BF51" s="39"/>
      <c r="BG51" s="39"/>
      <c r="BH51" s="39"/>
      <c r="BI51" s="39"/>
      <c r="BJ51" s="39"/>
      <c r="BK51" s="39"/>
      <c r="BL51" s="39"/>
      <c r="BM51" s="39"/>
      <c r="BN51" s="39"/>
      <c r="BO51" s="39"/>
      <c r="BP51" s="39"/>
      <c r="BQ51" s="39"/>
      <c r="BR51" s="39"/>
      <c r="BS51" s="39"/>
      <c r="BT51" s="39"/>
      <c r="BU51" s="39"/>
      <c r="BV51" s="39"/>
      <c r="BW51" s="39"/>
      <c r="BX51" s="39"/>
      <c r="BY51" s="39"/>
      <c r="BZ51" s="39"/>
      <c r="CA51" s="39"/>
      <c r="CB51" s="39"/>
      <c r="CC51" s="39"/>
      <c r="CD51" s="39"/>
      <c r="CE51" s="39"/>
      <c r="CF51" s="39"/>
      <c r="CG51" s="39"/>
      <c r="CH51" s="39"/>
      <c r="CI51" s="39"/>
      <c r="CJ51" s="39"/>
      <c r="CK51" s="39"/>
      <c r="CL51" s="39"/>
      <c r="CM51" s="39"/>
      <c r="CN51" s="39"/>
      <c r="CO51" s="39"/>
      <c r="CP51" s="39"/>
      <c r="CQ51" s="39"/>
      <c r="CR51" s="39"/>
      <c r="CS51" s="39"/>
      <c r="CT51" s="39"/>
      <c r="CU51" s="39"/>
      <c r="CV51" s="39"/>
      <c r="CW51" s="39"/>
      <c r="CX51" s="39"/>
      <c r="CY51" s="39"/>
      <c r="CZ51" s="39"/>
      <c r="DA51" s="39"/>
      <c r="DB51" s="39"/>
      <c r="DC51" s="39"/>
      <c r="DD51" s="39"/>
      <c r="DE51" s="39"/>
      <c r="DF51" s="39"/>
      <c r="DG51" s="39"/>
      <c r="DH51" s="39"/>
      <c r="DI51" s="39"/>
      <c r="DJ51" s="39"/>
      <c r="DK51" s="39"/>
      <c r="DL51" s="39"/>
      <c r="DM51" s="39"/>
      <c r="DN51" s="39"/>
      <c r="DO51" s="39"/>
      <c r="DP51" s="39"/>
      <c r="DQ51" s="39"/>
      <c r="DR51" s="39"/>
      <c r="DS51" s="39"/>
      <c r="DT51" s="39"/>
      <c r="DU51" s="39"/>
      <c r="DV51" s="39"/>
      <c r="DW51" s="39"/>
      <c r="DX51" s="39"/>
      <c r="DY51" s="39"/>
      <c r="DZ51" s="39"/>
      <c r="EA51" s="39"/>
      <c r="EB51" s="39"/>
      <c r="EC51" s="39"/>
      <c r="ED51" s="39"/>
      <c r="EE51" s="39"/>
      <c r="EF51" s="39"/>
      <c r="EG51" s="39"/>
      <c r="EH51" s="39"/>
      <c r="EI51" s="39"/>
      <c r="EJ51" s="39"/>
      <c r="EK51" s="39"/>
      <c r="EL51" s="39"/>
      <c r="EM51" s="39"/>
      <c r="EN51" s="39"/>
      <c r="EO51" s="39"/>
      <c r="EP51" s="39"/>
      <c r="EQ51" s="39"/>
      <c r="ER51" s="39"/>
      <c r="ES51" s="39"/>
      <c r="ET51" s="39"/>
      <c r="EU51" s="39"/>
      <c r="EV51" s="39"/>
      <c r="EW51" s="39"/>
      <c r="EX51" s="39"/>
      <c r="EY51" s="39"/>
      <c r="EZ51" s="39"/>
      <c r="FA51" s="39"/>
      <c r="FB51" s="39"/>
      <c r="FC51" s="39"/>
      <c r="FD51" s="39"/>
      <c r="FE51" s="39"/>
      <c r="FF51" s="39"/>
      <c r="FG51" s="39"/>
      <c r="FH51" s="39"/>
      <c r="FI51" s="39"/>
      <c r="FJ51" s="39"/>
      <c r="FK51" s="39"/>
      <c r="FL51" s="39"/>
      <c r="FM51" s="39"/>
      <c r="FN51" s="39"/>
      <c r="FO51" s="39"/>
      <c r="FP51" s="39"/>
      <c r="FQ51" s="39"/>
      <c r="FR51" s="39"/>
      <c r="FS51" s="39"/>
      <c r="FT51" s="39"/>
      <c r="FU51" s="39"/>
      <c r="FV51" s="39"/>
      <c r="FW51" s="39"/>
      <c r="FX51" s="39"/>
      <c r="FY51" s="39"/>
      <c r="FZ51" s="39"/>
      <c r="GA51" s="39"/>
      <c r="GB51" s="39"/>
      <c r="GC51" s="39"/>
      <c r="GD51" s="39"/>
      <c r="GE51" s="39"/>
      <c r="GF51" s="39"/>
      <c r="GG51" s="39"/>
      <c r="GH51" s="39"/>
      <c r="GI51" s="39"/>
      <c r="GJ51" s="39"/>
      <c r="GK51" s="39"/>
    </row>
    <row r="52" spans="1:193">
      <c r="A52" s="125" t="s">
        <v>92</v>
      </c>
      <c r="B52" s="111" t="s">
        <v>233</v>
      </c>
      <c r="C52" s="111"/>
      <c r="D52" s="111" t="s">
        <v>102</v>
      </c>
      <c r="E52" s="111" t="s">
        <v>163</v>
      </c>
      <c r="F52" s="111"/>
      <c r="G52" s="111"/>
      <c r="H52" s="111"/>
      <c r="I52" s="113">
        <v>739.23</v>
      </c>
      <c r="J52" s="181"/>
      <c r="K52" s="113">
        <f t="shared" si="14"/>
        <v>739.23</v>
      </c>
      <c r="L52" s="113">
        <f>3440.97+13.09</f>
        <v>3454.06</v>
      </c>
      <c r="M52" s="113"/>
      <c r="N52" s="113">
        <v>938.26</v>
      </c>
      <c r="O52" s="113">
        <v>3753.04</v>
      </c>
      <c r="P52" s="115"/>
      <c r="Q52" s="116">
        <f t="shared" si="15"/>
        <v>8884.59</v>
      </c>
      <c r="R52" s="117"/>
      <c r="S52" s="118"/>
      <c r="T52" s="118">
        <v>0</v>
      </c>
      <c r="U52" s="118"/>
      <c r="V52" s="118"/>
      <c r="W52" s="118"/>
      <c r="X52" s="119"/>
      <c r="Y52" s="119"/>
      <c r="Z52" s="120"/>
      <c r="AA52" s="120">
        <v>0</v>
      </c>
      <c r="AB52" s="116">
        <f t="shared" si="16"/>
        <v>8884.59</v>
      </c>
      <c r="AC52" s="121">
        <f t="shared" si="8"/>
        <v>888.45900000000006</v>
      </c>
      <c r="AD52" s="116">
        <f t="shared" si="17"/>
        <v>7996.1310000000003</v>
      </c>
      <c r="AE52" s="122">
        <f t="shared" si="18"/>
        <v>0</v>
      </c>
      <c r="AF52" s="121">
        <v>10.23</v>
      </c>
      <c r="AG52" s="121">
        <f t="shared" si="19"/>
        <v>0</v>
      </c>
      <c r="AH52" s="123">
        <f t="shared" si="20"/>
        <v>8894.82</v>
      </c>
      <c r="AI52" s="237">
        <v>577.4</v>
      </c>
      <c r="AJ52" s="247">
        <v>7418.73</v>
      </c>
      <c r="AK52" s="246">
        <f t="shared" si="7"/>
        <v>-1.0000000011132215E-3</v>
      </c>
      <c r="AL52" s="125"/>
      <c r="AM52" s="125"/>
      <c r="BB52" s="39"/>
      <c r="BC52" s="39"/>
      <c r="BD52" s="39"/>
      <c r="BE52" s="39"/>
      <c r="BF52" s="39"/>
      <c r="BG52" s="39"/>
      <c r="BH52" s="39"/>
      <c r="BI52" s="39"/>
      <c r="BJ52" s="39"/>
      <c r="BK52" s="39"/>
      <c r="BL52" s="39"/>
      <c r="BM52" s="39"/>
      <c r="BN52" s="39"/>
      <c r="BO52" s="39"/>
      <c r="BP52" s="39"/>
      <c r="BQ52" s="39"/>
      <c r="BR52" s="39"/>
      <c r="BS52" s="39"/>
      <c r="BT52" s="39"/>
      <c r="BU52" s="39"/>
      <c r="BV52" s="39"/>
      <c r="BW52" s="39"/>
      <c r="BX52" s="39"/>
      <c r="BY52" s="39"/>
      <c r="BZ52" s="39"/>
      <c r="CA52" s="39"/>
      <c r="CB52" s="39"/>
      <c r="CC52" s="39"/>
      <c r="CD52" s="39"/>
      <c r="CE52" s="39"/>
      <c r="CF52" s="39"/>
      <c r="CG52" s="39"/>
      <c r="CH52" s="39"/>
      <c r="CI52" s="39"/>
      <c r="CJ52" s="39"/>
      <c r="CK52" s="39"/>
      <c r="CL52" s="39"/>
      <c r="CM52" s="39"/>
      <c r="CN52" s="39"/>
      <c r="CO52" s="39"/>
      <c r="CP52" s="39"/>
      <c r="CQ52" s="39"/>
      <c r="CR52" s="39"/>
      <c r="CS52" s="39"/>
      <c r="CT52" s="39"/>
      <c r="CU52" s="39"/>
      <c r="CV52" s="39"/>
      <c r="CW52" s="39"/>
      <c r="CX52" s="39"/>
      <c r="CY52" s="39"/>
      <c r="CZ52" s="39"/>
      <c r="DA52" s="39"/>
      <c r="DB52" s="39"/>
      <c r="DC52" s="39"/>
      <c r="DD52" s="39"/>
      <c r="DE52" s="39"/>
      <c r="DF52" s="39"/>
      <c r="DG52" s="39"/>
      <c r="DH52" s="39"/>
      <c r="DI52" s="39"/>
      <c r="DJ52" s="39"/>
      <c r="DK52" s="39"/>
      <c r="DL52" s="39"/>
      <c r="DM52" s="39"/>
      <c r="DN52" s="39"/>
      <c r="DO52" s="39"/>
      <c r="DP52" s="39"/>
      <c r="DQ52" s="39"/>
      <c r="DR52" s="39"/>
      <c r="DS52" s="39"/>
      <c r="DT52" s="39"/>
      <c r="DU52" s="39"/>
      <c r="DV52" s="39"/>
      <c r="DW52" s="39"/>
      <c r="DX52" s="39"/>
      <c r="DY52" s="39"/>
      <c r="DZ52" s="39"/>
      <c r="EA52" s="39"/>
      <c r="EB52" s="39"/>
      <c r="EC52" s="39"/>
      <c r="ED52" s="39"/>
      <c r="EE52" s="39"/>
      <c r="EF52" s="39"/>
      <c r="EG52" s="39"/>
      <c r="EH52" s="39"/>
      <c r="EI52" s="39"/>
      <c r="EJ52" s="39"/>
      <c r="EK52" s="39"/>
      <c r="EL52" s="39"/>
      <c r="EM52" s="39"/>
      <c r="EN52" s="39"/>
      <c r="EO52" s="39"/>
      <c r="EP52" s="39"/>
      <c r="EQ52" s="39"/>
      <c r="ER52" s="39"/>
      <c r="ES52" s="39"/>
      <c r="ET52" s="39"/>
      <c r="EU52" s="39"/>
      <c r="EV52" s="39"/>
      <c r="EW52" s="39"/>
      <c r="EX52" s="39"/>
      <c r="EY52" s="39"/>
      <c r="EZ52" s="39"/>
      <c r="FA52" s="39"/>
      <c r="FB52" s="39"/>
      <c r="FC52" s="39"/>
      <c r="FD52" s="39"/>
      <c r="FE52" s="39"/>
      <c r="FF52" s="39"/>
      <c r="FG52" s="39"/>
      <c r="FH52" s="39"/>
      <c r="FI52" s="39"/>
      <c r="FJ52" s="39"/>
      <c r="FK52" s="39"/>
      <c r="FL52" s="39"/>
      <c r="FM52" s="39"/>
      <c r="FN52" s="39"/>
      <c r="FO52" s="39"/>
      <c r="FP52" s="39"/>
      <c r="FQ52" s="39"/>
      <c r="FR52" s="39"/>
      <c r="FS52" s="39"/>
      <c r="FT52" s="39"/>
      <c r="FU52" s="39"/>
      <c r="FV52" s="39"/>
      <c r="FW52" s="39"/>
      <c r="FX52" s="39"/>
      <c r="FY52" s="39"/>
      <c r="FZ52" s="39"/>
      <c r="GA52" s="39"/>
      <c r="GB52" s="39"/>
      <c r="GC52" s="39"/>
      <c r="GD52" s="39"/>
      <c r="GE52" s="39"/>
      <c r="GF52" s="39"/>
      <c r="GG52" s="39"/>
      <c r="GH52" s="39"/>
      <c r="GI52" s="39"/>
      <c r="GJ52" s="39"/>
      <c r="GK52" s="39"/>
    </row>
    <row r="53" spans="1:193" s="61" customFormat="1">
      <c r="A53" s="125" t="s">
        <v>94</v>
      </c>
      <c r="B53" s="125" t="s">
        <v>202</v>
      </c>
      <c r="C53" s="125"/>
      <c r="D53" s="125"/>
      <c r="E53" s="125" t="s">
        <v>163</v>
      </c>
      <c r="F53" s="128">
        <v>42416</v>
      </c>
      <c r="G53" s="125"/>
      <c r="H53" s="125"/>
      <c r="I53" s="129">
        <v>739.23</v>
      </c>
      <c r="J53" s="179"/>
      <c r="K53" s="129">
        <f t="shared" si="14"/>
        <v>739.23</v>
      </c>
      <c r="L53" s="129">
        <f>3124.05+13.09</f>
        <v>3137.1400000000003</v>
      </c>
      <c r="M53" s="129"/>
      <c r="N53" s="129"/>
      <c r="O53" s="129"/>
      <c r="P53" s="115"/>
      <c r="Q53" s="116">
        <f t="shared" si="15"/>
        <v>3876.3700000000003</v>
      </c>
      <c r="R53" s="117"/>
      <c r="S53" s="118"/>
      <c r="T53" s="118">
        <v>0</v>
      </c>
      <c r="U53" s="118"/>
      <c r="V53" s="127">
        <f>Q53*1%</f>
        <v>38.763700000000007</v>
      </c>
      <c r="W53" s="118"/>
      <c r="X53" s="119"/>
      <c r="Y53" s="119"/>
      <c r="Z53" s="120"/>
      <c r="AA53" s="120">
        <v>0</v>
      </c>
      <c r="AB53" s="116">
        <f t="shared" si="16"/>
        <v>3837.6063000000004</v>
      </c>
      <c r="AC53" s="121">
        <f t="shared" si="8"/>
        <v>387.63700000000006</v>
      </c>
      <c r="AD53" s="116">
        <f t="shared" si="17"/>
        <v>3449.9693000000002</v>
      </c>
      <c r="AE53" s="122">
        <f t="shared" si="18"/>
        <v>0</v>
      </c>
      <c r="AF53" s="121">
        <v>10.23</v>
      </c>
      <c r="AG53" s="121">
        <f t="shared" si="19"/>
        <v>0</v>
      </c>
      <c r="AH53" s="123">
        <f t="shared" si="20"/>
        <v>3886.6000000000004</v>
      </c>
      <c r="AI53" s="248">
        <v>577.4</v>
      </c>
      <c r="AJ53" s="247">
        <v>2872.57</v>
      </c>
      <c r="AK53" s="246">
        <f t="shared" si="7"/>
        <v>7.000000000516593E-4</v>
      </c>
      <c r="AL53" s="125">
        <v>1296641458</v>
      </c>
      <c r="AM53" s="125"/>
      <c r="AN53" s="39"/>
      <c r="AO53" s="39"/>
      <c r="AP53" s="39"/>
      <c r="AQ53" s="39"/>
      <c r="AR53" s="39"/>
      <c r="AS53" s="39"/>
      <c r="AT53" s="39"/>
      <c r="AU53" s="39"/>
      <c r="AV53" s="39"/>
      <c r="AW53" s="39"/>
      <c r="AX53" s="39"/>
      <c r="AY53" s="39"/>
      <c r="AZ53" s="39"/>
      <c r="BA53" s="39"/>
      <c r="BB53" s="39"/>
      <c r="BC53" s="39"/>
      <c r="BD53" s="39"/>
      <c r="BE53" s="39"/>
      <c r="BF53" s="39"/>
      <c r="BG53" s="39"/>
      <c r="BH53" s="39"/>
      <c r="BI53" s="39"/>
      <c r="BJ53" s="39"/>
      <c r="BK53" s="39"/>
      <c r="BL53" s="39"/>
      <c r="BM53" s="39"/>
      <c r="BN53" s="39"/>
      <c r="BO53" s="39"/>
      <c r="BP53" s="39"/>
      <c r="BQ53" s="39"/>
      <c r="BR53" s="39"/>
      <c r="BS53" s="39"/>
      <c r="BT53" s="39"/>
      <c r="BU53" s="39"/>
      <c r="BV53" s="39"/>
      <c r="BW53" s="39"/>
      <c r="BX53" s="39"/>
      <c r="BY53" s="39"/>
      <c r="BZ53" s="39"/>
      <c r="CA53" s="39"/>
      <c r="CB53" s="39"/>
      <c r="CC53" s="39"/>
      <c r="CD53" s="39"/>
      <c r="CE53" s="39"/>
      <c r="CF53" s="39"/>
      <c r="CG53" s="39"/>
      <c r="CH53" s="39"/>
      <c r="CI53" s="39"/>
      <c r="CJ53" s="39"/>
      <c r="CK53" s="39"/>
      <c r="CL53" s="39"/>
      <c r="CM53" s="39"/>
      <c r="CN53" s="39"/>
      <c r="CO53" s="39"/>
      <c r="CP53" s="39"/>
      <c r="CQ53" s="39"/>
      <c r="CR53" s="39"/>
      <c r="CS53" s="39"/>
      <c r="CT53" s="39"/>
      <c r="CU53" s="39"/>
      <c r="CV53" s="39"/>
      <c r="CW53" s="39"/>
      <c r="CX53" s="39"/>
      <c r="CY53" s="39"/>
      <c r="CZ53" s="39"/>
      <c r="DA53" s="39"/>
      <c r="DB53" s="39"/>
      <c r="DC53" s="39"/>
      <c r="DD53" s="39"/>
      <c r="DE53" s="39"/>
      <c r="DF53" s="39"/>
      <c r="DG53" s="39"/>
      <c r="DH53" s="39"/>
      <c r="DI53" s="39"/>
      <c r="DJ53" s="39"/>
      <c r="DK53" s="39"/>
      <c r="DL53" s="39"/>
      <c r="DM53" s="39"/>
      <c r="DN53" s="39"/>
      <c r="DO53" s="39"/>
      <c r="DP53" s="39"/>
      <c r="DQ53" s="39"/>
      <c r="DR53" s="39"/>
      <c r="DS53" s="39"/>
      <c r="DT53" s="39"/>
      <c r="DU53" s="39"/>
      <c r="DV53" s="39"/>
      <c r="DW53" s="39"/>
      <c r="DX53" s="39"/>
      <c r="DY53" s="39"/>
      <c r="DZ53" s="39"/>
      <c r="EA53" s="39"/>
      <c r="EB53" s="39"/>
      <c r="EC53" s="39"/>
      <c r="ED53" s="39"/>
      <c r="EE53" s="39"/>
      <c r="EF53" s="39"/>
      <c r="EG53" s="39"/>
      <c r="EH53" s="39"/>
      <c r="EI53" s="39"/>
      <c r="EJ53" s="39"/>
      <c r="EK53" s="39"/>
      <c r="EL53" s="39"/>
      <c r="EM53" s="39"/>
      <c r="EN53" s="39"/>
      <c r="EO53" s="39"/>
      <c r="EP53" s="39"/>
      <c r="EQ53" s="39"/>
      <c r="ER53" s="39"/>
      <c r="ES53" s="39"/>
      <c r="ET53" s="39"/>
      <c r="EU53" s="39"/>
      <c r="EV53" s="39"/>
      <c r="EW53" s="39"/>
      <c r="EX53" s="39"/>
      <c r="EY53" s="39"/>
      <c r="EZ53" s="39"/>
      <c r="FA53" s="39"/>
      <c r="FB53" s="39"/>
      <c r="FC53" s="39"/>
      <c r="FD53" s="39"/>
      <c r="FE53" s="39"/>
      <c r="FF53" s="39"/>
      <c r="FG53" s="39"/>
      <c r="FH53" s="39"/>
      <c r="FI53" s="39"/>
      <c r="FJ53" s="39"/>
      <c r="FK53" s="39"/>
      <c r="FL53" s="39"/>
      <c r="FM53" s="39"/>
      <c r="FN53" s="39"/>
      <c r="FO53" s="39"/>
      <c r="FP53" s="39"/>
      <c r="FQ53" s="39"/>
      <c r="FR53" s="39"/>
      <c r="FS53" s="39"/>
      <c r="FT53" s="39"/>
      <c r="FU53" s="39"/>
      <c r="FV53" s="39"/>
      <c r="FW53" s="39"/>
      <c r="FX53" s="39"/>
      <c r="FY53" s="39"/>
      <c r="FZ53" s="39"/>
      <c r="GA53" s="39"/>
      <c r="GB53" s="39"/>
      <c r="GC53" s="39"/>
      <c r="GD53" s="39"/>
      <c r="GE53" s="39"/>
      <c r="GF53" s="39"/>
      <c r="GG53" s="39"/>
      <c r="GH53" s="39"/>
      <c r="GI53" s="39"/>
      <c r="GJ53" s="39"/>
      <c r="GK53" s="39"/>
    </row>
    <row r="54" spans="1:193" s="61" customFormat="1">
      <c r="A54" s="126" t="s">
        <v>92</v>
      </c>
      <c r="B54" s="126" t="s">
        <v>329</v>
      </c>
      <c r="C54" s="126"/>
      <c r="D54" s="126"/>
      <c r="E54" s="126" t="s">
        <v>164</v>
      </c>
      <c r="F54" s="195">
        <v>42471</v>
      </c>
      <c r="G54" s="126"/>
      <c r="H54" s="126"/>
      <c r="I54" s="127">
        <v>211.2</v>
      </c>
      <c r="J54" s="196"/>
      <c r="K54" s="127">
        <f t="shared" si="14"/>
        <v>211.2</v>
      </c>
      <c r="L54" s="127">
        <f>342.29+2.97</f>
        <v>345.26000000000005</v>
      </c>
      <c r="M54" s="127"/>
      <c r="N54" s="127"/>
      <c r="O54" s="127"/>
      <c r="P54" s="198"/>
      <c r="Q54" s="199">
        <f t="shared" si="15"/>
        <v>556.46</v>
      </c>
      <c r="R54" s="127"/>
      <c r="S54" s="127"/>
      <c r="T54" s="127"/>
      <c r="U54" s="127"/>
      <c r="V54" s="127"/>
      <c r="W54" s="127"/>
      <c r="X54" s="132"/>
      <c r="Y54" s="132"/>
      <c r="Z54" s="126"/>
      <c r="AA54" s="126">
        <v>0</v>
      </c>
      <c r="AB54" s="199">
        <f t="shared" ref="AB54" si="25">+Q54-SUM(R54:AA54)</f>
        <v>556.46</v>
      </c>
      <c r="AC54" s="132">
        <f t="shared" ref="AC54" si="26">IF(Q54&gt;2250,Q54*0.1,0)</f>
        <v>0</v>
      </c>
      <c r="AD54" s="199">
        <f t="shared" ref="AD54" si="27">+AB54-AC54</f>
        <v>556.46</v>
      </c>
      <c r="AE54" s="132">
        <f t="shared" ref="AE54" si="28">IF(Q54&lt;3500,Q54*0.1,0)</f>
        <v>55.646000000000008</v>
      </c>
      <c r="AF54" s="132">
        <v>10.23</v>
      </c>
      <c r="AG54" s="132">
        <f t="shared" ref="AG54" si="29">+U54</f>
        <v>0</v>
      </c>
      <c r="AH54" s="199">
        <f t="shared" ref="AH54" si="30">+Q54+AE54+AF54+AG54</f>
        <v>622.33600000000001</v>
      </c>
      <c r="AI54" s="249">
        <v>494.92</v>
      </c>
      <c r="AJ54" s="249">
        <v>61.54</v>
      </c>
      <c r="AK54" s="250">
        <f t="shared" si="7"/>
        <v>0</v>
      </c>
      <c r="AL54" s="126">
        <v>2777556799</v>
      </c>
      <c r="AM54" s="200" t="s">
        <v>330</v>
      </c>
      <c r="AN54" s="39"/>
      <c r="AO54" s="39"/>
      <c r="AP54" s="39"/>
      <c r="AQ54" s="39"/>
      <c r="AR54" s="39"/>
      <c r="AS54" s="39"/>
      <c r="AT54" s="39"/>
      <c r="AU54" s="39"/>
      <c r="AV54" s="39"/>
      <c r="AW54" s="39"/>
      <c r="AX54" s="39"/>
      <c r="AY54" s="39"/>
      <c r="AZ54" s="39"/>
      <c r="BA54" s="39"/>
      <c r="BB54" s="39"/>
      <c r="BC54" s="39"/>
      <c r="BD54" s="39"/>
      <c r="BE54" s="39"/>
      <c r="BF54" s="39"/>
      <c r="BG54" s="39"/>
      <c r="BH54" s="39"/>
      <c r="BI54" s="39"/>
      <c r="BJ54" s="39"/>
      <c r="BK54" s="39"/>
      <c r="BL54" s="39"/>
      <c r="BM54" s="39"/>
      <c r="BN54" s="39"/>
      <c r="BO54" s="39"/>
      <c r="BP54" s="39"/>
      <c r="BQ54" s="39"/>
      <c r="BR54" s="39"/>
      <c r="BS54" s="39"/>
      <c r="BT54" s="39"/>
      <c r="BU54" s="39"/>
      <c r="BV54" s="39"/>
      <c r="BW54" s="39"/>
      <c r="BX54" s="39"/>
      <c r="BY54" s="39"/>
      <c r="BZ54" s="39"/>
      <c r="CA54" s="39"/>
      <c r="CB54" s="39"/>
      <c r="CC54" s="39"/>
      <c r="CD54" s="39"/>
      <c r="CE54" s="39"/>
      <c r="CF54" s="39"/>
      <c r="CG54" s="39"/>
      <c r="CH54" s="39"/>
      <c r="CI54" s="39"/>
      <c r="CJ54" s="39"/>
      <c r="CK54" s="39"/>
      <c r="CL54" s="39"/>
      <c r="CM54" s="39"/>
      <c r="CN54" s="39"/>
      <c r="CO54" s="39"/>
      <c r="CP54" s="39"/>
      <c r="CQ54" s="39"/>
      <c r="CR54" s="39"/>
      <c r="CS54" s="39"/>
      <c r="CT54" s="39"/>
      <c r="CU54" s="39"/>
      <c r="CV54" s="39"/>
      <c r="CW54" s="39"/>
      <c r="CX54" s="39"/>
      <c r="CY54" s="39"/>
      <c r="CZ54" s="39"/>
      <c r="DA54" s="39"/>
      <c r="DB54" s="39"/>
      <c r="DC54" s="39"/>
      <c r="DD54" s="39"/>
      <c r="DE54" s="39"/>
      <c r="DF54" s="39"/>
      <c r="DG54" s="39"/>
      <c r="DH54" s="39"/>
      <c r="DI54" s="39"/>
      <c r="DJ54" s="39"/>
      <c r="DK54" s="39"/>
      <c r="DL54" s="39"/>
      <c r="DM54" s="39"/>
      <c r="DN54" s="39"/>
      <c r="DO54" s="39"/>
      <c r="DP54" s="39"/>
      <c r="DQ54" s="39"/>
      <c r="DR54" s="39"/>
      <c r="DS54" s="39"/>
      <c r="DT54" s="39"/>
      <c r="DU54" s="39"/>
      <c r="DV54" s="39"/>
      <c r="DW54" s="39"/>
      <c r="DX54" s="39"/>
      <c r="DY54" s="39"/>
      <c r="DZ54" s="39"/>
      <c r="EA54" s="39"/>
      <c r="EB54" s="39"/>
      <c r="EC54" s="39"/>
      <c r="ED54" s="39"/>
      <c r="EE54" s="39"/>
      <c r="EF54" s="39"/>
      <c r="EG54" s="39"/>
      <c r="EH54" s="39"/>
      <c r="EI54" s="39"/>
      <c r="EJ54" s="39"/>
      <c r="EK54" s="39"/>
      <c r="EL54" s="39"/>
      <c r="EM54" s="39"/>
      <c r="EN54" s="39"/>
      <c r="EO54" s="39"/>
      <c r="EP54" s="39"/>
      <c r="EQ54" s="39"/>
      <c r="ER54" s="39"/>
      <c r="ES54" s="39"/>
      <c r="ET54" s="39"/>
      <c r="EU54" s="39"/>
      <c r="EV54" s="39"/>
      <c r="EW54" s="39"/>
      <c r="EX54" s="39"/>
      <c r="EY54" s="39"/>
      <c r="EZ54" s="39"/>
      <c r="FA54" s="39"/>
      <c r="FB54" s="39"/>
      <c r="FC54" s="39"/>
      <c r="FD54" s="39"/>
      <c r="FE54" s="39"/>
      <c r="FF54" s="39"/>
      <c r="FG54" s="39"/>
      <c r="FH54" s="39"/>
      <c r="FI54" s="39"/>
      <c r="FJ54" s="39"/>
      <c r="FK54" s="39"/>
      <c r="FL54" s="39"/>
      <c r="FM54" s="39"/>
      <c r="FN54" s="39"/>
      <c r="FO54" s="39"/>
      <c r="FP54" s="39"/>
      <c r="FQ54" s="39"/>
      <c r="FR54" s="39"/>
      <c r="FS54" s="39"/>
      <c r="FT54" s="39"/>
      <c r="FU54" s="39"/>
      <c r="FV54" s="39"/>
      <c r="FW54" s="39"/>
      <c r="FX54" s="39"/>
      <c r="FY54" s="39"/>
      <c r="FZ54" s="39"/>
      <c r="GA54" s="39"/>
      <c r="GB54" s="39"/>
      <c r="GC54" s="39"/>
      <c r="GD54" s="39"/>
      <c r="GE54" s="39"/>
      <c r="GF54" s="39"/>
      <c r="GG54" s="39"/>
      <c r="GH54" s="39"/>
      <c r="GI54" s="39"/>
      <c r="GJ54" s="39"/>
      <c r="GK54" s="39"/>
    </row>
    <row r="55" spans="1:193">
      <c r="A55" s="125" t="s">
        <v>93</v>
      </c>
      <c r="B55" s="125" t="s">
        <v>200</v>
      </c>
      <c r="C55" s="125"/>
      <c r="D55" s="125"/>
      <c r="E55" s="125" t="s">
        <v>171</v>
      </c>
      <c r="F55" s="128">
        <v>42413</v>
      </c>
      <c r="G55" s="125"/>
      <c r="H55" s="125"/>
      <c r="I55" s="113"/>
      <c r="J55" s="182"/>
      <c r="K55" s="157">
        <v>1285.71</v>
      </c>
      <c r="L55" s="129">
        <v>233</v>
      </c>
      <c r="M55" s="129"/>
      <c r="N55" s="129"/>
      <c r="O55" s="129"/>
      <c r="P55" s="115"/>
      <c r="Q55" s="116">
        <f t="shared" si="15"/>
        <v>1518.71</v>
      </c>
      <c r="R55" s="117"/>
      <c r="S55" s="118"/>
      <c r="T55" s="118">
        <v>0</v>
      </c>
      <c r="U55" s="118"/>
      <c r="V55" s="118"/>
      <c r="W55" s="118"/>
      <c r="X55" s="119"/>
      <c r="Y55" s="119"/>
      <c r="Z55" s="120"/>
      <c r="AA55" s="120">
        <v>0</v>
      </c>
      <c r="AB55" s="116">
        <f t="shared" si="16"/>
        <v>1518.71</v>
      </c>
      <c r="AC55" s="121">
        <f t="shared" si="8"/>
        <v>0</v>
      </c>
      <c r="AD55" s="116">
        <f t="shared" si="17"/>
        <v>1518.71</v>
      </c>
      <c r="AE55" s="122">
        <f t="shared" si="18"/>
        <v>151.87100000000001</v>
      </c>
      <c r="AF55" s="121">
        <v>10.23</v>
      </c>
      <c r="AG55" s="121">
        <f t="shared" si="19"/>
        <v>0</v>
      </c>
      <c r="AH55" s="123">
        <f t="shared" si="20"/>
        <v>1680.8110000000001</v>
      </c>
      <c r="AI55" s="237">
        <v>577.4</v>
      </c>
      <c r="AJ55" s="237">
        <v>941.31</v>
      </c>
      <c r="AK55" s="246">
        <f t="shared" si="7"/>
        <v>0</v>
      </c>
      <c r="AL55" s="125"/>
      <c r="AM55" s="201" t="s">
        <v>337</v>
      </c>
      <c r="BB55" s="39"/>
      <c r="BC55" s="39"/>
      <c r="BD55" s="39"/>
      <c r="BE55" s="39"/>
      <c r="BF55" s="39"/>
      <c r="BG55" s="39"/>
      <c r="BH55" s="39"/>
      <c r="BI55" s="39"/>
      <c r="BJ55" s="39"/>
      <c r="BK55" s="39"/>
      <c r="BL55" s="39"/>
      <c r="BM55" s="39"/>
      <c r="BN55" s="39"/>
      <c r="BO55" s="39"/>
      <c r="BP55" s="39"/>
      <c r="BQ55" s="39"/>
      <c r="BR55" s="39"/>
      <c r="BS55" s="39"/>
      <c r="BT55" s="39"/>
      <c r="BU55" s="39"/>
      <c r="BV55" s="39"/>
      <c r="BW55" s="39"/>
      <c r="BX55" s="39"/>
      <c r="BY55" s="39"/>
      <c r="BZ55" s="39"/>
      <c r="CA55" s="39"/>
      <c r="CB55" s="39"/>
      <c r="CC55" s="39"/>
      <c r="CD55" s="39"/>
      <c r="CE55" s="39"/>
      <c r="CF55" s="39"/>
      <c r="CG55" s="39"/>
      <c r="CH55" s="39"/>
      <c r="CI55" s="39"/>
      <c r="CJ55" s="39"/>
      <c r="CK55" s="39"/>
      <c r="CL55" s="39"/>
      <c r="CM55" s="39"/>
      <c r="CN55" s="39"/>
      <c r="CO55" s="39"/>
      <c r="CP55" s="39"/>
      <c r="CQ55" s="39"/>
      <c r="CR55" s="39"/>
      <c r="CS55" s="39"/>
      <c r="CT55" s="39"/>
      <c r="CU55" s="39"/>
      <c r="CV55" s="39"/>
      <c r="CW55" s="39"/>
      <c r="CX55" s="39"/>
      <c r="CY55" s="39"/>
      <c r="CZ55" s="39"/>
      <c r="DA55" s="39"/>
      <c r="DB55" s="39"/>
      <c r="DC55" s="39"/>
      <c r="DD55" s="39"/>
      <c r="DE55" s="39"/>
      <c r="DF55" s="39"/>
      <c r="DG55" s="39"/>
      <c r="DH55" s="39"/>
      <c r="DI55" s="39"/>
      <c r="DJ55" s="39"/>
      <c r="DK55" s="39"/>
      <c r="DL55" s="39"/>
      <c r="DM55" s="39"/>
      <c r="DN55" s="39"/>
      <c r="DO55" s="39"/>
      <c r="DP55" s="39"/>
      <c r="DQ55" s="39"/>
      <c r="DR55" s="39"/>
      <c r="DS55" s="39"/>
      <c r="DT55" s="39"/>
      <c r="DU55" s="39"/>
      <c r="DV55" s="39"/>
      <c r="DW55" s="39"/>
      <c r="DX55" s="39"/>
      <c r="DY55" s="39"/>
      <c r="DZ55" s="39"/>
      <c r="EA55" s="39"/>
      <c r="EB55" s="39"/>
      <c r="EC55" s="39"/>
      <c r="ED55" s="39"/>
      <c r="EE55" s="39"/>
      <c r="EF55" s="39"/>
      <c r="EG55" s="39"/>
      <c r="EH55" s="39"/>
      <c r="EI55" s="39"/>
      <c r="EJ55" s="39"/>
      <c r="EK55" s="39"/>
      <c r="EL55" s="39"/>
      <c r="EM55" s="39"/>
      <c r="EN55" s="39"/>
      <c r="EO55" s="39"/>
      <c r="EP55" s="39"/>
      <c r="EQ55" s="39"/>
      <c r="ER55" s="39"/>
      <c r="ES55" s="39"/>
      <c r="ET55" s="39"/>
      <c r="EU55" s="39"/>
      <c r="EV55" s="39"/>
      <c r="EW55" s="39"/>
      <c r="EX55" s="39"/>
      <c r="EY55" s="39"/>
      <c r="EZ55" s="39"/>
      <c r="FA55" s="39"/>
      <c r="FB55" s="39"/>
      <c r="FC55" s="39"/>
      <c r="FD55" s="39"/>
      <c r="FE55" s="39"/>
      <c r="FF55" s="39"/>
      <c r="FG55" s="39"/>
      <c r="FH55" s="39"/>
      <c r="FI55" s="39"/>
      <c r="FJ55" s="39"/>
      <c r="FK55" s="39"/>
      <c r="FL55" s="39"/>
      <c r="FM55" s="39"/>
      <c r="FN55" s="39"/>
      <c r="FO55" s="39"/>
      <c r="FP55" s="39"/>
      <c r="FQ55" s="39"/>
      <c r="FR55" s="39"/>
      <c r="FS55" s="39"/>
      <c r="FT55" s="39"/>
      <c r="FU55" s="39"/>
      <c r="FV55" s="39"/>
      <c r="FW55" s="39"/>
      <c r="FX55" s="39"/>
      <c r="FY55" s="39"/>
      <c r="FZ55" s="39"/>
      <c r="GA55" s="39"/>
      <c r="GB55" s="39"/>
      <c r="GC55" s="39"/>
      <c r="GD55" s="39"/>
      <c r="GE55" s="39"/>
      <c r="GF55" s="39"/>
      <c r="GG55" s="39"/>
      <c r="GH55" s="39"/>
      <c r="GI55" s="39"/>
      <c r="GJ55" s="39"/>
      <c r="GK55" s="39"/>
    </row>
    <row r="56" spans="1:193">
      <c r="A56" s="125" t="s">
        <v>71</v>
      </c>
      <c r="B56" s="111" t="s">
        <v>348</v>
      </c>
      <c r="C56" s="111" t="s">
        <v>254</v>
      </c>
      <c r="D56" s="111" t="s">
        <v>153</v>
      </c>
      <c r="E56" s="111" t="s">
        <v>73</v>
      </c>
      <c r="F56" s="111"/>
      <c r="G56" s="112"/>
      <c r="H56" s="112"/>
      <c r="I56" s="113">
        <v>513.33000000000004</v>
      </c>
      <c r="J56" s="180">
        <v>653.33000000000004</v>
      </c>
      <c r="K56" s="113">
        <f t="shared" si="14"/>
        <v>1166.6600000000001</v>
      </c>
      <c r="L56" s="113">
        <v>973.2</v>
      </c>
      <c r="M56" s="113"/>
      <c r="N56" s="114"/>
      <c r="O56" s="114"/>
      <c r="P56" s="115"/>
      <c r="Q56" s="116">
        <f t="shared" si="15"/>
        <v>2139.86</v>
      </c>
      <c r="R56" s="117"/>
      <c r="S56" s="118">
        <v>58.91</v>
      </c>
      <c r="T56" s="118">
        <v>0</v>
      </c>
      <c r="U56" s="118"/>
      <c r="V56" s="118"/>
      <c r="W56" s="118"/>
      <c r="X56" s="119"/>
      <c r="Y56" s="119"/>
      <c r="Z56" s="120"/>
      <c r="AA56" s="120">
        <v>0</v>
      </c>
      <c r="AB56" s="116">
        <f t="shared" si="16"/>
        <v>2080.9500000000003</v>
      </c>
      <c r="AC56" s="121">
        <f t="shared" si="8"/>
        <v>0</v>
      </c>
      <c r="AD56" s="116">
        <f t="shared" si="17"/>
        <v>2080.9500000000003</v>
      </c>
      <c r="AE56" s="122">
        <f t="shared" si="18"/>
        <v>213.98600000000002</v>
      </c>
      <c r="AF56" s="121">
        <v>10.23</v>
      </c>
      <c r="AG56" s="121">
        <f t="shared" si="19"/>
        <v>0</v>
      </c>
      <c r="AH56" s="123">
        <f t="shared" si="20"/>
        <v>2364.076</v>
      </c>
      <c r="AI56" s="237">
        <v>577.4</v>
      </c>
      <c r="AJ56" s="247">
        <v>1503.55</v>
      </c>
      <c r="AK56" s="246">
        <f t="shared" si="7"/>
        <v>0</v>
      </c>
      <c r="AL56" s="125"/>
      <c r="AM56" s="125"/>
      <c r="BB56" s="39"/>
      <c r="BC56" s="39"/>
      <c r="BD56" s="39"/>
      <c r="BE56" s="39"/>
      <c r="BF56" s="39"/>
      <c r="BG56" s="39"/>
      <c r="BH56" s="39"/>
      <c r="BI56" s="39"/>
      <c r="BJ56" s="39"/>
      <c r="BK56" s="39"/>
      <c r="BL56" s="39"/>
      <c r="BM56" s="39"/>
      <c r="BN56" s="39"/>
      <c r="BO56" s="39"/>
      <c r="BP56" s="39"/>
      <c r="BQ56" s="39"/>
      <c r="BR56" s="39"/>
      <c r="BS56" s="39"/>
      <c r="BT56" s="39"/>
      <c r="BU56" s="39"/>
      <c r="BV56" s="39"/>
      <c r="BW56" s="39"/>
      <c r="BX56" s="39"/>
      <c r="BY56" s="39"/>
      <c r="BZ56" s="39"/>
      <c r="CA56" s="39"/>
      <c r="CB56" s="39"/>
      <c r="CC56" s="39"/>
      <c r="CD56" s="39"/>
      <c r="CE56" s="39"/>
      <c r="CF56" s="39"/>
      <c r="CG56" s="39"/>
      <c r="CH56" s="39"/>
      <c r="CI56" s="39"/>
      <c r="CJ56" s="39"/>
      <c r="CK56" s="39"/>
      <c r="CL56" s="39"/>
      <c r="CM56" s="39"/>
      <c r="CN56" s="39"/>
      <c r="CO56" s="39"/>
      <c r="CP56" s="39"/>
      <c r="CQ56" s="39"/>
      <c r="CR56" s="39"/>
      <c r="CS56" s="39"/>
      <c r="CT56" s="39"/>
      <c r="CU56" s="39"/>
      <c r="CV56" s="39"/>
      <c r="CW56" s="39"/>
      <c r="CX56" s="39"/>
      <c r="CY56" s="39"/>
      <c r="CZ56" s="39"/>
      <c r="DA56" s="39"/>
      <c r="DB56" s="39"/>
      <c r="DC56" s="39"/>
      <c r="DD56" s="39"/>
      <c r="DE56" s="39"/>
      <c r="DF56" s="39"/>
      <c r="DG56" s="39"/>
      <c r="DH56" s="39"/>
      <c r="DI56" s="39"/>
      <c r="DJ56" s="39"/>
      <c r="DK56" s="39"/>
      <c r="DL56" s="39"/>
      <c r="DM56" s="39"/>
      <c r="DN56" s="39"/>
      <c r="DO56" s="39"/>
      <c r="DP56" s="39"/>
      <c r="DQ56" s="39"/>
      <c r="DR56" s="39"/>
      <c r="DS56" s="39"/>
      <c r="DT56" s="39"/>
      <c r="DU56" s="39"/>
      <c r="DV56" s="39"/>
      <c r="DW56" s="39"/>
      <c r="DX56" s="39"/>
      <c r="DY56" s="39"/>
      <c r="DZ56" s="39"/>
      <c r="EA56" s="39"/>
      <c r="EB56" s="39"/>
      <c r="EC56" s="39"/>
      <c r="ED56" s="39"/>
      <c r="EE56" s="39"/>
      <c r="EF56" s="39"/>
      <c r="EG56" s="39"/>
      <c r="EH56" s="39"/>
      <c r="EI56" s="39"/>
      <c r="EJ56" s="39"/>
      <c r="EK56" s="39"/>
      <c r="EL56" s="39"/>
      <c r="EM56" s="39"/>
      <c r="EN56" s="39"/>
      <c r="EO56" s="39"/>
      <c r="EP56" s="39"/>
      <c r="EQ56" s="39"/>
      <c r="ER56" s="39"/>
      <c r="ES56" s="39"/>
      <c r="ET56" s="39"/>
      <c r="EU56" s="39"/>
      <c r="EV56" s="39"/>
      <c r="EW56" s="39"/>
      <c r="EX56" s="39"/>
      <c r="EY56" s="39"/>
      <c r="EZ56" s="39"/>
      <c r="FA56" s="39"/>
      <c r="FB56" s="39"/>
      <c r="FC56" s="39"/>
      <c r="FD56" s="39"/>
      <c r="FE56" s="39"/>
      <c r="FF56" s="39"/>
      <c r="FG56" s="39"/>
      <c r="FH56" s="39"/>
      <c r="FI56" s="39"/>
      <c r="FJ56" s="39"/>
      <c r="FK56" s="39"/>
      <c r="FL56" s="39"/>
      <c r="FM56" s="39"/>
      <c r="FN56" s="39"/>
      <c r="FO56" s="39"/>
      <c r="FP56" s="39"/>
      <c r="FQ56" s="39"/>
      <c r="FR56" s="39"/>
      <c r="FS56" s="39"/>
      <c r="FT56" s="39"/>
      <c r="FU56" s="39"/>
      <c r="FV56" s="39"/>
      <c r="FW56" s="39"/>
      <c r="FX56" s="39"/>
      <c r="FY56" s="39"/>
      <c r="FZ56" s="39"/>
      <c r="GA56" s="39"/>
      <c r="GB56" s="39"/>
      <c r="GC56" s="39"/>
      <c r="GD56" s="39"/>
      <c r="GE56" s="39"/>
      <c r="GF56" s="39"/>
      <c r="GG56" s="39"/>
      <c r="GH56" s="39"/>
      <c r="GI56" s="39"/>
      <c r="GJ56" s="39"/>
      <c r="GK56" s="39"/>
    </row>
    <row r="57" spans="1:193">
      <c r="A57" s="125" t="s">
        <v>71</v>
      </c>
      <c r="B57" s="111" t="s">
        <v>221</v>
      </c>
      <c r="C57" s="111" t="s">
        <v>251</v>
      </c>
      <c r="D57" s="111">
        <v>30</v>
      </c>
      <c r="E57" s="111" t="s">
        <v>73</v>
      </c>
      <c r="F57" s="111"/>
      <c r="G57" s="112"/>
      <c r="H57" s="112"/>
      <c r="I57" s="129">
        <v>513.33000000000004</v>
      </c>
      <c r="J57" s="180">
        <v>653.33000000000004</v>
      </c>
      <c r="K57" s="113">
        <f t="shared" si="14"/>
        <v>1166.6600000000001</v>
      </c>
      <c r="L57" s="113">
        <v>2793.73</v>
      </c>
      <c r="M57" s="113"/>
      <c r="N57" s="114"/>
      <c r="O57" s="114"/>
      <c r="P57" s="115"/>
      <c r="Q57" s="116">
        <f t="shared" si="15"/>
        <v>3960.3900000000003</v>
      </c>
      <c r="R57" s="117"/>
      <c r="S57" s="118"/>
      <c r="T57" s="118">
        <v>0</v>
      </c>
      <c r="U57" s="118"/>
      <c r="V57" s="118"/>
      <c r="W57" s="118"/>
      <c r="X57" s="119"/>
      <c r="Y57" s="119"/>
      <c r="Z57" s="120"/>
      <c r="AA57" s="120">
        <v>0</v>
      </c>
      <c r="AB57" s="116">
        <f t="shared" si="16"/>
        <v>3960.3900000000003</v>
      </c>
      <c r="AC57" s="121">
        <f t="shared" si="8"/>
        <v>396.03900000000004</v>
      </c>
      <c r="AD57" s="116">
        <f t="shared" si="17"/>
        <v>3564.3510000000001</v>
      </c>
      <c r="AE57" s="122">
        <f t="shared" si="18"/>
        <v>0</v>
      </c>
      <c r="AF57" s="121">
        <v>10.23</v>
      </c>
      <c r="AG57" s="121">
        <f t="shared" si="19"/>
        <v>0</v>
      </c>
      <c r="AH57" s="123">
        <f t="shared" si="20"/>
        <v>3970.6200000000003</v>
      </c>
      <c r="AI57" s="248">
        <v>577.4</v>
      </c>
      <c r="AJ57" s="247">
        <v>2986.95</v>
      </c>
      <c r="AK57" s="246">
        <f t="shared" si="7"/>
        <v>-1.0000000002037268E-3</v>
      </c>
      <c r="AL57" s="125"/>
      <c r="AM57" s="125"/>
      <c r="BB57" s="39"/>
      <c r="BC57" s="39"/>
      <c r="BD57" s="39"/>
      <c r="BE57" s="39"/>
      <c r="BF57" s="39"/>
      <c r="BG57" s="39"/>
      <c r="BH57" s="39"/>
      <c r="BI57" s="39"/>
      <c r="BJ57" s="39"/>
      <c r="BK57" s="39"/>
      <c r="BL57" s="39"/>
      <c r="BM57" s="39"/>
      <c r="BN57" s="39"/>
      <c r="BO57" s="39"/>
      <c r="BP57" s="39"/>
      <c r="BQ57" s="39"/>
      <c r="BR57" s="39"/>
      <c r="BS57" s="39"/>
      <c r="BT57" s="39"/>
      <c r="BU57" s="39"/>
      <c r="BV57" s="39"/>
      <c r="BW57" s="39"/>
      <c r="BX57" s="39"/>
      <c r="BY57" s="39"/>
      <c r="BZ57" s="39"/>
      <c r="CA57" s="39"/>
      <c r="CB57" s="39"/>
      <c r="CC57" s="39"/>
      <c r="CD57" s="39"/>
      <c r="CE57" s="39"/>
      <c r="CF57" s="39"/>
      <c r="CG57" s="39"/>
      <c r="CH57" s="39"/>
      <c r="CI57" s="39"/>
      <c r="CJ57" s="39"/>
      <c r="CK57" s="39"/>
      <c r="CL57" s="39"/>
      <c r="CM57" s="39"/>
      <c r="CN57" s="39"/>
      <c r="CO57" s="39"/>
      <c r="CP57" s="39"/>
      <c r="CQ57" s="39"/>
      <c r="CR57" s="39"/>
      <c r="CS57" s="39"/>
      <c r="CT57" s="39"/>
      <c r="CU57" s="39"/>
      <c r="CV57" s="39"/>
      <c r="CW57" s="39"/>
      <c r="CX57" s="39"/>
      <c r="CY57" s="39"/>
      <c r="CZ57" s="39"/>
      <c r="DA57" s="39"/>
      <c r="DB57" s="39"/>
      <c r="DC57" s="39"/>
      <c r="DD57" s="39"/>
      <c r="DE57" s="39"/>
      <c r="DF57" s="39"/>
      <c r="DG57" s="39"/>
      <c r="DH57" s="39"/>
      <c r="DI57" s="39"/>
      <c r="DJ57" s="39"/>
      <c r="DK57" s="39"/>
      <c r="DL57" s="39"/>
      <c r="DM57" s="39"/>
      <c r="DN57" s="39"/>
      <c r="DO57" s="39"/>
      <c r="DP57" s="39"/>
      <c r="DQ57" s="39"/>
      <c r="DR57" s="39"/>
      <c r="DS57" s="39"/>
      <c r="DT57" s="39"/>
      <c r="DU57" s="39"/>
      <c r="DV57" s="39"/>
      <c r="DW57" s="39"/>
      <c r="DX57" s="39"/>
      <c r="DY57" s="39"/>
      <c r="DZ57" s="39"/>
      <c r="EA57" s="39"/>
      <c r="EB57" s="39"/>
      <c r="EC57" s="39"/>
      <c r="ED57" s="39"/>
      <c r="EE57" s="39"/>
      <c r="EF57" s="39"/>
      <c r="EG57" s="39"/>
      <c r="EH57" s="39"/>
      <c r="EI57" s="39"/>
      <c r="EJ57" s="39"/>
      <c r="EK57" s="39"/>
      <c r="EL57" s="39"/>
      <c r="EM57" s="39"/>
      <c r="EN57" s="39"/>
      <c r="EO57" s="39"/>
      <c r="EP57" s="39"/>
      <c r="EQ57" s="39"/>
      <c r="ER57" s="39"/>
      <c r="ES57" s="39"/>
      <c r="ET57" s="39"/>
      <c r="EU57" s="39"/>
      <c r="EV57" s="39"/>
      <c r="EW57" s="39"/>
      <c r="EX57" s="39"/>
      <c r="EY57" s="39"/>
      <c r="EZ57" s="39"/>
      <c r="FA57" s="39"/>
      <c r="FB57" s="39"/>
      <c r="FC57" s="39"/>
      <c r="FD57" s="39"/>
      <c r="FE57" s="39"/>
      <c r="FF57" s="39"/>
      <c r="FG57" s="39"/>
      <c r="FH57" s="39"/>
      <c r="FI57" s="39"/>
      <c r="FJ57" s="39"/>
      <c r="FK57" s="39"/>
      <c r="FL57" s="39"/>
      <c r="FM57" s="39"/>
      <c r="FN57" s="39"/>
      <c r="FO57" s="39"/>
      <c r="FP57" s="39"/>
      <c r="FQ57" s="39"/>
      <c r="FR57" s="39"/>
      <c r="FS57" s="39"/>
      <c r="FT57" s="39"/>
      <c r="FU57" s="39"/>
      <c r="FV57" s="39"/>
      <c r="FW57" s="39"/>
      <c r="FX57" s="39"/>
      <c r="FY57" s="39"/>
      <c r="FZ57" s="39"/>
      <c r="GA57" s="39"/>
      <c r="GB57" s="39"/>
      <c r="GC57" s="39"/>
      <c r="GD57" s="39"/>
      <c r="GE57" s="39"/>
      <c r="GF57" s="39"/>
      <c r="GG57" s="39"/>
      <c r="GH57" s="39"/>
      <c r="GI57" s="39"/>
      <c r="GJ57" s="39"/>
      <c r="GK57" s="39"/>
    </row>
    <row r="58" spans="1:193">
      <c r="A58" s="125" t="s">
        <v>71</v>
      </c>
      <c r="B58" s="111" t="s">
        <v>216</v>
      </c>
      <c r="C58" s="111" t="s">
        <v>249</v>
      </c>
      <c r="D58" s="111" t="s">
        <v>155</v>
      </c>
      <c r="E58" s="111" t="s">
        <v>73</v>
      </c>
      <c r="F58" s="133">
        <v>42408</v>
      </c>
      <c r="G58" s="112"/>
      <c r="H58" s="112"/>
      <c r="I58" s="113">
        <v>513.33000000000004</v>
      </c>
      <c r="J58" s="178">
        <v>653.33000000000004</v>
      </c>
      <c r="K58" s="113">
        <f t="shared" si="14"/>
        <v>1166.6600000000001</v>
      </c>
      <c r="L58" s="113">
        <v>3371.8</v>
      </c>
      <c r="M58" s="113"/>
      <c r="N58" s="114"/>
      <c r="O58" s="114"/>
      <c r="P58" s="115"/>
      <c r="Q58" s="116">
        <f t="shared" si="15"/>
        <v>4538.46</v>
      </c>
      <c r="R58" s="117"/>
      <c r="S58" s="118"/>
      <c r="T58" s="118">
        <v>0</v>
      </c>
      <c r="U58" s="118"/>
      <c r="V58" s="118"/>
      <c r="W58" s="118"/>
      <c r="X58" s="119"/>
      <c r="Y58" s="119"/>
      <c r="Z58" s="131"/>
      <c r="AA58" s="149">
        <v>875.69</v>
      </c>
      <c r="AB58" s="116">
        <f t="shared" si="16"/>
        <v>3662.77</v>
      </c>
      <c r="AC58" s="121">
        <f t="shared" si="8"/>
        <v>453.846</v>
      </c>
      <c r="AD58" s="116">
        <f t="shared" si="17"/>
        <v>3208.924</v>
      </c>
      <c r="AE58" s="122">
        <f t="shared" si="18"/>
        <v>0</v>
      </c>
      <c r="AF58" s="121">
        <v>10.23</v>
      </c>
      <c r="AG58" s="121">
        <f t="shared" si="19"/>
        <v>0</v>
      </c>
      <c r="AH58" s="123">
        <f t="shared" si="20"/>
        <v>4548.6899999999996</v>
      </c>
      <c r="AI58" s="237">
        <v>577.4</v>
      </c>
      <c r="AJ58" s="247">
        <v>2631.52</v>
      </c>
      <c r="AK58" s="246">
        <f t="shared" si="7"/>
        <v>-3.9999999999054126E-3</v>
      </c>
      <c r="AL58" s="125"/>
      <c r="AM58" s="125"/>
      <c r="BB58" s="39"/>
      <c r="BC58" s="39"/>
      <c r="BD58" s="39"/>
      <c r="BE58" s="39"/>
      <c r="BF58" s="39"/>
      <c r="BG58" s="39"/>
      <c r="BH58" s="39"/>
      <c r="BI58" s="39"/>
      <c r="BJ58" s="39"/>
      <c r="BK58" s="39"/>
      <c r="BL58" s="39"/>
      <c r="BM58" s="39"/>
      <c r="BN58" s="39"/>
      <c r="BO58" s="39"/>
      <c r="BP58" s="39"/>
      <c r="BQ58" s="39"/>
      <c r="BR58" s="39"/>
      <c r="BS58" s="39"/>
      <c r="BT58" s="39"/>
      <c r="BU58" s="39"/>
      <c r="BV58" s="39"/>
      <c r="BW58" s="39"/>
      <c r="BX58" s="39"/>
      <c r="BY58" s="39"/>
      <c r="BZ58" s="39"/>
      <c r="CA58" s="39"/>
      <c r="CB58" s="39"/>
      <c r="CC58" s="39"/>
      <c r="CD58" s="39"/>
      <c r="CE58" s="39"/>
      <c r="CF58" s="39"/>
      <c r="CG58" s="39"/>
      <c r="CH58" s="39"/>
      <c r="CI58" s="39"/>
      <c r="CJ58" s="39"/>
      <c r="CK58" s="39"/>
      <c r="CL58" s="39"/>
      <c r="CM58" s="39"/>
      <c r="CN58" s="39"/>
      <c r="CO58" s="39"/>
      <c r="CP58" s="39"/>
      <c r="CQ58" s="39"/>
      <c r="CR58" s="39"/>
      <c r="CS58" s="39"/>
      <c r="CT58" s="39"/>
      <c r="CU58" s="39"/>
      <c r="CV58" s="39"/>
      <c r="CW58" s="39"/>
      <c r="CX58" s="39"/>
      <c r="CY58" s="39"/>
      <c r="CZ58" s="39"/>
      <c r="DA58" s="39"/>
      <c r="DB58" s="39"/>
      <c r="DC58" s="39"/>
      <c r="DD58" s="39"/>
      <c r="DE58" s="39"/>
      <c r="DF58" s="39"/>
      <c r="DG58" s="39"/>
      <c r="DH58" s="39"/>
      <c r="DI58" s="39"/>
      <c r="DJ58" s="39"/>
      <c r="DK58" s="39"/>
      <c r="DL58" s="39"/>
      <c r="DM58" s="39"/>
      <c r="DN58" s="39"/>
      <c r="DO58" s="39"/>
      <c r="DP58" s="39"/>
      <c r="DQ58" s="39"/>
      <c r="DR58" s="39"/>
      <c r="DS58" s="39"/>
      <c r="DT58" s="39"/>
      <c r="DU58" s="39"/>
      <c r="DV58" s="39"/>
      <c r="DW58" s="39"/>
      <c r="DX58" s="39"/>
      <c r="DY58" s="39"/>
      <c r="DZ58" s="39"/>
      <c r="EA58" s="39"/>
      <c r="EB58" s="39"/>
      <c r="EC58" s="39"/>
      <c r="ED58" s="39"/>
      <c r="EE58" s="39"/>
      <c r="EF58" s="39"/>
      <c r="EG58" s="39"/>
      <c r="EH58" s="39"/>
      <c r="EI58" s="39"/>
      <c r="EJ58" s="39"/>
      <c r="EK58" s="39"/>
      <c r="EL58" s="39"/>
      <c r="EM58" s="39"/>
      <c r="EN58" s="39"/>
      <c r="EO58" s="39"/>
      <c r="EP58" s="39"/>
      <c r="EQ58" s="39"/>
      <c r="ER58" s="39"/>
      <c r="ES58" s="39"/>
      <c r="ET58" s="39"/>
      <c r="EU58" s="39"/>
      <c r="EV58" s="39"/>
      <c r="EW58" s="39"/>
      <c r="EX58" s="39"/>
      <c r="EY58" s="39"/>
      <c r="EZ58" s="39"/>
      <c r="FA58" s="39"/>
      <c r="FB58" s="39"/>
      <c r="FC58" s="39"/>
      <c r="FD58" s="39"/>
      <c r="FE58" s="39"/>
      <c r="FF58" s="39"/>
      <c r="FG58" s="39"/>
      <c r="FH58" s="39"/>
      <c r="FI58" s="39"/>
      <c r="FJ58" s="39"/>
      <c r="FK58" s="39"/>
      <c r="FL58" s="39"/>
      <c r="FM58" s="39"/>
      <c r="FN58" s="39"/>
      <c r="FO58" s="39"/>
      <c r="FP58" s="39"/>
      <c r="FQ58" s="39"/>
      <c r="FR58" s="39"/>
      <c r="FS58" s="39"/>
      <c r="FT58" s="39"/>
      <c r="FU58" s="39"/>
      <c r="FV58" s="39"/>
      <c r="FW58" s="39"/>
      <c r="FX58" s="39"/>
      <c r="FY58" s="39"/>
      <c r="FZ58" s="39"/>
      <c r="GA58" s="39"/>
      <c r="GB58" s="39"/>
      <c r="GC58" s="39"/>
      <c r="GD58" s="39"/>
      <c r="GE58" s="39"/>
      <c r="GF58" s="39"/>
      <c r="GG58" s="39"/>
      <c r="GH58" s="39"/>
      <c r="GI58" s="39"/>
      <c r="GJ58" s="39"/>
      <c r="GK58" s="39"/>
    </row>
    <row r="59" spans="1:193" s="84" customFormat="1">
      <c r="A59" s="125" t="s">
        <v>70</v>
      </c>
      <c r="B59" s="111" t="s">
        <v>225</v>
      </c>
      <c r="C59" s="125" t="s">
        <v>301</v>
      </c>
      <c r="D59" s="111" t="s">
        <v>124</v>
      </c>
      <c r="E59" s="111" t="s">
        <v>173</v>
      </c>
      <c r="F59" s="133">
        <v>42352</v>
      </c>
      <c r="G59" s="112"/>
      <c r="H59" s="112"/>
      <c r="I59" s="113">
        <v>513.33000000000004</v>
      </c>
      <c r="J59" s="178"/>
      <c r="K59" s="113">
        <f t="shared" si="14"/>
        <v>513.33000000000004</v>
      </c>
      <c r="L59" s="113">
        <v>1606.07</v>
      </c>
      <c r="M59" s="113"/>
      <c r="N59" s="114"/>
      <c r="O59" s="114"/>
      <c r="P59" s="115"/>
      <c r="Q59" s="116">
        <f t="shared" si="15"/>
        <v>2119.4</v>
      </c>
      <c r="R59" s="117"/>
      <c r="S59" s="118"/>
      <c r="T59" s="118">
        <v>0</v>
      </c>
      <c r="U59" s="118"/>
      <c r="V59" s="118"/>
      <c r="W59" s="118"/>
      <c r="X59" s="132">
        <v>532.29999999999995</v>
      </c>
      <c r="Y59" s="119"/>
      <c r="Z59" s="120"/>
      <c r="AA59" s="120">
        <v>0</v>
      </c>
      <c r="AB59" s="116">
        <f t="shared" si="16"/>
        <v>1587.1000000000001</v>
      </c>
      <c r="AC59" s="121">
        <f t="shared" si="8"/>
        <v>0</v>
      </c>
      <c r="AD59" s="116">
        <f t="shared" si="17"/>
        <v>1587.1000000000001</v>
      </c>
      <c r="AE59" s="122">
        <f t="shared" si="18"/>
        <v>211.94000000000003</v>
      </c>
      <c r="AF59" s="121">
        <v>10.23</v>
      </c>
      <c r="AG59" s="121">
        <f t="shared" si="19"/>
        <v>0</v>
      </c>
      <c r="AH59" s="123">
        <f t="shared" si="20"/>
        <v>2341.5700000000002</v>
      </c>
      <c r="AI59" s="237">
        <v>45.1</v>
      </c>
      <c r="AJ59" s="247">
        <v>1542</v>
      </c>
      <c r="AK59" s="246">
        <f t="shared" si="7"/>
        <v>0</v>
      </c>
      <c r="AL59" s="125"/>
      <c r="AM59" s="125"/>
      <c r="AN59" s="39"/>
      <c r="AO59" s="39"/>
      <c r="AP59" s="39"/>
      <c r="AQ59" s="39"/>
      <c r="AR59" s="39"/>
      <c r="AS59" s="39"/>
      <c r="AT59" s="39"/>
      <c r="AU59" s="39"/>
      <c r="AV59" s="39"/>
      <c r="AW59" s="39"/>
      <c r="AX59" s="39"/>
      <c r="AY59" s="39"/>
      <c r="AZ59" s="39"/>
      <c r="BA59" s="39"/>
      <c r="BB59" s="39"/>
      <c r="BC59" s="39"/>
      <c r="BD59" s="39"/>
      <c r="BE59" s="39"/>
      <c r="BF59" s="39"/>
      <c r="BG59" s="39"/>
      <c r="BH59" s="39"/>
      <c r="BI59" s="39"/>
      <c r="BJ59" s="39"/>
      <c r="BK59" s="39"/>
      <c r="BL59" s="39"/>
      <c r="BM59" s="39"/>
      <c r="BN59" s="39"/>
      <c r="BO59" s="39"/>
      <c r="BP59" s="39"/>
      <c r="BQ59" s="39"/>
      <c r="BR59" s="39"/>
      <c r="BS59" s="39"/>
      <c r="BT59" s="39"/>
      <c r="BU59" s="39"/>
      <c r="BV59" s="39"/>
      <c r="BW59" s="39"/>
      <c r="BX59" s="39"/>
      <c r="BY59" s="39"/>
      <c r="BZ59" s="39"/>
      <c r="CA59" s="39"/>
      <c r="CB59" s="39"/>
      <c r="CC59" s="39"/>
      <c r="CD59" s="39"/>
      <c r="CE59" s="39"/>
      <c r="CF59" s="39"/>
      <c r="CG59" s="39"/>
      <c r="CH59" s="39"/>
      <c r="CI59" s="39"/>
      <c r="CJ59" s="39"/>
      <c r="CK59" s="39"/>
      <c r="CL59" s="39"/>
      <c r="CM59" s="39"/>
      <c r="CN59" s="39"/>
      <c r="CO59" s="39"/>
      <c r="CP59" s="39"/>
      <c r="CQ59" s="39"/>
      <c r="CR59" s="39"/>
      <c r="CS59" s="39"/>
      <c r="CT59" s="39"/>
      <c r="CU59" s="39"/>
      <c r="CV59" s="39"/>
      <c r="CW59" s="39"/>
      <c r="CX59" s="39"/>
      <c r="CY59" s="39"/>
      <c r="CZ59" s="39"/>
      <c r="DA59" s="39"/>
      <c r="DB59" s="39"/>
      <c r="DC59" s="39"/>
      <c r="DD59" s="39"/>
      <c r="DE59" s="39"/>
      <c r="DF59" s="39"/>
      <c r="DG59" s="39"/>
      <c r="DH59" s="39"/>
      <c r="DI59" s="39"/>
      <c r="DJ59" s="39"/>
      <c r="DK59" s="39"/>
      <c r="DL59" s="39"/>
      <c r="DM59" s="39"/>
      <c r="DN59" s="39"/>
      <c r="DO59" s="39"/>
      <c r="DP59" s="39"/>
      <c r="DQ59" s="39"/>
      <c r="DR59" s="39"/>
      <c r="DS59" s="39"/>
      <c r="DT59" s="39"/>
      <c r="DU59" s="39"/>
      <c r="DV59" s="39"/>
      <c r="DW59" s="39"/>
      <c r="DX59" s="39"/>
      <c r="DY59" s="39"/>
      <c r="DZ59" s="39"/>
      <c r="EA59" s="39"/>
      <c r="EB59" s="39"/>
      <c r="EC59" s="39"/>
      <c r="ED59" s="39"/>
      <c r="EE59" s="39"/>
      <c r="EF59" s="39"/>
      <c r="EG59" s="39"/>
      <c r="EH59" s="39"/>
      <c r="EI59" s="39"/>
      <c r="EJ59" s="39"/>
      <c r="EK59" s="39"/>
      <c r="EL59" s="39"/>
      <c r="EM59" s="39"/>
      <c r="EN59" s="39"/>
      <c r="EO59" s="39"/>
      <c r="EP59" s="39"/>
      <c r="EQ59" s="39"/>
      <c r="ER59" s="39"/>
      <c r="ES59" s="39"/>
      <c r="ET59" s="39"/>
      <c r="EU59" s="39"/>
      <c r="EV59" s="39"/>
      <c r="EW59" s="39"/>
      <c r="EX59" s="39"/>
      <c r="EY59" s="39"/>
      <c r="EZ59" s="39"/>
      <c r="FA59" s="39"/>
      <c r="FB59" s="39"/>
      <c r="FC59" s="39"/>
      <c r="FD59" s="39"/>
      <c r="FE59" s="39"/>
      <c r="FF59" s="39"/>
      <c r="FG59" s="39"/>
      <c r="FH59" s="39"/>
      <c r="FI59" s="39"/>
      <c r="FJ59" s="39"/>
      <c r="FK59" s="39"/>
      <c r="FL59" s="39"/>
      <c r="FM59" s="39"/>
      <c r="FN59" s="39"/>
      <c r="FO59" s="39"/>
      <c r="FP59" s="39"/>
      <c r="FQ59" s="39"/>
      <c r="FR59" s="39"/>
      <c r="FS59" s="39"/>
      <c r="FT59" s="39"/>
      <c r="FU59" s="39"/>
      <c r="FV59" s="39"/>
      <c r="FW59" s="39"/>
      <c r="FX59" s="39"/>
      <c r="FY59" s="39"/>
      <c r="FZ59" s="39"/>
      <c r="GA59" s="39"/>
      <c r="GB59" s="39"/>
      <c r="GC59" s="39"/>
      <c r="GD59" s="39"/>
      <c r="GE59" s="39"/>
      <c r="GF59" s="39"/>
      <c r="GG59" s="39"/>
      <c r="GH59" s="39"/>
      <c r="GI59" s="39"/>
      <c r="GJ59" s="39"/>
      <c r="GK59" s="39"/>
    </row>
    <row r="60" spans="1:193" s="84" customFormat="1">
      <c r="A60" s="125" t="s">
        <v>94</v>
      </c>
      <c r="B60" s="125" t="s">
        <v>298</v>
      </c>
      <c r="C60" s="125"/>
      <c r="D60" s="138"/>
      <c r="E60" s="125" t="s">
        <v>174</v>
      </c>
      <c r="F60" s="128">
        <v>42430</v>
      </c>
      <c r="G60" s="125"/>
      <c r="H60" s="125"/>
      <c r="I60" s="129">
        <v>608.16</v>
      </c>
      <c r="J60" s="179"/>
      <c r="K60" s="129">
        <f t="shared" si="14"/>
        <v>608.16</v>
      </c>
      <c r="L60" s="129">
        <v>524.1</v>
      </c>
      <c r="M60" s="129"/>
      <c r="N60" s="129"/>
      <c r="O60" s="129"/>
      <c r="P60" s="115"/>
      <c r="Q60" s="116">
        <f t="shared" si="15"/>
        <v>1132.26</v>
      </c>
      <c r="R60" s="117"/>
      <c r="S60" s="118"/>
      <c r="T60" s="118"/>
      <c r="U60" s="118"/>
      <c r="V60" s="118"/>
      <c r="W60" s="118"/>
      <c r="X60" s="119"/>
      <c r="Y60" s="119"/>
      <c r="Z60" s="120"/>
      <c r="AA60" s="120">
        <v>0</v>
      </c>
      <c r="AB60" s="116">
        <f t="shared" si="16"/>
        <v>1132.26</v>
      </c>
      <c r="AC60" s="121">
        <f t="shared" si="8"/>
        <v>0</v>
      </c>
      <c r="AD60" s="116">
        <f t="shared" si="17"/>
        <v>1132.26</v>
      </c>
      <c r="AE60" s="122">
        <f t="shared" si="18"/>
        <v>113.226</v>
      </c>
      <c r="AF60" s="121">
        <v>10.23</v>
      </c>
      <c r="AG60" s="121">
        <f t="shared" si="19"/>
        <v>0</v>
      </c>
      <c r="AH60" s="123">
        <f t="shared" si="20"/>
        <v>1255.7159999999999</v>
      </c>
      <c r="AI60" s="248">
        <v>577.4</v>
      </c>
      <c r="AJ60" s="237">
        <v>554.86</v>
      </c>
      <c r="AK60" s="246">
        <f t="shared" si="7"/>
        <v>0</v>
      </c>
      <c r="AL60" s="125"/>
      <c r="AM60" s="139"/>
      <c r="AN60" s="39"/>
      <c r="AO60" s="39"/>
      <c r="AP60" s="39"/>
      <c r="AQ60" s="39"/>
      <c r="AR60" s="39"/>
      <c r="AS60" s="39"/>
      <c r="AT60" s="39"/>
      <c r="AU60" s="39"/>
      <c r="AV60" s="39"/>
      <c r="AW60" s="39"/>
      <c r="AX60" s="39"/>
      <c r="AY60" s="39"/>
      <c r="AZ60" s="39"/>
      <c r="BA60" s="39"/>
      <c r="BB60" s="39"/>
      <c r="BC60" s="39"/>
      <c r="BD60" s="39"/>
      <c r="BE60" s="39"/>
      <c r="BF60" s="39"/>
      <c r="BG60" s="39"/>
      <c r="BH60" s="39"/>
      <c r="BI60" s="39"/>
      <c r="BJ60" s="39"/>
      <c r="BK60" s="39"/>
      <c r="BL60" s="39"/>
      <c r="BM60" s="39"/>
      <c r="BN60" s="39"/>
      <c r="BO60" s="39"/>
      <c r="BP60" s="39"/>
      <c r="BQ60" s="39"/>
      <c r="BR60" s="39"/>
      <c r="BS60" s="39"/>
      <c r="BT60" s="39"/>
      <c r="BU60" s="39"/>
      <c r="BV60" s="39"/>
      <c r="BW60" s="39"/>
      <c r="BX60" s="39"/>
      <c r="BY60" s="39"/>
      <c r="BZ60" s="39"/>
      <c r="CA60" s="39"/>
      <c r="CB60" s="39"/>
      <c r="CC60" s="39"/>
      <c r="CD60" s="39"/>
      <c r="CE60" s="39"/>
      <c r="CF60" s="39"/>
      <c r="CG60" s="39"/>
      <c r="CH60" s="39"/>
      <c r="CI60" s="39"/>
      <c r="CJ60" s="39"/>
      <c r="CK60" s="39"/>
      <c r="CL60" s="39"/>
      <c r="CM60" s="39"/>
      <c r="CN60" s="39"/>
      <c r="CO60" s="39"/>
      <c r="CP60" s="39"/>
      <c r="CQ60" s="39"/>
      <c r="CR60" s="39"/>
      <c r="CS60" s="39"/>
      <c r="CT60" s="39"/>
      <c r="CU60" s="39"/>
      <c r="CV60" s="39"/>
      <c r="CW60" s="39"/>
      <c r="CX60" s="39"/>
      <c r="CY60" s="39"/>
      <c r="CZ60" s="39"/>
      <c r="DA60" s="39"/>
      <c r="DB60" s="39"/>
      <c r="DC60" s="39"/>
      <c r="DD60" s="39"/>
      <c r="DE60" s="39"/>
      <c r="DF60" s="39"/>
      <c r="DG60" s="39"/>
      <c r="DH60" s="39"/>
      <c r="DI60" s="39"/>
      <c r="DJ60" s="39"/>
      <c r="DK60" s="39"/>
      <c r="DL60" s="39"/>
      <c r="DM60" s="39"/>
      <c r="DN60" s="39"/>
      <c r="DO60" s="39"/>
      <c r="DP60" s="39"/>
      <c r="DQ60" s="39"/>
      <c r="DR60" s="39"/>
      <c r="DS60" s="39"/>
      <c r="DT60" s="39"/>
      <c r="DU60" s="39"/>
      <c r="DV60" s="39"/>
      <c r="DW60" s="39"/>
      <c r="DX60" s="39"/>
      <c r="DY60" s="39"/>
      <c r="DZ60" s="39"/>
      <c r="EA60" s="39"/>
      <c r="EB60" s="39"/>
      <c r="EC60" s="39"/>
      <c r="ED60" s="39"/>
      <c r="EE60" s="39"/>
      <c r="EF60" s="39"/>
      <c r="EG60" s="39"/>
      <c r="EH60" s="39"/>
      <c r="EI60" s="39"/>
      <c r="EJ60" s="39"/>
      <c r="EK60" s="39"/>
      <c r="EL60" s="39"/>
      <c r="EM60" s="39"/>
      <c r="EN60" s="39"/>
      <c r="EO60" s="39"/>
      <c r="EP60" s="39"/>
      <c r="EQ60" s="39"/>
      <c r="ER60" s="39"/>
      <c r="ES60" s="39"/>
      <c r="ET60" s="39"/>
      <c r="EU60" s="39"/>
      <c r="EV60" s="39"/>
      <c r="EW60" s="39"/>
      <c r="EX60" s="39"/>
      <c r="EY60" s="39"/>
      <c r="EZ60" s="39"/>
      <c r="FA60" s="39"/>
      <c r="FB60" s="39"/>
      <c r="FC60" s="39"/>
      <c r="FD60" s="39"/>
      <c r="FE60" s="39"/>
      <c r="FF60" s="39"/>
      <c r="FG60" s="39"/>
      <c r="FH60" s="39"/>
      <c r="FI60" s="39"/>
      <c r="FJ60" s="39"/>
      <c r="FK60" s="39"/>
      <c r="FL60" s="39"/>
      <c r="FM60" s="39"/>
      <c r="FN60" s="39"/>
      <c r="FO60" s="39"/>
      <c r="FP60" s="39"/>
      <c r="FQ60" s="39"/>
      <c r="FR60" s="39"/>
      <c r="FS60" s="39"/>
      <c r="FT60" s="39"/>
      <c r="FU60" s="39"/>
      <c r="FV60" s="39"/>
      <c r="FW60" s="39"/>
      <c r="FX60" s="39"/>
      <c r="FY60" s="39"/>
      <c r="FZ60" s="39"/>
      <c r="GA60" s="39"/>
      <c r="GB60" s="39"/>
      <c r="GC60" s="39"/>
      <c r="GD60" s="39"/>
      <c r="GE60" s="39"/>
      <c r="GF60" s="39"/>
      <c r="GG60" s="39"/>
      <c r="GH60" s="39"/>
      <c r="GI60" s="39"/>
      <c r="GJ60" s="39"/>
      <c r="GK60" s="39"/>
    </row>
    <row r="61" spans="1:193">
      <c r="A61" s="125" t="s">
        <v>94</v>
      </c>
      <c r="B61" s="125" t="s">
        <v>305</v>
      </c>
      <c r="C61" s="125"/>
      <c r="D61" s="125"/>
      <c r="E61" s="125" t="s">
        <v>174</v>
      </c>
      <c r="F61" s="128">
        <v>42444</v>
      </c>
      <c r="G61" s="125"/>
      <c r="H61" s="125"/>
      <c r="I61" s="129">
        <v>608.16</v>
      </c>
      <c r="J61" s="178"/>
      <c r="K61" s="129">
        <f t="shared" si="14"/>
        <v>608.16</v>
      </c>
      <c r="L61" s="129">
        <v>783.2</v>
      </c>
      <c r="M61" s="129"/>
      <c r="N61" s="129"/>
      <c r="O61" s="129"/>
      <c r="P61" s="115"/>
      <c r="Q61" s="116">
        <f t="shared" si="15"/>
        <v>1391.3600000000001</v>
      </c>
      <c r="R61" s="117"/>
      <c r="S61" s="118"/>
      <c r="T61" s="118"/>
      <c r="U61" s="118"/>
      <c r="V61" s="118"/>
      <c r="W61" s="118"/>
      <c r="X61" s="119"/>
      <c r="Y61" s="119"/>
      <c r="Z61" s="120"/>
      <c r="AA61" s="120"/>
      <c r="AB61" s="116">
        <f t="shared" si="16"/>
        <v>1391.3600000000001</v>
      </c>
      <c r="AC61" s="121">
        <f t="shared" si="8"/>
        <v>0</v>
      </c>
      <c r="AD61" s="116">
        <f t="shared" si="17"/>
        <v>1391.3600000000001</v>
      </c>
      <c r="AE61" s="122">
        <f t="shared" si="18"/>
        <v>139.13600000000002</v>
      </c>
      <c r="AF61" s="121">
        <v>10.23</v>
      </c>
      <c r="AG61" s="121">
        <f t="shared" si="19"/>
        <v>0</v>
      </c>
      <c r="AH61" s="123">
        <f t="shared" si="20"/>
        <v>1540.7260000000001</v>
      </c>
      <c r="AI61" s="248">
        <v>577.4</v>
      </c>
      <c r="AJ61" s="237">
        <v>813.96</v>
      </c>
      <c r="AK61" s="246">
        <f t="shared" si="7"/>
        <v>0</v>
      </c>
      <c r="AL61" s="148">
        <v>1159718206</v>
      </c>
      <c r="AM61" s="148"/>
      <c r="BB61" s="39"/>
      <c r="BC61" s="39"/>
      <c r="BD61" s="39"/>
      <c r="BE61" s="39"/>
      <c r="BF61" s="39"/>
      <c r="BG61" s="39"/>
      <c r="BH61" s="39"/>
      <c r="BI61" s="39"/>
      <c r="BJ61" s="39"/>
      <c r="BK61" s="39"/>
      <c r="BL61" s="39"/>
      <c r="BM61" s="39"/>
      <c r="BN61" s="39"/>
      <c r="BO61" s="39"/>
      <c r="BP61" s="39"/>
      <c r="BQ61" s="39"/>
      <c r="BR61" s="39"/>
      <c r="BS61" s="39"/>
      <c r="BT61" s="39"/>
      <c r="BU61" s="39"/>
      <c r="BV61" s="39"/>
      <c r="BW61" s="39"/>
      <c r="BX61" s="39"/>
      <c r="BY61" s="39"/>
      <c r="BZ61" s="39"/>
      <c r="CA61" s="39"/>
      <c r="CB61" s="39"/>
      <c r="CC61" s="39"/>
      <c r="CD61" s="39"/>
      <c r="CE61" s="39"/>
      <c r="CF61" s="39"/>
      <c r="CG61" s="39"/>
      <c r="CH61" s="39"/>
      <c r="CI61" s="39"/>
      <c r="CJ61" s="39"/>
      <c r="CK61" s="39"/>
      <c r="CL61" s="39"/>
      <c r="CM61" s="39"/>
      <c r="CN61" s="39"/>
      <c r="CO61" s="39"/>
      <c r="CP61" s="39"/>
      <c r="CQ61" s="39"/>
      <c r="CR61" s="39"/>
      <c r="CS61" s="39"/>
      <c r="CT61" s="39"/>
      <c r="CU61" s="39"/>
      <c r="CV61" s="39"/>
      <c r="CW61" s="39"/>
      <c r="CX61" s="39"/>
      <c r="CY61" s="39"/>
      <c r="CZ61" s="39"/>
      <c r="DA61" s="39"/>
      <c r="DB61" s="39"/>
      <c r="DC61" s="39"/>
      <c r="DD61" s="39"/>
      <c r="DE61" s="39"/>
      <c r="DF61" s="39"/>
      <c r="DG61" s="39"/>
      <c r="DH61" s="39"/>
      <c r="DI61" s="39"/>
      <c r="DJ61" s="39"/>
      <c r="DK61" s="39"/>
      <c r="DL61" s="39"/>
      <c r="DM61" s="39"/>
      <c r="DN61" s="39"/>
      <c r="DO61" s="39"/>
      <c r="DP61" s="39"/>
      <c r="DQ61" s="39"/>
      <c r="DR61" s="39"/>
      <c r="DS61" s="39"/>
      <c r="DT61" s="39"/>
      <c r="DU61" s="39"/>
      <c r="DV61" s="39"/>
      <c r="DW61" s="39"/>
      <c r="DX61" s="39"/>
      <c r="DY61" s="39"/>
      <c r="DZ61" s="39"/>
      <c r="EA61" s="39"/>
      <c r="EB61" s="39"/>
      <c r="EC61" s="39"/>
      <c r="ED61" s="39"/>
      <c r="EE61" s="39"/>
      <c r="EF61" s="39"/>
      <c r="EG61" s="39"/>
      <c r="EH61" s="39"/>
      <c r="EI61" s="39"/>
      <c r="EJ61" s="39"/>
      <c r="EK61" s="39"/>
      <c r="EL61" s="39"/>
      <c r="EM61" s="39"/>
      <c r="EN61" s="39"/>
      <c r="EO61" s="39"/>
      <c r="EP61" s="39"/>
      <c r="EQ61" s="39"/>
      <c r="ER61" s="39"/>
      <c r="ES61" s="39"/>
      <c r="ET61" s="39"/>
      <c r="EU61" s="39"/>
      <c r="EV61" s="39"/>
      <c r="EW61" s="39"/>
      <c r="EX61" s="39"/>
      <c r="EY61" s="39"/>
      <c r="EZ61" s="39"/>
      <c r="FA61" s="39"/>
      <c r="FB61" s="39"/>
      <c r="FC61" s="39"/>
      <c r="FD61" s="39"/>
      <c r="FE61" s="39"/>
      <c r="FF61" s="39"/>
      <c r="FG61" s="39"/>
      <c r="FH61" s="39"/>
      <c r="FI61" s="39"/>
      <c r="FJ61" s="39"/>
      <c r="FK61" s="39"/>
      <c r="FL61" s="39"/>
      <c r="FM61" s="39"/>
      <c r="FN61" s="39"/>
      <c r="FO61" s="39"/>
      <c r="FP61" s="39"/>
      <c r="FQ61" s="39"/>
      <c r="FR61" s="39"/>
      <c r="FS61" s="39"/>
      <c r="FT61" s="39"/>
      <c r="FU61" s="39"/>
      <c r="FV61" s="39"/>
      <c r="FW61" s="39"/>
      <c r="FX61" s="39"/>
      <c r="FY61" s="39"/>
      <c r="FZ61" s="39"/>
      <c r="GA61" s="39"/>
      <c r="GB61" s="39"/>
      <c r="GC61" s="39"/>
      <c r="GD61" s="39"/>
      <c r="GE61" s="39"/>
      <c r="GF61" s="39"/>
      <c r="GG61" s="39"/>
      <c r="GH61" s="39"/>
      <c r="GI61" s="39"/>
      <c r="GJ61" s="39"/>
      <c r="GK61" s="39"/>
    </row>
    <row r="62" spans="1:193">
      <c r="A62" s="125" t="s">
        <v>93</v>
      </c>
      <c r="B62" s="125" t="s">
        <v>299</v>
      </c>
      <c r="C62" s="125"/>
      <c r="D62" s="125" t="s">
        <v>300</v>
      </c>
      <c r="E62" s="125" t="s">
        <v>171</v>
      </c>
      <c r="F62" s="128"/>
      <c r="G62" s="125"/>
      <c r="H62" s="125"/>
      <c r="I62" s="129"/>
      <c r="J62" s="182"/>
      <c r="K62" s="157">
        <v>1392.85</v>
      </c>
      <c r="L62" s="129">
        <v>271</v>
      </c>
      <c r="M62" s="129"/>
      <c r="N62" s="129"/>
      <c r="O62" s="129"/>
      <c r="P62" s="115"/>
      <c r="Q62" s="116">
        <f t="shared" si="15"/>
        <v>1663.85</v>
      </c>
      <c r="R62" s="117"/>
      <c r="S62" s="118"/>
      <c r="T62" s="118"/>
      <c r="U62" s="118"/>
      <c r="V62" s="118"/>
      <c r="W62" s="118"/>
      <c r="X62" s="119"/>
      <c r="Y62" s="119"/>
      <c r="Z62" s="120"/>
      <c r="AA62" s="120"/>
      <c r="AB62" s="116">
        <f t="shared" si="16"/>
        <v>1663.85</v>
      </c>
      <c r="AC62" s="121">
        <f t="shared" si="8"/>
        <v>0</v>
      </c>
      <c r="AD62" s="116">
        <f t="shared" si="17"/>
        <v>1663.85</v>
      </c>
      <c r="AE62" s="122">
        <f t="shared" si="18"/>
        <v>166.38499999999999</v>
      </c>
      <c r="AF62" s="121">
        <v>10.23</v>
      </c>
      <c r="AG62" s="121">
        <f t="shared" si="19"/>
        <v>0</v>
      </c>
      <c r="AH62" s="123">
        <f t="shared" si="20"/>
        <v>1840.4649999999999</v>
      </c>
      <c r="AI62" s="248">
        <v>577.4</v>
      </c>
      <c r="AJ62" s="247">
        <v>1086.45</v>
      </c>
      <c r="AK62" s="246">
        <f t="shared" si="7"/>
        <v>0</v>
      </c>
      <c r="AL62" s="125"/>
      <c r="AM62" s="201" t="s">
        <v>337</v>
      </c>
      <c r="BB62" s="39"/>
      <c r="BC62" s="39"/>
      <c r="BD62" s="39"/>
      <c r="BE62" s="39"/>
      <c r="BF62" s="39"/>
      <c r="BG62" s="39"/>
      <c r="BH62" s="39"/>
      <c r="BI62" s="39"/>
      <c r="BJ62" s="39"/>
      <c r="BK62" s="39"/>
      <c r="BL62" s="39"/>
      <c r="BM62" s="39"/>
      <c r="BN62" s="39"/>
      <c r="BO62" s="39"/>
      <c r="BP62" s="39"/>
      <c r="BQ62" s="39"/>
      <c r="BR62" s="39"/>
      <c r="BS62" s="39"/>
      <c r="BT62" s="39"/>
      <c r="BU62" s="39"/>
      <c r="BV62" s="39"/>
      <c r="BW62" s="39"/>
      <c r="BX62" s="39"/>
      <c r="BY62" s="39"/>
      <c r="BZ62" s="39"/>
      <c r="CA62" s="39"/>
      <c r="CB62" s="39"/>
      <c r="CC62" s="39"/>
      <c r="CD62" s="39"/>
      <c r="CE62" s="39"/>
      <c r="CF62" s="39"/>
      <c r="CG62" s="39"/>
      <c r="CH62" s="39"/>
      <c r="CI62" s="39"/>
      <c r="CJ62" s="39"/>
      <c r="CK62" s="39"/>
      <c r="CL62" s="39"/>
      <c r="CM62" s="39"/>
      <c r="CN62" s="39"/>
      <c r="CO62" s="39"/>
      <c r="CP62" s="39"/>
      <c r="CQ62" s="39"/>
      <c r="CR62" s="39"/>
      <c r="CS62" s="39"/>
      <c r="CT62" s="39"/>
      <c r="CU62" s="39"/>
      <c r="CV62" s="39"/>
      <c r="CW62" s="39"/>
      <c r="CX62" s="39"/>
      <c r="CY62" s="39"/>
      <c r="CZ62" s="39"/>
      <c r="DA62" s="39"/>
      <c r="DB62" s="39"/>
      <c r="DC62" s="39"/>
      <c r="DD62" s="39"/>
      <c r="DE62" s="39"/>
      <c r="DF62" s="39"/>
      <c r="DG62" s="39"/>
      <c r="DH62" s="39"/>
      <c r="DI62" s="39"/>
      <c r="DJ62" s="39"/>
      <c r="DK62" s="39"/>
      <c r="DL62" s="39"/>
      <c r="DM62" s="39"/>
      <c r="DN62" s="39"/>
      <c r="DO62" s="39"/>
      <c r="DP62" s="39"/>
      <c r="DQ62" s="39"/>
      <c r="DR62" s="39"/>
      <c r="DS62" s="39"/>
      <c r="DT62" s="39"/>
      <c r="DU62" s="39"/>
      <c r="DV62" s="39"/>
      <c r="DW62" s="39"/>
      <c r="DX62" s="39"/>
      <c r="DY62" s="39"/>
      <c r="DZ62" s="39"/>
      <c r="EA62" s="39"/>
      <c r="EB62" s="39"/>
      <c r="EC62" s="39"/>
      <c r="ED62" s="39"/>
      <c r="EE62" s="39"/>
      <c r="EF62" s="39"/>
      <c r="EG62" s="39"/>
      <c r="EH62" s="39"/>
      <c r="EI62" s="39"/>
      <c r="EJ62" s="39"/>
      <c r="EK62" s="39"/>
      <c r="EL62" s="39"/>
      <c r="EM62" s="39"/>
      <c r="EN62" s="39"/>
      <c r="EO62" s="39"/>
      <c r="EP62" s="39"/>
      <c r="EQ62" s="39"/>
      <c r="ER62" s="39"/>
      <c r="ES62" s="39"/>
      <c r="ET62" s="39"/>
      <c r="EU62" s="39"/>
      <c r="EV62" s="39"/>
      <c r="EW62" s="39"/>
      <c r="EX62" s="39"/>
      <c r="EY62" s="39"/>
      <c r="EZ62" s="39"/>
      <c r="FA62" s="39"/>
      <c r="FB62" s="39"/>
      <c r="FC62" s="39"/>
      <c r="FD62" s="39"/>
      <c r="FE62" s="39"/>
      <c r="FF62" s="39"/>
      <c r="FG62" s="39"/>
      <c r="FH62" s="39"/>
      <c r="FI62" s="39"/>
      <c r="FJ62" s="39"/>
      <c r="FK62" s="39"/>
      <c r="FL62" s="39"/>
      <c r="FM62" s="39"/>
      <c r="FN62" s="39"/>
      <c r="FO62" s="39"/>
      <c r="FP62" s="39"/>
      <c r="FQ62" s="39"/>
      <c r="FR62" s="39"/>
      <c r="FS62" s="39"/>
      <c r="FT62" s="39"/>
      <c r="FU62" s="39"/>
      <c r="FV62" s="39"/>
      <c r="FW62" s="39"/>
      <c r="FX62" s="39"/>
      <c r="FY62" s="39"/>
      <c r="FZ62" s="39"/>
      <c r="GA62" s="39"/>
      <c r="GB62" s="39"/>
      <c r="GC62" s="39"/>
      <c r="GD62" s="39"/>
      <c r="GE62" s="39"/>
      <c r="GF62" s="39"/>
      <c r="GG62" s="39"/>
      <c r="GH62" s="39"/>
      <c r="GI62" s="39"/>
      <c r="GJ62" s="39"/>
      <c r="GK62" s="39"/>
    </row>
    <row r="63" spans="1:193">
      <c r="A63" s="148" t="s">
        <v>71</v>
      </c>
      <c r="B63" s="111" t="s">
        <v>307</v>
      </c>
      <c r="C63" s="125" t="s">
        <v>301</v>
      </c>
      <c r="D63" s="139" t="s">
        <v>291</v>
      </c>
      <c r="E63" s="125" t="s">
        <v>173</v>
      </c>
      <c r="F63" s="111"/>
      <c r="G63" s="111"/>
      <c r="H63" s="111"/>
      <c r="I63" s="113">
        <v>513.33000000000004</v>
      </c>
      <c r="J63" s="178">
        <v>653.33000000000004</v>
      </c>
      <c r="K63" s="113">
        <f t="shared" si="14"/>
        <v>1166.6600000000001</v>
      </c>
      <c r="L63" s="129"/>
      <c r="M63" s="113"/>
      <c r="N63" s="113"/>
      <c r="O63" s="113"/>
      <c r="P63" s="115"/>
      <c r="Q63" s="116">
        <f t="shared" si="15"/>
        <v>1166.6600000000001</v>
      </c>
      <c r="R63" s="117"/>
      <c r="S63" s="118"/>
      <c r="T63" s="118"/>
      <c r="U63" s="118"/>
      <c r="V63" s="118"/>
      <c r="W63" s="118"/>
      <c r="X63" s="119"/>
      <c r="Y63" s="119"/>
      <c r="Z63" s="120"/>
      <c r="AA63" s="120">
        <v>0</v>
      </c>
      <c r="AB63" s="116">
        <f t="shared" si="16"/>
        <v>1166.6600000000001</v>
      </c>
      <c r="AC63" s="121">
        <f t="shared" si="8"/>
        <v>0</v>
      </c>
      <c r="AD63" s="116">
        <f t="shared" si="17"/>
        <v>1166.6600000000001</v>
      </c>
      <c r="AE63" s="122">
        <f t="shared" si="18"/>
        <v>116.66600000000001</v>
      </c>
      <c r="AF63" s="121">
        <v>10.23</v>
      </c>
      <c r="AG63" s="121">
        <f t="shared" si="19"/>
        <v>0</v>
      </c>
      <c r="AH63" s="123">
        <f t="shared" si="20"/>
        <v>1293.556</v>
      </c>
      <c r="AI63" s="237">
        <v>577.4</v>
      </c>
      <c r="AJ63" s="237">
        <v>589.26</v>
      </c>
      <c r="AK63" s="246">
        <f t="shared" si="7"/>
        <v>0</v>
      </c>
      <c r="AL63" s="125"/>
      <c r="AM63" s="125"/>
      <c r="BB63" s="39"/>
      <c r="BC63" s="39"/>
      <c r="BD63" s="39"/>
      <c r="BE63" s="39"/>
      <c r="BF63" s="39"/>
      <c r="BG63" s="39"/>
      <c r="BH63" s="39"/>
      <c r="BI63" s="39"/>
      <c r="BJ63" s="39"/>
      <c r="BK63" s="39"/>
      <c r="BL63" s="39"/>
      <c r="BM63" s="39"/>
      <c r="BN63" s="39"/>
      <c r="BO63" s="39"/>
      <c r="BP63" s="39"/>
      <c r="BQ63" s="39"/>
      <c r="BR63" s="39"/>
      <c r="BS63" s="39"/>
      <c r="BT63" s="39"/>
      <c r="BU63" s="39"/>
      <c r="BV63" s="39"/>
      <c r="BW63" s="39"/>
      <c r="BX63" s="39"/>
      <c r="BY63" s="39"/>
      <c r="BZ63" s="39"/>
      <c r="CA63" s="39"/>
      <c r="CB63" s="39"/>
      <c r="CC63" s="39"/>
      <c r="CD63" s="39"/>
      <c r="CE63" s="39"/>
      <c r="CF63" s="39"/>
      <c r="CG63" s="39"/>
      <c r="CH63" s="39"/>
      <c r="CI63" s="39"/>
      <c r="CJ63" s="39"/>
      <c r="CK63" s="39"/>
      <c r="CL63" s="39"/>
      <c r="CM63" s="39"/>
      <c r="CN63" s="39"/>
      <c r="CO63" s="39"/>
      <c r="CP63" s="39"/>
      <c r="CQ63" s="39"/>
      <c r="CR63" s="39"/>
      <c r="CS63" s="39"/>
      <c r="CT63" s="39"/>
      <c r="CU63" s="39"/>
      <c r="CV63" s="39"/>
      <c r="CW63" s="39"/>
      <c r="CX63" s="39"/>
      <c r="CY63" s="39"/>
      <c r="CZ63" s="39"/>
      <c r="DA63" s="39"/>
      <c r="DB63" s="39"/>
      <c r="DC63" s="39"/>
      <c r="DD63" s="39"/>
      <c r="DE63" s="39"/>
      <c r="DF63" s="39"/>
      <c r="DG63" s="39"/>
      <c r="DH63" s="39"/>
      <c r="DI63" s="39"/>
      <c r="DJ63" s="39"/>
      <c r="DK63" s="39"/>
      <c r="DL63" s="39"/>
      <c r="DM63" s="39"/>
      <c r="DN63" s="39"/>
      <c r="DO63" s="39"/>
      <c r="DP63" s="39"/>
      <c r="DQ63" s="39"/>
      <c r="DR63" s="39"/>
      <c r="DS63" s="39"/>
      <c r="DT63" s="39"/>
      <c r="DU63" s="39"/>
      <c r="DV63" s="39"/>
      <c r="DW63" s="39"/>
      <c r="DX63" s="39"/>
      <c r="DY63" s="39"/>
      <c r="DZ63" s="39"/>
      <c r="EA63" s="39"/>
      <c r="EB63" s="39"/>
      <c r="EC63" s="39"/>
      <c r="ED63" s="39"/>
      <c r="EE63" s="39"/>
      <c r="EF63" s="39"/>
      <c r="EG63" s="39"/>
      <c r="EH63" s="39"/>
      <c r="EI63" s="39"/>
      <c r="EJ63" s="39"/>
      <c r="EK63" s="39"/>
      <c r="EL63" s="39"/>
      <c r="EM63" s="39"/>
      <c r="EN63" s="39"/>
      <c r="EO63" s="39"/>
      <c r="EP63" s="39"/>
      <c r="EQ63" s="39"/>
      <c r="ER63" s="39"/>
      <c r="ES63" s="39"/>
      <c r="ET63" s="39"/>
      <c r="EU63" s="39"/>
      <c r="EV63" s="39"/>
      <c r="EW63" s="39"/>
      <c r="EX63" s="39"/>
      <c r="EY63" s="39"/>
      <c r="EZ63" s="39"/>
      <c r="FA63" s="39"/>
      <c r="FB63" s="39"/>
      <c r="FC63" s="39"/>
      <c r="FD63" s="39"/>
      <c r="FE63" s="39"/>
      <c r="FF63" s="39"/>
      <c r="FG63" s="39"/>
      <c r="FH63" s="39"/>
      <c r="FI63" s="39"/>
      <c r="FJ63" s="39"/>
      <c r="FK63" s="39"/>
      <c r="FL63" s="39"/>
      <c r="FM63" s="39"/>
      <c r="FN63" s="39"/>
      <c r="FO63" s="39"/>
      <c r="FP63" s="39"/>
      <c r="FQ63" s="39"/>
      <c r="FR63" s="39"/>
      <c r="FS63" s="39"/>
      <c r="FT63" s="39"/>
      <c r="FU63" s="39"/>
      <c r="FV63" s="39"/>
      <c r="FW63" s="39"/>
      <c r="FX63" s="39"/>
      <c r="FY63" s="39"/>
      <c r="FZ63" s="39"/>
      <c r="GA63" s="39"/>
      <c r="GB63" s="39"/>
      <c r="GC63" s="39"/>
      <c r="GD63" s="39"/>
      <c r="GE63" s="39"/>
      <c r="GF63" s="39"/>
      <c r="GG63" s="39"/>
      <c r="GH63" s="39"/>
      <c r="GI63" s="39"/>
      <c r="GJ63" s="39"/>
      <c r="GK63" s="39"/>
    </row>
    <row r="64" spans="1:193">
      <c r="A64" s="125" t="s">
        <v>71</v>
      </c>
      <c r="B64" s="111" t="s">
        <v>263</v>
      </c>
      <c r="C64" s="111" t="s">
        <v>251</v>
      </c>
      <c r="D64" s="111" t="s">
        <v>156</v>
      </c>
      <c r="E64" s="111" t="s">
        <v>73</v>
      </c>
      <c r="F64" s="111"/>
      <c r="G64" s="112"/>
      <c r="H64" s="112"/>
      <c r="I64" s="113">
        <v>513.33000000000004</v>
      </c>
      <c r="J64" s="180">
        <v>653.33000000000004</v>
      </c>
      <c r="K64" s="113">
        <f t="shared" si="14"/>
        <v>1166.6600000000001</v>
      </c>
      <c r="L64" s="113">
        <v>143.44999999999999</v>
      </c>
      <c r="M64" s="113"/>
      <c r="N64" s="114"/>
      <c r="O64" s="114"/>
      <c r="P64" s="115"/>
      <c r="Q64" s="116">
        <f t="shared" si="15"/>
        <v>1310.1100000000001</v>
      </c>
      <c r="R64" s="117"/>
      <c r="S64" s="118"/>
      <c r="T64" s="118">
        <v>0</v>
      </c>
      <c r="U64" s="118"/>
      <c r="V64" s="118"/>
      <c r="W64" s="118"/>
      <c r="X64" s="132">
        <v>460.45</v>
      </c>
      <c r="Y64" s="119"/>
      <c r="Z64" s="120"/>
      <c r="AA64" s="126">
        <v>517.25</v>
      </c>
      <c r="AB64" s="116">
        <f t="shared" si="16"/>
        <v>332.41000000000008</v>
      </c>
      <c r="AC64" s="121">
        <f t="shared" si="8"/>
        <v>0</v>
      </c>
      <c r="AD64" s="116">
        <f t="shared" si="17"/>
        <v>332.41000000000008</v>
      </c>
      <c r="AE64" s="122">
        <f t="shared" si="18"/>
        <v>131.01100000000002</v>
      </c>
      <c r="AF64" s="121">
        <v>10.23</v>
      </c>
      <c r="AG64" s="121">
        <f t="shared" si="19"/>
        <v>0</v>
      </c>
      <c r="AH64" s="123">
        <f t="shared" si="20"/>
        <v>1451.3510000000001</v>
      </c>
      <c r="AI64" s="248">
        <v>116.95</v>
      </c>
      <c r="AJ64" s="237">
        <v>198.9</v>
      </c>
      <c r="AK64" s="246">
        <f t="shared" si="7"/>
        <v>-16.560000000000059</v>
      </c>
      <c r="AL64" s="125"/>
      <c r="AM64" s="125"/>
      <c r="BB64" s="39"/>
      <c r="BC64" s="39"/>
      <c r="BD64" s="39"/>
      <c r="BE64" s="39"/>
      <c r="BF64" s="39"/>
      <c r="BG64" s="39"/>
      <c r="BH64" s="39"/>
      <c r="BI64" s="39"/>
      <c r="BJ64" s="39"/>
      <c r="BK64" s="39"/>
      <c r="BL64" s="39"/>
      <c r="BM64" s="39"/>
      <c r="BN64" s="39"/>
      <c r="BO64" s="39"/>
      <c r="BP64" s="39"/>
      <c r="BQ64" s="39"/>
      <c r="BR64" s="39"/>
      <c r="BS64" s="39"/>
      <c r="BT64" s="39"/>
      <c r="BU64" s="39"/>
      <c r="BV64" s="39"/>
      <c r="BW64" s="39"/>
      <c r="BX64" s="39"/>
      <c r="BY64" s="39"/>
      <c r="BZ64" s="39"/>
      <c r="CA64" s="39"/>
      <c r="CB64" s="39"/>
      <c r="CC64" s="39"/>
      <c r="CD64" s="39"/>
      <c r="CE64" s="39"/>
      <c r="CF64" s="39"/>
      <c r="CG64" s="39"/>
      <c r="CH64" s="39"/>
      <c r="CI64" s="39"/>
      <c r="CJ64" s="39"/>
      <c r="CK64" s="39"/>
      <c r="CL64" s="39"/>
      <c r="CM64" s="39"/>
      <c r="CN64" s="39"/>
      <c r="CO64" s="39"/>
      <c r="CP64" s="39"/>
      <c r="CQ64" s="39"/>
      <c r="CR64" s="39"/>
      <c r="CS64" s="39"/>
      <c r="CT64" s="39"/>
      <c r="CU64" s="39"/>
      <c r="CV64" s="39"/>
      <c r="CW64" s="39"/>
      <c r="CX64" s="39"/>
      <c r="CY64" s="39"/>
      <c r="CZ64" s="39"/>
      <c r="DA64" s="39"/>
      <c r="DB64" s="39"/>
      <c r="DC64" s="39"/>
      <c r="DD64" s="39"/>
      <c r="DE64" s="39"/>
      <c r="DF64" s="39"/>
      <c r="DG64" s="39"/>
      <c r="DH64" s="39"/>
      <c r="DI64" s="39"/>
      <c r="DJ64" s="39"/>
      <c r="DK64" s="39"/>
      <c r="DL64" s="39"/>
      <c r="DM64" s="39"/>
      <c r="DN64" s="39"/>
      <c r="DO64" s="39"/>
      <c r="DP64" s="39"/>
      <c r="DQ64" s="39"/>
      <c r="DR64" s="39"/>
      <c r="DS64" s="39"/>
      <c r="DT64" s="39"/>
      <c r="DU64" s="39"/>
      <c r="DV64" s="39"/>
      <c r="DW64" s="39"/>
      <c r="DX64" s="39"/>
      <c r="DY64" s="39"/>
      <c r="DZ64" s="39"/>
      <c r="EA64" s="39"/>
      <c r="EB64" s="39"/>
      <c r="EC64" s="39"/>
      <c r="ED64" s="39"/>
      <c r="EE64" s="39"/>
      <c r="EF64" s="39"/>
      <c r="EG64" s="39"/>
      <c r="EH64" s="39"/>
      <c r="EI64" s="39"/>
      <c r="EJ64" s="39"/>
      <c r="EK64" s="39"/>
      <c r="EL64" s="39"/>
      <c r="EM64" s="39"/>
      <c r="EN64" s="39"/>
      <c r="EO64" s="39"/>
      <c r="EP64" s="39"/>
      <c r="EQ64" s="39"/>
      <c r="ER64" s="39"/>
      <c r="ES64" s="39"/>
      <c r="ET64" s="39"/>
      <c r="EU64" s="39"/>
      <c r="EV64" s="39"/>
      <c r="EW64" s="39"/>
      <c r="EX64" s="39"/>
      <c r="EY64" s="39"/>
      <c r="EZ64" s="39"/>
      <c r="FA64" s="39"/>
      <c r="FB64" s="39"/>
      <c r="FC64" s="39"/>
      <c r="FD64" s="39"/>
      <c r="FE64" s="39"/>
      <c r="FF64" s="39"/>
      <c r="FG64" s="39"/>
      <c r="FH64" s="39"/>
      <c r="FI64" s="39"/>
      <c r="FJ64" s="39"/>
      <c r="FK64" s="39"/>
      <c r="FL64" s="39"/>
      <c r="FM64" s="39"/>
      <c r="FN64" s="39"/>
      <c r="FO64" s="39"/>
      <c r="FP64" s="39"/>
      <c r="FQ64" s="39"/>
      <c r="FR64" s="39"/>
      <c r="FS64" s="39"/>
      <c r="FT64" s="39"/>
      <c r="FU64" s="39"/>
      <c r="FV64" s="39"/>
      <c r="FW64" s="39"/>
      <c r="FX64" s="39"/>
      <c r="FY64" s="39"/>
      <c r="FZ64" s="39"/>
      <c r="GA64" s="39"/>
      <c r="GB64" s="39"/>
      <c r="GC64" s="39"/>
      <c r="GD64" s="39"/>
      <c r="GE64" s="39"/>
      <c r="GF64" s="39"/>
      <c r="GG64" s="39"/>
      <c r="GH64" s="39"/>
      <c r="GI64" s="39"/>
      <c r="GJ64" s="39"/>
      <c r="GK64" s="39"/>
    </row>
    <row r="65" spans="1:193">
      <c r="A65" s="125" t="s">
        <v>94</v>
      </c>
      <c r="B65" s="111" t="s">
        <v>243</v>
      </c>
      <c r="C65" s="111"/>
      <c r="D65" s="111" t="s">
        <v>134</v>
      </c>
      <c r="E65" s="111" t="s">
        <v>178</v>
      </c>
      <c r="F65" s="111"/>
      <c r="G65" s="112"/>
      <c r="H65" s="112"/>
      <c r="I65" s="113">
        <v>1100</v>
      </c>
      <c r="J65" s="178"/>
      <c r="K65" s="113">
        <f t="shared" si="14"/>
        <v>1100</v>
      </c>
      <c r="L65" s="113">
        <v>187.2</v>
      </c>
      <c r="M65" s="113"/>
      <c r="N65" s="114"/>
      <c r="O65" s="114"/>
      <c r="P65" s="115"/>
      <c r="Q65" s="116">
        <f t="shared" si="15"/>
        <v>1287.2</v>
      </c>
      <c r="R65" s="117"/>
      <c r="S65" s="118"/>
      <c r="T65" s="127">
        <f>+Q65*1%</f>
        <v>12.872</v>
      </c>
      <c r="U65" s="127">
        <f>+Q65*4.9%</f>
        <v>63.072800000000008</v>
      </c>
      <c r="V65" s="118"/>
      <c r="W65" s="118"/>
      <c r="X65" s="119"/>
      <c r="Y65" s="119"/>
      <c r="Z65" s="120"/>
      <c r="AA65" s="120">
        <v>0</v>
      </c>
      <c r="AB65" s="116">
        <f t="shared" si="16"/>
        <v>1211.2552000000001</v>
      </c>
      <c r="AC65" s="121">
        <f t="shared" si="8"/>
        <v>0</v>
      </c>
      <c r="AD65" s="116">
        <f t="shared" si="17"/>
        <v>1211.2552000000001</v>
      </c>
      <c r="AE65" s="122">
        <f t="shared" si="18"/>
        <v>128.72</v>
      </c>
      <c r="AF65" s="121">
        <v>10.23</v>
      </c>
      <c r="AG65" s="121">
        <f t="shared" si="19"/>
        <v>63.072800000000008</v>
      </c>
      <c r="AH65" s="123">
        <f t="shared" si="20"/>
        <v>1489.2228</v>
      </c>
      <c r="AI65" s="248">
        <v>577.4</v>
      </c>
      <c r="AJ65" s="237">
        <v>633.86</v>
      </c>
      <c r="AK65" s="246">
        <f t="shared" si="7"/>
        <v>4.7999999999319698E-3</v>
      </c>
      <c r="AL65" s="125"/>
      <c r="AM65" s="125"/>
      <c r="BB65" s="39"/>
      <c r="BC65" s="39"/>
      <c r="BD65" s="39"/>
      <c r="BE65" s="39"/>
      <c r="BF65" s="39"/>
      <c r="BG65" s="39"/>
      <c r="BH65" s="39"/>
      <c r="BI65" s="39"/>
      <c r="BJ65" s="39"/>
      <c r="BK65" s="39"/>
      <c r="BL65" s="39"/>
      <c r="BM65" s="39"/>
      <c r="BN65" s="39"/>
      <c r="BO65" s="39"/>
      <c r="BP65" s="39"/>
      <c r="BQ65" s="39"/>
      <c r="BR65" s="39"/>
      <c r="BS65" s="39"/>
      <c r="BT65" s="39"/>
      <c r="BU65" s="39"/>
      <c r="BV65" s="39"/>
      <c r="BW65" s="39"/>
      <c r="BX65" s="39"/>
      <c r="BY65" s="39"/>
      <c r="BZ65" s="39"/>
      <c r="CA65" s="39"/>
      <c r="CB65" s="39"/>
      <c r="CC65" s="39"/>
      <c r="CD65" s="39"/>
      <c r="CE65" s="39"/>
      <c r="CF65" s="39"/>
      <c r="CG65" s="39"/>
      <c r="CH65" s="39"/>
      <c r="CI65" s="39"/>
      <c r="CJ65" s="39"/>
      <c r="CK65" s="39"/>
      <c r="CL65" s="39"/>
      <c r="CM65" s="39"/>
      <c r="CN65" s="39"/>
      <c r="CO65" s="39"/>
      <c r="CP65" s="39"/>
      <c r="CQ65" s="39"/>
      <c r="CR65" s="39"/>
      <c r="CS65" s="39"/>
      <c r="CT65" s="39"/>
      <c r="CU65" s="39"/>
      <c r="CV65" s="39"/>
      <c r="CW65" s="39"/>
      <c r="CX65" s="39"/>
      <c r="CY65" s="39"/>
      <c r="CZ65" s="39"/>
      <c r="DA65" s="39"/>
      <c r="DB65" s="39"/>
      <c r="DC65" s="39"/>
      <c r="DD65" s="39"/>
      <c r="DE65" s="39"/>
      <c r="DF65" s="39"/>
      <c r="DG65" s="39"/>
      <c r="DH65" s="39"/>
      <c r="DI65" s="39"/>
      <c r="DJ65" s="39"/>
      <c r="DK65" s="39"/>
      <c r="DL65" s="39"/>
      <c r="DM65" s="39"/>
      <c r="DN65" s="39"/>
      <c r="DO65" s="39"/>
      <c r="DP65" s="39"/>
      <c r="DQ65" s="39"/>
      <c r="DR65" s="39"/>
      <c r="DS65" s="39"/>
      <c r="DT65" s="39"/>
      <c r="DU65" s="39"/>
      <c r="DV65" s="39"/>
      <c r="DW65" s="39"/>
      <c r="DX65" s="39"/>
      <c r="DY65" s="39"/>
      <c r="DZ65" s="39"/>
      <c r="EA65" s="39"/>
      <c r="EB65" s="39"/>
      <c r="EC65" s="39"/>
      <c r="ED65" s="39"/>
      <c r="EE65" s="39"/>
      <c r="EF65" s="39"/>
      <c r="EG65" s="39"/>
      <c r="EH65" s="39"/>
      <c r="EI65" s="39"/>
      <c r="EJ65" s="39"/>
      <c r="EK65" s="39"/>
      <c r="EL65" s="39"/>
      <c r="EM65" s="39"/>
      <c r="EN65" s="39"/>
      <c r="EO65" s="39"/>
      <c r="EP65" s="39"/>
      <c r="EQ65" s="39"/>
      <c r="ER65" s="39"/>
      <c r="ES65" s="39"/>
      <c r="ET65" s="39"/>
      <c r="EU65" s="39"/>
      <c r="EV65" s="39"/>
      <c r="EW65" s="39"/>
      <c r="EX65" s="39"/>
      <c r="EY65" s="39"/>
      <c r="EZ65" s="39"/>
      <c r="FA65" s="39"/>
      <c r="FB65" s="39"/>
      <c r="FC65" s="39"/>
      <c r="FD65" s="39"/>
      <c r="FE65" s="39"/>
      <c r="FF65" s="39"/>
      <c r="FG65" s="39"/>
      <c r="FH65" s="39"/>
      <c r="FI65" s="39"/>
      <c r="FJ65" s="39"/>
      <c r="FK65" s="39"/>
      <c r="FL65" s="39"/>
      <c r="FM65" s="39"/>
      <c r="FN65" s="39"/>
      <c r="FO65" s="39"/>
      <c r="FP65" s="39"/>
      <c r="FQ65" s="39"/>
      <c r="FR65" s="39"/>
      <c r="FS65" s="39"/>
      <c r="FT65" s="39"/>
      <c r="FU65" s="39"/>
      <c r="FV65" s="39"/>
      <c r="FW65" s="39"/>
      <c r="FX65" s="39"/>
      <c r="FY65" s="39"/>
      <c r="FZ65" s="39"/>
      <c r="GA65" s="39"/>
      <c r="GB65" s="39"/>
      <c r="GC65" s="39"/>
      <c r="GD65" s="39"/>
      <c r="GE65" s="39"/>
      <c r="GF65" s="39"/>
      <c r="GG65" s="39"/>
      <c r="GH65" s="39"/>
      <c r="GI65" s="39"/>
      <c r="GJ65" s="39"/>
      <c r="GK65" s="39"/>
    </row>
    <row r="66" spans="1:193">
      <c r="A66" s="125" t="s">
        <v>92</v>
      </c>
      <c r="B66" s="111" t="s">
        <v>343</v>
      </c>
      <c r="C66" s="111"/>
      <c r="D66" s="111" t="s">
        <v>103</v>
      </c>
      <c r="E66" s="111" t="s">
        <v>163</v>
      </c>
      <c r="F66" s="111"/>
      <c r="G66" s="111"/>
      <c r="H66" s="111"/>
      <c r="I66" s="113">
        <v>739.23</v>
      </c>
      <c r="J66" s="181"/>
      <c r="K66" s="113">
        <f t="shared" si="14"/>
        <v>739.23</v>
      </c>
      <c r="L66" s="113">
        <f>724.2+3.71</f>
        <v>727.91000000000008</v>
      </c>
      <c r="M66" s="113"/>
      <c r="N66" s="113"/>
      <c r="O66" s="113"/>
      <c r="P66" s="115"/>
      <c r="Q66" s="116">
        <f t="shared" si="15"/>
        <v>1467.14</v>
      </c>
      <c r="R66" s="117"/>
      <c r="S66" s="118"/>
      <c r="T66" s="118">
        <v>0</v>
      </c>
      <c r="U66" s="118"/>
      <c r="V66" s="118"/>
      <c r="W66" s="118"/>
      <c r="X66" s="119"/>
      <c r="Y66" s="119"/>
      <c r="Z66" s="120"/>
      <c r="AA66" s="120">
        <v>0</v>
      </c>
      <c r="AB66" s="116">
        <f t="shared" si="16"/>
        <v>1467.14</v>
      </c>
      <c r="AC66" s="121">
        <f t="shared" si="8"/>
        <v>0</v>
      </c>
      <c r="AD66" s="116">
        <f t="shared" si="17"/>
        <v>1467.14</v>
      </c>
      <c r="AE66" s="122">
        <f t="shared" si="18"/>
        <v>146.71400000000003</v>
      </c>
      <c r="AF66" s="121">
        <v>10.23</v>
      </c>
      <c r="AG66" s="121">
        <f t="shared" si="19"/>
        <v>0</v>
      </c>
      <c r="AH66" s="123">
        <f t="shared" si="20"/>
        <v>1624.0840000000001</v>
      </c>
      <c r="AI66" s="248">
        <v>577.4</v>
      </c>
      <c r="AJ66" s="237">
        <v>889.74</v>
      </c>
      <c r="AK66" s="246">
        <f t="shared" si="7"/>
        <v>0</v>
      </c>
      <c r="AL66" s="125"/>
      <c r="AM66" s="125"/>
      <c r="BB66" s="39"/>
      <c r="BC66" s="39"/>
      <c r="BD66" s="39"/>
      <c r="BE66" s="39"/>
      <c r="BF66" s="39"/>
      <c r="BG66" s="39"/>
      <c r="BH66" s="39"/>
      <c r="BI66" s="39"/>
      <c r="BJ66" s="39"/>
      <c r="BK66" s="39"/>
      <c r="BL66" s="39"/>
      <c r="BM66" s="39"/>
      <c r="BN66" s="39"/>
      <c r="BO66" s="39"/>
      <c r="BP66" s="39"/>
      <c r="BQ66" s="39"/>
      <c r="BR66" s="39"/>
      <c r="BS66" s="39"/>
      <c r="BT66" s="39"/>
      <c r="BU66" s="39"/>
      <c r="BV66" s="39"/>
      <c r="BW66" s="39"/>
      <c r="BX66" s="39"/>
      <c r="BY66" s="39"/>
      <c r="BZ66" s="39"/>
      <c r="CA66" s="39"/>
      <c r="CB66" s="39"/>
      <c r="CC66" s="39"/>
      <c r="CD66" s="39"/>
      <c r="CE66" s="39"/>
      <c r="CF66" s="39"/>
      <c r="CG66" s="39"/>
      <c r="CH66" s="39"/>
      <c r="CI66" s="39"/>
      <c r="CJ66" s="39"/>
      <c r="CK66" s="39"/>
      <c r="CL66" s="39"/>
      <c r="CM66" s="39"/>
      <c r="CN66" s="39"/>
      <c r="CO66" s="39"/>
      <c r="CP66" s="39"/>
      <c r="CQ66" s="39"/>
      <c r="CR66" s="39"/>
      <c r="CS66" s="39"/>
      <c r="CT66" s="39"/>
      <c r="CU66" s="39"/>
      <c r="CV66" s="39"/>
      <c r="CW66" s="39"/>
      <c r="CX66" s="39"/>
      <c r="CY66" s="39"/>
      <c r="CZ66" s="39"/>
      <c r="DA66" s="39"/>
      <c r="DB66" s="39"/>
      <c r="DC66" s="39"/>
      <c r="DD66" s="39"/>
      <c r="DE66" s="39"/>
      <c r="DF66" s="39"/>
      <c r="DG66" s="39"/>
      <c r="DH66" s="39"/>
      <c r="DI66" s="39"/>
      <c r="DJ66" s="39"/>
      <c r="DK66" s="39"/>
      <c r="DL66" s="39"/>
      <c r="DM66" s="39"/>
      <c r="DN66" s="39"/>
      <c r="DO66" s="39"/>
      <c r="DP66" s="39"/>
      <c r="DQ66" s="39"/>
      <c r="DR66" s="39"/>
      <c r="DS66" s="39"/>
      <c r="DT66" s="39"/>
      <c r="DU66" s="39"/>
      <c r="DV66" s="39"/>
      <c r="DW66" s="39"/>
      <c r="DX66" s="39"/>
      <c r="DY66" s="39"/>
      <c r="DZ66" s="39"/>
      <c r="EA66" s="39"/>
      <c r="EB66" s="39"/>
      <c r="EC66" s="39"/>
      <c r="ED66" s="39"/>
      <c r="EE66" s="39"/>
      <c r="EF66" s="39"/>
      <c r="EG66" s="39"/>
      <c r="EH66" s="39"/>
      <c r="EI66" s="39"/>
      <c r="EJ66" s="39"/>
      <c r="EK66" s="39"/>
      <c r="EL66" s="39"/>
      <c r="EM66" s="39"/>
      <c r="EN66" s="39"/>
      <c r="EO66" s="39"/>
      <c r="EP66" s="39"/>
      <c r="EQ66" s="39"/>
      <c r="ER66" s="39"/>
      <c r="ES66" s="39"/>
      <c r="ET66" s="39"/>
      <c r="EU66" s="39"/>
      <c r="EV66" s="39"/>
      <c r="EW66" s="39"/>
      <c r="EX66" s="39"/>
      <c r="EY66" s="39"/>
      <c r="EZ66" s="39"/>
      <c r="FA66" s="39"/>
      <c r="FB66" s="39"/>
      <c r="FC66" s="39"/>
      <c r="FD66" s="39"/>
      <c r="FE66" s="39"/>
      <c r="FF66" s="39"/>
      <c r="FG66" s="39"/>
      <c r="FH66" s="39"/>
      <c r="FI66" s="39"/>
      <c r="FJ66" s="39"/>
      <c r="FK66" s="39"/>
      <c r="FL66" s="39"/>
      <c r="FM66" s="39"/>
      <c r="FN66" s="39"/>
      <c r="FO66" s="39"/>
      <c r="FP66" s="39"/>
      <c r="FQ66" s="39"/>
      <c r="FR66" s="39"/>
      <c r="FS66" s="39"/>
      <c r="FT66" s="39"/>
      <c r="FU66" s="39"/>
      <c r="FV66" s="39"/>
      <c r="FW66" s="39"/>
      <c r="FX66" s="39"/>
      <c r="FY66" s="39"/>
      <c r="FZ66" s="39"/>
      <c r="GA66" s="39"/>
      <c r="GB66" s="39"/>
      <c r="GC66" s="39"/>
      <c r="GD66" s="39"/>
      <c r="GE66" s="39"/>
      <c r="GF66" s="39"/>
      <c r="GG66" s="39"/>
      <c r="GH66" s="39"/>
      <c r="GI66" s="39"/>
      <c r="GJ66" s="39"/>
      <c r="GK66" s="39"/>
    </row>
    <row r="67" spans="1:193">
      <c r="A67" s="125" t="s">
        <v>94</v>
      </c>
      <c r="B67" s="111" t="s">
        <v>208</v>
      </c>
      <c r="C67" s="111"/>
      <c r="D67" s="111" t="s">
        <v>135</v>
      </c>
      <c r="E67" s="111" t="s">
        <v>179</v>
      </c>
      <c r="F67" s="111"/>
      <c r="G67" s="112"/>
      <c r="H67" s="112"/>
      <c r="I67" s="113">
        <v>608.16</v>
      </c>
      <c r="J67" s="178"/>
      <c r="K67" s="113">
        <f t="shared" si="14"/>
        <v>608.16</v>
      </c>
      <c r="L67" s="113">
        <f>4069.58+3.71</f>
        <v>4073.29</v>
      </c>
      <c r="M67" s="113"/>
      <c r="N67" s="114"/>
      <c r="O67" s="114"/>
      <c r="P67" s="115"/>
      <c r="Q67" s="116">
        <f t="shared" si="15"/>
        <v>4681.45</v>
      </c>
      <c r="R67" s="117"/>
      <c r="S67" s="118"/>
      <c r="T67" s="118"/>
      <c r="U67" s="127">
        <f>Q67*4.9%</f>
        <v>229.39105000000001</v>
      </c>
      <c r="V67" s="127">
        <f>Q67*1%</f>
        <v>46.814500000000002</v>
      </c>
      <c r="W67" s="118"/>
      <c r="X67" s="119"/>
      <c r="Y67" s="119"/>
      <c r="Z67" s="120"/>
      <c r="AA67" s="120">
        <v>0</v>
      </c>
      <c r="AB67" s="116">
        <f t="shared" si="16"/>
        <v>4405.2444500000001</v>
      </c>
      <c r="AC67" s="121">
        <f t="shared" si="8"/>
        <v>468.14499999999998</v>
      </c>
      <c r="AD67" s="116">
        <f t="shared" si="17"/>
        <v>3937.0994500000002</v>
      </c>
      <c r="AE67" s="122">
        <f t="shared" si="18"/>
        <v>0</v>
      </c>
      <c r="AF67" s="121">
        <v>10.23</v>
      </c>
      <c r="AG67" s="121">
        <f t="shared" si="19"/>
        <v>229.39105000000001</v>
      </c>
      <c r="AH67" s="123">
        <f t="shared" si="20"/>
        <v>4921.0710499999996</v>
      </c>
      <c r="AI67" s="248">
        <v>577.4</v>
      </c>
      <c r="AJ67" s="247">
        <v>3359.7</v>
      </c>
      <c r="AK67" s="246">
        <f t="shared" si="7"/>
        <v>5.4999999974825187E-4</v>
      </c>
      <c r="AL67" s="125"/>
      <c r="AM67" s="125"/>
      <c r="BB67" s="39"/>
      <c r="BC67" s="39"/>
      <c r="BD67" s="39"/>
      <c r="BE67" s="39"/>
      <c r="BF67" s="39"/>
      <c r="BG67" s="39"/>
      <c r="BH67" s="39"/>
      <c r="BI67" s="39"/>
      <c r="BJ67" s="39"/>
      <c r="BK67" s="39"/>
      <c r="BL67" s="39"/>
      <c r="BM67" s="39"/>
      <c r="BN67" s="39"/>
      <c r="BO67" s="39"/>
      <c r="BP67" s="39"/>
      <c r="BQ67" s="39"/>
      <c r="BR67" s="39"/>
      <c r="BS67" s="39"/>
      <c r="BT67" s="39"/>
      <c r="BU67" s="39"/>
      <c r="BV67" s="39"/>
      <c r="BW67" s="39"/>
      <c r="BX67" s="39"/>
      <c r="BY67" s="39"/>
      <c r="BZ67" s="39"/>
      <c r="CA67" s="39"/>
      <c r="CB67" s="39"/>
      <c r="CC67" s="39"/>
      <c r="CD67" s="39"/>
      <c r="CE67" s="39"/>
      <c r="CF67" s="39"/>
      <c r="CG67" s="39"/>
      <c r="CH67" s="39"/>
      <c r="CI67" s="39"/>
      <c r="CJ67" s="39"/>
      <c r="CK67" s="39"/>
      <c r="CL67" s="39"/>
      <c r="CM67" s="39"/>
      <c r="CN67" s="39"/>
      <c r="CO67" s="39"/>
      <c r="CP67" s="39"/>
      <c r="CQ67" s="39"/>
      <c r="CR67" s="39"/>
      <c r="CS67" s="39"/>
      <c r="CT67" s="39"/>
      <c r="CU67" s="39"/>
      <c r="CV67" s="39"/>
      <c r="CW67" s="39"/>
      <c r="CX67" s="39"/>
      <c r="CY67" s="39"/>
      <c r="CZ67" s="39"/>
      <c r="DA67" s="39"/>
      <c r="DB67" s="39"/>
      <c r="DC67" s="39"/>
      <c r="DD67" s="39"/>
      <c r="DE67" s="39"/>
      <c r="DF67" s="39"/>
      <c r="DG67" s="39"/>
      <c r="DH67" s="39"/>
      <c r="DI67" s="39"/>
      <c r="DJ67" s="39"/>
      <c r="DK67" s="39"/>
      <c r="DL67" s="39"/>
      <c r="DM67" s="39"/>
      <c r="DN67" s="39"/>
      <c r="DO67" s="39"/>
      <c r="DP67" s="39"/>
      <c r="DQ67" s="39"/>
      <c r="DR67" s="39"/>
      <c r="DS67" s="39"/>
      <c r="DT67" s="39"/>
      <c r="DU67" s="39"/>
      <c r="DV67" s="39"/>
      <c r="DW67" s="39"/>
      <c r="DX67" s="39"/>
      <c r="DY67" s="39"/>
      <c r="DZ67" s="39"/>
      <c r="EA67" s="39"/>
      <c r="EB67" s="39"/>
      <c r="EC67" s="39"/>
      <c r="ED67" s="39"/>
      <c r="EE67" s="39"/>
      <c r="EF67" s="39"/>
      <c r="EG67" s="39"/>
      <c r="EH67" s="39"/>
      <c r="EI67" s="39"/>
      <c r="EJ67" s="39"/>
      <c r="EK67" s="39"/>
      <c r="EL67" s="39"/>
      <c r="EM67" s="39"/>
      <c r="EN67" s="39"/>
      <c r="EO67" s="39"/>
      <c r="EP67" s="39"/>
      <c r="EQ67" s="39"/>
      <c r="ER67" s="39"/>
      <c r="ES67" s="39"/>
      <c r="ET67" s="39"/>
      <c r="EU67" s="39"/>
      <c r="EV67" s="39"/>
      <c r="EW67" s="39"/>
      <c r="EX67" s="39"/>
      <c r="EY67" s="39"/>
      <c r="EZ67" s="39"/>
      <c r="FA67" s="39"/>
      <c r="FB67" s="39"/>
      <c r="FC67" s="39"/>
      <c r="FD67" s="39"/>
      <c r="FE67" s="39"/>
      <c r="FF67" s="39"/>
      <c r="FG67" s="39"/>
      <c r="FH67" s="39"/>
      <c r="FI67" s="39"/>
      <c r="FJ67" s="39"/>
      <c r="FK67" s="39"/>
      <c r="FL67" s="39"/>
      <c r="FM67" s="39"/>
      <c r="FN67" s="39"/>
      <c r="FO67" s="39"/>
      <c r="FP67" s="39"/>
      <c r="FQ67" s="39"/>
      <c r="FR67" s="39"/>
      <c r="FS67" s="39"/>
      <c r="FT67" s="39"/>
      <c r="FU67" s="39"/>
      <c r="FV67" s="39"/>
      <c r="FW67" s="39"/>
      <c r="FX67" s="39"/>
      <c r="FY67" s="39"/>
      <c r="FZ67" s="39"/>
      <c r="GA67" s="39"/>
      <c r="GB67" s="39"/>
      <c r="GC67" s="39"/>
      <c r="GD67" s="39"/>
      <c r="GE67" s="39"/>
      <c r="GF67" s="39"/>
      <c r="GG67" s="39"/>
      <c r="GH67" s="39"/>
      <c r="GI67" s="39"/>
      <c r="GJ67" s="39"/>
      <c r="GK67" s="39"/>
    </row>
    <row r="68" spans="1:193" s="39" customFormat="1">
      <c r="A68" s="125" t="s">
        <v>94</v>
      </c>
      <c r="B68" s="111" t="s">
        <v>199</v>
      </c>
      <c r="C68" s="111"/>
      <c r="D68" s="111" t="s">
        <v>136</v>
      </c>
      <c r="E68" s="111" t="s">
        <v>270</v>
      </c>
      <c r="F68" s="111"/>
      <c r="G68" s="112"/>
      <c r="H68" s="112"/>
      <c r="I68" s="113">
        <v>511.28</v>
      </c>
      <c r="J68" s="178"/>
      <c r="K68" s="113">
        <f t="shared" si="14"/>
        <v>511.28</v>
      </c>
      <c r="L68" s="113">
        <f>1495.2+7.42</f>
        <v>1502.6200000000001</v>
      </c>
      <c r="M68" s="113"/>
      <c r="N68" s="114"/>
      <c r="O68" s="114"/>
      <c r="P68" s="115"/>
      <c r="Q68" s="116">
        <f t="shared" si="15"/>
        <v>2013.9</v>
      </c>
      <c r="R68" s="117"/>
      <c r="S68" s="118"/>
      <c r="T68" s="127">
        <v>100</v>
      </c>
      <c r="U68" s="127">
        <f>Q68*4.9%</f>
        <v>98.681100000000015</v>
      </c>
      <c r="V68" s="127">
        <f>Q68*1%</f>
        <v>20.139000000000003</v>
      </c>
      <c r="W68" s="118"/>
      <c r="X68" s="119"/>
      <c r="Y68" s="119"/>
      <c r="Z68" s="120"/>
      <c r="AA68" s="120">
        <v>0</v>
      </c>
      <c r="AB68" s="116">
        <f t="shared" si="16"/>
        <v>1795.0799000000002</v>
      </c>
      <c r="AC68" s="121">
        <f t="shared" si="8"/>
        <v>0</v>
      </c>
      <c r="AD68" s="116">
        <f t="shared" si="17"/>
        <v>1795.0799000000002</v>
      </c>
      <c r="AE68" s="122">
        <f t="shared" si="18"/>
        <v>201.39000000000001</v>
      </c>
      <c r="AF68" s="121">
        <v>10.23</v>
      </c>
      <c r="AG68" s="121">
        <f t="shared" si="19"/>
        <v>98.681100000000015</v>
      </c>
      <c r="AH68" s="123">
        <f t="shared" si="20"/>
        <v>2324.2011000000002</v>
      </c>
      <c r="AI68" s="237">
        <v>577.4</v>
      </c>
      <c r="AJ68" s="247">
        <v>1217.68</v>
      </c>
      <c r="AK68" s="246">
        <f t="shared" si="7"/>
        <v>9.9999999747524271E-5</v>
      </c>
      <c r="AL68" s="125"/>
      <c r="AM68" s="125"/>
    </row>
    <row r="69" spans="1:193">
      <c r="A69" s="125" t="s">
        <v>71</v>
      </c>
      <c r="B69" s="111" t="s">
        <v>287</v>
      </c>
      <c r="C69" s="111" t="s">
        <v>254</v>
      </c>
      <c r="D69" s="111" t="s">
        <v>157</v>
      </c>
      <c r="E69" s="111" t="s">
        <v>73</v>
      </c>
      <c r="F69" s="111"/>
      <c r="G69" s="112"/>
      <c r="H69" s="112"/>
      <c r="I69" s="113">
        <v>513.33000000000004</v>
      </c>
      <c r="J69" s="180">
        <v>653.33000000000004</v>
      </c>
      <c r="K69" s="113">
        <f t="shared" si="14"/>
        <v>1166.6600000000001</v>
      </c>
      <c r="L69" s="113"/>
      <c r="M69" s="113"/>
      <c r="N69" s="114"/>
      <c r="O69" s="114"/>
      <c r="P69" s="115"/>
      <c r="Q69" s="116">
        <f t="shared" si="15"/>
        <v>1166.6600000000001</v>
      </c>
      <c r="R69" s="117"/>
      <c r="S69" s="118"/>
      <c r="T69" s="118">
        <v>0</v>
      </c>
      <c r="U69" s="118"/>
      <c r="V69" s="118"/>
      <c r="W69" s="118"/>
      <c r="X69" s="119"/>
      <c r="Y69" s="119"/>
      <c r="Z69" s="120"/>
      <c r="AA69" s="120">
        <v>0</v>
      </c>
      <c r="AB69" s="116">
        <f t="shared" si="16"/>
        <v>1166.6600000000001</v>
      </c>
      <c r="AC69" s="121">
        <f t="shared" si="8"/>
        <v>0</v>
      </c>
      <c r="AD69" s="116">
        <f t="shared" si="17"/>
        <v>1166.6600000000001</v>
      </c>
      <c r="AE69" s="122">
        <f t="shared" si="18"/>
        <v>116.66600000000001</v>
      </c>
      <c r="AF69" s="121">
        <v>10.23</v>
      </c>
      <c r="AG69" s="121">
        <f t="shared" si="19"/>
        <v>0</v>
      </c>
      <c r="AH69" s="123">
        <f t="shared" si="20"/>
        <v>1293.556</v>
      </c>
      <c r="AI69" s="237">
        <v>577.4</v>
      </c>
      <c r="AJ69" s="237">
        <v>589.26</v>
      </c>
      <c r="AK69" s="246">
        <f t="shared" si="7"/>
        <v>0</v>
      </c>
      <c r="AL69" s="125"/>
      <c r="AM69" s="125"/>
      <c r="BB69" s="39"/>
      <c r="BC69" s="39"/>
      <c r="BD69" s="39"/>
      <c r="BE69" s="39"/>
      <c r="BF69" s="39"/>
      <c r="BG69" s="39"/>
      <c r="BH69" s="39"/>
      <c r="BI69" s="39"/>
      <c r="BJ69" s="39"/>
      <c r="BK69" s="39"/>
      <c r="BL69" s="39"/>
      <c r="BM69" s="39"/>
      <c r="BN69" s="39"/>
      <c r="BO69" s="39"/>
      <c r="BP69" s="39"/>
      <c r="BQ69" s="39"/>
      <c r="BR69" s="39"/>
      <c r="BS69" s="39"/>
      <c r="BT69" s="39"/>
      <c r="BU69" s="39"/>
      <c r="BV69" s="39"/>
      <c r="BW69" s="39"/>
      <c r="BX69" s="39"/>
      <c r="BY69" s="39"/>
      <c r="BZ69" s="39"/>
      <c r="CA69" s="39"/>
      <c r="CB69" s="39"/>
      <c r="CC69" s="39"/>
      <c r="CD69" s="39"/>
      <c r="CE69" s="39"/>
      <c r="CF69" s="39"/>
      <c r="CG69" s="39"/>
      <c r="CH69" s="39"/>
      <c r="CI69" s="39"/>
      <c r="CJ69" s="39"/>
      <c r="CK69" s="39"/>
      <c r="CL69" s="39"/>
      <c r="CM69" s="39"/>
      <c r="CN69" s="39"/>
      <c r="CO69" s="39"/>
      <c r="CP69" s="39"/>
      <c r="CQ69" s="39"/>
      <c r="CR69" s="39"/>
      <c r="CS69" s="39"/>
      <c r="CT69" s="39"/>
      <c r="CU69" s="39"/>
      <c r="CV69" s="39"/>
      <c r="CW69" s="39"/>
      <c r="CX69" s="39"/>
      <c r="CY69" s="39"/>
      <c r="CZ69" s="39"/>
      <c r="DA69" s="39"/>
      <c r="DB69" s="39"/>
      <c r="DC69" s="39"/>
      <c r="DD69" s="39"/>
      <c r="DE69" s="39"/>
      <c r="DF69" s="39"/>
      <c r="DG69" s="39"/>
      <c r="DH69" s="39"/>
      <c r="DI69" s="39"/>
      <c r="DJ69" s="39"/>
      <c r="DK69" s="39"/>
      <c r="DL69" s="39"/>
      <c r="DM69" s="39"/>
      <c r="DN69" s="39"/>
      <c r="DO69" s="39"/>
      <c r="DP69" s="39"/>
      <c r="DQ69" s="39"/>
      <c r="DR69" s="39"/>
      <c r="DS69" s="39"/>
      <c r="DT69" s="39"/>
      <c r="DU69" s="39"/>
      <c r="DV69" s="39"/>
      <c r="DW69" s="39"/>
      <c r="DX69" s="39"/>
      <c r="DY69" s="39"/>
      <c r="DZ69" s="39"/>
      <c r="EA69" s="39"/>
      <c r="EB69" s="39"/>
      <c r="EC69" s="39"/>
      <c r="ED69" s="39"/>
      <c r="EE69" s="39"/>
      <c r="EF69" s="39"/>
      <c r="EG69" s="39"/>
      <c r="EH69" s="39"/>
      <c r="EI69" s="39"/>
      <c r="EJ69" s="39"/>
      <c r="EK69" s="39"/>
      <c r="EL69" s="39"/>
      <c r="EM69" s="39"/>
      <c r="EN69" s="39"/>
      <c r="EO69" s="39"/>
      <c r="EP69" s="39"/>
      <c r="EQ69" s="39"/>
      <c r="ER69" s="39"/>
      <c r="ES69" s="39"/>
      <c r="ET69" s="39"/>
      <c r="EU69" s="39"/>
      <c r="EV69" s="39"/>
      <c r="EW69" s="39"/>
      <c r="EX69" s="39"/>
      <c r="EY69" s="39"/>
      <c r="EZ69" s="39"/>
      <c r="FA69" s="39"/>
      <c r="FB69" s="39"/>
      <c r="FC69" s="39"/>
      <c r="FD69" s="39"/>
      <c r="FE69" s="39"/>
      <c r="FF69" s="39"/>
      <c r="FG69" s="39"/>
      <c r="FH69" s="39"/>
      <c r="FI69" s="39"/>
      <c r="FJ69" s="39"/>
      <c r="FK69" s="39"/>
      <c r="FL69" s="39"/>
      <c r="FM69" s="39"/>
      <c r="FN69" s="39"/>
      <c r="FO69" s="39"/>
      <c r="FP69" s="39"/>
      <c r="FQ69" s="39"/>
      <c r="FR69" s="39"/>
      <c r="FS69" s="39"/>
      <c r="FT69" s="39"/>
      <c r="FU69" s="39"/>
      <c r="FV69" s="39"/>
      <c r="FW69" s="39"/>
      <c r="FX69" s="39"/>
      <c r="FY69" s="39"/>
      <c r="FZ69" s="39"/>
      <c r="GA69" s="39"/>
      <c r="GB69" s="39"/>
      <c r="GC69" s="39"/>
      <c r="GD69" s="39"/>
      <c r="GE69" s="39"/>
      <c r="GF69" s="39"/>
      <c r="GG69" s="39"/>
      <c r="GH69" s="39"/>
      <c r="GI69" s="39"/>
      <c r="GJ69" s="39"/>
      <c r="GK69" s="39"/>
    </row>
    <row r="70" spans="1:193" s="84" customFormat="1">
      <c r="A70" s="125" t="s">
        <v>92</v>
      </c>
      <c r="B70" s="111" t="s">
        <v>78</v>
      </c>
      <c r="C70" s="111"/>
      <c r="D70" s="111" t="s">
        <v>104</v>
      </c>
      <c r="E70" s="111" t="s">
        <v>164</v>
      </c>
      <c r="F70" s="111"/>
      <c r="G70" s="111"/>
      <c r="H70" s="112"/>
      <c r="I70" s="113">
        <v>739.23</v>
      </c>
      <c r="J70" s="178"/>
      <c r="K70" s="113">
        <f t="shared" si="14"/>
        <v>739.23</v>
      </c>
      <c r="L70" s="113">
        <f>4547.58+13.09</f>
        <v>4560.67</v>
      </c>
      <c r="M70" s="113"/>
      <c r="N70" s="135"/>
      <c r="O70" s="114"/>
      <c r="P70" s="115"/>
      <c r="Q70" s="116">
        <f t="shared" si="15"/>
        <v>5299.9</v>
      </c>
      <c r="R70" s="117"/>
      <c r="S70" s="118"/>
      <c r="T70" s="118">
        <v>0</v>
      </c>
      <c r="U70" s="118"/>
      <c r="V70" s="118"/>
      <c r="W70" s="118"/>
      <c r="X70" s="119"/>
      <c r="Y70" s="119"/>
      <c r="Z70" s="120"/>
      <c r="AA70" s="120">
        <v>0</v>
      </c>
      <c r="AB70" s="116">
        <f t="shared" si="16"/>
        <v>5299.9</v>
      </c>
      <c r="AC70" s="121">
        <f t="shared" si="8"/>
        <v>529.99</v>
      </c>
      <c r="AD70" s="116">
        <f t="shared" si="17"/>
        <v>4769.91</v>
      </c>
      <c r="AE70" s="122">
        <f t="shared" si="18"/>
        <v>0</v>
      </c>
      <c r="AF70" s="121">
        <v>10.23</v>
      </c>
      <c r="AG70" s="121">
        <f t="shared" si="19"/>
        <v>0</v>
      </c>
      <c r="AH70" s="123">
        <f t="shared" si="20"/>
        <v>5310.1299999999992</v>
      </c>
      <c r="AI70" s="237">
        <v>577.4</v>
      </c>
      <c r="AJ70" s="247">
        <v>4192.51</v>
      </c>
      <c r="AK70" s="246">
        <f t="shared" si="7"/>
        <v>0</v>
      </c>
      <c r="AL70" s="125"/>
      <c r="AM70" s="125"/>
      <c r="AN70" s="39"/>
      <c r="AO70" s="39"/>
      <c r="AP70" s="39"/>
      <c r="AQ70" s="39"/>
      <c r="AR70" s="39"/>
      <c r="AS70" s="39"/>
      <c r="AT70" s="39"/>
      <c r="AU70" s="39"/>
      <c r="AV70" s="39"/>
      <c r="AW70" s="39"/>
      <c r="AX70" s="39"/>
      <c r="AY70" s="39"/>
      <c r="AZ70" s="39"/>
      <c r="BA70" s="39"/>
      <c r="BB70" s="39"/>
      <c r="BC70" s="39"/>
      <c r="BD70" s="39"/>
      <c r="BE70" s="39"/>
      <c r="BF70" s="39"/>
      <c r="BG70" s="39"/>
      <c r="BH70" s="39"/>
      <c r="BI70" s="39"/>
      <c r="BJ70" s="39"/>
      <c r="BK70" s="39"/>
      <c r="BL70" s="39"/>
      <c r="BM70" s="39"/>
      <c r="BN70" s="39"/>
      <c r="BO70" s="39"/>
      <c r="BP70" s="39"/>
      <c r="BQ70" s="39"/>
      <c r="BR70" s="39"/>
      <c r="BS70" s="39"/>
      <c r="BT70" s="39"/>
      <c r="BU70" s="39"/>
      <c r="BV70" s="39"/>
      <c r="BW70" s="39"/>
      <c r="BX70" s="39"/>
      <c r="BY70" s="39"/>
      <c r="BZ70" s="39"/>
      <c r="CA70" s="39"/>
      <c r="CB70" s="39"/>
      <c r="CC70" s="39"/>
      <c r="CD70" s="39"/>
      <c r="CE70" s="39"/>
      <c r="CF70" s="39"/>
      <c r="CG70" s="39"/>
      <c r="CH70" s="39"/>
      <c r="CI70" s="39"/>
      <c r="CJ70" s="39"/>
      <c r="CK70" s="39"/>
      <c r="CL70" s="39"/>
      <c r="CM70" s="39"/>
      <c r="CN70" s="39"/>
      <c r="CO70" s="39"/>
      <c r="CP70" s="39"/>
      <c r="CQ70" s="39"/>
      <c r="CR70" s="39"/>
      <c r="CS70" s="39"/>
      <c r="CT70" s="39"/>
      <c r="CU70" s="39"/>
      <c r="CV70" s="39"/>
      <c r="CW70" s="39"/>
      <c r="CX70" s="39"/>
      <c r="CY70" s="39"/>
      <c r="CZ70" s="39"/>
      <c r="DA70" s="39"/>
      <c r="DB70" s="39"/>
      <c r="DC70" s="39"/>
      <c r="DD70" s="39"/>
      <c r="DE70" s="39"/>
      <c r="DF70" s="39"/>
      <c r="DG70" s="39"/>
      <c r="DH70" s="39"/>
      <c r="DI70" s="39"/>
      <c r="DJ70" s="39"/>
      <c r="DK70" s="39"/>
      <c r="DL70" s="39"/>
      <c r="DM70" s="39"/>
      <c r="DN70" s="39"/>
      <c r="DO70" s="39"/>
      <c r="DP70" s="39"/>
      <c r="DQ70" s="39"/>
      <c r="DR70" s="39"/>
      <c r="DS70" s="39"/>
      <c r="DT70" s="39"/>
      <c r="DU70" s="39"/>
      <c r="DV70" s="39"/>
      <c r="DW70" s="39"/>
      <c r="DX70" s="39"/>
      <c r="DY70" s="39"/>
      <c r="DZ70" s="39"/>
      <c r="EA70" s="39"/>
      <c r="EB70" s="39"/>
      <c r="EC70" s="39"/>
      <c r="ED70" s="39"/>
      <c r="EE70" s="39"/>
      <c r="EF70" s="39"/>
      <c r="EG70" s="39"/>
      <c r="EH70" s="39"/>
      <c r="EI70" s="39"/>
      <c r="EJ70" s="39"/>
      <c r="EK70" s="39"/>
      <c r="EL70" s="39"/>
      <c r="EM70" s="39"/>
      <c r="EN70" s="39"/>
      <c r="EO70" s="39"/>
      <c r="EP70" s="39"/>
      <c r="EQ70" s="39"/>
      <c r="ER70" s="39"/>
      <c r="ES70" s="39"/>
      <c r="ET70" s="39"/>
      <c r="EU70" s="39"/>
      <c r="EV70" s="39"/>
      <c r="EW70" s="39"/>
      <c r="EX70" s="39"/>
      <c r="EY70" s="39"/>
      <c r="EZ70" s="39"/>
      <c r="FA70" s="39"/>
      <c r="FB70" s="39"/>
      <c r="FC70" s="39"/>
      <c r="FD70" s="39"/>
      <c r="FE70" s="39"/>
      <c r="FF70" s="39"/>
      <c r="FG70" s="39"/>
      <c r="FH70" s="39"/>
      <c r="FI70" s="39"/>
      <c r="FJ70" s="39"/>
      <c r="FK70" s="39"/>
      <c r="FL70" s="39"/>
      <c r="FM70" s="39"/>
      <c r="FN70" s="39"/>
      <c r="FO70" s="39"/>
      <c r="FP70" s="39"/>
      <c r="FQ70" s="39"/>
      <c r="FR70" s="39"/>
      <c r="FS70" s="39"/>
      <c r="FT70" s="39"/>
      <c r="FU70" s="39"/>
      <c r="FV70" s="39"/>
      <c r="FW70" s="39"/>
      <c r="FX70" s="39"/>
      <c r="FY70" s="39"/>
      <c r="FZ70" s="39"/>
      <c r="GA70" s="39"/>
      <c r="GB70" s="39"/>
      <c r="GC70" s="39"/>
      <c r="GD70" s="39"/>
      <c r="GE70" s="39"/>
      <c r="GF70" s="39"/>
      <c r="GG70" s="39"/>
      <c r="GH70" s="39"/>
      <c r="GI70" s="39"/>
      <c r="GJ70" s="39"/>
      <c r="GK70" s="39"/>
    </row>
    <row r="71" spans="1:193" s="84" customFormat="1">
      <c r="A71" s="126" t="s">
        <v>91</v>
      </c>
      <c r="B71" s="126" t="s">
        <v>326</v>
      </c>
      <c r="C71" s="126"/>
      <c r="D71" s="126"/>
      <c r="E71" s="126" t="s">
        <v>72</v>
      </c>
      <c r="F71" s="195">
        <v>42472</v>
      </c>
      <c r="G71" s="126"/>
      <c r="H71" s="126"/>
      <c r="I71" s="127">
        <v>166.6</v>
      </c>
      <c r="J71" s="196"/>
      <c r="K71" s="127">
        <f t="shared" si="14"/>
        <v>166.6</v>
      </c>
      <c r="L71" s="127"/>
      <c r="M71" s="127"/>
      <c r="N71" s="197"/>
      <c r="O71" s="127"/>
      <c r="P71" s="198"/>
      <c r="Q71" s="199">
        <f t="shared" si="15"/>
        <v>166.6</v>
      </c>
      <c r="R71" s="127"/>
      <c r="S71" s="127"/>
      <c r="T71" s="127"/>
      <c r="U71" s="127"/>
      <c r="V71" s="127"/>
      <c r="W71" s="127"/>
      <c r="X71" s="132"/>
      <c r="Y71" s="132"/>
      <c r="Z71" s="126"/>
      <c r="AA71" s="126">
        <v>0</v>
      </c>
      <c r="AB71" s="199">
        <f t="shared" ref="AB71" si="31">+Q71-SUM(R71:AA71)</f>
        <v>166.6</v>
      </c>
      <c r="AC71" s="132">
        <f t="shared" ref="AC71" si="32">IF(Q71&gt;2250,Q71*0.1,0)</f>
        <v>0</v>
      </c>
      <c r="AD71" s="199">
        <f t="shared" ref="AD71" si="33">+AB71-AC71</f>
        <v>166.6</v>
      </c>
      <c r="AE71" s="132">
        <f t="shared" ref="AE71" si="34">IF(Q71&lt;3500,Q71*0.1,0)</f>
        <v>16.66</v>
      </c>
      <c r="AF71" s="132">
        <v>10.23</v>
      </c>
      <c r="AG71" s="132">
        <f t="shared" ref="AG71" si="35">+U71</f>
        <v>0</v>
      </c>
      <c r="AH71" s="199">
        <f t="shared" ref="AH71" si="36">+Q71+AE71+AF71+AG71</f>
        <v>193.48999999999998</v>
      </c>
      <c r="AI71" s="238" t="s">
        <v>354</v>
      </c>
      <c r="AJ71" s="245" t="s">
        <v>355</v>
      </c>
      <c r="AK71" s="250"/>
      <c r="AL71" s="200" t="s">
        <v>328</v>
      </c>
      <c r="AM71" s="200" t="s">
        <v>327</v>
      </c>
      <c r="AN71" s="39"/>
      <c r="AO71" s="39"/>
      <c r="AP71" s="39"/>
      <c r="AQ71" s="39"/>
      <c r="AR71" s="39"/>
      <c r="AS71" s="39"/>
      <c r="AT71" s="39"/>
      <c r="AU71" s="39"/>
      <c r="AV71" s="39"/>
      <c r="AW71" s="39"/>
      <c r="AX71" s="39"/>
      <c r="AY71" s="39"/>
      <c r="AZ71" s="39"/>
      <c r="BA71" s="39"/>
      <c r="BB71" s="39"/>
      <c r="BC71" s="39"/>
      <c r="BD71" s="39"/>
      <c r="BE71" s="39"/>
      <c r="BF71" s="39"/>
      <c r="BG71" s="39"/>
      <c r="BH71" s="39"/>
      <c r="BI71" s="39"/>
      <c r="BJ71" s="39"/>
      <c r="BK71" s="39"/>
      <c r="BL71" s="39"/>
      <c r="BM71" s="39"/>
      <c r="BN71" s="39"/>
      <c r="BO71" s="39"/>
      <c r="BP71" s="39"/>
      <c r="BQ71" s="39"/>
      <c r="BR71" s="39"/>
      <c r="BS71" s="39"/>
      <c r="BT71" s="39"/>
      <c r="BU71" s="39"/>
      <c r="BV71" s="39"/>
      <c r="BW71" s="39"/>
      <c r="BX71" s="39"/>
      <c r="BY71" s="39"/>
      <c r="BZ71" s="39"/>
      <c r="CA71" s="39"/>
      <c r="CB71" s="39"/>
      <c r="CC71" s="39"/>
      <c r="CD71" s="39"/>
      <c r="CE71" s="39"/>
      <c r="CF71" s="39"/>
      <c r="CG71" s="39"/>
      <c r="CH71" s="39"/>
      <c r="CI71" s="39"/>
      <c r="CJ71" s="39"/>
      <c r="CK71" s="39"/>
      <c r="CL71" s="39"/>
      <c r="CM71" s="39"/>
      <c r="CN71" s="39"/>
      <c r="CO71" s="39"/>
      <c r="CP71" s="39"/>
      <c r="CQ71" s="39"/>
      <c r="CR71" s="39"/>
      <c r="CS71" s="39"/>
      <c r="CT71" s="39"/>
      <c r="CU71" s="39"/>
      <c r="CV71" s="39"/>
      <c r="CW71" s="39"/>
      <c r="CX71" s="39"/>
      <c r="CY71" s="39"/>
      <c r="CZ71" s="39"/>
      <c r="DA71" s="39"/>
      <c r="DB71" s="39"/>
      <c r="DC71" s="39"/>
      <c r="DD71" s="39"/>
      <c r="DE71" s="39"/>
      <c r="DF71" s="39"/>
      <c r="DG71" s="39"/>
      <c r="DH71" s="39"/>
      <c r="DI71" s="39"/>
      <c r="DJ71" s="39"/>
      <c r="DK71" s="39"/>
      <c r="DL71" s="39"/>
      <c r="DM71" s="39"/>
      <c r="DN71" s="39"/>
      <c r="DO71" s="39"/>
      <c r="DP71" s="39"/>
      <c r="DQ71" s="39"/>
      <c r="DR71" s="39"/>
      <c r="DS71" s="39"/>
      <c r="DT71" s="39"/>
      <c r="DU71" s="39"/>
      <c r="DV71" s="39"/>
      <c r="DW71" s="39"/>
      <c r="DX71" s="39"/>
      <c r="DY71" s="39"/>
      <c r="DZ71" s="39"/>
      <c r="EA71" s="39"/>
      <c r="EB71" s="39"/>
      <c r="EC71" s="39"/>
      <c r="ED71" s="39"/>
      <c r="EE71" s="39"/>
      <c r="EF71" s="39"/>
      <c r="EG71" s="39"/>
      <c r="EH71" s="39"/>
      <c r="EI71" s="39"/>
      <c r="EJ71" s="39"/>
      <c r="EK71" s="39"/>
      <c r="EL71" s="39"/>
      <c r="EM71" s="39"/>
      <c r="EN71" s="39"/>
      <c r="EO71" s="39"/>
      <c r="EP71" s="39"/>
      <c r="EQ71" s="39"/>
      <c r="ER71" s="39"/>
      <c r="ES71" s="39"/>
      <c r="ET71" s="39"/>
      <c r="EU71" s="39"/>
      <c r="EV71" s="39"/>
      <c r="EW71" s="39"/>
      <c r="EX71" s="39"/>
      <c r="EY71" s="39"/>
      <c r="EZ71" s="39"/>
      <c r="FA71" s="39"/>
      <c r="FB71" s="39"/>
      <c r="FC71" s="39"/>
      <c r="FD71" s="39"/>
      <c r="FE71" s="39"/>
      <c r="FF71" s="39"/>
      <c r="FG71" s="39"/>
      <c r="FH71" s="39"/>
      <c r="FI71" s="39"/>
      <c r="FJ71" s="39"/>
      <c r="FK71" s="39"/>
      <c r="FL71" s="39"/>
      <c r="FM71" s="39"/>
      <c r="FN71" s="39"/>
      <c r="FO71" s="39"/>
      <c r="FP71" s="39"/>
      <c r="FQ71" s="39"/>
      <c r="FR71" s="39"/>
      <c r="FS71" s="39"/>
      <c r="FT71" s="39"/>
      <c r="FU71" s="39"/>
      <c r="FV71" s="39"/>
      <c r="FW71" s="39"/>
      <c r="FX71" s="39"/>
      <c r="FY71" s="39"/>
      <c r="FZ71" s="39"/>
      <c r="GA71" s="39"/>
      <c r="GB71" s="39"/>
      <c r="GC71" s="39"/>
      <c r="GD71" s="39"/>
      <c r="GE71" s="39"/>
      <c r="GF71" s="39"/>
      <c r="GG71" s="39"/>
      <c r="GH71" s="39"/>
      <c r="GI71" s="39"/>
      <c r="GJ71" s="39"/>
      <c r="GK71" s="39"/>
    </row>
    <row r="72" spans="1:193">
      <c r="A72" s="125" t="s">
        <v>71</v>
      </c>
      <c r="B72" s="125" t="s">
        <v>297</v>
      </c>
      <c r="C72" s="125" t="s">
        <v>301</v>
      </c>
      <c r="D72" s="125"/>
      <c r="E72" s="125" t="s">
        <v>173</v>
      </c>
      <c r="F72" s="128">
        <v>42430</v>
      </c>
      <c r="G72" s="125"/>
      <c r="H72" s="125"/>
      <c r="I72" s="129">
        <v>513.33000000000004</v>
      </c>
      <c r="J72" s="180">
        <v>653.33000000000004</v>
      </c>
      <c r="K72" s="129">
        <f t="shared" si="14"/>
        <v>1166.6600000000001</v>
      </c>
      <c r="L72" s="129">
        <f>1999.16+1000</f>
        <v>2999.16</v>
      </c>
      <c r="M72" s="129"/>
      <c r="N72" s="136"/>
      <c r="O72" s="129"/>
      <c r="P72" s="115"/>
      <c r="Q72" s="116">
        <f t="shared" si="15"/>
        <v>4165.82</v>
      </c>
      <c r="R72" s="117"/>
      <c r="S72" s="118"/>
      <c r="T72" s="118">
        <v>0</v>
      </c>
      <c r="U72" s="118"/>
      <c r="V72" s="118"/>
      <c r="W72" s="118"/>
      <c r="X72" s="119"/>
      <c r="Y72" s="119"/>
      <c r="Z72" s="120"/>
      <c r="AA72" s="120">
        <v>0</v>
      </c>
      <c r="AB72" s="116">
        <f t="shared" si="16"/>
        <v>4165.82</v>
      </c>
      <c r="AC72" s="121">
        <f t="shared" si="8"/>
        <v>416.58199999999999</v>
      </c>
      <c r="AD72" s="116">
        <f t="shared" si="17"/>
        <v>3749.2379999999998</v>
      </c>
      <c r="AE72" s="122">
        <f t="shared" si="18"/>
        <v>0</v>
      </c>
      <c r="AF72" s="121">
        <v>10.23</v>
      </c>
      <c r="AG72" s="121">
        <f t="shared" si="19"/>
        <v>0</v>
      </c>
      <c r="AH72" s="123">
        <f t="shared" si="20"/>
        <v>4176.0499999999993</v>
      </c>
      <c r="AI72" s="237">
        <v>577.4</v>
      </c>
      <c r="AJ72" s="247">
        <v>3171.84</v>
      </c>
      <c r="AK72" s="246">
        <f t="shared" si="7"/>
        <v>2.0000000004074536E-3</v>
      </c>
      <c r="AL72" s="125"/>
      <c r="AM72" s="130"/>
      <c r="BB72" s="39"/>
      <c r="BC72" s="39"/>
      <c r="BD72" s="39"/>
      <c r="BE72" s="39"/>
      <c r="BF72" s="39"/>
      <c r="BG72" s="39"/>
      <c r="BH72" s="39"/>
      <c r="BI72" s="39"/>
      <c r="BJ72" s="39"/>
      <c r="BK72" s="39"/>
      <c r="BL72" s="39"/>
      <c r="BM72" s="39"/>
      <c r="BN72" s="39"/>
      <c r="BO72" s="39"/>
      <c r="BP72" s="39"/>
      <c r="BQ72" s="39"/>
      <c r="BR72" s="39"/>
      <c r="BS72" s="39"/>
      <c r="BT72" s="39"/>
      <c r="BU72" s="39"/>
      <c r="BV72" s="39"/>
      <c r="BW72" s="39"/>
      <c r="BX72" s="39"/>
      <c r="BY72" s="39"/>
      <c r="BZ72" s="39"/>
      <c r="CA72" s="39"/>
      <c r="CB72" s="39"/>
      <c r="CC72" s="39"/>
      <c r="CD72" s="39"/>
      <c r="CE72" s="39"/>
      <c r="CF72" s="39"/>
      <c r="CG72" s="39"/>
      <c r="CH72" s="39"/>
      <c r="CI72" s="39"/>
      <c r="CJ72" s="39"/>
      <c r="CK72" s="39"/>
      <c r="CL72" s="39"/>
      <c r="CM72" s="39"/>
      <c r="CN72" s="39"/>
      <c r="CO72" s="39"/>
      <c r="CP72" s="39"/>
      <c r="CQ72" s="39"/>
      <c r="CR72" s="39"/>
      <c r="CS72" s="39"/>
      <c r="CT72" s="39"/>
      <c r="CU72" s="39"/>
      <c r="CV72" s="39"/>
      <c r="CW72" s="39"/>
      <c r="CX72" s="39"/>
      <c r="CY72" s="39"/>
      <c r="CZ72" s="39"/>
      <c r="DA72" s="39"/>
      <c r="DB72" s="39"/>
      <c r="DC72" s="39"/>
      <c r="DD72" s="39"/>
      <c r="DE72" s="39"/>
      <c r="DF72" s="39"/>
      <c r="DG72" s="39"/>
      <c r="DH72" s="39"/>
      <c r="DI72" s="39"/>
      <c r="DJ72" s="39"/>
      <c r="DK72" s="39"/>
      <c r="DL72" s="39"/>
      <c r="DM72" s="39"/>
      <c r="DN72" s="39"/>
      <c r="DO72" s="39"/>
      <c r="DP72" s="39"/>
      <c r="DQ72" s="39"/>
      <c r="DR72" s="39"/>
      <c r="DS72" s="39"/>
      <c r="DT72" s="39"/>
      <c r="DU72" s="39"/>
      <c r="DV72" s="39"/>
      <c r="DW72" s="39"/>
      <c r="DX72" s="39"/>
      <c r="DY72" s="39"/>
      <c r="DZ72" s="39"/>
      <c r="EA72" s="39"/>
      <c r="EB72" s="39"/>
      <c r="EC72" s="39"/>
      <c r="ED72" s="39"/>
      <c r="EE72" s="39"/>
      <c r="EF72" s="39"/>
      <c r="EG72" s="39"/>
      <c r="EH72" s="39"/>
      <c r="EI72" s="39"/>
      <c r="EJ72" s="39"/>
      <c r="EK72" s="39"/>
      <c r="EL72" s="39"/>
      <c r="EM72" s="39"/>
      <c r="EN72" s="39"/>
      <c r="EO72" s="39"/>
      <c r="EP72" s="39"/>
      <c r="EQ72" s="39"/>
      <c r="ER72" s="39"/>
      <c r="ES72" s="39"/>
      <c r="ET72" s="39"/>
      <c r="EU72" s="39"/>
      <c r="EV72" s="39"/>
      <c r="EW72" s="39"/>
      <c r="EX72" s="39"/>
      <c r="EY72" s="39"/>
      <c r="EZ72" s="39"/>
      <c r="FA72" s="39"/>
      <c r="FB72" s="39"/>
      <c r="FC72" s="39"/>
      <c r="FD72" s="39"/>
      <c r="FE72" s="39"/>
      <c r="FF72" s="39"/>
      <c r="FG72" s="39"/>
      <c r="FH72" s="39"/>
      <c r="FI72" s="39"/>
      <c r="FJ72" s="39"/>
      <c r="FK72" s="39"/>
      <c r="FL72" s="39"/>
      <c r="FM72" s="39"/>
      <c r="FN72" s="39"/>
      <c r="FO72" s="39"/>
      <c r="FP72" s="39"/>
      <c r="FQ72" s="39"/>
      <c r="FR72" s="39"/>
      <c r="FS72" s="39"/>
      <c r="FT72" s="39"/>
      <c r="FU72" s="39"/>
      <c r="FV72" s="39"/>
      <c r="FW72" s="39"/>
      <c r="FX72" s="39"/>
      <c r="FY72" s="39"/>
      <c r="FZ72" s="39"/>
      <c r="GA72" s="39"/>
      <c r="GB72" s="39"/>
      <c r="GC72" s="39"/>
      <c r="GD72" s="39"/>
      <c r="GE72" s="39"/>
      <c r="GF72" s="39"/>
      <c r="GG72" s="39"/>
      <c r="GH72" s="39"/>
      <c r="GI72" s="39"/>
      <c r="GJ72" s="39"/>
      <c r="GK72" s="39"/>
    </row>
    <row r="73" spans="1:193">
      <c r="A73" s="125" t="s">
        <v>92</v>
      </c>
      <c r="B73" s="111" t="s">
        <v>232</v>
      </c>
      <c r="C73" s="111"/>
      <c r="D73" s="111" t="s">
        <v>105</v>
      </c>
      <c r="E73" s="111" t="s">
        <v>163</v>
      </c>
      <c r="F73" s="111"/>
      <c r="G73" s="111"/>
      <c r="H73" s="112"/>
      <c r="I73" s="113">
        <v>739.23</v>
      </c>
      <c r="J73" s="178"/>
      <c r="K73" s="113">
        <f t="shared" si="14"/>
        <v>739.23</v>
      </c>
      <c r="L73" s="113">
        <f>3971.36+13.09</f>
        <v>3984.4500000000003</v>
      </c>
      <c r="M73" s="113"/>
      <c r="N73" s="114"/>
      <c r="O73" s="114"/>
      <c r="P73" s="115"/>
      <c r="Q73" s="116">
        <f t="shared" si="15"/>
        <v>4723.68</v>
      </c>
      <c r="R73" s="117"/>
      <c r="S73" s="118"/>
      <c r="T73" s="118">
        <v>0</v>
      </c>
      <c r="U73" s="118"/>
      <c r="V73" s="118"/>
      <c r="W73" s="118"/>
      <c r="X73" s="119"/>
      <c r="Y73" s="119"/>
      <c r="Z73" s="120"/>
      <c r="AA73" s="120">
        <v>0</v>
      </c>
      <c r="AB73" s="116">
        <f t="shared" si="16"/>
        <v>4723.68</v>
      </c>
      <c r="AC73" s="121">
        <f t="shared" si="8"/>
        <v>472.36800000000005</v>
      </c>
      <c r="AD73" s="116">
        <f t="shared" si="17"/>
        <v>4251.3119999999999</v>
      </c>
      <c r="AE73" s="122">
        <f t="shared" si="18"/>
        <v>0</v>
      </c>
      <c r="AF73" s="121">
        <v>10.23</v>
      </c>
      <c r="AG73" s="121">
        <f t="shared" si="19"/>
        <v>0</v>
      </c>
      <c r="AH73" s="123">
        <f t="shared" si="20"/>
        <v>4733.91</v>
      </c>
      <c r="AI73" s="237">
        <v>577.4</v>
      </c>
      <c r="AJ73" s="247">
        <v>3673.91</v>
      </c>
      <c r="AK73" s="246">
        <f t="shared" si="7"/>
        <v>-2.0000000004074536E-3</v>
      </c>
      <c r="AL73" s="125"/>
      <c r="AM73" s="125"/>
      <c r="BB73" s="39"/>
      <c r="BC73" s="39"/>
      <c r="BD73" s="39"/>
      <c r="BE73" s="39"/>
      <c r="BF73" s="39"/>
      <c r="BG73" s="39"/>
      <c r="BH73" s="39"/>
      <c r="BI73" s="39"/>
      <c r="BJ73" s="39"/>
      <c r="BK73" s="39"/>
      <c r="BL73" s="39"/>
      <c r="BM73" s="39"/>
      <c r="BN73" s="39"/>
      <c r="BO73" s="39"/>
      <c r="BP73" s="39"/>
      <c r="BQ73" s="39"/>
      <c r="BR73" s="39"/>
      <c r="BS73" s="39"/>
      <c r="BT73" s="39"/>
      <c r="BU73" s="39"/>
      <c r="BV73" s="39"/>
      <c r="BW73" s="39"/>
      <c r="BX73" s="39"/>
      <c r="BY73" s="39"/>
      <c r="BZ73" s="39"/>
      <c r="CA73" s="39"/>
      <c r="CB73" s="39"/>
      <c r="CC73" s="39"/>
      <c r="CD73" s="39"/>
      <c r="CE73" s="39"/>
      <c r="CF73" s="39"/>
      <c r="CG73" s="39"/>
      <c r="CH73" s="39"/>
      <c r="CI73" s="39"/>
      <c r="CJ73" s="39"/>
      <c r="CK73" s="39"/>
      <c r="CL73" s="39"/>
      <c r="CM73" s="39"/>
      <c r="CN73" s="39"/>
      <c r="CO73" s="39"/>
      <c r="CP73" s="39"/>
      <c r="CQ73" s="39"/>
      <c r="CR73" s="39"/>
      <c r="CS73" s="39"/>
      <c r="CT73" s="39"/>
      <c r="CU73" s="39"/>
      <c r="CV73" s="39"/>
      <c r="CW73" s="39"/>
      <c r="CX73" s="39"/>
      <c r="CY73" s="39"/>
      <c r="CZ73" s="39"/>
      <c r="DA73" s="39"/>
      <c r="DB73" s="39"/>
      <c r="DC73" s="39"/>
      <c r="DD73" s="39"/>
      <c r="DE73" s="39"/>
      <c r="DF73" s="39"/>
      <c r="DG73" s="39"/>
      <c r="DH73" s="39"/>
      <c r="DI73" s="39"/>
      <c r="DJ73" s="39"/>
      <c r="DK73" s="39"/>
      <c r="DL73" s="39"/>
      <c r="DM73" s="39"/>
      <c r="DN73" s="39"/>
      <c r="DO73" s="39"/>
      <c r="DP73" s="39"/>
      <c r="DQ73" s="39"/>
      <c r="DR73" s="39"/>
      <c r="DS73" s="39"/>
      <c r="DT73" s="39"/>
      <c r="DU73" s="39"/>
      <c r="DV73" s="39"/>
      <c r="DW73" s="39"/>
      <c r="DX73" s="39"/>
      <c r="DY73" s="39"/>
      <c r="DZ73" s="39"/>
      <c r="EA73" s="39"/>
      <c r="EB73" s="39"/>
      <c r="EC73" s="39"/>
      <c r="ED73" s="39"/>
      <c r="EE73" s="39"/>
      <c r="EF73" s="39"/>
      <c r="EG73" s="39"/>
      <c r="EH73" s="39"/>
      <c r="EI73" s="39"/>
      <c r="EJ73" s="39"/>
      <c r="EK73" s="39"/>
      <c r="EL73" s="39"/>
      <c r="EM73" s="39"/>
      <c r="EN73" s="39"/>
      <c r="EO73" s="39"/>
      <c r="EP73" s="39"/>
      <c r="EQ73" s="39"/>
      <c r="ER73" s="39"/>
      <c r="ES73" s="39"/>
      <c r="ET73" s="39"/>
      <c r="EU73" s="39"/>
      <c r="EV73" s="39"/>
      <c r="EW73" s="39"/>
      <c r="EX73" s="39"/>
      <c r="EY73" s="39"/>
      <c r="EZ73" s="39"/>
      <c r="FA73" s="39"/>
      <c r="FB73" s="39"/>
      <c r="FC73" s="39"/>
      <c r="FD73" s="39"/>
      <c r="FE73" s="39"/>
      <c r="FF73" s="39"/>
      <c r="FG73" s="39"/>
      <c r="FH73" s="39"/>
      <c r="FI73" s="39"/>
      <c r="FJ73" s="39"/>
      <c r="FK73" s="39"/>
      <c r="FL73" s="39"/>
      <c r="FM73" s="39"/>
      <c r="FN73" s="39"/>
      <c r="FO73" s="39"/>
      <c r="FP73" s="39"/>
      <c r="FQ73" s="39"/>
      <c r="FR73" s="39"/>
      <c r="FS73" s="39"/>
      <c r="FT73" s="39"/>
      <c r="FU73" s="39"/>
      <c r="FV73" s="39"/>
      <c r="FW73" s="39"/>
      <c r="FX73" s="39"/>
      <c r="FY73" s="39"/>
      <c r="FZ73" s="39"/>
      <c r="GA73" s="39"/>
      <c r="GB73" s="39"/>
      <c r="GC73" s="39"/>
      <c r="GD73" s="39"/>
      <c r="GE73" s="39"/>
      <c r="GF73" s="39"/>
      <c r="GG73" s="39"/>
      <c r="GH73" s="39"/>
      <c r="GI73" s="39"/>
      <c r="GJ73" s="39"/>
      <c r="GK73" s="39"/>
    </row>
    <row r="74" spans="1:193">
      <c r="A74" s="126" t="s">
        <v>94</v>
      </c>
      <c r="B74" s="126" t="s">
        <v>333</v>
      </c>
      <c r="C74" s="126"/>
      <c r="D74" s="126"/>
      <c r="E74" s="126" t="s">
        <v>174</v>
      </c>
      <c r="F74" s="195">
        <v>42467</v>
      </c>
      <c r="G74" s="126"/>
      <c r="H74" s="126"/>
      <c r="I74" s="127">
        <v>435.75</v>
      </c>
      <c r="J74" s="196"/>
      <c r="K74" s="127">
        <f t="shared" si="14"/>
        <v>435.75</v>
      </c>
      <c r="L74" s="127"/>
      <c r="M74" s="127"/>
      <c r="N74" s="127"/>
      <c r="O74" s="127"/>
      <c r="P74" s="198"/>
      <c r="Q74" s="199">
        <f t="shared" si="15"/>
        <v>435.75</v>
      </c>
      <c r="R74" s="127"/>
      <c r="S74" s="127"/>
      <c r="T74" s="127"/>
      <c r="U74" s="127"/>
      <c r="V74" s="127"/>
      <c r="W74" s="127"/>
      <c r="X74" s="132"/>
      <c r="Y74" s="132"/>
      <c r="Z74" s="126"/>
      <c r="AA74" s="126"/>
      <c r="AB74" s="199">
        <f t="shared" si="16"/>
        <v>435.75</v>
      </c>
      <c r="AC74" s="132">
        <f t="shared" si="8"/>
        <v>0</v>
      </c>
      <c r="AD74" s="199">
        <f t="shared" ref="AD74" si="37">+AB74-AC74</f>
        <v>435.75</v>
      </c>
      <c r="AE74" s="132">
        <f t="shared" ref="AE74" si="38">IF(Q74&lt;3500,Q74*0.1,0)</f>
        <v>43.575000000000003</v>
      </c>
      <c r="AF74" s="132">
        <v>10.23</v>
      </c>
      <c r="AG74" s="132">
        <f t="shared" ref="AG74" si="39">+U74</f>
        <v>0</v>
      </c>
      <c r="AH74" s="199">
        <f t="shared" si="20"/>
        <v>489.55500000000001</v>
      </c>
      <c r="AI74" s="255">
        <v>329.96</v>
      </c>
      <c r="AJ74" s="249">
        <v>105.79</v>
      </c>
      <c r="AK74" s="250">
        <f t="shared" si="7"/>
        <v>0</v>
      </c>
      <c r="AL74" s="126">
        <v>1134051785</v>
      </c>
      <c r="AM74" s="200" t="s">
        <v>334</v>
      </c>
      <c r="BB74" s="39"/>
      <c r="BC74" s="39"/>
      <c r="BD74" s="39"/>
      <c r="BE74" s="39"/>
      <c r="BF74" s="39"/>
      <c r="BG74" s="39"/>
      <c r="BH74" s="39"/>
      <c r="BI74" s="39"/>
      <c r="BJ74" s="39"/>
      <c r="BK74" s="39"/>
      <c r="BL74" s="39"/>
      <c r="BM74" s="39"/>
      <c r="BN74" s="39"/>
      <c r="BO74" s="39"/>
      <c r="BP74" s="39"/>
      <c r="BQ74" s="39"/>
      <c r="BR74" s="39"/>
      <c r="BS74" s="39"/>
      <c r="BT74" s="39"/>
      <c r="BU74" s="39"/>
      <c r="BV74" s="39"/>
      <c r="BW74" s="39"/>
      <c r="BX74" s="39"/>
      <c r="BY74" s="39"/>
      <c r="BZ74" s="39"/>
      <c r="CA74" s="39"/>
      <c r="CB74" s="39"/>
      <c r="CC74" s="39"/>
      <c r="CD74" s="39"/>
      <c r="CE74" s="39"/>
      <c r="CF74" s="39"/>
      <c r="CG74" s="39"/>
      <c r="CH74" s="39"/>
      <c r="CI74" s="39"/>
      <c r="CJ74" s="39"/>
      <c r="CK74" s="39"/>
      <c r="CL74" s="39"/>
      <c r="CM74" s="39"/>
      <c r="CN74" s="39"/>
      <c r="CO74" s="39"/>
      <c r="CP74" s="39"/>
      <c r="CQ74" s="39"/>
      <c r="CR74" s="39"/>
      <c r="CS74" s="39"/>
      <c r="CT74" s="39"/>
      <c r="CU74" s="39"/>
      <c r="CV74" s="39"/>
      <c r="CW74" s="39"/>
      <c r="CX74" s="39"/>
      <c r="CY74" s="39"/>
      <c r="CZ74" s="39"/>
      <c r="DA74" s="39"/>
      <c r="DB74" s="39"/>
      <c r="DC74" s="39"/>
      <c r="DD74" s="39"/>
      <c r="DE74" s="39"/>
      <c r="DF74" s="39"/>
      <c r="DG74" s="39"/>
      <c r="DH74" s="39"/>
      <c r="DI74" s="39"/>
      <c r="DJ74" s="39"/>
      <c r="DK74" s="39"/>
      <c r="DL74" s="39"/>
      <c r="DM74" s="39"/>
      <c r="DN74" s="39"/>
      <c r="DO74" s="39"/>
      <c r="DP74" s="39"/>
      <c r="DQ74" s="39"/>
      <c r="DR74" s="39"/>
      <c r="DS74" s="39"/>
      <c r="DT74" s="39"/>
      <c r="DU74" s="39"/>
      <c r="DV74" s="39"/>
      <c r="DW74" s="39"/>
      <c r="DX74" s="39"/>
      <c r="DY74" s="39"/>
      <c r="DZ74" s="39"/>
      <c r="EA74" s="39"/>
      <c r="EB74" s="39"/>
      <c r="EC74" s="39"/>
      <c r="ED74" s="39"/>
      <c r="EE74" s="39"/>
      <c r="EF74" s="39"/>
      <c r="EG74" s="39"/>
      <c r="EH74" s="39"/>
      <c r="EI74" s="39"/>
      <c r="EJ74" s="39"/>
      <c r="EK74" s="39"/>
      <c r="EL74" s="39"/>
      <c r="EM74" s="39"/>
      <c r="EN74" s="39"/>
      <c r="EO74" s="39"/>
      <c r="EP74" s="39"/>
      <c r="EQ74" s="39"/>
      <c r="ER74" s="39"/>
      <c r="ES74" s="39"/>
      <c r="ET74" s="39"/>
      <c r="EU74" s="39"/>
      <c r="EV74" s="39"/>
      <c r="EW74" s="39"/>
      <c r="EX74" s="39"/>
      <c r="EY74" s="39"/>
      <c r="EZ74" s="39"/>
      <c r="FA74" s="39"/>
      <c r="FB74" s="39"/>
      <c r="FC74" s="39"/>
      <c r="FD74" s="39"/>
      <c r="FE74" s="39"/>
      <c r="FF74" s="39"/>
      <c r="FG74" s="39"/>
      <c r="FH74" s="39"/>
      <c r="FI74" s="39"/>
      <c r="FJ74" s="39"/>
      <c r="FK74" s="39"/>
      <c r="FL74" s="39"/>
      <c r="FM74" s="39"/>
      <c r="FN74" s="39"/>
      <c r="FO74" s="39"/>
      <c r="FP74" s="39"/>
      <c r="FQ74" s="39"/>
      <c r="FR74" s="39"/>
      <c r="FS74" s="39"/>
      <c r="FT74" s="39"/>
      <c r="FU74" s="39"/>
      <c r="FV74" s="39"/>
      <c r="FW74" s="39"/>
      <c r="FX74" s="39"/>
      <c r="FY74" s="39"/>
      <c r="FZ74" s="39"/>
      <c r="GA74" s="39"/>
      <c r="GB74" s="39"/>
      <c r="GC74" s="39"/>
      <c r="GD74" s="39"/>
      <c r="GE74" s="39"/>
      <c r="GF74" s="39"/>
      <c r="GG74" s="39"/>
      <c r="GH74" s="39"/>
      <c r="GI74" s="39"/>
      <c r="GJ74" s="39"/>
      <c r="GK74" s="39"/>
    </row>
    <row r="75" spans="1:193">
      <c r="A75" s="125" t="s">
        <v>92</v>
      </c>
      <c r="B75" s="125" t="s">
        <v>272</v>
      </c>
      <c r="C75" s="125"/>
      <c r="D75" s="125"/>
      <c r="E75" s="125" t="s">
        <v>163</v>
      </c>
      <c r="F75" s="128">
        <v>42422</v>
      </c>
      <c r="G75" s="125"/>
      <c r="H75" s="125"/>
      <c r="I75" s="113">
        <v>739.23</v>
      </c>
      <c r="J75" s="178"/>
      <c r="K75" s="113">
        <f t="shared" si="14"/>
        <v>739.23</v>
      </c>
      <c r="L75" s="113">
        <f>3479.6+13.09</f>
        <v>3492.69</v>
      </c>
      <c r="M75" s="113"/>
      <c r="N75" s="114"/>
      <c r="O75" s="114"/>
      <c r="P75" s="115"/>
      <c r="Q75" s="116">
        <f t="shared" si="15"/>
        <v>4231.92</v>
      </c>
      <c r="R75" s="117"/>
      <c r="S75" s="118"/>
      <c r="T75" s="118">
        <v>0</v>
      </c>
      <c r="U75" s="118"/>
      <c r="V75" s="118"/>
      <c r="W75" s="118"/>
      <c r="X75" s="119"/>
      <c r="Y75" s="119"/>
      <c r="Z75" s="120"/>
      <c r="AA75" s="120">
        <v>0</v>
      </c>
      <c r="AB75" s="116">
        <f t="shared" si="16"/>
        <v>4231.92</v>
      </c>
      <c r="AC75" s="121">
        <f t="shared" si="8"/>
        <v>423.19200000000001</v>
      </c>
      <c r="AD75" s="116">
        <f t="shared" si="17"/>
        <v>3808.7280000000001</v>
      </c>
      <c r="AE75" s="122">
        <f t="shared" si="18"/>
        <v>0</v>
      </c>
      <c r="AF75" s="121">
        <v>10.23</v>
      </c>
      <c r="AG75" s="121">
        <f t="shared" si="19"/>
        <v>0</v>
      </c>
      <c r="AH75" s="123">
        <f t="shared" si="20"/>
        <v>4242.1499999999996</v>
      </c>
      <c r="AI75" s="237">
        <v>577.4</v>
      </c>
      <c r="AJ75" s="247">
        <v>3231.33</v>
      </c>
      <c r="AK75" s="246">
        <f t="shared" si="7"/>
        <v>1.9999999999527063E-3</v>
      </c>
      <c r="AL75" s="125"/>
      <c r="AM75" s="130"/>
      <c r="BB75" s="39"/>
      <c r="BC75" s="39"/>
      <c r="BD75" s="39"/>
      <c r="BE75" s="39"/>
      <c r="BF75" s="39"/>
      <c r="BG75" s="39"/>
      <c r="BH75" s="39"/>
      <c r="BI75" s="39"/>
      <c r="BJ75" s="39"/>
      <c r="BK75" s="39"/>
      <c r="BL75" s="39"/>
      <c r="BM75" s="39"/>
      <c r="BN75" s="39"/>
      <c r="BO75" s="39"/>
      <c r="BP75" s="39"/>
      <c r="BQ75" s="39"/>
      <c r="BR75" s="39"/>
      <c r="BS75" s="39"/>
      <c r="BT75" s="39"/>
      <c r="BU75" s="39"/>
      <c r="BV75" s="39"/>
      <c r="BW75" s="39"/>
      <c r="BX75" s="39"/>
      <c r="BY75" s="39"/>
      <c r="BZ75" s="39"/>
      <c r="CA75" s="39"/>
      <c r="CB75" s="39"/>
      <c r="CC75" s="39"/>
      <c r="CD75" s="39"/>
      <c r="CE75" s="39"/>
      <c r="CF75" s="39"/>
      <c r="CG75" s="39"/>
      <c r="CH75" s="39"/>
      <c r="CI75" s="39"/>
      <c r="CJ75" s="39"/>
      <c r="CK75" s="39"/>
      <c r="CL75" s="39"/>
      <c r="CM75" s="39"/>
      <c r="CN75" s="39"/>
      <c r="CO75" s="39"/>
      <c r="CP75" s="39"/>
      <c r="CQ75" s="39"/>
      <c r="CR75" s="39"/>
      <c r="CS75" s="39"/>
      <c r="CT75" s="39"/>
      <c r="CU75" s="39"/>
      <c r="CV75" s="39"/>
      <c r="CW75" s="39"/>
      <c r="CX75" s="39"/>
      <c r="CY75" s="39"/>
      <c r="CZ75" s="39"/>
      <c r="DA75" s="39"/>
      <c r="DB75" s="39"/>
      <c r="DC75" s="39"/>
      <c r="DD75" s="39"/>
      <c r="DE75" s="39"/>
      <c r="DF75" s="39"/>
      <c r="DG75" s="39"/>
      <c r="DH75" s="39"/>
      <c r="DI75" s="39"/>
      <c r="DJ75" s="39"/>
      <c r="DK75" s="39"/>
      <c r="DL75" s="39"/>
      <c r="DM75" s="39"/>
      <c r="DN75" s="39"/>
      <c r="DO75" s="39"/>
      <c r="DP75" s="39"/>
      <c r="DQ75" s="39"/>
      <c r="DR75" s="39"/>
      <c r="DS75" s="39"/>
      <c r="DT75" s="39"/>
      <c r="DU75" s="39"/>
      <c r="DV75" s="39"/>
      <c r="DW75" s="39"/>
      <c r="DX75" s="39"/>
      <c r="DY75" s="39"/>
      <c r="DZ75" s="39"/>
      <c r="EA75" s="39"/>
      <c r="EB75" s="39"/>
      <c r="EC75" s="39"/>
      <c r="ED75" s="39"/>
      <c r="EE75" s="39"/>
      <c r="EF75" s="39"/>
      <c r="EG75" s="39"/>
      <c r="EH75" s="39"/>
      <c r="EI75" s="39"/>
      <c r="EJ75" s="39"/>
      <c r="EK75" s="39"/>
      <c r="EL75" s="39"/>
      <c r="EM75" s="39"/>
      <c r="EN75" s="39"/>
      <c r="EO75" s="39"/>
      <c r="EP75" s="39"/>
      <c r="EQ75" s="39"/>
      <c r="ER75" s="39"/>
      <c r="ES75" s="39"/>
      <c r="ET75" s="39"/>
      <c r="EU75" s="39"/>
      <c r="EV75" s="39"/>
      <c r="EW75" s="39"/>
      <c r="EX75" s="39"/>
      <c r="EY75" s="39"/>
      <c r="EZ75" s="39"/>
      <c r="FA75" s="39"/>
      <c r="FB75" s="39"/>
      <c r="FC75" s="39"/>
      <c r="FD75" s="39"/>
      <c r="FE75" s="39"/>
      <c r="FF75" s="39"/>
      <c r="FG75" s="39"/>
      <c r="FH75" s="39"/>
      <c r="FI75" s="39"/>
      <c r="FJ75" s="39"/>
      <c r="FK75" s="39"/>
      <c r="FL75" s="39"/>
      <c r="FM75" s="39"/>
      <c r="FN75" s="39"/>
      <c r="FO75" s="39"/>
      <c r="FP75" s="39"/>
      <c r="FQ75" s="39"/>
      <c r="FR75" s="39"/>
      <c r="FS75" s="39"/>
      <c r="FT75" s="39"/>
      <c r="FU75" s="39"/>
      <c r="FV75" s="39"/>
      <c r="FW75" s="39"/>
      <c r="FX75" s="39"/>
      <c r="FY75" s="39"/>
      <c r="FZ75" s="39"/>
      <c r="GA75" s="39"/>
      <c r="GB75" s="39"/>
      <c r="GC75" s="39"/>
      <c r="GD75" s="39"/>
      <c r="GE75" s="39"/>
      <c r="GF75" s="39"/>
      <c r="GG75" s="39"/>
      <c r="GH75" s="39"/>
      <c r="GI75" s="39"/>
      <c r="GJ75" s="39"/>
      <c r="GK75" s="39"/>
    </row>
    <row r="76" spans="1:193">
      <c r="A76" s="125" t="s">
        <v>94</v>
      </c>
      <c r="B76" s="111" t="s">
        <v>319</v>
      </c>
      <c r="C76" s="111"/>
      <c r="D76" s="111" t="s">
        <v>137</v>
      </c>
      <c r="E76" s="111" t="s">
        <v>181</v>
      </c>
      <c r="F76" s="111"/>
      <c r="G76" s="112"/>
      <c r="H76" s="112"/>
      <c r="I76" s="113">
        <v>608.16</v>
      </c>
      <c r="J76" s="178"/>
      <c r="K76" s="113">
        <f t="shared" si="14"/>
        <v>608.16</v>
      </c>
      <c r="L76" s="113">
        <f>984.94+3.73</f>
        <v>988.67000000000007</v>
      </c>
      <c r="M76" s="113"/>
      <c r="N76" s="114"/>
      <c r="O76" s="114"/>
      <c r="P76" s="115"/>
      <c r="Q76" s="116">
        <f t="shared" si="15"/>
        <v>1596.83</v>
      </c>
      <c r="R76" s="117"/>
      <c r="S76" s="118"/>
      <c r="T76" s="118"/>
      <c r="U76" s="127">
        <f>Q76*4.9%</f>
        <v>78.244669999999999</v>
      </c>
      <c r="V76" s="127">
        <f>Q76*1%</f>
        <v>15.968299999999999</v>
      </c>
      <c r="W76" s="118"/>
      <c r="X76" s="119"/>
      <c r="Y76" s="119"/>
      <c r="Z76" s="120"/>
      <c r="AA76" s="120">
        <v>0</v>
      </c>
      <c r="AB76" s="116">
        <f t="shared" si="16"/>
        <v>1502.6170299999999</v>
      </c>
      <c r="AC76" s="121">
        <f t="shared" si="8"/>
        <v>0</v>
      </c>
      <c r="AD76" s="116">
        <f t="shared" si="17"/>
        <v>1502.6170299999999</v>
      </c>
      <c r="AE76" s="122">
        <f t="shared" si="18"/>
        <v>159.68299999999999</v>
      </c>
      <c r="AF76" s="121">
        <v>10.23</v>
      </c>
      <c r="AG76" s="121">
        <f t="shared" si="19"/>
        <v>78.244669999999999</v>
      </c>
      <c r="AH76" s="123">
        <f t="shared" si="20"/>
        <v>1844.98767</v>
      </c>
      <c r="AI76" s="237">
        <v>577.4</v>
      </c>
      <c r="AJ76" s="237">
        <v>925.22</v>
      </c>
      <c r="AK76" s="246">
        <f t="shared" si="7"/>
        <v>2.9700000000048021E-3</v>
      </c>
      <c r="AL76" s="125"/>
      <c r="AM76" s="130"/>
      <c r="BB76" s="39"/>
      <c r="BC76" s="39"/>
      <c r="BD76" s="39"/>
      <c r="BE76" s="39"/>
      <c r="BF76" s="39"/>
      <c r="BG76" s="39"/>
      <c r="BH76" s="39"/>
      <c r="BI76" s="39"/>
      <c r="BJ76" s="39"/>
      <c r="BK76" s="39"/>
      <c r="BL76" s="39"/>
      <c r="BM76" s="39"/>
      <c r="BN76" s="39"/>
      <c r="BO76" s="39"/>
      <c r="BP76" s="39"/>
      <c r="BQ76" s="39"/>
      <c r="BR76" s="39"/>
      <c r="BS76" s="39"/>
      <c r="BT76" s="39"/>
      <c r="BU76" s="39"/>
      <c r="BV76" s="39"/>
      <c r="BW76" s="39"/>
      <c r="BX76" s="39"/>
      <c r="BY76" s="39"/>
      <c r="BZ76" s="39"/>
      <c r="CA76" s="39"/>
      <c r="CB76" s="39"/>
      <c r="CC76" s="39"/>
      <c r="CD76" s="39"/>
      <c r="CE76" s="39"/>
      <c r="CF76" s="39"/>
      <c r="CG76" s="39"/>
      <c r="CH76" s="39"/>
      <c r="CI76" s="39"/>
      <c r="CJ76" s="39"/>
      <c r="CK76" s="39"/>
      <c r="CL76" s="39"/>
      <c r="CM76" s="39"/>
      <c r="CN76" s="39"/>
      <c r="CO76" s="39"/>
      <c r="CP76" s="39"/>
      <c r="CQ76" s="39"/>
      <c r="CR76" s="39"/>
      <c r="CS76" s="39"/>
      <c r="CT76" s="39"/>
      <c r="CU76" s="39"/>
      <c r="CV76" s="39"/>
      <c r="CW76" s="39"/>
      <c r="CX76" s="39"/>
      <c r="CY76" s="39"/>
      <c r="CZ76" s="39"/>
      <c r="DA76" s="39"/>
      <c r="DB76" s="39"/>
      <c r="DC76" s="39"/>
      <c r="DD76" s="39"/>
      <c r="DE76" s="39"/>
      <c r="DF76" s="39"/>
      <c r="DG76" s="39"/>
      <c r="DH76" s="39"/>
      <c r="DI76" s="39"/>
      <c r="DJ76" s="39"/>
      <c r="DK76" s="39"/>
      <c r="DL76" s="39"/>
      <c r="DM76" s="39"/>
      <c r="DN76" s="39"/>
      <c r="DO76" s="39"/>
      <c r="DP76" s="39"/>
      <c r="DQ76" s="39"/>
      <c r="DR76" s="39"/>
      <c r="DS76" s="39"/>
      <c r="DT76" s="39"/>
      <c r="DU76" s="39"/>
      <c r="DV76" s="39"/>
      <c r="DW76" s="39"/>
      <c r="DX76" s="39"/>
      <c r="DY76" s="39"/>
      <c r="DZ76" s="39"/>
      <c r="EA76" s="39"/>
      <c r="EB76" s="39"/>
      <c r="EC76" s="39"/>
      <c r="ED76" s="39"/>
      <c r="EE76" s="39"/>
      <c r="EF76" s="39"/>
      <c r="EG76" s="39"/>
      <c r="EH76" s="39"/>
      <c r="EI76" s="39"/>
      <c r="EJ76" s="39"/>
      <c r="EK76" s="39"/>
      <c r="EL76" s="39"/>
      <c r="EM76" s="39"/>
      <c r="EN76" s="39"/>
      <c r="EO76" s="39"/>
      <c r="EP76" s="39"/>
      <c r="EQ76" s="39"/>
      <c r="ER76" s="39"/>
      <c r="ES76" s="39"/>
      <c r="ET76" s="39"/>
      <c r="EU76" s="39"/>
      <c r="EV76" s="39"/>
      <c r="EW76" s="39"/>
      <c r="EX76" s="39"/>
      <c r="EY76" s="39"/>
      <c r="EZ76" s="39"/>
      <c r="FA76" s="39"/>
      <c r="FB76" s="39"/>
      <c r="FC76" s="39"/>
      <c r="FD76" s="39"/>
      <c r="FE76" s="39"/>
      <c r="FF76" s="39"/>
      <c r="FG76" s="39"/>
      <c r="FH76" s="39"/>
      <c r="FI76" s="39"/>
      <c r="FJ76" s="39"/>
      <c r="FK76" s="39"/>
      <c r="FL76" s="39"/>
      <c r="FM76" s="39"/>
      <c r="FN76" s="39"/>
      <c r="FO76" s="39"/>
      <c r="FP76" s="39"/>
      <c r="FQ76" s="39"/>
      <c r="FR76" s="39"/>
      <c r="FS76" s="39"/>
      <c r="FT76" s="39"/>
      <c r="FU76" s="39"/>
      <c r="FV76" s="39"/>
      <c r="FW76" s="39"/>
      <c r="FX76" s="39"/>
      <c r="FY76" s="39"/>
      <c r="FZ76" s="39"/>
      <c r="GA76" s="39"/>
      <c r="GB76" s="39"/>
      <c r="GC76" s="39"/>
      <c r="GD76" s="39"/>
      <c r="GE76" s="39"/>
      <c r="GF76" s="39"/>
      <c r="GG76" s="39"/>
      <c r="GH76" s="39"/>
      <c r="GI76" s="39"/>
      <c r="GJ76" s="39"/>
      <c r="GK76" s="39"/>
    </row>
    <row r="77" spans="1:193">
      <c r="A77" s="125" t="s">
        <v>94</v>
      </c>
      <c r="B77" s="111" t="s">
        <v>347</v>
      </c>
      <c r="C77" s="111"/>
      <c r="D77" s="111" t="s">
        <v>138</v>
      </c>
      <c r="E77" s="111" t="s">
        <v>181</v>
      </c>
      <c r="F77" s="111"/>
      <c r="G77" s="112"/>
      <c r="H77" s="112"/>
      <c r="I77" s="113">
        <v>608.16</v>
      </c>
      <c r="J77" s="178"/>
      <c r="K77" s="113">
        <f t="shared" si="14"/>
        <v>608.16</v>
      </c>
      <c r="L77" s="113">
        <f>5328.83+5.57</f>
        <v>5334.4</v>
      </c>
      <c r="M77" s="113"/>
      <c r="N77" s="114"/>
      <c r="O77" s="114"/>
      <c r="P77" s="115"/>
      <c r="Q77" s="116">
        <f t="shared" si="15"/>
        <v>5942.5599999999995</v>
      </c>
      <c r="R77" s="117"/>
      <c r="S77" s="118"/>
      <c r="T77" s="127">
        <v>200</v>
      </c>
      <c r="U77" s="127">
        <f>Q77*4.9%</f>
        <v>291.18543999999997</v>
      </c>
      <c r="V77" s="127">
        <f>Q77*1%</f>
        <v>59.425599999999996</v>
      </c>
      <c r="W77" s="127">
        <v>321.74</v>
      </c>
      <c r="X77" s="119"/>
      <c r="Y77" s="119"/>
      <c r="Z77" s="120"/>
      <c r="AA77" s="120">
        <v>0</v>
      </c>
      <c r="AB77" s="116">
        <f t="shared" si="16"/>
        <v>5070.2089599999999</v>
      </c>
      <c r="AC77" s="121">
        <f t="shared" si="8"/>
        <v>594.25599999999997</v>
      </c>
      <c r="AD77" s="116">
        <f t="shared" si="17"/>
        <v>4475.9529599999996</v>
      </c>
      <c r="AE77" s="122">
        <f t="shared" si="18"/>
        <v>0</v>
      </c>
      <c r="AF77" s="121">
        <v>10.23</v>
      </c>
      <c r="AG77" s="121">
        <f t="shared" si="19"/>
        <v>291.18543999999997</v>
      </c>
      <c r="AH77" s="123">
        <f t="shared" si="20"/>
        <v>6243.9754399999993</v>
      </c>
      <c r="AI77" s="237">
        <v>577.4</v>
      </c>
      <c r="AJ77" s="247">
        <v>3898.55</v>
      </c>
      <c r="AK77" s="246">
        <f t="shared" ref="AK77:AK101" si="40">+AI77+AJ77-AD77</f>
        <v>-2.959999999802676E-3</v>
      </c>
      <c r="AL77" s="125"/>
      <c r="AM77" s="125"/>
      <c r="BB77" s="39"/>
      <c r="BC77" s="39"/>
      <c r="BD77" s="39"/>
      <c r="BE77" s="39"/>
      <c r="BF77" s="39"/>
      <c r="BG77" s="39"/>
      <c r="BH77" s="39"/>
      <c r="BI77" s="39"/>
      <c r="BJ77" s="39"/>
      <c r="BK77" s="39"/>
      <c r="BL77" s="39"/>
      <c r="BM77" s="39"/>
      <c r="BN77" s="39"/>
      <c r="BO77" s="39"/>
      <c r="BP77" s="39"/>
      <c r="BQ77" s="39"/>
      <c r="BR77" s="39"/>
      <c r="BS77" s="39"/>
      <c r="BT77" s="39"/>
      <c r="BU77" s="39"/>
      <c r="BV77" s="39"/>
      <c r="BW77" s="39"/>
      <c r="BX77" s="39"/>
      <c r="BY77" s="39"/>
      <c r="BZ77" s="39"/>
      <c r="CA77" s="39"/>
      <c r="CB77" s="39"/>
      <c r="CC77" s="39"/>
      <c r="CD77" s="39"/>
      <c r="CE77" s="39"/>
      <c r="CF77" s="39"/>
      <c r="CG77" s="39"/>
      <c r="CH77" s="39"/>
      <c r="CI77" s="39"/>
      <c r="CJ77" s="39"/>
      <c r="CK77" s="39"/>
      <c r="CL77" s="39"/>
      <c r="CM77" s="39"/>
      <c r="CN77" s="39"/>
      <c r="CO77" s="39"/>
      <c r="CP77" s="39"/>
      <c r="CQ77" s="39"/>
      <c r="CR77" s="39"/>
      <c r="CS77" s="39"/>
      <c r="CT77" s="39"/>
      <c r="CU77" s="39"/>
      <c r="CV77" s="39"/>
      <c r="CW77" s="39"/>
      <c r="CX77" s="39"/>
      <c r="CY77" s="39"/>
      <c r="CZ77" s="39"/>
      <c r="DA77" s="39"/>
      <c r="DB77" s="39"/>
      <c r="DC77" s="39"/>
      <c r="DD77" s="39"/>
      <c r="DE77" s="39"/>
      <c r="DF77" s="39"/>
      <c r="DG77" s="39"/>
      <c r="DH77" s="39"/>
      <c r="DI77" s="39"/>
      <c r="DJ77" s="39"/>
      <c r="DK77" s="39"/>
      <c r="DL77" s="39"/>
      <c r="DM77" s="39"/>
      <c r="DN77" s="39"/>
      <c r="DO77" s="39"/>
      <c r="DP77" s="39"/>
      <c r="DQ77" s="39"/>
      <c r="DR77" s="39"/>
      <c r="DS77" s="39"/>
      <c r="DT77" s="39"/>
      <c r="DU77" s="39"/>
      <c r="DV77" s="39"/>
      <c r="DW77" s="39"/>
      <c r="DX77" s="39"/>
      <c r="DY77" s="39"/>
      <c r="DZ77" s="39"/>
      <c r="EA77" s="39"/>
      <c r="EB77" s="39"/>
      <c r="EC77" s="39"/>
      <c r="ED77" s="39"/>
      <c r="EE77" s="39"/>
      <c r="EF77" s="39"/>
      <c r="EG77" s="39"/>
      <c r="EH77" s="39"/>
      <c r="EI77" s="39"/>
      <c r="EJ77" s="39"/>
      <c r="EK77" s="39"/>
      <c r="EL77" s="39"/>
      <c r="EM77" s="39"/>
      <c r="EN77" s="39"/>
      <c r="EO77" s="39"/>
      <c r="EP77" s="39"/>
      <c r="EQ77" s="39"/>
      <c r="ER77" s="39"/>
      <c r="ES77" s="39"/>
      <c r="ET77" s="39"/>
      <c r="EU77" s="39"/>
      <c r="EV77" s="39"/>
      <c r="EW77" s="39"/>
      <c r="EX77" s="39"/>
      <c r="EY77" s="39"/>
      <c r="EZ77" s="39"/>
      <c r="FA77" s="39"/>
      <c r="FB77" s="39"/>
      <c r="FC77" s="39"/>
      <c r="FD77" s="39"/>
      <c r="FE77" s="39"/>
      <c r="FF77" s="39"/>
      <c r="FG77" s="39"/>
      <c r="FH77" s="39"/>
      <c r="FI77" s="39"/>
      <c r="FJ77" s="39"/>
      <c r="FK77" s="39"/>
      <c r="FL77" s="39"/>
      <c r="FM77" s="39"/>
      <c r="FN77" s="39"/>
      <c r="FO77" s="39"/>
      <c r="FP77" s="39"/>
      <c r="FQ77" s="39"/>
      <c r="FR77" s="39"/>
      <c r="FS77" s="39"/>
      <c r="FT77" s="39"/>
      <c r="FU77" s="39"/>
      <c r="FV77" s="39"/>
      <c r="FW77" s="39"/>
      <c r="FX77" s="39"/>
      <c r="FY77" s="39"/>
      <c r="FZ77" s="39"/>
      <c r="GA77" s="39"/>
      <c r="GB77" s="39"/>
      <c r="GC77" s="39"/>
      <c r="GD77" s="39"/>
      <c r="GE77" s="39"/>
      <c r="GF77" s="39"/>
      <c r="GG77" s="39"/>
      <c r="GH77" s="39"/>
      <c r="GI77" s="39"/>
      <c r="GJ77" s="39"/>
      <c r="GK77" s="39"/>
    </row>
    <row r="78" spans="1:193" s="39" customFormat="1">
      <c r="A78" s="125" t="s">
        <v>71</v>
      </c>
      <c r="B78" s="125" t="s">
        <v>217</v>
      </c>
      <c r="C78" s="125" t="s">
        <v>251</v>
      </c>
      <c r="D78" s="138" t="s">
        <v>218</v>
      </c>
      <c r="E78" s="125" t="s">
        <v>73</v>
      </c>
      <c r="F78" s="128">
        <v>42396</v>
      </c>
      <c r="G78" s="125"/>
      <c r="H78" s="125"/>
      <c r="I78" s="129">
        <v>513.33000000000004</v>
      </c>
      <c r="J78" s="180">
        <v>653.33000000000004</v>
      </c>
      <c r="K78" s="129">
        <f t="shared" ref="K78:K100" si="41">+I78+J78</f>
        <v>1166.6600000000001</v>
      </c>
      <c r="L78" s="129">
        <v>6544.04</v>
      </c>
      <c r="M78" s="129"/>
      <c r="N78" s="129"/>
      <c r="O78" s="129"/>
      <c r="P78" s="172"/>
      <c r="Q78" s="116">
        <f t="shared" si="15"/>
        <v>7710.7</v>
      </c>
      <c r="R78" s="117"/>
      <c r="S78" s="118"/>
      <c r="T78" s="165"/>
      <c r="U78" s="165"/>
      <c r="V78" s="165"/>
      <c r="W78" s="165"/>
      <c r="X78" s="132">
        <v>1035.49</v>
      </c>
      <c r="Y78" s="166"/>
      <c r="Z78" s="150"/>
      <c r="AA78" s="126">
        <v>291.5</v>
      </c>
      <c r="AB78" s="116">
        <f t="shared" ref="AB78" si="42">+Q78-SUM(R78:AA78)</f>
        <v>6383.71</v>
      </c>
      <c r="AC78" s="121">
        <f t="shared" ref="AC78" si="43">IF(Q78&gt;2250,Q78*0.1,0)</f>
        <v>771.07</v>
      </c>
      <c r="AD78" s="116">
        <f t="shared" ref="AD78" si="44">+AB78-AC78</f>
        <v>5612.64</v>
      </c>
      <c r="AE78" s="122">
        <f t="shared" ref="AE78" si="45">IF(Q78&lt;3500,Q78*0.1,0)</f>
        <v>0</v>
      </c>
      <c r="AF78" s="121">
        <v>10.23</v>
      </c>
      <c r="AG78" s="121">
        <f t="shared" ref="AG78" si="46">+U78</f>
        <v>0</v>
      </c>
      <c r="AH78" s="123">
        <f t="shared" ref="AH78" si="47">+Q78+AE78+AF78+AG78</f>
        <v>7720.9299999999994</v>
      </c>
      <c r="AI78" s="237">
        <v>285.89999999999998</v>
      </c>
      <c r="AJ78" s="247">
        <v>5326.74</v>
      </c>
      <c r="AK78" s="246">
        <f t="shared" si="40"/>
        <v>0</v>
      </c>
      <c r="AL78" s="125"/>
      <c r="AM78" s="125"/>
    </row>
    <row r="79" spans="1:193">
      <c r="A79" s="125" t="s">
        <v>94</v>
      </c>
      <c r="B79" s="111" t="s">
        <v>195</v>
      </c>
      <c r="C79" s="111"/>
      <c r="D79" s="111" t="s">
        <v>140</v>
      </c>
      <c r="E79" s="111" t="s">
        <v>174</v>
      </c>
      <c r="F79" s="111"/>
      <c r="G79" s="112"/>
      <c r="H79" s="112"/>
      <c r="I79" s="113">
        <v>608.16</v>
      </c>
      <c r="J79" s="178"/>
      <c r="K79" s="113">
        <f t="shared" si="41"/>
        <v>608.16</v>
      </c>
      <c r="L79" s="113">
        <v>193.5</v>
      </c>
      <c r="M79" s="113"/>
      <c r="N79" s="114"/>
      <c r="O79" s="114"/>
      <c r="P79" s="115"/>
      <c r="Q79" s="116">
        <f t="shared" ref="Q79:Q101" si="48">SUM(K79:O79)-P79</f>
        <v>801.66</v>
      </c>
      <c r="R79" s="117"/>
      <c r="S79" s="118"/>
      <c r="T79" s="118">
        <v>0</v>
      </c>
      <c r="U79" s="127">
        <f>Q79*4.9%</f>
        <v>39.28134</v>
      </c>
      <c r="V79" s="127">
        <f>Q79*1%</f>
        <v>8.0166000000000004</v>
      </c>
      <c r="W79" s="118"/>
      <c r="X79" s="119"/>
      <c r="Y79" s="119"/>
      <c r="Z79" s="120"/>
      <c r="AA79" s="120">
        <v>0</v>
      </c>
      <c r="AB79" s="116">
        <f t="shared" ref="AB79:AB100" si="49">+Q79-SUM(R79:AA79)</f>
        <v>754.36205999999993</v>
      </c>
      <c r="AC79" s="121">
        <f t="shared" ref="AC79:AC101" si="50">IF(Q79&gt;2250,Q79*0.1,0)</f>
        <v>0</v>
      </c>
      <c r="AD79" s="116">
        <f t="shared" ref="AD79:AD100" si="51">+AB79-AC79</f>
        <v>754.36205999999993</v>
      </c>
      <c r="AE79" s="122">
        <f t="shared" ref="AE79:AE101" si="52">IF(Q79&lt;3500,Q79*0.1,0)</f>
        <v>80.165999999999997</v>
      </c>
      <c r="AF79" s="121">
        <v>10.23</v>
      </c>
      <c r="AG79" s="121">
        <f t="shared" ref="AG79:AG101" si="53">+U79</f>
        <v>39.28134</v>
      </c>
      <c r="AH79" s="123">
        <f t="shared" ref="AH79:AH101" si="54">+Q79+AE79+AF79+AG79</f>
        <v>931.33734000000004</v>
      </c>
      <c r="AI79" s="237">
        <v>577.4</v>
      </c>
      <c r="AJ79" s="237">
        <v>176.96</v>
      </c>
      <c r="AK79" s="246">
        <f t="shared" si="40"/>
        <v>-2.0599999999149077E-3</v>
      </c>
      <c r="AL79" s="125"/>
      <c r="AM79" s="125"/>
      <c r="BB79" s="39"/>
      <c r="BC79" s="39"/>
      <c r="BD79" s="39"/>
      <c r="BE79" s="39"/>
      <c r="BF79" s="39"/>
      <c r="BG79" s="39"/>
      <c r="BH79" s="39"/>
      <c r="BI79" s="39"/>
      <c r="BJ79" s="39"/>
      <c r="BK79" s="39"/>
      <c r="BL79" s="39"/>
      <c r="BM79" s="39"/>
      <c r="BN79" s="39"/>
      <c r="BO79" s="39"/>
      <c r="BP79" s="39"/>
      <c r="BQ79" s="39"/>
      <c r="BR79" s="39"/>
      <c r="BS79" s="39"/>
      <c r="BT79" s="39"/>
      <c r="BU79" s="39"/>
      <c r="BV79" s="39"/>
      <c r="BW79" s="39"/>
      <c r="BX79" s="39"/>
      <c r="BY79" s="39"/>
      <c r="BZ79" s="39"/>
      <c r="CA79" s="39"/>
      <c r="CB79" s="39"/>
      <c r="CC79" s="39"/>
      <c r="CD79" s="39"/>
      <c r="CE79" s="39"/>
      <c r="CF79" s="39"/>
      <c r="CG79" s="39"/>
      <c r="CH79" s="39"/>
      <c r="CI79" s="39"/>
      <c r="CJ79" s="39"/>
      <c r="CK79" s="39"/>
      <c r="CL79" s="39"/>
      <c r="CM79" s="39"/>
      <c r="CN79" s="39"/>
      <c r="CO79" s="39"/>
      <c r="CP79" s="39"/>
      <c r="CQ79" s="39"/>
      <c r="CR79" s="39"/>
      <c r="CS79" s="39"/>
      <c r="CT79" s="39"/>
      <c r="CU79" s="39"/>
      <c r="CV79" s="39"/>
      <c r="CW79" s="39"/>
      <c r="CX79" s="39"/>
      <c r="CY79" s="39"/>
      <c r="CZ79" s="39"/>
      <c r="DA79" s="39"/>
      <c r="DB79" s="39"/>
      <c r="DC79" s="39"/>
      <c r="DD79" s="39"/>
      <c r="DE79" s="39"/>
      <c r="DF79" s="39"/>
      <c r="DG79" s="39"/>
      <c r="DH79" s="39"/>
      <c r="DI79" s="39"/>
      <c r="DJ79" s="39"/>
      <c r="DK79" s="39"/>
      <c r="DL79" s="39"/>
      <c r="DM79" s="39"/>
      <c r="DN79" s="39"/>
      <c r="DO79" s="39"/>
      <c r="DP79" s="39"/>
      <c r="DQ79" s="39"/>
      <c r="DR79" s="39"/>
      <c r="DS79" s="39"/>
      <c r="DT79" s="39"/>
      <c r="DU79" s="39"/>
      <c r="DV79" s="39"/>
      <c r="DW79" s="39"/>
      <c r="DX79" s="39"/>
      <c r="DY79" s="39"/>
      <c r="DZ79" s="39"/>
      <c r="EA79" s="39"/>
      <c r="EB79" s="39"/>
      <c r="EC79" s="39"/>
      <c r="ED79" s="39"/>
      <c r="EE79" s="39"/>
      <c r="EF79" s="39"/>
      <c r="EG79" s="39"/>
      <c r="EH79" s="39"/>
      <c r="EI79" s="39"/>
      <c r="EJ79" s="39"/>
      <c r="EK79" s="39"/>
      <c r="EL79" s="39"/>
      <c r="EM79" s="39"/>
      <c r="EN79" s="39"/>
      <c r="EO79" s="39"/>
      <c r="EP79" s="39"/>
      <c r="EQ79" s="39"/>
      <c r="ER79" s="39"/>
      <c r="ES79" s="39"/>
      <c r="ET79" s="39"/>
      <c r="EU79" s="39"/>
      <c r="EV79" s="39"/>
      <c r="EW79" s="39"/>
      <c r="EX79" s="39"/>
      <c r="EY79" s="39"/>
      <c r="EZ79" s="39"/>
      <c r="FA79" s="39"/>
      <c r="FB79" s="39"/>
      <c r="FC79" s="39"/>
      <c r="FD79" s="39"/>
      <c r="FE79" s="39"/>
      <c r="FF79" s="39"/>
      <c r="FG79" s="39"/>
      <c r="FH79" s="39"/>
      <c r="FI79" s="39"/>
      <c r="FJ79" s="39"/>
      <c r="FK79" s="39"/>
      <c r="FL79" s="39"/>
      <c r="FM79" s="39"/>
      <c r="FN79" s="39"/>
      <c r="FO79" s="39"/>
      <c r="FP79" s="39"/>
      <c r="FQ79" s="39"/>
      <c r="FR79" s="39"/>
      <c r="FS79" s="39"/>
      <c r="FT79" s="39"/>
      <c r="FU79" s="39"/>
      <c r="FV79" s="39"/>
      <c r="FW79" s="39"/>
      <c r="FX79" s="39"/>
      <c r="FY79" s="39"/>
      <c r="FZ79" s="39"/>
      <c r="GA79" s="39"/>
      <c r="GB79" s="39"/>
      <c r="GC79" s="39"/>
      <c r="GD79" s="39"/>
      <c r="GE79" s="39"/>
      <c r="GF79" s="39"/>
      <c r="GG79" s="39"/>
      <c r="GH79" s="39"/>
      <c r="GI79" s="39"/>
      <c r="GJ79" s="39"/>
      <c r="GK79" s="39"/>
    </row>
    <row r="80" spans="1:193">
      <c r="A80" s="125" t="s">
        <v>71</v>
      </c>
      <c r="B80" s="111" t="s">
        <v>304</v>
      </c>
      <c r="C80" s="111"/>
      <c r="D80" s="111"/>
      <c r="E80" s="111" t="s">
        <v>73</v>
      </c>
      <c r="F80" s="133">
        <v>42443</v>
      </c>
      <c r="G80" s="112"/>
      <c r="H80" s="112"/>
      <c r="I80" s="113">
        <v>513.33000000000004</v>
      </c>
      <c r="J80" s="180">
        <v>653.33000000000004</v>
      </c>
      <c r="K80" s="113">
        <f t="shared" si="41"/>
        <v>1166.6600000000001</v>
      </c>
      <c r="L80" s="113">
        <v>6879.53</v>
      </c>
      <c r="M80" s="113"/>
      <c r="N80" s="114"/>
      <c r="O80" s="114"/>
      <c r="P80" s="115"/>
      <c r="Q80" s="116">
        <f t="shared" si="48"/>
        <v>8046.19</v>
      </c>
      <c r="R80" s="117"/>
      <c r="S80" s="118"/>
      <c r="T80" s="118"/>
      <c r="U80" s="127"/>
      <c r="V80" s="127"/>
      <c r="W80" s="118"/>
      <c r="X80" s="119"/>
      <c r="Y80" s="119"/>
      <c r="Z80" s="120"/>
      <c r="AA80" s="126">
        <v>930.16</v>
      </c>
      <c r="AB80" s="116">
        <f t="shared" si="49"/>
        <v>7116.03</v>
      </c>
      <c r="AC80" s="121">
        <f t="shared" si="50"/>
        <v>804.61900000000003</v>
      </c>
      <c r="AD80" s="116">
        <f t="shared" si="51"/>
        <v>6311.4110000000001</v>
      </c>
      <c r="AE80" s="122">
        <f t="shared" si="52"/>
        <v>0</v>
      </c>
      <c r="AF80" s="121">
        <v>10.23</v>
      </c>
      <c r="AG80" s="121">
        <f t="shared" si="53"/>
        <v>0</v>
      </c>
      <c r="AH80" s="123">
        <f t="shared" si="54"/>
        <v>8056.4199999999992</v>
      </c>
      <c r="AI80" s="248">
        <v>577.4</v>
      </c>
      <c r="AJ80" s="247">
        <v>5734.01</v>
      </c>
      <c r="AK80" s="246">
        <f t="shared" si="40"/>
        <v>-1.0000000002037268E-3</v>
      </c>
      <c r="AL80" s="148">
        <v>2713019144</v>
      </c>
      <c r="AM80" s="148"/>
      <c r="BB80" s="39"/>
      <c r="BC80" s="39"/>
      <c r="BD80" s="39"/>
      <c r="BE80" s="39"/>
      <c r="BF80" s="39"/>
      <c r="BG80" s="39"/>
      <c r="BH80" s="39"/>
      <c r="BI80" s="39"/>
      <c r="BJ80" s="39"/>
      <c r="BK80" s="39"/>
      <c r="BL80" s="39"/>
      <c r="BM80" s="39"/>
      <c r="BN80" s="39"/>
      <c r="BO80" s="39"/>
      <c r="BP80" s="39"/>
      <c r="BQ80" s="39"/>
      <c r="BR80" s="39"/>
      <c r="BS80" s="39"/>
      <c r="BT80" s="39"/>
      <c r="BU80" s="39"/>
      <c r="BV80" s="39"/>
      <c r="BW80" s="39"/>
      <c r="BX80" s="39"/>
      <c r="BY80" s="39"/>
      <c r="BZ80" s="39"/>
      <c r="CA80" s="39"/>
      <c r="CB80" s="39"/>
      <c r="CC80" s="39"/>
      <c r="CD80" s="39"/>
      <c r="CE80" s="39"/>
      <c r="CF80" s="39"/>
      <c r="CG80" s="39"/>
      <c r="CH80" s="39"/>
      <c r="CI80" s="39"/>
      <c r="CJ80" s="39"/>
      <c r="CK80" s="39"/>
      <c r="CL80" s="39"/>
      <c r="CM80" s="39"/>
      <c r="CN80" s="39"/>
      <c r="CO80" s="39"/>
      <c r="CP80" s="39"/>
      <c r="CQ80" s="39"/>
      <c r="CR80" s="39"/>
      <c r="CS80" s="39"/>
      <c r="CT80" s="39"/>
      <c r="CU80" s="39"/>
      <c r="CV80" s="39"/>
      <c r="CW80" s="39"/>
      <c r="CX80" s="39"/>
      <c r="CY80" s="39"/>
      <c r="CZ80" s="39"/>
      <c r="DA80" s="39"/>
      <c r="DB80" s="39"/>
      <c r="DC80" s="39"/>
      <c r="DD80" s="39"/>
      <c r="DE80" s="39"/>
      <c r="DF80" s="39"/>
      <c r="DG80" s="39"/>
      <c r="DH80" s="39"/>
      <c r="DI80" s="39"/>
      <c r="DJ80" s="39"/>
      <c r="DK80" s="39"/>
      <c r="DL80" s="39"/>
      <c r="DM80" s="39"/>
      <c r="DN80" s="39"/>
      <c r="DO80" s="39"/>
      <c r="DP80" s="39"/>
      <c r="DQ80" s="39"/>
      <c r="DR80" s="39"/>
      <c r="DS80" s="39"/>
      <c r="DT80" s="39"/>
      <c r="DU80" s="39"/>
      <c r="DV80" s="39"/>
      <c r="DW80" s="39"/>
      <c r="DX80" s="39"/>
      <c r="DY80" s="39"/>
      <c r="DZ80" s="39"/>
      <c r="EA80" s="39"/>
      <c r="EB80" s="39"/>
      <c r="EC80" s="39"/>
      <c r="ED80" s="39"/>
      <c r="EE80" s="39"/>
      <c r="EF80" s="39"/>
      <c r="EG80" s="39"/>
      <c r="EH80" s="39"/>
      <c r="EI80" s="39"/>
      <c r="EJ80" s="39"/>
      <c r="EK80" s="39"/>
      <c r="EL80" s="39"/>
      <c r="EM80" s="39"/>
      <c r="EN80" s="39"/>
      <c r="EO80" s="39"/>
      <c r="EP80" s="39"/>
      <c r="EQ80" s="39"/>
      <c r="ER80" s="39"/>
      <c r="ES80" s="39"/>
      <c r="ET80" s="39"/>
      <c r="EU80" s="39"/>
      <c r="EV80" s="39"/>
      <c r="EW80" s="39"/>
      <c r="EX80" s="39"/>
      <c r="EY80" s="39"/>
      <c r="EZ80" s="39"/>
      <c r="FA80" s="39"/>
      <c r="FB80" s="39"/>
      <c r="FC80" s="39"/>
      <c r="FD80" s="39"/>
      <c r="FE80" s="39"/>
      <c r="FF80" s="39"/>
      <c r="FG80" s="39"/>
      <c r="FH80" s="39"/>
      <c r="FI80" s="39"/>
      <c r="FJ80" s="39"/>
      <c r="FK80" s="39"/>
      <c r="FL80" s="39"/>
      <c r="FM80" s="39"/>
      <c r="FN80" s="39"/>
      <c r="FO80" s="39"/>
      <c r="FP80" s="39"/>
      <c r="FQ80" s="39"/>
      <c r="FR80" s="39"/>
      <c r="FS80" s="39"/>
      <c r="FT80" s="39"/>
      <c r="FU80" s="39"/>
      <c r="FV80" s="39"/>
      <c r="FW80" s="39"/>
      <c r="FX80" s="39"/>
      <c r="FY80" s="39"/>
      <c r="FZ80" s="39"/>
      <c r="GA80" s="39"/>
      <c r="GB80" s="39"/>
      <c r="GC80" s="39"/>
      <c r="GD80" s="39"/>
      <c r="GE80" s="39"/>
      <c r="GF80" s="39"/>
      <c r="GG80" s="39"/>
      <c r="GH80" s="39"/>
      <c r="GI80" s="39"/>
      <c r="GJ80" s="39"/>
      <c r="GK80" s="39"/>
    </row>
    <row r="81" spans="1:193">
      <c r="A81" s="125" t="s">
        <v>91</v>
      </c>
      <c r="B81" s="111" t="s">
        <v>244</v>
      </c>
      <c r="C81" s="111"/>
      <c r="D81" s="111" t="s">
        <v>117</v>
      </c>
      <c r="E81" s="111" t="s">
        <v>171</v>
      </c>
      <c r="F81" s="133">
        <v>42321</v>
      </c>
      <c r="G81" s="111"/>
      <c r="H81" s="111"/>
      <c r="I81" s="113">
        <v>577.38</v>
      </c>
      <c r="J81" s="182">
        <v>1047.6199999999999</v>
      </c>
      <c r="K81" s="113">
        <f t="shared" si="41"/>
        <v>1625</v>
      </c>
      <c r="L81" s="113">
        <v>505.33</v>
      </c>
      <c r="M81" s="113"/>
      <c r="N81" s="113"/>
      <c r="O81" s="113"/>
      <c r="P81" s="115"/>
      <c r="Q81" s="116">
        <f t="shared" si="48"/>
        <v>2130.33</v>
      </c>
      <c r="R81" s="117"/>
      <c r="S81" s="118"/>
      <c r="T81" s="118">
        <v>0</v>
      </c>
      <c r="U81" s="118"/>
      <c r="V81" s="118"/>
      <c r="W81" s="118"/>
      <c r="X81" s="119"/>
      <c r="Y81" s="119"/>
      <c r="Z81" s="120"/>
      <c r="AA81" s="120">
        <v>0</v>
      </c>
      <c r="AB81" s="116">
        <f t="shared" si="49"/>
        <v>2130.33</v>
      </c>
      <c r="AC81" s="121">
        <f t="shared" si="50"/>
        <v>0</v>
      </c>
      <c r="AD81" s="116">
        <f t="shared" si="51"/>
        <v>2130.33</v>
      </c>
      <c r="AE81" s="122">
        <f t="shared" si="52"/>
        <v>213.03300000000002</v>
      </c>
      <c r="AF81" s="121">
        <v>10.23</v>
      </c>
      <c r="AG81" s="121">
        <f t="shared" si="53"/>
        <v>0</v>
      </c>
      <c r="AH81" s="123">
        <f t="shared" si="54"/>
        <v>2353.5929999999998</v>
      </c>
      <c r="AI81" s="237">
        <v>577.4</v>
      </c>
      <c r="AJ81" s="247">
        <v>1552.93</v>
      </c>
      <c r="AK81" s="246">
        <f t="shared" si="40"/>
        <v>0</v>
      </c>
      <c r="AL81" s="125"/>
      <c r="AM81" s="125"/>
      <c r="BB81" s="39"/>
      <c r="BC81" s="39"/>
      <c r="BD81" s="39"/>
      <c r="BE81" s="39"/>
      <c r="BF81" s="39"/>
      <c r="BG81" s="39"/>
      <c r="BH81" s="39"/>
      <c r="BI81" s="39"/>
      <c r="BJ81" s="39"/>
      <c r="BK81" s="39"/>
      <c r="BL81" s="39"/>
      <c r="BM81" s="39"/>
      <c r="BN81" s="39"/>
      <c r="BO81" s="39"/>
      <c r="BP81" s="39"/>
      <c r="BQ81" s="39"/>
      <c r="BR81" s="39"/>
      <c r="BS81" s="39"/>
      <c r="BT81" s="39"/>
      <c r="BU81" s="39"/>
      <c r="BV81" s="39"/>
      <c r="BW81" s="39"/>
      <c r="BX81" s="39"/>
      <c r="BY81" s="39"/>
      <c r="BZ81" s="39"/>
      <c r="CA81" s="39"/>
      <c r="CB81" s="39"/>
      <c r="CC81" s="39"/>
      <c r="CD81" s="39"/>
      <c r="CE81" s="39"/>
      <c r="CF81" s="39"/>
      <c r="CG81" s="39"/>
      <c r="CH81" s="39"/>
      <c r="CI81" s="39"/>
      <c r="CJ81" s="39"/>
      <c r="CK81" s="39"/>
      <c r="CL81" s="39"/>
      <c r="CM81" s="39"/>
      <c r="CN81" s="39"/>
      <c r="CO81" s="39"/>
      <c r="CP81" s="39"/>
      <c r="CQ81" s="39"/>
      <c r="CR81" s="39"/>
      <c r="CS81" s="39"/>
      <c r="CT81" s="39"/>
      <c r="CU81" s="39"/>
      <c r="CV81" s="39"/>
      <c r="CW81" s="39"/>
      <c r="CX81" s="39"/>
      <c r="CY81" s="39"/>
      <c r="CZ81" s="39"/>
      <c r="DA81" s="39"/>
      <c r="DB81" s="39"/>
      <c r="DC81" s="39"/>
      <c r="DD81" s="39"/>
      <c r="DE81" s="39"/>
      <c r="DF81" s="39"/>
      <c r="DG81" s="39"/>
      <c r="DH81" s="39"/>
      <c r="DI81" s="39"/>
      <c r="DJ81" s="39"/>
      <c r="DK81" s="39"/>
      <c r="DL81" s="39"/>
      <c r="DM81" s="39"/>
      <c r="DN81" s="39"/>
      <c r="DO81" s="39"/>
      <c r="DP81" s="39"/>
      <c r="DQ81" s="39"/>
      <c r="DR81" s="39"/>
      <c r="DS81" s="39"/>
      <c r="DT81" s="39"/>
      <c r="DU81" s="39"/>
      <c r="DV81" s="39"/>
      <c r="DW81" s="39"/>
      <c r="DX81" s="39"/>
      <c r="DY81" s="39"/>
      <c r="DZ81" s="39"/>
      <c r="EA81" s="39"/>
      <c r="EB81" s="39"/>
      <c r="EC81" s="39"/>
      <c r="ED81" s="39"/>
      <c r="EE81" s="39"/>
      <c r="EF81" s="39"/>
      <c r="EG81" s="39"/>
      <c r="EH81" s="39"/>
      <c r="EI81" s="39"/>
      <c r="EJ81" s="39"/>
      <c r="EK81" s="39"/>
      <c r="EL81" s="39"/>
      <c r="EM81" s="39"/>
      <c r="EN81" s="39"/>
      <c r="EO81" s="39"/>
      <c r="EP81" s="39"/>
      <c r="EQ81" s="39"/>
      <c r="ER81" s="39"/>
      <c r="ES81" s="39"/>
      <c r="ET81" s="39"/>
      <c r="EU81" s="39"/>
      <c r="EV81" s="39"/>
      <c r="EW81" s="39"/>
      <c r="EX81" s="39"/>
      <c r="EY81" s="39"/>
      <c r="EZ81" s="39"/>
      <c r="FA81" s="39"/>
      <c r="FB81" s="39"/>
      <c r="FC81" s="39"/>
      <c r="FD81" s="39"/>
      <c r="FE81" s="39"/>
      <c r="FF81" s="39"/>
      <c r="FG81" s="39"/>
      <c r="FH81" s="39"/>
      <c r="FI81" s="39"/>
      <c r="FJ81" s="39"/>
      <c r="FK81" s="39"/>
      <c r="FL81" s="39"/>
      <c r="FM81" s="39"/>
      <c r="FN81" s="39"/>
      <c r="FO81" s="39"/>
      <c r="FP81" s="39"/>
      <c r="FQ81" s="39"/>
      <c r="FR81" s="39"/>
      <c r="FS81" s="39"/>
      <c r="FT81" s="39"/>
      <c r="FU81" s="39"/>
      <c r="FV81" s="39"/>
      <c r="FW81" s="39"/>
      <c r="FX81" s="39"/>
      <c r="FY81" s="39"/>
      <c r="FZ81" s="39"/>
      <c r="GA81" s="39"/>
      <c r="GB81" s="39"/>
      <c r="GC81" s="39"/>
      <c r="GD81" s="39"/>
      <c r="GE81" s="39"/>
      <c r="GF81" s="39"/>
      <c r="GG81" s="39"/>
      <c r="GH81" s="39"/>
      <c r="GI81" s="39"/>
      <c r="GJ81" s="39"/>
      <c r="GK81" s="39"/>
    </row>
    <row r="82" spans="1:193">
      <c r="A82" s="125" t="s">
        <v>92</v>
      </c>
      <c r="B82" s="125" t="s">
        <v>341</v>
      </c>
      <c r="C82" s="125"/>
      <c r="D82" s="125"/>
      <c r="E82" s="125" t="s">
        <v>163</v>
      </c>
      <c r="F82" s="128">
        <v>42416</v>
      </c>
      <c r="G82" s="125"/>
      <c r="H82" s="125"/>
      <c r="I82" s="129">
        <v>739.23</v>
      </c>
      <c r="J82" s="179"/>
      <c r="K82" s="129">
        <f t="shared" si="41"/>
        <v>739.23</v>
      </c>
      <c r="L82" s="129">
        <f>2410.47+7.42</f>
        <v>2417.89</v>
      </c>
      <c r="M82" s="129"/>
      <c r="N82" s="129"/>
      <c r="O82" s="129"/>
      <c r="P82" s="115"/>
      <c r="Q82" s="116">
        <f t="shared" si="48"/>
        <v>3157.12</v>
      </c>
      <c r="R82" s="117"/>
      <c r="S82" s="118"/>
      <c r="T82" s="118">
        <v>0</v>
      </c>
      <c r="U82" s="118"/>
      <c r="V82" s="118"/>
      <c r="W82" s="118"/>
      <c r="X82" s="119"/>
      <c r="Y82" s="119"/>
      <c r="Z82" s="120"/>
      <c r="AA82" s="120">
        <v>0</v>
      </c>
      <c r="AB82" s="116">
        <f t="shared" si="49"/>
        <v>3157.12</v>
      </c>
      <c r="AC82" s="121">
        <f t="shared" si="50"/>
        <v>315.71199999999999</v>
      </c>
      <c r="AD82" s="116">
        <f t="shared" si="51"/>
        <v>2841.4079999999999</v>
      </c>
      <c r="AE82" s="122">
        <f t="shared" si="52"/>
        <v>315.71199999999999</v>
      </c>
      <c r="AF82" s="121">
        <v>10.23</v>
      </c>
      <c r="AG82" s="121">
        <f t="shared" si="53"/>
        <v>0</v>
      </c>
      <c r="AH82" s="123">
        <f t="shared" si="54"/>
        <v>3483.0619999999999</v>
      </c>
      <c r="AI82" s="237">
        <v>577.4</v>
      </c>
      <c r="AJ82" s="247">
        <v>2264.0100000000002</v>
      </c>
      <c r="AK82" s="246">
        <f t="shared" si="40"/>
        <v>2.0000000004074536E-3</v>
      </c>
      <c r="AL82" s="125"/>
      <c r="AM82" s="125"/>
      <c r="BB82" s="39"/>
      <c r="BC82" s="39"/>
      <c r="BD82" s="39"/>
      <c r="BE82" s="39"/>
      <c r="BF82" s="39"/>
      <c r="BG82" s="39"/>
      <c r="BH82" s="39"/>
      <c r="BI82" s="39"/>
      <c r="BJ82" s="39"/>
      <c r="BK82" s="39"/>
      <c r="BL82" s="39"/>
      <c r="BM82" s="39"/>
      <c r="BN82" s="39"/>
      <c r="BO82" s="39"/>
      <c r="BP82" s="39"/>
      <c r="BQ82" s="39"/>
      <c r="BR82" s="39"/>
      <c r="BS82" s="39"/>
      <c r="BT82" s="39"/>
      <c r="BU82" s="39"/>
      <c r="BV82" s="39"/>
      <c r="BW82" s="39"/>
      <c r="BX82" s="39"/>
      <c r="BY82" s="39"/>
      <c r="BZ82" s="39"/>
      <c r="CA82" s="39"/>
      <c r="CB82" s="39"/>
      <c r="CC82" s="39"/>
      <c r="CD82" s="39"/>
      <c r="CE82" s="39"/>
      <c r="CF82" s="39"/>
      <c r="CG82" s="39"/>
      <c r="CH82" s="39"/>
      <c r="CI82" s="39"/>
      <c r="CJ82" s="39"/>
      <c r="CK82" s="39"/>
      <c r="CL82" s="39"/>
      <c r="CM82" s="39"/>
      <c r="CN82" s="39"/>
      <c r="CO82" s="39"/>
      <c r="CP82" s="39"/>
      <c r="CQ82" s="39"/>
      <c r="CR82" s="39"/>
      <c r="CS82" s="39"/>
      <c r="CT82" s="39"/>
      <c r="CU82" s="39"/>
      <c r="CV82" s="39"/>
      <c r="CW82" s="39"/>
      <c r="CX82" s="39"/>
      <c r="CY82" s="39"/>
      <c r="CZ82" s="39"/>
      <c r="DA82" s="39"/>
      <c r="DB82" s="39"/>
      <c r="DC82" s="39"/>
      <c r="DD82" s="39"/>
      <c r="DE82" s="39"/>
      <c r="DF82" s="39"/>
      <c r="DG82" s="39"/>
      <c r="DH82" s="39"/>
      <c r="DI82" s="39"/>
      <c r="DJ82" s="39"/>
      <c r="DK82" s="39"/>
      <c r="DL82" s="39"/>
      <c r="DM82" s="39"/>
      <c r="DN82" s="39"/>
      <c r="DO82" s="39"/>
      <c r="DP82" s="39"/>
      <c r="DQ82" s="39"/>
      <c r="DR82" s="39"/>
      <c r="DS82" s="39"/>
      <c r="DT82" s="39"/>
      <c r="DU82" s="39"/>
      <c r="DV82" s="39"/>
      <c r="DW82" s="39"/>
      <c r="DX82" s="39"/>
      <c r="DY82" s="39"/>
      <c r="DZ82" s="39"/>
      <c r="EA82" s="39"/>
      <c r="EB82" s="39"/>
      <c r="EC82" s="39"/>
      <c r="ED82" s="39"/>
      <c r="EE82" s="39"/>
      <c r="EF82" s="39"/>
      <c r="EG82" s="39"/>
      <c r="EH82" s="39"/>
      <c r="EI82" s="39"/>
      <c r="EJ82" s="39"/>
      <c r="EK82" s="39"/>
      <c r="EL82" s="39"/>
      <c r="EM82" s="39"/>
      <c r="EN82" s="39"/>
      <c r="EO82" s="39"/>
      <c r="EP82" s="39"/>
      <c r="EQ82" s="39"/>
      <c r="ER82" s="39"/>
      <c r="ES82" s="39"/>
      <c r="ET82" s="39"/>
      <c r="EU82" s="39"/>
      <c r="EV82" s="39"/>
      <c r="EW82" s="39"/>
      <c r="EX82" s="39"/>
      <c r="EY82" s="39"/>
      <c r="EZ82" s="39"/>
      <c r="FA82" s="39"/>
      <c r="FB82" s="39"/>
      <c r="FC82" s="39"/>
      <c r="FD82" s="39"/>
      <c r="FE82" s="39"/>
      <c r="FF82" s="39"/>
      <c r="FG82" s="39"/>
      <c r="FH82" s="39"/>
      <c r="FI82" s="39"/>
      <c r="FJ82" s="39"/>
      <c r="FK82" s="39"/>
      <c r="FL82" s="39"/>
      <c r="FM82" s="39"/>
      <c r="FN82" s="39"/>
      <c r="FO82" s="39"/>
      <c r="FP82" s="39"/>
      <c r="FQ82" s="39"/>
      <c r="FR82" s="39"/>
      <c r="FS82" s="39"/>
      <c r="FT82" s="39"/>
      <c r="FU82" s="39"/>
      <c r="FV82" s="39"/>
      <c r="FW82" s="39"/>
      <c r="FX82" s="39"/>
      <c r="FY82" s="39"/>
      <c r="FZ82" s="39"/>
      <c r="GA82" s="39"/>
      <c r="GB82" s="39"/>
      <c r="GC82" s="39"/>
      <c r="GD82" s="39"/>
      <c r="GE82" s="39"/>
      <c r="GF82" s="39"/>
      <c r="GG82" s="39"/>
      <c r="GH82" s="39"/>
      <c r="GI82" s="39"/>
      <c r="GJ82" s="39"/>
      <c r="GK82" s="39"/>
    </row>
    <row r="83" spans="1:193">
      <c r="A83" s="125" t="s">
        <v>94</v>
      </c>
      <c r="B83" s="111" t="s">
        <v>214</v>
      </c>
      <c r="C83" s="111"/>
      <c r="D83" s="111" t="s">
        <v>139</v>
      </c>
      <c r="E83" s="111" t="s">
        <v>182</v>
      </c>
      <c r="F83" s="111"/>
      <c r="G83" s="112"/>
      <c r="H83" s="112"/>
      <c r="I83" s="113">
        <v>511.28</v>
      </c>
      <c r="J83" s="178"/>
      <c r="K83" s="113">
        <f t="shared" si="41"/>
        <v>511.28</v>
      </c>
      <c r="L83" s="113">
        <f>2525.28+7.42</f>
        <v>2532.7000000000003</v>
      </c>
      <c r="M83" s="113"/>
      <c r="N83" s="114"/>
      <c r="O83" s="114"/>
      <c r="P83" s="115"/>
      <c r="Q83" s="116">
        <f t="shared" si="48"/>
        <v>3043.9800000000005</v>
      </c>
      <c r="R83" s="117"/>
      <c r="S83" s="118"/>
      <c r="T83" s="127">
        <v>300</v>
      </c>
      <c r="U83" s="118"/>
      <c r="V83" s="118"/>
      <c r="W83" s="118"/>
      <c r="X83" s="119"/>
      <c r="Y83" s="119"/>
      <c r="Z83" s="120"/>
      <c r="AA83" s="126">
        <v>845</v>
      </c>
      <c r="AB83" s="116">
        <f t="shared" si="49"/>
        <v>1898.9800000000005</v>
      </c>
      <c r="AC83" s="121">
        <f t="shared" si="50"/>
        <v>304.39800000000008</v>
      </c>
      <c r="AD83" s="116">
        <f t="shared" si="51"/>
        <v>1594.5820000000003</v>
      </c>
      <c r="AE83" s="122">
        <f t="shared" si="52"/>
        <v>304.39800000000008</v>
      </c>
      <c r="AF83" s="121">
        <v>10.23</v>
      </c>
      <c r="AG83" s="121">
        <f t="shared" si="53"/>
        <v>0</v>
      </c>
      <c r="AH83" s="123">
        <f t="shared" si="54"/>
        <v>3358.6080000000006</v>
      </c>
      <c r="AI83" s="248">
        <v>577.4</v>
      </c>
      <c r="AJ83" s="247">
        <v>1017.18</v>
      </c>
      <c r="AK83" s="246">
        <f t="shared" si="40"/>
        <v>-2.0000000004074536E-3</v>
      </c>
      <c r="AL83" s="125"/>
      <c r="AM83" s="125"/>
      <c r="BB83" s="39"/>
      <c r="BC83" s="39"/>
      <c r="BD83" s="39"/>
      <c r="BE83" s="39"/>
      <c r="BF83" s="39"/>
      <c r="BG83" s="39"/>
      <c r="BH83" s="39"/>
      <c r="BI83" s="39"/>
      <c r="BJ83" s="39"/>
      <c r="BK83" s="39"/>
      <c r="BL83" s="39"/>
      <c r="BM83" s="39"/>
      <c r="BN83" s="39"/>
      <c r="BO83" s="39"/>
      <c r="BP83" s="39"/>
      <c r="BQ83" s="39"/>
      <c r="BR83" s="39"/>
      <c r="BS83" s="39"/>
      <c r="BT83" s="39"/>
      <c r="BU83" s="39"/>
      <c r="BV83" s="39"/>
      <c r="BW83" s="39"/>
      <c r="BX83" s="39"/>
      <c r="BY83" s="39"/>
      <c r="BZ83" s="39"/>
      <c r="CA83" s="39"/>
      <c r="CB83" s="39"/>
      <c r="CC83" s="39"/>
      <c r="CD83" s="39"/>
      <c r="CE83" s="39"/>
      <c r="CF83" s="39"/>
      <c r="CG83" s="39"/>
      <c r="CH83" s="39"/>
      <c r="CI83" s="39"/>
      <c r="CJ83" s="39"/>
      <c r="CK83" s="39"/>
      <c r="CL83" s="39"/>
      <c r="CM83" s="39"/>
      <c r="CN83" s="39"/>
      <c r="CO83" s="39"/>
      <c r="CP83" s="39"/>
      <c r="CQ83" s="39"/>
      <c r="CR83" s="39"/>
      <c r="CS83" s="39"/>
      <c r="CT83" s="39"/>
      <c r="CU83" s="39"/>
      <c r="CV83" s="39"/>
      <c r="CW83" s="39"/>
      <c r="CX83" s="39"/>
      <c r="CY83" s="39"/>
      <c r="CZ83" s="39"/>
      <c r="DA83" s="39"/>
      <c r="DB83" s="39"/>
      <c r="DC83" s="39"/>
      <c r="DD83" s="39"/>
      <c r="DE83" s="39"/>
      <c r="DF83" s="39"/>
      <c r="DG83" s="39"/>
      <c r="DH83" s="39"/>
      <c r="DI83" s="39"/>
      <c r="DJ83" s="39"/>
      <c r="DK83" s="39"/>
      <c r="DL83" s="39"/>
      <c r="DM83" s="39"/>
      <c r="DN83" s="39"/>
      <c r="DO83" s="39"/>
      <c r="DP83" s="39"/>
      <c r="DQ83" s="39"/>
      <c r="DR83" s="39"/>
      <c r="DS83" s="39"/>
      <c r="DT83" s="39"/>
      <c r="DU83" s="39"/>
      <c r="DV83" s="39"/>
      <c r="DW83" s="39"/>
      <c r="DX83" s="39"/>
      <c r="DY83" s="39"/>
      <c r="DZ83" s="39"/>
      <c r="EA83" s="39"/>
      <c r="EB83" s="39"/>
      <c r="EC83" s="39"/>
      <c r="ED83" s="39"/>
      <c r="EE83" s="39"/>
      <c r="EF83" s="39"/>
      <c r="EG83" s="39"/>
      <c r="EH83" s="39"/>
      <c r="EI83" s="39"/>
      <c r="EJ83" s="39"/>
      <c r="EK83" s="39"/>
      <c r="EL83" s="39"/>
      <c r="EM83" s="39"/>
      <c r="EN83" s="39"/>
      <c r="EO83" s="39"/>
      <c r="EP83" s="39"/>
      <c r="EQ83" s="39"/>
      <c r="ER83" s="39"/>
      <c r="ES83" s="39"/>
      <c r="ET83" s="39"/>
      <c r="EU83" s="39"/>
      <c r="EV83" s="39"/>
      <c r="EW83" s="39"/>
      <c r="EX83" s="39"/>
      <c r="EY83" s="39"/>
      <c r="EZ83" s="39"/>
      <c r="FA83" s="39"/>
      <c r="FB83" s="39"/>
      <c r="FC83" s="39"/>
      <c r="FD83" s="39"/>
      <c r="FE83" s="39"/>
      <c r="FF83" s="39"/>
      <c r="FG83" s="39"/>
      <c r="FH83" s="39"/>
      <c r="FI83" s="39"/>
      <c r="FJ83" s="39"/>
      <c r="FK83" s="39"/>
      <c r="FL83" s="39"/>
      <c r="FM83" s="39"/>
      <c r="FN83" s="39"/>
      <c r="FO83" s="39"/>
      <c r="FP83" s="39"/>
      <c r="FQ83" s="39"/>
      <c r="FR83" s="39"/>
      <c r="FS83" s="39"/>
      <c r="FT83" s="39"/>
      <c r="FU83" s="39"/>
      <c r="FV83" s="39"/>
      <c r="FW83" s="39"/>
      <c r="FX83" s="39"/>
      <c r="FY83" s="39"/>
      <c r="FZ83" s="39"/>
      <c r="GA83" s="39"/>
      <c r="GB83" s="39"/>
      <c r="GC83" s="39"/>
      <c r="GD83" s="39"/>
      <c r="GE83" s="39"/>
      <c r="GF83" s="39"/>
      <c r="GG83" s="39"/>
      <c r="GH83" s="39"/>
      <c r="GI83" s="39"/>
      <c r="GJ83" s="39"/>
      <c r="GK83" s="39"/>
    </row>
    <row r="84" spans="1:193">
      <c r="A84" s="125" t="s">
        <v>91</v>
      </c>
      <c r="B84" s="111" t="s">
        <v>239</v>
      </c>
      <c r="C84" s="111"/>
      <c r="D84" s="111" t="s">
        <v>99</v>
      </c>
      <c r="E84" s="111" t="s">
        <v>72</v>
      </c>
      <c r="F84" s="133">
        <v>42065</v>
      </c>
      <c r="G84" s="111"/>
      <c r="H84" s="111"/>
      <c r="I84" s="113">
        <v>1166.26</v>
      </c>
      <c r="J84" s="177"/>
      <c r="K84" s="113">
        <f t="shared" si="41"/>
        <v>1166.26</v>
      </c>
      <c r="L84" s="113">
        <v>2905.31</v>
      </c>
      <c r="M84" s="113"/>
      <c r="N84" s="113"/>
      <c r="O84" s="113"/>
      <c r="P84" s="115"/>
      <c r="Q84" s="116">
        <f t="shared" si="48"/>
        <v>4071.5699999999997</v>
      </c>
      <c r="R84" s="117"/>
      <c r="S84" s="118"/>
      <c r="T84" s="118">
        <v>0</v>
      </c>
      <c r="U84" s="118"/>
      <c r="V84" s="118"/>
      <c r="W84" s="118"/>
      <c r="X84" s="119"/>
      <c r="Y84" s="119"/>
      <c r="Z84" s="120"/>
      <c r="AA84" s="120">
        <v>0</v>
      </c>
      <c r="AB84" s="116">
        <f t="shared" si="49"/>
        <v>4071.5699999999997</v>
      </c>
      <c r="AC84" s="121">
        <f t="shared" si="50"/>
        <v>407.15699999999998</v>
      </c>
      <c r="AD84" s="116">
        <f t="shared" si="51"/>
        <v>3664.4129999999996</v>
      </c>
      <c r="AE84" s="122">
        <f t="shared" si="52"/>
        <v>0</v>
      </c>
      <c r="AF84" s="121">
        <v>10.23</v>
      </c>
      <c r="AG84" s="121">
        <f t="shared" si="53"/>
        <v>0</v>
      </c>
      <c r="AH84" s="123">
        <f t="shared" si="54"/>
        <v>4081.7999999999997</v>
      </c>
      <c r="AI84" s="237">
        <v>577.4</v>
      </c>
      <c r="AJ84" s="247">
        <v>3087.01</v>
      </c>
      <c r="AK84" s="246">
        <f t="shared" si="40"/>
        <v>-2.9999999992469384E-3</v>
      </c>
      <c r="AL84" s="125"/>
      <c r="AM84" s="125"/>
      <c r="BB84" s="39"/>
      <c r="BC84" s="39"/>
      <c r="BD84" s="39"/>
      <c r="BE84" s="39"/>
      <c r="BF84" s="39"/>
      <c r="BG84" s="39"/>
      <c r="BH84" s="39"/>
      <c r="BI84" s="39"/>
      <c r="BJ84" s="39"/>
      <c r="BK84" s="39"/>
      <c r="BL84" s="39"/>
      <c r="BM84" s="39"/>
      <c r="BN84" s="39"/>
      <c r="BO84" s="39"/>
      <c r="BP84" s="39"/>
      <c r="BQ84" s="39"/>
      <c r="BR84" s="39"/>
      <c r="BS84" s="39"/>
      <c r="BT84" s="39"/>
      <c r="BU84" s="39"/>
      <c r="BV84" s="39"/>
      <c r="BW84" s="39"/>
      <c r="BX84" s="39"/>
      <c r="BY84" s="39"/>
      <c r="BZ84" s="39"/>
      <c r="CA84" s="39"/>
      <c r="CB84" s="39"/>
      <c r="CC84" s="39"/>
      <c r="CD84" s="39"/>
      <c r="CE84" s="39"/>
      <c r="CF84" s="39"/>
      <c r="CG84" s="39"/>
      <c r="CH84" s="39"/>
      <c r="CI84" s="39"/>
      <c r="CJ84" s="39"/>
      <c r="CK84" s="39"/>
      <c r="CL84" s="39"/>
      <c r="CM84" s="39"/>
      <c r="CN84" s="39"/>
      <c r="CO84" s="39"/>
      <c r="CP84" s="39"/>
      <c r="CQ84" s="39"/>
      <c r="CR84" s="39"/>
      <c r="CS84" s="39"/>
      <c r="CT84" s="39"/>
      <c r="CU84" s="39"/>
      <c r="CV84" s="39"/>
      <c r="CW84" s="39"/>
      <c r="CX84" s="39"/>
      <c r="CY84" s="39"/>
      <c r="CZ84" s="39"/>
      <c r="DA84" s="39"/>
      <c r="DB84" s="39"/>
      <c r="DC84" s="39"/>
      <c r="DD84" s="39"/>
      <c r="DE84" s="39"/>
      <c r="DF84" s="39"/>
      <c r="DG84" s="39"/>
      <c r="DH84" s="39"/>
      <c r="DI84" s="39"/>
      <c r="DJ84" s="39"/>
      <c r="DK84" s="39"/>
      <c r="DL84" s="39"/>
      <c r="DM84" s="39"/>
      <c r="DN84" s="39"/>
      <c r="DO84" s="39"/>
      <c r="DP84" s="39"/>
      <c r="DQ84" s="39"/>
      <c r="DR84" s="39"/>
      <c r="DS84" s="39"/>
      <c r="DT84" s="39"/>
      <c r="DU84" s="39"/>
      <c r="DV84" s="39"/>
      <c r="DW84" s="39"/>
      <c r="DX84" s="39"/>
      <c r="DY84" s="39"/>
      <c r="DZ84" s="39"/>
      <c r="EA84" s="39"/>
      <c r="EB84" s="39"/>
      <c r="EC84" s="39"/>
      <c r="ED84" s="39"/>
      <c r="EE84" s="39"/>
      <c r="EF84" s="39"/>
      <c r="EG84" s="39"/>
      <c r="EH84" s="39"/>
      <c r="EI84" s="39"/>
      <c r="EJ84" s="39"/>
      <c r="EK84" s="39"/>
      <c r="EL84" s="39"/>
      <c r="EM84" s="39"/>
      <c r="EN84" s="39"/>
      <c r="EO84" s="39"/>
      <c r="EP84" s="39"/>
      <c r="EQ84" s="39"/>
      <c r="ER84" s="39"/>
      <c r="ES84" s="39"/>
      <c r="ET84" s="39"/>
      <c r="EU84" s="39"/>
      <c r="EV84" s="39"/>
      <c r="EW84" s="39"/>
      <c r="EX84" s="39"/>
      <c r="EY84" s="39"/>
      <c r="EZ84" s="39"/>
      <c r="FA84" s="39"/>
      <c r="FB84" s="39"/>
      <c r="FC84" s="39"/>
      <c r="FD84" s="39"/>
      <c r="FE84" s="39"/>
      <c r="FF84" s="39"/>
      <c r="FG84" s="39"/>
      <c r="FH84" s="39"/>
      <c r="FI84" s="39"/>
      <c r="FJ84" s="39"/>
      <c r="FK84" s="39"/>
      <c r="FL84" s="39"/>
      <c r="FM84" s="39"/>
      <c r="FN84" s="39"/>
      <c r="FO84" s="39"/>
      <c r="FP84" s="39"/>
      <c r="FQ84" s="39"/>
      <c r="FR84" s="39"/>
      <c r="FS84" s="39"/>
      <c r="FT84" s="39"/>
      <c r="FU84" s="39"/>
      <c r="FV84" s="39"/>
      <c r="FW84" s="39"/>
      <c r="FX84" s="39"/>
      <c r="FY84" s="39"/>
      <c r="FZ84" s="39"/>
      <c r="GA84" s="39"/>
      <c r="GB84" s="39"/>
      <c r="GC84" s="39"/>
      <c r="GD84" s="39"/>
      <c r="GE84" s="39"/>
      <c r="GF84" s="39"/>
      <c r="GG84" s="39"/>
      <c r="GH84" s="39"/>
      <c r="GI84" s="39"/>
      <c r="GJ84" s="39"/>
      <c r="GK84" s="39"/>
    </row>
    <row r="85" spans="1:193">
      <c r="A85" s="125" t="s">
        <v>93</v>
      </c>
      <c r="B85" s="111" t="s">
        <v>338</v>
      </c>
      <c r="C85" s="111" t="s">
        <v>345</v>
      </c>
      <c r="D85" s="111" t="s">
        <v>119</v>
      </c>
      <c r="E85" s="111" t="s">
        <v>168</v>
      </c>
      <c r="F85" s="133">
        <v>42392</v>
      </c>
      <c r="G85" s="111"/>
      <c r="H85" s="111"/>
      <c r="I85" s="113"/>
      <c r="J85" s="181"/>
      <c r="K85" s="157">
        <v>942</v>
      </c>
      <c r="L85" s="113"/>
      <c r="M85" s="113"/>
      <c r="N85" s="113"/>
      <c r="O85" s="113"/>
      <c r="P85" s="115"/>
      <c r="Q85" s="116">
        <f t="shared" si="48"/>
        <v>942</v>
      </c>
      <c r="R85" s="117"/>
      <c r="S85" s="118"/>
      <c r="T85" s="118">
        <v>0</v>
      </c>
      <c r="U85" s="118"/>
      <c r="V85" s="118"/>
      <c r="W85" s="118"/>
      <c r="X85" s="119"/>
      <c r="Y85" s="119"/>
      <c r="Z85" s="120"/>
      <c r="AA85" s="120">
        <v>0</v>
      </c>
      <c r="AB85" s="116">
        <f t="shared" si="49"/>
        <v>942</v>
      </c>
      <c r="AC85" s="121">
        <f t="shared" si="50"/>
        <v>0</v>
      </c>
      <c r="AD85" s="116">
        <f t="shared" si="51"/>
        <v>942</v>
      </c>
      <c r="AE85" s="122">
        <f t="shared" si="52"/>
        <v>94.2</v>
      </c>
      <c r="AF85" s="121">
        <v>10.23</v>
      </c>
      <c r="AG85" s="121">
        <f t="shared" si="53"/>
        <v>0</v>
      </c>
      <c r="AH85" s="123">
        <f t="shared" si="54"/>
        <v>1046.43</v>
      </c>
      <c r="AI85" s="237">
        <v>577.4</v>
      </c>
      <c r="AJ85" s="237">
        <v>364.6</v>
      </c>
      <c r="AK85" s="246">
        <f t="shared" si="40"/>
        <v>0</v>
      </c>
      <c r="AL85" s="125"/>
      <c r="AM85" s="201" t="s">
        <v>337</v>
      </c>
      <c r="BB85" s="39"/>
      <c r="BC85" s="39"/>
      <c r="BD85" s="39"/>
      <c r="BE85" s="39"/>
      <c r="BF85" s="39"/>
      <c r="BG85" s="39"/>
      <c r="BH85" s="39"/>
      <c r="BI85" s="39"/>
      <c r="BJ85" s="39"/>
      <c r="BK85" s="39"/>
      <c r="BL85" s="39"/>
      <c r="BM85" s="39"/>
      <c r="BN85" s="39"/>
      <c r="BO85" s="39"/>
      <c r="BP85" s="39"/>
      <c r="BQ85" s="39"/>
      <c r="BR85" s="39"/>
      <c r="BS85" s="39"/>
      <c r="BT85" s="39"/>
      <c r="BU85" s="39"/>
      <c r="BV85" s="39"/>
      <c r="BW85" s="39"/>
      <c r="BX85" s="39"/>
      <c r="BY85" s="39"/>
      <c r="BZ85" s="39"/>
      <c r="CA85" s="39"/>
      <c r="CB85" s="39"/>
      <c r="CC85" s="39"/>
      <c r="CD85" s="39"/>
      <c r="CE85" s="39"/>
      <c r="CF85" s="39"/>
      <c r="CG85" s="39"/>
      <c r="CH85" s="39"/>
      <c r="CI85" s="39"/>
      <c r="CJ85" s="39"/>
      <c r="CK85" s="39"/>
      <c r="CL85" s="39"/>
      <c r="CM85" s="39"/>
      <c r="CN85" s="39"/>
      <c r="CO85" s="39"/>
      <c r="CP85" s="39"/>
      <c r="CQ85" s="39"/>
      <c r="CR85" s="39"/>
      <c r="CS85" s="39"/>
      <c r="CT85" s="39"/>
      <c r="CU85" s="39"/>
      <c r="CV85" s="39"/>
      <c r="CW85" s="39"/>
      <c r="CX85" s="39"/>
      <c r="CY85" s="39"/>
      <c r="CZ85" s="39"/>
      <c r="DA85" s="39"/>
      <c r="DB85" s="39"/>
      <c r="DC85" s="39"/>
      <c r="DD85" s="39"/>
      <c r="DE85" s="39"/>
      <c r="DF85" s="39"/>
      <c r="DG85" s="39"/>
      <c r="DH85" s="39"/>
      <c r="DI85" s="39"/>
      <c r="DJ85" s="39"/>
      <c r="DK85" s="39"/>
      <c r="DL85" s="39"/>
      <c r="DM85" s="39"/>
      <c r="DN85" s="39"/>
      <c r="DO85" s="39"/>
      <c r="DP85" s="39"/>
      <c r="DQ85" s="39"/>
      <c r="DR85" s="39"/>
      <c r="DS85" s="39"/>
      <c r="DT85" s="39"/>
      <c r="DU85" s="39"/>
      <c r="DV85" s="39"/>
      <c r="DW85" s="39"/>
      <c r="DX85" s="39"/>
      <c r="DY85" s="39"/>
      <c r="DZ85" s="39"/>
      <c r="EA85" s="39"/>
      <c r="EB85" s="39"/>
      <c r="EC85" s="39"/>
      <c r="ED85" s="39"/>
      <c r="EE85" s="39"/>
      <c r="EF85" s="39"/>
      <c r="EG85" s="39"/>
      <c r="EH85" s="39"/>
      <c r="EI85" s="39"/>
      <c r="EJ85" s="39"/>
      <c r="EK85" s="39"/>
      <c r="EL85" s="39"/>
      <c r="EM85" s="39"/>
      <c r="EN85" s="39"/>
      <c r="EO85" s="39"/>
      <c r="EP85" s="39"/>
      <c r="EQ85" s="39"/>
      <c r="ER85" s="39"/>
      <c r="ES85" s="39"/>
      <c r="ET85" s="39"/>
      <c r="EU85" s="39"/>
      <c r="EV85" s="39"/>
      <c r="EW85" s="39"/>
      <c r="EX85" s="39"/>
      <c r="EY85" s="39"/>
      <c r="EZ85" s="39"/>
      <c r="FA85" s="39"/>
      <c r="FB85" s="39"/>
      <c r="FC85" s="39"/>
      <c r="FD85" s="39"/>
      <c r="FE85" s="39"/>
      <c r="FF85" s="39"/>
      <c r="FG85" s="39"/>
      <c r="FH85" s="39"/>
      <c r="FI85" s="39"/>
      <c r="FJ85" s="39"/>
      <c r="FK85" s="39"/>
      <c r="FL85" s="39"/>
      <c r="FM85" s="39"/>
      <c r="FN85" s="39"/>
      <c r="FO85" s="39"/>
      <c r="FP85" s="39"/>
      <c r="FQ85" s="39"/>
      <c r="FR85" s="39"/>
      <c r="FS85" s="39"/>
      <c r="FT85" s="39"/>
      <c r="FU85" s="39"/>
      <c r="FV85" s="39"/>
      <c r="FW85" s="39"/>
      <c r="FX85" s="39"/>
      <c r="FY85" s="39"/>
      <c r="FZ85" s="39"/>
      <c r="GA85" s="39"/>
      <c r="GB85" s="39"/>
      <c r="GC85" s="39"/>
      <c r="GD85" s="39"/>
      <c r="GE85" s="39"/>
      <c r="GF85" s="39"/>
      <c r="GG85" s="39"/>
      <c r="GH85" s="39"/>
      <c r="GI85" s="39"/>
      <c r="GJ85" s="39"/>
      <c r="GK85" s="39"/>
    </row>
    <row r="86" spans="1:193">
      <c r="A86" s="125" t="s">
        <v>71</v>
      </c>
      <c r="B86" s="111" t="s">
        <v>89</v>
      </c>
      <c r="C86" s="111" t="s">
        <v>249</v>
      </c>
      <c r="D86" s="111" t="s">
        <v>158</v>
      </c>
      <c r="E86" s="111" t="s">
        <v>73</v>
      </c>
      <c r="F86" s="111"/>
      <c r="G86" s="112"/>
      <c r="H86" s="112"/>
      <c r="I86" s="113">
        <v>513.33000000000004</v>
      </c>
      <c r="J86" s="180">
        <v>653.33000000000004</v>
      </c>
      <c r="K86" s="113">
        <f t="shared" si="41"/>
        <v>1166.6600000000001</v>
      </c>
      <c r="L86" s="113">
        <v>5691.61</v>
      </c>
      <c r="M86" s="113"/>
      <c r="N86" s="114"/>
      <c r="O86" s="114"/>
      <c r="P86" s="115"/>
      <c r="Q86" s="116">
        <f t="shared" si="48"/>
        <v>6858.2699999999995</v>
      </c>
      <c r="R86" s="117"/>
      <c r="S86" s="118">
        <v>58.91</v>
      </c>
      <c r="T86" s="118">
        <v>0</v>
      </c>
      <c r="U86" s="118"/>
      <c r="V86" s="118"/>
      <c r="W86" s="118"/>
      <c r="X86" s="119"/>
      <c r="Y86" s="119"/>
      <c r="Z86" s="120"/>
      <c r="AA86" s="120">
        <v>0</v>
      </c>
      <c r="AB86" s="116">
        <f t="shared" si="49"/>
        <v>6799.36</v>
      </c>
      <c r="AC86" s="121">
        <f t="shared" si="50"/>
        <v>685.827</v>
      </c>
      <c r="AD86" s="116">
        <f t="shared" si="51"/>
        <v>6113.5329999999994</v>
      </c>
      <c r="AE86" s="122">
        <f t="shared" si="52"/>
        <v>0</v>
      </c>
      <c r="AF86" s="121">
        <v>10.23</v>
      </c>
      <c r="AG86" s="121">
        <f t="shared" si="53"/>
        <v>0</v>
      </c>
      <c r="AH86" s="123">
        <f t="shared" si="54"/>
        <v>6868.4999999999991</v>
      </c>
      <c r="AI86" s="237">
        <v>577.4</v>
      </c>
      <c r="AJ86" s="252">
        <v>5536.13</v>
      </c>
      <c r="AK86" s="246">
        <f t="shared" si="40"/>
        <v>-2.9999999997016857E-3</v>
      </c>
      <c r="AL86" s="125"/>
      <c r="AM86" s="125"/>
      <c r="BB86" s="39"/>
      <c r="BC86" s="39"/>
      <c r="BD86" s="39"/>
      <c r="BE86" s="39"/>
      <c r="BF86" s="39"/>
      <c r="BG86" s="39"/>
      <c r="BH86" s="39"/>
      <c r="BI86" s="39"/>
      <c r="BJ86" s="39"/>
      <c r="BK86" s="39"/>
      <c r="BL86" s="39"/>
      <c r="BM86" s="39"/>
      <c r="BN86" s="39"/>
      <c r="BO86" s="39"/>
      <c r="BP86" s="39"/>
      <c r="BQ86" s="39"/>
      <c r="BR86" s="39"/>
      <c r="BS86" s="39"/>
      <c r="BT86" s="39"/>
      <c r="BU86" s="39"/>
      <c r="BV86" s="39"/>
      <c r="BW86" s="39"/>
      <c r="BX86" s="39"/>
      <c r="BY86" s="39"/>
      <c r="BZ86" s="39"/>
      <c r="CA86" s="39"/>
      <c r="CB86" s="39"/>
      <c r="CC86" s="39"/>
      <c r="CD86" s="39"/>
      <c r="CE86" s="39"/>
      <c r="CF86" s="39"/>
      <c r="CG86" s="39"/>
      <c r="CH86" s="39"/>
      <c r="CI86" s="39"/>
      <c r="CJ86" s="39"/>
      <c r="CK86" s="39"/>
      <c r="CL86" s="39"/>
      <c r="CM86" s="39"/>
      <c r="CN86" s="39"/>
      <c r="CO86" s="39"/>
      <c r="CP86" s="39"/>
      <c r="CQ86" s="39"/>
      <c r="CR86" s="39"/>
      <c r="CS86" s="39"/>
      <c r="CT86" s="39"/>
      <c r="CU86" s="39"/>
      <c r="CV86" s="39"/>
      <c r="CW86" s="39"/>
      <c r="CX86" s="39"/>
      <c r="CY86" s="39"/>
      <c r="CZ86" s="39"/>
      <c r="DA86" s="39"/>
      <c r="DB86" s="39"/>
      <c r="DC86" s="39"/>
      <c r="DD86" s="39"/>
      <c r="DE86" s="39"/>
      <c r="DF86" s="39"/>
      <c r="DG86" s="39"/>
      <c r="DH86" s="39"/>
      <c r="DI86" s="39"/>
      <c r="DJ86" s="39"/>
      <c r="DK86" s="39"/>
      <c r="DL86" s="39"/>
      <c r="DM86" s="39"/>
      <c r="DN86" s="39"/>
      <c r="DO86" s="39"/>
      <c r="DP86" s="39"/>
      <c r="DQ86" s="39"/>
      <c r="DR86" s="39"/>
      <c r="DS86" s="39"/>
      <c r="DT86" s="39"/>
      <c r="DU86" s="39"/>
      <c r="DV86" s="39"/>
      <c r="DW86" s="39"/>
      <c r="DX86" s="39"/>
      <c r="DY86" s="39"/>
      <c r="DZ86" s="39"/>
      <c r="EA86" s="39"/>
      <c r="EB86" s="39"/>
      <c r="EC86" s="39"/>
      <c r="ED86" s="39"/>
      <c r="EE86" s="39"/>
      <c r="EF86" s="39"/>
      <c r="EG86" s="39"/>
      <c r="EH86" s="39"/>
      <c r="EI86" s="39"/>
      <c r="EJ86" s="39"/>
      <c r="EK86" s="39"/>
      <c r="EL86" s="39"/>
      <c r="EM86" s="39"/>
      <c r="EN86" s="39"/>
      <c r="EO86" s="39"/>
      <c r="EP86" s="39"/>
      <c r="EQ86" s="39"/>
      <c r="ER86" s="39"/>
      <c r="ES86" s="39"/>
      <c r="ET86" s="39"/>
      <c r="EU86" s="39"/>
      <c r="EV86" s="39"/>
      <c r="EW86" s="39"/>
      <c r="EX86" s="39"/>
      <c r="EY86" s="39"/>
      <c r="EZ86" s="39"/>
      <c r="FA86" s="39"/>
      <c r="FB86" s="39"/>
      <c r="FC86" s="39"/>
      <c r="FD86" s="39"/>
      <c r="FE86" s="39"/>
      <c r="FF86" s="39"/>
      <c r="FG86" s="39"/>
      <c r="FH86" s="39"/>
      <c r="FI86" s="39"/>
      <c r="FJ86" s="39"/>
      <c r="FK86" s="39"/>
      <c r="FL86" s="39"/>
      <c r="FM86" s="39"/>
      <c r="FN86" s="39"/>
      <c r="FO86" s="39"/>
      <c r="FP86" s="39"/>
      <c r="FQ86" s="39"/>
      <c r="FR86" s="39"/>
      <c r="FS86" s="39"/>
      <c r="FT86" s="39"/>
      <c r="FU86" s="39"/>
      <c r="FV86" s="39"/>
      <c r="FW86" s="39"/>
      <c r="FX86" s="39"/>
      <c r="FY86" s="39"/>
      <c r="FZ86" s="39"/>
      <c r="GA86" s="39"/>
      <c r="GB86" s="39"/>
      <c r="GC86" s="39"/>
      <c r="GD86" s="39"/>
      <c r="GE86" s="39"/>
      <c r="GF86" s="39"/>
      <c r="GG86" s="39"/>
      <c r="GH86" s="39"/>
      <c r="GI86" s="39"/>
      <c r="GJ86" s="39"/>
      <c r="GK86" s="39"/>
    </row>
    <row r="87" spans="1:193" s="61" customFormat="1">
      <c r="A87" s="125" t="s">
        <v>94</v>
      </c>
      <c r="B87" s="111" t="s">
        <v>349</v>
      </c>
      <c r="C87" s="111"/>
      <c r="D87" s="111" t="s">
        <v>141</v>
      </c>
      <c r="E87" s="111" t="s">
        <v>183</v>
      </c>
      <c r="F87" s="111"/>
      <c r="G87" s="112"/>
      <c r="H87" s="112"/>
      <c r="I87" s="113">
        <v>543.20000000000005</v>
      </c>
      <c r="J87" s="178"/>
      <c r="K87" s="113">
        <f t="shared" si="41"/>
        <v>543.20000000000005</v>
      </c>
      <c r="L87" s="113">
        <v>742</v>
      </c>
      <c r="M87" s="113"/>
      <c r="N87" s="114"/>
      <c r="O87" s="114"/>
      <c r="P87" s="115"/>
      <c r="Q87" s="116">
        <f t="shared" si="48"/>
        <v>1285.2</v>
      </c>
      <c r="R87" s="117"/>
      <c r="S87" s="118"/>
      <c r="T87" s="118">
        <v>0</v>
      </c>
      <c r="U87" s="127">
        <f>Q87*4.9%</f>
        <v>62.974800000000002</v>
      </c>
      <c r="V87" s="127">
        <f>Q87*1%</f>
        <v>12.852</v>
      </c>
      <c r="W87" s="118"/>
      <c r="X87" s="119"/>
      <c r="Y87" s="119"/>
      <c r="Z87" s="120"/>
      <c r="AA87" s="120">
        <v>0</v>
      </c>
      <c r="AB87" s="116">
        <f t="shared" si="49"/>
        <v>1209.3732</v>
      </c>
      <c r="AC87" s="121">
        <f t="shared" si="50"/>
        <v>0</v>
      </c>
      <c r="AD87" s="116">
        <f t="shared" si="51"/>
        <v>1209.3732</v>
      </c>
      <c r="AE87" s="122">
        <f t="shared" si="52"/>
        <v>128.52000000000001</v>
      </c>
      <c r="AF87" s="121">
        <v>10.23</v>
      </c>
      <c r="AG87" s="121">
        <f t="shared" si="53"/>
        <v>62.974800000000002</v>
      </c>
      <c r="AH87" s="123">
        <f t="shared" si="54"/>
        <v>1486.9248</v>
      </c>
      <c r="AI87" s="237">
        <v>577.4</v>
      </c>
      <c r="AJ87" s="248">
        <v>631.97</v>
      </c>
      <c r="AK87" s="246">
        <f t="shared" si="40"/>
        <v>-3.200000000106229E-3</v>
      </c>
      <c r="AL87" s="125"/>
      <c r="AM87" s="125"/>
      <c r="AN87" s="39"/>
      <c r="AO87" s="39"/>
      <c r="AP87" s="39"/>
      <c r="AQ87" s="39"/>
      <c r="AR87" s="39"/>
      <c r="AS87" s="39"/>
      <c r="AT87" s="39"/>
      <c r="AU87" s="39"/>
      <c r="AV87" s="39"/>
      <c r="AW87" s="39"/>
      <c r="AX87" s="39"/>
      <c r="AY87" s="39"/>
      <c r="AZ87" s="39"/>
      <c r="BA87" s="39"/>
      <c r="BB87" s="39"/>
      <c r="BC87" s="39"/>
      <c r="BD87" s="39"/>
      <c r="BE87" s="39"/>
      <c r="BF87" s="39"/>
      <c r="BG87" s="39"/>
      <c r="BH87" s="39"/>
      <c r="BI87" s="39"/>
      <c r="BJ87" s="39"/>
      <c r="BK87" s="39"/>
      <c r="BL87" s="39"/>
      <c r="BM87" s="39"/>
      <c r="BN87" s="39"/>
      <c r="BO87" s="39"/>
      <c r="BP87" s="39"/>
      <c r="BQ87" s="39"/>
      <c r="BR87" s="39"/>
      <c r="BS87" s="39"/>
      <c r="BT87" s="39"/>
      <c r="BU87" s="39"/>
      <c r="BV87" s="39"/>
      <c r="BW87" s="39"/>
      <c r="BX87" s="39"/>
      <c r="BY87" s="39"/>
      <c r="BZ87" s="39"/>
      <c r="CA87" s="39"/>
      <c r="CB87" s="39"/>
      <c r="CC87" s="39"/>
      <c r="CD87" s="39"/>
      <c r="CE87" s="39"/>
      <c r="CF87" s="39"/>
      <c r="CG87" s="39"/>
      <c r="CH87" s="39"/>
      <c r="CI87" s="39"/>
      <c r="CJ87" s="39"/>
      <c r="CK87" s="39"/>
      <c r="CL87" s="39"/>
      <c r="CM87" s="39"/>
      <c r="CN87" s="39"/>
      <c r="CO87" s="39"/>
      <c r="CP87" s="39"/>
      <c r="CQ87" s="39"/>
      <c r="CR87" s="39"/>
      <c r="CS87" s="39"/>
      <c r="CT87" s="39"/>
      <c r="CU87" s="39"/>
      <c r="CV87" s="39"/>
      <c r="CW87" s="39"/>
      <c r="CX87" s="39"/>
      <c r="CY87" s="39"/>
      <c r="CZ87" s="39"/>
      <c r="DA87" s="39"/>
      <c r="DB87" s="39"/>
      <c r="DC87" s="39"/>
      <c r="DD87" s="39"/>
      <c r="DE87" s="39"/>
      <c r="DF87" s="39"/>
      <c r="DG87" s="39"/>
      <c r="DH87" s="39"/>
      <c r="DI87" s="39"/>
      <c r="DJ87" s="39"/>
      <c r="DK87" s="39"/>
      <c r="DL87" s="39"/>
      <c r="DM87" s="39"/>
      <c r="DN87" s="39"/>
      <c r="DO87" s="39"/>
      <c r="DP87" s="39"/>
      <c r="DQ87" s="39"/>
      <c r="DR87" s="39"/>
      <c r="DS87" s="39"/>
      <c r="DT87" s="39"/>
      <c r="DU87" s="39"/>
      <c r="DV87" s="39"/>
      <c r="DW87" s="39"/>
      <c r="DX87" s="39"/>
      <c r="DY87" s="39"/>
      <c r="DZ87" s="39"/>
      <c r="EA87" s="39"/>
      <c r="EB87" s="39"/>
      <c r="EC87" s="39"/>
      <c r="ED87" s="39"/>
      <c r="EE87" s="39"/>
      <c r="EF87" s="39"/>
      <c r="EG87" s="39"/>
      <c r="EH87" s="39"/>
      <c r="EI87" s="39"/>
      <c r="EJ87" s="39"/>
      <c r="EK87" s="39"/>
      <c r="EL87" s="39"/>
      <c r="EM87" s="39"/>
      <c r="EN87" s="39"/>
      <c r="EO87" s="39"/>
      <c r="EP87" s="39"/>
      <c r="EQ87" s="39"/>
      <c r="ER87" s="39"/>
      <c r="ES87" s="39"/>
      <c r="ET87" s="39"/>
      <c r="EU87" s="39"/>
      <c r="EV87" s="39"/>
      <c r="EW87" s="39"/>
      <c r="EX87" s="39"/>
      <c r="EY87" s="39"/>
      <c r="EZ87" s="39"/>
      <c r="FA87" s="39"/>
      <c r="FB87" s="39"/>
      <c r="FC87" s="39"/>
      <c r="FD87" s="39"/>
      <c r="FE87" s="39"/>
      <c r="FF87" s="39"/>
      <c r="FG87" s="39"/>
      <c r="FH87" s="39"/>
      <c r="FI87" s="39"/>
      <c r="FJ87" s="39"/>
      <c r="FK87" s="39"/>
      <c r="FL87" s="39"/>
      <c r="FM87" s="39"/>
      <c r="FN87" s="39"/>
      <c r="FO87" s="39"/>
      <c r="FP87" s="39"/>
      <c r="FQ87" s="39"/>
      <c r="FR87" s="39"/>
      <c r="FS87" s="39"/>
      <c r="FT87" s="39"/>
      <c r="FU87" s="39"/>
      <c r="FV87" s="39"/>
      <c r="FW87" s="39"/>
      <c r="FX87" s="39"/>
      <c r="FY87" s="39"/>
      <c r="FZ87" s="39"/>
      <c r="GA87" s="39"/>
      <c r="GB87" s="39"/>
      <c r="GC87" s="39"/>
      <c r="GD87" s="39"/>
      <c r="GE87" s="39"/>
      <c r="GF87" s="39"/>
      <c r="GG87" s="39"/>
      <c r="GH87" s="39"/>
      <c r="GI87" s="39"/>
      <c r="GJ87" s="39"/>
      <c r="GK87" s="39"/>
    </row>
    <row r="88" spans="1:193">
      <c r="A88" s="125" t="s">
        <v>94</v>
      </c>
      <c r="B88" s="111" t="s">
        <v>193</v>
      </c>
      <c r="C88" s="111"/>
      <c r="D88" s="111" t="s">
        <v>142</v>
      </c>
      <c r="E88" s="111" t="s">
        <v>181</v>
      </c>
      <c r="F88" s="111"/>
      <c r="G88" s="112"/>
      <c r="H88" s="112"/>
      <c r="I88" s="113">
        <v>608.16</v>
      </c>
      <c r="J88" s="178"/>
      <c r="K88" s="113">
        <f t="shared" si="41"/>
        <v>608.16</v>
      </c>
      <c r="L88" s="113">
        <f>1562.22+2.59</f>
        <v>1564.81</v>
      </c>
      <c r="M88" s="113"/>
      <c r="N88" s="114"/>
      <c r="O88" s="114"/>
      <c r="P88" s="115"/>
      <c r="Q88" s="116">
        <f t="shared" si="48"/>
        <v>2172.9699999999998</v>
      </c>
      <c r="R88" s="117"/>
      <c r="S88" s="118"/>
      <c r="T88" s="127">
        <v>200</v>
      </c>
      <c r="U88" s="127">
        <f>Q88*4.9%</f>
        <v>106.47552999999999</v>
      </c>
      <c r="V88" s="127">
        <f>Q88*1%</f>
        <v>21.729699999999998</v>
      </c>
      <c r="W88" s="127">
        <v>257.64</v>
      </c>
      <c r="X88" s="119"/>
      <c r="Y88" s="119"/>
      <c r="Z88" s="126">
        <v>201.24</v>
      </c>
      <c r="AA88" s="120">
        <v>0</v>
      </c>
      <c r="AB88" s="116">
        <f t="shared" si="49"/>
        <v>1385.8847699999999</v>
      </c>
      <c r="AC88" s="121">
        <f t="shared" si="50"/>
        <v>0</v>
      </c>
      <c r="AD88" s="116">
        <f t="shared" si="51"/>
        <v>1385.8847699999999</v>
      </c>
      <c r="AE88" s="122">
        <f t="shared" si="52"/>
        <v>217.297</v>
      </c>
      <c r="AF88" s="121">
        <v>10.23</v>
      </c>
      <c r="AG88" s="121">
        <f t="shared" si="53"/>
        <v>106.47552999999999</v>
      </c>
      <c r="AH88" s="123">
        <f t="shared" si="54"/>
        <v>2506.97253</v>
      </c>
      <c r="AI88" s="237">
        <v>577.4</v>
      </c>
      <c r="AJ88" s="237">
        <v>808.48</v>
      </c>
      <c r="AK88" s="246">
        <f t="shared" si="40"/>
        <v>-4.7699999997803388E-3</v>
      </c>
      <c r="AL88" s="125"/>
      <c r="AM88" s="130"/>
      <c r="BB88" s="39"/>
      <c r="BC88" s="39"/>
      <c r="BD88" s="39"/>
      <c r="BE88" s="39"/>
      <c r="BF88" s="39"/>
      <c r="BG88" s="39"/>
      <c r="BH88" s="39"/>
      <c r="BI88" s="39"/>
      <c r="BJ88" s="39"/>
      <c r="BK88" s="39"/>
      <c r="BL88" s="39"/>
      <c r="BM88" s="39"/>
      <c r="BN88" s="39"/>
      <c r="BO88" s="39"/>
      <c r="BP88" s="39"/>
      <c r="BQ88" s="39"/>
      <c r="BR88" s="39"/>
      <c r="BS88" s="39"/>
      <c r="BT88" s="39"/>
      <c r="BU88" s="39"/>
      <c r="BV88" s="39"/>
      <c r="BW88" s="39"/>
      <c r="BX88" s="39"/>
      <c r="BY88" s="39"/>
      <c r="BZ88" s="39"/>
      <c r="CA88" s="39"/>
      <c r="CB88" s="39"/>
      <c r="CC88" s="39"/>
      <c r="CD88" s="39"/>
      <c r="CE88" s="39"/>
      <c r="CF88" s="39"/>
      <c r="CG88" s="39"/>
      <c r="CH88" s="39"/>
      <c r="CI88" s="39"/>
      <c r="CJ88" s="39"/>
      <c r="CK88" s="39"/>
      <c r="CL88" s="39"/>
      <c r="CM88" s="39"/>
      <c r="CN88" s="39"/>
      <c r="CO88" s="39"/>
      <c r="CP88" s="39"/>
      <c r="CQ88" s="39"/>
      <c r="CR88" s="39"/>
      <c r="CS88" s="39"/>
      <c r="CT88" s="39"/>
      <c r="CU88" s="39"/>
      <c r="CV88" s="39"/>
      <c r="CW88" s="39"/>
      <c r="CX88" s="39"/>
      <c r="CY88" s="39"/>
      <c r="CZ88" s="39"/>
      <c r="DA88" s="39"/>
      <c r="DB88" s="39"/>
      <c r="DC88" s="39"/>
      <c r="DD88" s="39"/>
      <c r="DE88" s="39"/>
      <c r="DF88" s="39"/>
      <c r="DG88" s="39"/>
      <c r="DH88" s="39"/>
      <c r="DI88" s="39"/>
      <c r="DJ88" s="39"/>
      <c r="DK88" s="39"/>
      <c r="DL88" s="39"/>
      <c r="DM88" s="39"/>
      <c r="DN88" s="39"/>
      <c r="DO88" s="39"/>
      <c r="DP88" s="39"/>
      <c r="DQ88" s="39"/>
      <c r="DR88" s="39"/>
      <c r="DS88" s="39"/>
      <c r="DT88" s="39"/>
      <c r="DU88" s="39"/>
      <c r="DV88" s="39"/>
      <c r="DW88" s="39"/>
      <c r="DX88" s="39"/>
      <c r="DY88" s="39"/>
      <c r="DZ88" s="39"/>
      <c r="EA88" s="39"/>
      <c r="EB88" s="39"/>
      <c r="EC88" s="39"/>
      <c r="ED88" s="39"/>
      <c r="EE88" s="39"/>
      <c r="EF88" s="39"/>
      <c r="EG88" s="39"/>
      <c r="EH88" s="39"/>
      <c r="EI88" s="39"/>
      <c r="EJ88" s="39"/>
      <c r="EK88" s="39"/>
      <c r="EL88" s="39"/>
      <c r="EM88" s="39"/>
      <c r="EN88" s="39"/>
      <c r="EO88" s="39"/>
      <c r="EP88" s="39"/>
      <c r="EQ88" s="39"/>
      <c r="ER88" s="39"/>
      <c r="ES88" s="39"/>
      <c r="ET88" s="39"/>
      <c r="EU88" s="39"/>
      <c r="EV88" s="39"/>
      <c r="EW88" s="39"/>
      <c r="EX88" s="39"/>
      <c r="EY88" s="39"/>
      <c r="EZ88" s="39"/>
      <c r="FA88" s="39"/>
      <c r="FB88" s="39"/>
      <c r="FC88" s="39"/>
      <c r="FD88" s="39"/>
      <c r="FE88" s="39"/>
      <c r="FF88" s="39"/>
      <c r="FG88" s="39"/>
      <c r="FH88" s="39"/>
      <c r="FI88" s="39"/>
      <c r="FJ88" s="39"/>
      <c r="FK88" s="39"/>
      <c r="FL88" s="39"/>
      <c r="FM88" s="39"/>
      <c r="FN88" s="39"/>
      <c r="FO88" s="39"/>
      <c r="FP88" s="39"/>
      <c r="FQ88" s="39"/>
      <c r="FR88" s="39"/>
      <c r="FS88" s="39"/>
      <c r="FT88" s="39"/>
      <c r="FU88" s="39"/>
      <c r="FV88" s="39"/>
      <c r="FW88" s="39"/>
      <c r="FX88" s="39"/>
      <c r="FY88" s="39"/>
      <c r="FZ88" s="39"/>
      <c r="GA88" s="39"/>
      <c r="GB88" s="39"/>
      <c r="GC88" s="39"/>
      <c r="GD88" s="39"/>
      <c r="GE88" s="39"/>
      <c r="GF88" s="39"/>
      <c r="GG88" s="39"/>
      <c r="GH88" s="39"/>
      <c r="GI88" s="39"/>
      <c r="GJ88" s="39"/>
      <c r="GK88" s="39"/>
    </row>
    <row r="89" spans="1:193">
      <c r="A89" s="125" t="s">
        <v>92</v>
      </c>
      <c r="B89" s="111" t="s">
        <v>211</v>
      </c>
      <c r="C89" s="111"/>
      <c r="D89" s="111" t="s">
        <v>107</v>
      </c>
      <c r="E89" s="111" t="s">
        <v>165</v>
      </c>
      <c r="F89" s="111"/>
      <c r="G89" s="111"/>
      <c r="H89" s="111"/>
      <c r="I89" s="113">
        <v>739.23</v>
      </c>
      <c r="J89" s="181"/>
      <c r="K89" s="113">
        <f t="shared" si="41"/>
        <v>739.23</v>
      </c>
      <c r="L89" s="113">
        <f>2394.45+7.42</f>
        <v>2401.87</v>
      </c>
      <c r="M89" s="113"/>
      <c r="N89" s="114"/>
      <c r="O89" s="114"/>
      <c r="P89" s="115"/>
      <c r="Q89" s="116">
        <f t="shared" si="48"/>
        <v>3141.1</v>
      </c>
      <c r="R89" s="117"/>
      <c r="S89" s="118"/>
      <c r="T89" s="127">
        <v>150</v>
      </c>
      <c r="U89" s="118"/>
      <c r="V89" s="118"/>
      <c r="W89" s="118"/>
      <c r="X89" s="119"/>
      <c r="Y89" s="119"/>
      <c r="Z89" s="120"/>
      <c r="AA89" s="120">
        <v>0</v>
      </c>
      <c r="AB89" s="116">
        <f t="shared" si="49"/>
        <v>2991.1</v>
      </c>
      <c r="AC89" s="121">
        <f t="shared" si="50"/>
        <v>314.11</v>
      </c>
      <c r="AD89" s="116">
        <f t="shared" si="51"/>
        <v>2676.99</v>
      </c>
      <c r="AE89" s="122">
        <f t="shared" si="52"/>
        <v>314.11</v>
      </c>
      <c r="AF89" s="121">
        <v>10.23</v>
      </c>
      <c r="AG89" s="121">
        <f t="shared" si="53"/>
        <v>0</v>
      </c>
      <c r="AH89" s="123">
        <f t="shared" si="54"/>
        <v>3465.44</v>
      </c>
      <c r="AI89" s="237">
        <v>577.4</v>
      </c>
      <c r="AJ89" s="247">
        <v>2099.59</v>
      </c>
      <c r="AK89" s="246">
        <f t="shared" si="40"/>
        <v>0</v>
      </c>
      <c r="AL89" s="125"/>
      <c r="AM89" s="125"/>
      <c r="BB89" s="39"/>
      <c r="BC89" s="39"/>
      <c r="BD89" s="39"/>
      <c r="BE89" s="39"/>
      <c r="BF89" s="39"/>
      <c r="BG89" s="39"/>
      <c r="BH89" s="39"/>
      <c r="BI89" s="39"/>
      <c r="BJ89" s="39"/>
      <c r="BK89" s="39"/>
      <c r="BL89" s="39"/>
      <c r="BM89" s="39"/>
      <c r="BN89" s="39"/>
      <c r="BO89" s="39"/>
      <c r="BP89" s="39"/>
      <c r="BQ89" s="39"/>
      <c r="BR89" s="39"/>
      <c r="BS89" s="39"/>
      <c r="BT89" s="39"/>
      <c r="BU89" s="39"/>
      <c r="BV89" s="39"/>
      <c r="BW89" s="39"/>
      <c r="BX89" s="39"/>
      <c r="BY89" s="39"/>
      <c r="BZ89" s="39"/>
      <c r="CA89" s="39"/>
      <c r="CB89" s="39"/>
      <c r="CC89" s="39"/>
      <c r="CD89" s="39"/>
      <c r="CE89" s="39"/>
      <c r="CF89" s="39"/>
      <c r="CG89" s="39"/>
      <c r="CH89" s="39"/>
      <c r="CI89" s="39"/>
      <c r="CJ89" s="39"/>
      <c r="CK89" s="39"/>
      <c r="CL89" s="39"/>
      <c r="CM89" s="39"/>
      <c r="CN89" s="39"/>
      <c r="CO89" s="39"/>
      <c r="CP89" s="39"/>
      <c r="CQ89" s="39"/>
      <c r="CR89" s="39"/>
      <c r="CS89" s="39"/>
      <c r="CT89" s="39"/>
      <c r="CU89" s="39"/>
      <c r="CV89" s="39"/>
      <c r="CW89" s="39"/>
      <c r="CX89" s="39"/>
      <c r="CY89" s="39"/>
      <c r="CZ89" s="39"/>
      <c r="DA89" s="39"/>
      <c r="DB89" s="39"/>
      <c r="DC89" s="39"/>
      <c r="DD89" s="39"/>
      <c r="DE89" s="39"/>
      <c r="DF89" s="39"/>
      <c r="DG89" s="39"/>
      <c r="DH89" s="39"/>
      <c r="DI89" s="39"/>
      <c r="DJ89" s="39"/>
      <c r="DK89" s="39"/>
      <c r="DL89" s="39"/>
      <c r="DM89" s="39"/>
      <c r="DN89" s="39"/>
      <c r="DO89" s="39"/>
      <c r="DP89" s="39"/>
      <c r="DQ89" s="39"/>
      <c r="DR89" s="39"/>
      <c r="DS89" s="39"/>
      <c r="DT89" s="39"/>
      <c r="DU89" s="39"/>
      <c r="DV89" s="39"/>
      <c r="DW89" s="39"/>
      <c r="DX89" s="39"/>
      <c r="DY89" s="39"/>
      <c r="DZ89" s="39"/>
      <c r="EA89" s="39"/>
      <c r="EB89" s="39"/>
      <c r="EC89" s="39"/>
      <c r="ED89" s="39"/>
      <c r="EE89" s="39"/>
      <c r="EF89" s="39"/>
      <c r="EG89" s="39"/>
      <c r="EH89" s="39"/>
      <c r="EI89" s="39"/>
      <c r="EJ89" s="39"/>
      <c r="EK89" s="39"/>
      <c r="EL89" s="39"/>
      <c r="EM89" s="39"/>
      <c r="EN89" s="39"/>
      <c r="EO89" s="39"/>
      <c r="EP89" s="39"/>
      <c r="EQ89" s="39"/>
      <c r="ER89" s="39"/>
      <c r="ES89" s="39"/>
      <c r="ET89" s="39"/>
      <c r="EU89" s="39"/>
      <c r="EV89" s="39"/>
      <c r="EW89" s="39"/>
      <c r="EX89" s="39"/>
      <c r="EY89" s="39"/>
      <c r="EZ89" s="39"/>
      <c r="FA89" s="39"/>
      <c r="FB89" s="39"/>
      <c r="FC89" s="39"/>
      <c r="FD89" s="39"/>
      <c r="FE89" s="39"/>
      <c r="FF89" s="39"/>
      <c r="FG89" s="39"/>
      <c r="FH89" s="39"/>
      <c r="FI89" s="39"/>
      <c r="FJ89" s="39"/>
      <c r="FK89" s="39"/>
      <c r="FL89" s="39"/>
      <c r="FM89" s="39"/>
      <c r="FN89" s="39"/>
      <c r="FO89" s="39"/>
      <c r="FP89" s="39"/>
      <c r="FQ89" s="39"/>
      <c r="FR89" s="39"/>
      <c r="FS89" s="39"/>
      <c r="FT89" s="39"/>
      <c r="FU89" s="39"/>
      <c r="FV89" s="39"/>
      <c r="FW89" s="39"/>
      <c r="FX89" s="39"/>
      <c r="FY89" s="39"/>
      <c r="FZ89" s="39"/>
      <c r="GA89" s="39"/>
      <c r="GB89" s="39"/>
      <c r="GC89" s="39"/>
      <c r="GD89" s="39"/>
      <c r="GE89" s="39"/>
      <c r="GF89" s="39"/>
      <c r="GG89" s="39"/>
      <c r="GH89" s="39"/>
      <c r="GI89" s="39"/>
      <c r="GJ89" s="39"/>
      <c r="GK89" s="39"/>
    </row>
    <row r="90" spans="1:193">
      <c r="A90" s="125" t="s">
        <v>93</v>
      </c>
      <c r="B90" s="111" t="s">
        <v>303</v>
      </c>
      <c r="C90" s="111"/>
      <c r="D90" s="111" t="s">
        <v>120</v>
      </c>
      <c r="E90" s="111" t="s">
        <v>171</v>
      </c>
      <c r="F90" s="133">
        <v>42333</v>
      </c>
      <c r="G90" s="112"/>
      <c r="H90" s="112"/>
      <c r="I90" s="113">
        <v>577.38</v>
      </c>
      <c r="J90" s="182">
        <v>1047.6199999999999</v>
      </c>
      <c r="K90" s="113">
        <f t="shared" si="41"/>
        <v>1625</v>
      </c>
      <c r="L90" s="113"/>
      <c r="M90" s="113"/>
      <c r="N90" s="114"/>
      <c r="O90" s="114"/>
      <c r="P90" s="115"/>
      <c r="Q90" s="116">
        <f t="shared" si="48"/>
        <v>1625</v>
      </c>
      <c r="R90" s="117"/>
      <c r="S90" s="118"/>
      <c r="T90" s="118">
        <v>0</v>
      </c>
      <c r="U90" s="118"/>
      <c r="V90" s="118"/>
      <c r="W90" s="118"/>
      <c r="X90" s="119"/>
      <c r="Y90" s="119"/>
      <c r="Z90" s="120"/>
      <c r="AA90" s="126">
        <v>351.55</v>
      </c>
      <c r="AB90" s="116">
        <f t="shared" si="49"/>
        <v>1273.45</v>
      </c>
      <c r="AC90" s="121">
        <f t="shared" si="50"/>
        <v>0</v>
      </c>
      <c r="AD90" s="116">
        <f t="shared" si="51"/>
        <v>1273.45</v>
      </c>
      <c r="AE90" s="122">
        <f t="shared" si="52"/>
        <v>162.5</v>
      </c>
      <c r="AF90" s="121">
        <v>10.23</v>
      </c>
      <c r="AG90" s="121">
        <f t="shared" si="53"/>
        <v>0</v>
      </c>
      <c r="AH90" s="123">
        <f t="shared" si="54"/>
        <v>1797.73</v>
      </c>
      <c r="AI90" s="237">
        <v>225.85</v>
      </c>
      <c r="AJ90" s="247">
        <v>1047.5999999999999</v>
      </c>
      <c r="AK90" s="246">
        <f t="shared" si="40"/>
        <v>0</v>
      </c>
      <c r="AL90" s="125"/>
      <c r="AM90" s="125"/>
      <c r="BB90" s="39"/>
      <c r="BC90" s="39"/>
      <c r="BD90" s="39"/>
      <c r="BE90" s="39"/>
      <c r="BF90" s="39"/>
      <c r="BG90" s="39"/>
      <c r="BH90" s="39"/>
      <c r="BI90" s="39"/>
      <c r="BJ90" s="39"/>
      <c r="BK90" s="39"/>
      <c r="BL90" s="39"/>
      <c r="BM90" s="39"/>
      <c r="BN90" s="39"/>
      <c r="BO90" s="39"/>
      <c r="BP90" s="39"/>
      <c r="BQ90" s="39"/>
      <c r="BR90" s="39"/>
      <c r="BS90" s="39"/>
      <c r="BT90" s="39"/>
      <c r="BU90" s="39"/>
      <c r="BV90" s="39"/>
      <c r="BW90" s="39"/>
      <c r="BX90" s="39"/>
      <c r="BY90" s="39"/>
      <c r="BZ90" s="39"/>
      <c r="CA90" s="39"/>
      <c r="CB90" s="39"/>
      <c r="CC90" s="39"/>
      <c r="CD90" s="39"/>
      <c r="CE90" s="39"/>
      <c r="CF90" s="39"/>
      <c r="CG90" s="39"/>
      <c r="CH90" s="39"/>
      <c r="CI90" s="39"/>
      <c r="CJ90" s="39"/>
      <c r="CK90" s="39"/>
      <c r="CL90" s="39"/>
      <c r="CM90" s="39"/>
      <c r="CN90" s="39"/>
      <c r="CO90" s="39"/>
      <c r="CP90" s="39"/>
      <c r="CQ90" s="39"/>
      <c r="CR90" s="39"/>
      <c r="CS90" s="39"/>
      <c r="CT90" s="39"/>
      <c r="CU90" s="39"/>
      <c r="CV90" s="39"/>
      <c r="CW90" s="39"/>
      <c r="CX90" s="39"/>
      <c r="CY90" s="39"/>
      <c r="CZ90" s="39"/>
      <c r="DA90" s="39"/>
      <c r="DB90" s="39"/>
      <c r="DC90" s="39"/>
      <c r="DD90" s="39"/>
      <c r="DE90" s="39"/>
      <c r="DF90" s="39"/>
      <c r="DG90" s="39"/>
      <c r="DH90" s="39"/>
      <c r="DI90" s="39"/>
      <c r="DJ90" s="39"/>
      <c r="DK90" s="39"/>
      <c r="DL90" s="39"/>
      <c r="DM90" s="39"/>
      <c r="DN90" s="39"/>
      <c r="DO90" s="39"/>
      <c r="DP90" s="39"/>
      <c r="DQ90" s="39"/>
      <c r="DR90" s="39"/>
      <c r="DS90" s="39"/>
      <c r="DT90" s="39"/>
      <c r="DU90" s="39"/>
      <c r="DV90" s="39"/>
      <c r="DW90" s="39"/>
      <c r="DX90" s="39"/>
      <c r="DY90" s="39"/>
      <c r="DZ90" s="39"/>
      <c r="EA90" s="39"/>
      <c r="EB90" s="39"/>
      <c r="EC90" s="39"/>
      <c r="ED90" s="39"/>
      <c r="EE90" s="39"/>
      <c r="EF90" s="39"/>
      <c r="EG90" s="39"/>
      <c r="EH90" s="39"/>
      <c r="EI90" s="39"/>
      <c r="EJ90" s="39"/>
      <c r="EK90" s="39"/>
      <c r="EL90" s="39"/>
      <c r="EM90" s="39"/>
      <c r="EN90" s="39"/>
      <c r="EO90" s="39"/>
      <c r="EP90" s="39"/>
      <c r="EQ90" s="39"/>
      <c r="ER90" s="39"/>
      <c r="ES90" s="39"/>
      <c r="ET90" s="39"/>
      <c r="EU90" s="39"/>
      <c r="EV90" s="39"/>
      <c r="EW90" s="39"/>
      <c r="EX90" s="39"/>
      <c r="EY90" s="39"/>
      <c r="EZ90" s="39"/>
      <c r="FA90" s="39"/>
      <c r="FB90" s="39"/>
      <c r="FC90" s="39"/>
      <c r="FD90" s="39"/>
      <c r="FE90" s="39"/>
      <c r="FF90" s="39"/>
      <c r="FG90" s="39"/>
      <c r="FH90" s="39"/>
      <c r="FI90" s="39"/>
      <c r="FJ90" s="39"/>
      <c r="FK90" s="39"/>
      <c r="FL90" s="39"/>
      <c r="FM90" s="39"/>
      <c r="FN90" s="39"/>
      <c r="FO90" s="39"/>
      <c r="FP90" s="39"/>
      <c r="FQ90" s="39"/>
      <c r="FR90" s="39"/>
      <c r="FS90" s="39"/>
      <c r="FT90" s="39"/>
      <c r="FU90" s="39"/>
      <c r="FV90" s="39"/>
      <c r="FW90" s="39"/>
      <c r="FX90" s="39"/>
      <c r="FY90" s="39"/>
      <c r="FZ90" s="39"/>
      <c r="GA90" s="39"/>
      <c r="GB90" s="39"/>
      <c r="GC90" s="39"/>
      <c r="GD90" s="39"/>
      <c r="GE90" s="39"/>
      <c r="GF90" s="39"/>
      <c r="GG90" s="39"/>
      <c r="GH90" s="39"/>
      <c r="GI90" s="39"/>
      <c r="GJ90" s="39"/>
      <c r="GK90" s="39"/>
    </row>
    <row r="91" spans="1:193" s="39" customFormat="1">
      <c r="A91" s="125" t="s">
        <v>71</v>
      </c>
      <c r="B91" s="125" t="s">
        <v>316</v>
      </c>
      <c r="C91" s="125"/>
      <c r="D91" s="125"/>
      <c r="E91" s="125" t="s">
        <v>73</v>
      </c>
      <c r="F91" s="128">
        <v>42459</v>
      </c>
      <c r="G91" s="125"/>
      <c r="H91" s="125"/>
      <c r="I91" s="129">
        <v>513.33000000000004</v>
      </c>
      <c r="J91" s="180">
        <v>653.33000000000004</v>
      </c>
      <c r="K91" s="129">
        <f t="shared" si="41"/>
        <v>1166.6600000000001</v>
      </c>
      <c r="L91" s="129"/>
      <c r="M91" s="129"/>
      <c r="N91" s="129"/>
      <c r="O91" s="129"/>
      <c r="P91" s="172"/>
      <c r="Q91" s="116">
        <f t="shared" si="48"/>
        <v>1166.6600000000001</v>
      </c>
      <c r="R91" s="117"/>
      <c r="S91" s="165"/>
      <c r="T91" s="165"/>
      <c r="U91" s="165"/>
      <c r="V91" s="165"/>
      <c r="W91" s="165"/>
      <c r="X91" s="166"/>
      <c r="Y91" s="166"/>
      <c r="Z91" s="150"/>
      <c r="AA91" s="150"/>
      <c r="AB91" s="116">
        <f t="shared" si="49"/>
        <v>1166.6600000000001</v>
      </c>
      <c r="AC91" s="121">
        <f>IF(Q91&gt;2250,Q91*0.1,0)</f>
        <v>0</v>
      </c>
      <c r="AD91" s="116">
        <f>+AB91-AC91</f>
        <v>1166.6600000000001</v>
      </c>
      <c r="AE91" s="122">
        <f>IF(Q91&lt;3500,Q91*0.1,0)</f>
        <v>116.66600000000001</v>
      </c>
      <c r="AF91" s="121">
        <v>10.23</v>
      </c>
      <c r="AG91" s="121">
        <f>+U91</f>
        <v>0</v>
      </c>
      <c r="AH91" s="123">
        <f t="shared" si="54"/>
        <v>1293.556</v>
      </c>
      <c r="AI91" s="248">
        <v>577.4</v>
      </c>
      <c r="AJ91" s="237">
        <v>589.26</v>
      </c>
      <c r="AK91" s="246">
        <f t="shared" si="40"/>
        <v>0</v>
      </c>
      <c r="AL91" s="125"/>
      <c r="AM91" s="130"/>
    </row>
    <row r="92" spans="1:193">
      <c r="A92" s="125" t="s">
        <v>92</v>
      </c>
      <c r="B92" s="111" t="s">
        <v>271</v>
      </c>
      <c r="C92" s="111"/>
      <c r="D92" s="111" t="s">
        <v>106</v>
      </c>
      <c r="E92" s="111" t="s">
        <v>163</v>
      </c>
      <c r="F92" s="111"/>
      <c r="G92" s="111"/>
      <c r="H92" s="111"/>
      <c r="I92" s="113">
        <v>739.23</v>
      </c>
      <c r="J92" s="181"/>
      <c r="K92" s="113">
        <f t="shared" si="41"/>
        <v>739.23</v>
      </c>
      <c r="L92" s="113">
        <f>1701.85+7.42</f>
        <v>1709.27</v>
      </c>
      <c r="M92" s="113"/>
      <c r="N92" s="114"/>
      <c r="O92" s="114"/>
      <c r="P92" s="115"/>
      <c r="Q92" s="116">
        <f t="shared" si="48"/>
        <v>2448.5</v>
      </c>
      <c r="R92" s="117"/>
      <c r="S92" s="118"/>
      <c r="T92" s="118">
        <v>0</v>
      </c>
      <c r="U92" s="118"/>
      <c r="V92" s="118"/>
      <c r="W92" s="118"/>
      <c r="X92" s="119"/>
      <c r="Y92" s="119"/>
      <c r="Z92" s="120"/>
      <c r="AA92" s="120">
        <v>0</v>
      </c>
      <c r="AB92" s="116">
        <f t="shared" si="49"/>
        <v>2448.5</v>
      </c>
      <c r="AC92" s="121">
        <f t="shared" si="50"/>
        <v>244.85000000000002</v>
      </c>
      <c r="AD92" s="116">
        <f t="shared" si="51"/>
        <v>2203.65</v>
      </c>
      <c r="AE92" s="122">
        <f t="shared" si="52"/>
        <v>244.85000000000002</v>
      </c>
      <c r="AF92" s="121">
        <v>10.23</v>
      </c>
      <c r="AG92" s="121">
        <f t="shared" si="53"/>
        <v>0</v>
      </c>
      <c r="AH92" s="123">
        <f t="shared" si="54"/>
        <v>2703.58</v>
      </c>
      <c r="AI92" s="237">
        <v>577.4</v>
      </c>
      <c r="AJ92" s="247">
        <v>1626.25</v>
      </c>
      <c r="AK92" s="246">
        <f t="shared" si="40"/>
        <v>0</v>
      </c>
      <c r="AL92" s="125"/>
      <c r="AM92" s="125"/>
      <c r="BB92" s="39"/>
      <c r="BC92" s="39"/>
      <c r="BD92" s="39"/>
      <c r="BE92" s="39"/>
      <c r="BF92" s="39"/>
      <c r="BG92" s="39"/>
      <c r="BH92" s="39"/>
      <c r="BI92" s="39"/>
      <c r="BJ92" s="39"/>
      <c r="BK92" s="39"/>
      <c r="BL92" s="39"/>
      <c r="BM92" s="39"/>
      <c r="BN92" s="39"/>
      <c r="BO92" s="39"/>
      <c r="BP92" s="39"/>
      <c r="BQ92" s="39"/>
      <c r="BR92" s="39"/>
      <c r="BS92" s="39"/>
      <c r="BT92" s="39"/>
      <c r="BU92" s="39"/>
      <c r="BV92" s="39"/>
      <c r="BW92" s="39"/>
      <c r="BX92" s="39"/>
      <c r="BY92" s="39"/>
      <c r="BZ92" s="39"/>
      <c r="CA92" s="39"/>
      <c r="CB92" s="39"/>
      <c r="CC92" s="39"/>
      <c r="CD92" s="39"/>
      <c r="CE92" s="39"/>
      <c r="CF92" s="39"/>
      <c r="CG92" s="39"/>
      <c r="CH92" s="39"/>
      <c r="CI92" s="39"/>
      <c r="CJ92" s="39"/>
      <c r="CK92" s="39"/>
      <c r="CL92" s="39"/>
      <c r="CM92" s="39"/>
      <c r="CN92" s="39"/>
      <c r="CO92" s="39"/>
      <c r="CP92" s="39"/>
      <c r="CQ92" s="39"/>
      <c r="CR92" s="39"/>
      <c r="CS92" s="39"/>
      <c r="CT92" s="39"/>
      <c r="CU92" s="39"/>
      <c r="CV92" s="39"/>
      <c r="CW92" s="39"/>
      <c r="CX92" s="39"/>
      <c r="CY92" s="39"/>
      <c r="CZ92" s="39"/>
      <c r="DA92" s="39"/>
      <c r="DB92" s="39"/>
      <c r="DC92" s="39"/>
      <c r="DD92" s="39"/>
      <c r="DE92" s="39"/>
      <c r="DF92" s="39"/>
      <c r="DG92" s="39"/>
      <c r="DH92" s="39"/>
      <c r="DI92" s="39"/>
      <c r="DJ92" s="39"/>
      <c r="DK92" s="39"/>
      <c r="DL92" s="39"/>
      <c r="DM92" s="39"/>
      <c r="DN92" s="39"/>
      <c r="DO92" s="39"/>
      <c r="DP92" s="39"/>
      <c r="DQ92" s="39"/>
      <c r="DR92" s="39"/>
      <c r="DS92" s="39"/>
      <c r="DT92" s="39"/>
      <c r="DU92" s="39"/>
      <c r="DV92" s="39"/>
      <c r="DW92" s="39"/>
      <c r="DX92" s="39"/>
      <c r="DY92" s="39"/>
      <c r="DZ92" s="39"/>
      <c r="EA92" s="39"/>
      <c r="EB92" s="39"/>
      <c r="EC92" s="39"/>
      <c r="ED92" s="39"/>
      <c r="EE92" s="39"/>
      <c r="EF92" s="39"/>
      <c r="EG92" s="39"/>
      <c r="EH92" s="39"/>
      <c r="EI92" s="39"/>
      <c r="EJ92" s="39"/>
      <c r="EK92" s="39"/>
      <c r="EL92" s="39"/>
      <c r="EM92" s="39"/>
      <c r="EN92" s="39"/>
      <c r="EO92" s="39"/>
      <c r="EP92" s="39"/>
      <c r="EQ92" s="39"/>
      <c r="ER92" s="39"/>
      <c r="ES92" s="39"/>
      <c r="ET92" s="39"/>
      <c r="EU92" s="39"/>
      <c r="EV92" s="39"/>
      <c r="EW92" s="39"/>
      <c r="EX92" s="39"/>
      <c r="EY92" s="39"/>
      <c r="EZ92" s="39"/>
      <c r="FA92" s="39"/>
      <c r="FB92" s="39"/>
      <c r="FC92" s="39"/>
      <c r="FD92" s="39"/>
      <c r="FE92" s="39"/>
      <c r="FF92" s="39"/>
      <c r="FG92" s="39"/>
      <c r="FH92" s="39"/>
      <c r="FI92" s="39"/>
      <c r="FJ92" s="39"/>
      <c r="FK92" s="39"/>
      <c r="FL92" s="39"/>
      <c r="FM92" s="39"/>
      <c r="FN92" s="39"/>
      <c r="FO92" s="39"/>
      <c r="FP92" s="39"/>
      <c r="FQ92" s="39"/>
      <c r="FR92" s="39"/>
      <c r="FS92" s="39"/>
      <c r="FT92" s="39"/>
      <c r="FU92" s="39"/>
      <c r="FV92" s="39"/>
      <c r="FW92" s="39"/>
      <c r="FX92" s="39"/>
      <c r="FY92" s="39"/>
      <c r="FZ92" s="39"/>
      <c r="GA92" s="39"/>
      <c r="GB92" s="39"/>
      <c r="GC92" s="39"/>
      <c r="GD92" s="39"/>
      <c r="GE92" s="39"/>
      <c r="GF92" s="39"/>
      <c r="GG92" s="39"/>
      <c r="GH92" s="39"/>
      <c r="GI92" s="39"/>
      <c r="GJ92" s="39"/>
      <c r="GK92" s="39"/>
    </row>
    <row r="93" spans="1:193">
      <c r="A93" s="125" t="s">
        <v>92</v>
      </c>
      <c r="B93" s="111" t="s">
        <v>79</v>
      </c>
      <c r="C93" s="111"/>
      <c r="D93" s="111" t="s">
        <v>108</v>
      </c>
      <c r="E93" s="111" t="s">
        <v>166</v>
      </c>
      <c r="F93" s="111"/>
      <c r="G93" s="111"/>
      <c r="H93" s="111"/>
      <c r="I93" s="113">
        <v>739.23</v>
      </c>
      <c r="J93" s="181"/>
      <c r="K93" s="113">
        <f t="shared" si="41"/>
        <v>739.23</v>
      </c>
      <c r="L93" s="113">
        <f>741.88+3.71</f>
        <v>745.59</v>
      </c>
      <c r="M93" s="113"/>
      <c r="N93" s="113"/>
      <c r="O93" s="113"/>
      <c r="P93" s="115"/>
      <c r="Q93" s="116">
        <f t="shared" si="48"/>
        <v>1484.8200000000002</v>
      </c>
      <c r="R93" s="117"/>
      <c r="S93" s="118"/>
      <c r="T93" s="118">
        <v>0</v>
      </c>
      <c r="U93" s="118"/>
      <c r="V93" s="118"/>
      <c r="W93" s="118"/>
      <c r="X93" s="119"/>
      <c r="Y93" s="119"/>
      <c r="Z93" s="120"/>
      <c r="AA93" s="120">
        <v>0</v>
      </c>
      <c r="AB93" s="116">
        <f t="shared" si="49"/>
        <v>1484.8200000000002</v>
      </c>
      <c r="AC93" s="121">
        <f t="shared" si="50"/>
        <v>0</v>
      </c>
      <c r="AD93" s="116">
        <f t="shared" si="51"/>
        <v>1484.8200000000002</v>
      </c>
      <c r="AE93" s="122">
        <f t="shared" si="52"/>
        <v>148.48200000000003</v>
      </c>
      <c r="AF93" s="121">
        <v>10.23</v>
      </c>
      <c r="AG93" s="121">
        <f t="shared" si="53"/>
        <v>0</v>
      </c>
      <c r="AH93" s="123">
        <f t="shared" si="54"/>
        <v>1643.5320000000002</v>
      </c>
      <c r="AI93" s="237">
        <v>577.4</v>
      </c>
      <c r="AJ93" s="237">
        <v>907.42</v>
      </c>
      <c r="AK93" s="246">
        <f t="shared" si="40"/>
        <v>0</v>
      </c>
      <c r="AL93" s="125"/>
      <c r="AM93" s="125"/>
      <c r="BB93" s="39"/>
      <c r="BC93" s="39"/>
      <c r="BD93" s="39"/>
      <c r="BE93" s="39"/>
      <c r="BF93" s="39"/>
      <c r="BG93" s="39"/>
      <c r="BH93" s="39"/>
      <c r="BI93" s="39"/>
      <c r="BJ93" s="39"/>
      <c r="BK93" s="39"/>
      <c r="BL93" s="39"/>
      <c r="BM93" s="39"/>
      <c r="BN93" s="39"/>
      <c r="BO93" s="39"/>
      <c r="BP93" s="39"/>
      <c r="BQ93" s="39"/>
      <c r="BR93" s="39"/>
      <c r="BS93" s="39"/>
      <c r="BT93" s="39"/>
      <c r="BU93" s="39"/>
      <c r="BV93" s="39"/>
      <c r="BW93" s="39"/>
      <c r="BX93" s="39"/>
      <c r="BY93" s="39"/>
      <c r="BZ93" s="39"/>
      <c r="CA93" s="39"/>
      <c r="CB93" s="39"/>
      <c r="CC93" s="39"/>
      <c r="CD93" s="39"/>
      <c r="CE93" s="39"/>
      <c r="CF93" s="39"/>
      <c r="CG93" s="39"/>
      <c r="CH93" s="39"/>
      <c r="CI93" s="39"/>
      <c r="CJ93" s="39"/>
      <c r="CK93" s="39"/>
      <c r="CL93" s="39"/>
      <c r="CM93" s="39"/>
      <c r="CN93" s="39"/>
      <c r="CO93" s="39"/>
      <c r="CP93" s="39"/>
      <c r="CQ93" s="39"/>
      <c r="CR93" s="39"/>
      <c r="CS93" s="39"/>
      <c r="CT93" s="39"/>
      <c r="CU93" s="39"/>
      <c r="CV93" s="39"/>
      <c r="CW93" s="39"/>
      <c r="CX93" s="39"/>
      <c r="CY93" s="39"/>
      <c r="CZ93" s="39"/>
      <c r="DA93" s="39"/>
      <c r="DB93" s="39"/>
      <c r="DC93" s="39"/>
      <c r="DD93" s="39"/>
      <c r="DE93" s="39"/>
      <c r="DF93" s="39"/>
      <c r="DG93" s="39"/>
      <c r="DH93" s="39"/>
      <c r="DI93" s="39"/>
      <c r="DJ93" s="39"/>
      <c r="DK93" s="39"/>
      <c r="DL93" s="39"/>
      <c r="DM93" s="39"/>
      <c r="DN93" s="39"/>
      <c r="DO93" s="39"/>
      <c r="DP93" s="39"/>
      <c r="DQ93" s="39"/>
      <c r="DR93" s="39"/>
      <c r="DS93" s="39"/>
      <c r="DT93" s="39"/>
      <c r="DU93" s="39"/>
      <c r="DV93" s="39"/>
      <c r="DW93" s="39"/>
      <c r="DX93" s="39"/>
      <c r="DY93" s="39"/>
      <c r="DZ93" s="39"/>
      <c r="EA93" s="39"/>
      <c r="EB93" s="39"/>
      <c r="EC93" s="39"/>
      <c r="ED93" s="39"/>
      <c r="EE93" s="39"/>
      <c r="EF93" s="39"/>
      <c r="EG93" s="39"/>
      <c r="EH93" s="39"/>
      <c r="EI93" s="39"/>
      <c r="EJ93" s="39"/>
      <c r="EK93" s="39"/>
      <c r="EL93" s="39"/>
      <c r="EM93" s="39"/>
      <c r="EN93" s="39"/>
      <c r="EO93" s="39"/>
      <c r="EP93" s="39"/>
      <c r="EQ93" s="39"/>
      <c r="ER93" s="39"/>
      <c r="ES93" s="39"/>
      <c r="ET93" s="39"/>
      <c r="EU93" s="39"/>
      <c r="EV93" s="39"/>
      <c r="EW93" s="39"/>
      <c r="EX93" s="39"/>
      <c r="EY93" s="39"/>
      <c r="EZ93" s="39"/>
      <c r="FA93" s="39"/>
      <c r="FB93" s="39"/>
      <c r="FC93" s="39"/>
      <c r="FD93" s="39"/>
      <c r="FE93" s="39"/>
      <c r="FF93" s="39"/>
      <c r="FG93" s="39"/>
      <c r="FH93" s="39"/>
      <c r="FI93" s="39"/>
      <c r="FJ93" s="39"/>
      <c r="FK93" s="39"/>
      <c r="FL93" s="39"/>
      <c r="FM93" s="39"/>
      <c r="FN93" s="39"/>
      <c r="FO93" s="39"/>
      <c r="FP93" s="39"/>
      <c r="FQ93" s="39"/>
      <c r="FR93" s="39"/>
      <c r="FS93" s="39"/>
      <c r="FT93" s="39"/>
      <c r="FU93" s="39"/>
      <c r="FV93" s="39"/>
      <c r="FW93" s="39"/>
      <c r="FX93" s="39"/>
      <c r="FY93" s="39"/>
      <c r="FZ93" s="39"/>
      <c r="GA93" s="39"/>
      <c r="GB93" s="39"/>
      <c r="GC93" s="39"/>
      <c r="GD93" s="39"/>
      <c r="GE93" s="39"/>
      <c r="GF93" s="39"/>
      <c r="GG93" s="39"/>
      <c r="GH93" s="39"/>
      <c r="GI93" s="39"/>
      <c r="GJ93" s="39"/>
      <c r="GK93" s="39"/>
    </row>
    <row r="94" spans="1:193">
      <c r="A94" s="125" t="s">
        <v>91</v>
      </c>
      <c r="B94" s="125" t="s">
        <v>241</v>
      </c>
      <c r="C94" s="125"/>
      <c r="D94" s="137"/>
      <c r="E94" s="111" t="s">
        <v>242</v>
      </c>
      <c r="F94" s="133">
        <v>42328</v>
      </c>
      <c r="G94" s="112"/>
      <c r="H94" s="112"/>
      <c r="I94" s="129">
        <v>1166.26</v>
      </c>
      <c r="J94" s="178"/>
      <c r="K94" s="113">
        <f t="shared" si="41"/>
        <v>1166.26</v>
      </c>
      <c r="L94" s="113">
        <v>2747.63</v>
      </c>
      <c r="M94" s="113"/>
      <c r="N94" s="114"/>
      <c r="O94" s="114"/>
      <c r="P94" s="115"/>
      <c r="Q94" s="116">
        <f t="shared" si="48"/>
        <v>3913.8900000000003</v>
      </c>
      <c r="R94" s="117"/>
      <c r="S94" s="118"/>
      <c r="T94" s="118"/>
      <c r="U94" s="118"/>
      <c r="V94" s="118"/>
      <c r="W94" s="118"/>
      <c r="X94" s="119"/>
      <c r="Y94" s="119"/>
      <c r="Z94" s="120"/>
      <c r="AA94" s="120">
        <v>0</v>
      </c>
      <c r="AB94" s="116">
        <f t="shared" si="49"/>
        <v>3913.8900000000003</v>
      </c>
      <c r="AC94" s="121">
        <f t="shared" si="50"/>
        <v>391.38900000000007</v>
      </c>
      <c r="AD94" s="116">
        <f t="shared" si="51"/>
        <v>3522.5010000000002</v>
      </c>
      <c r="AE94" s="122">
        <f t="shared" si="52"/>
        <v>0</v>
      </c>
      <c r="AF94" s="121">
        <v>10.23</v>
      </c>
      <c r="AG94" s="121">
        <f t="shared" si="53"/>
        <v>0</v>
      </c>
      <c r="AH94" s="123">
        <f t="shared" si="54"/>
        <v>3924.1200000000003</v>
      </c>
      <c r="AI94" s="237">
        <v>577.4</v>
      </c>
      <c r="AJ94" s="247">
        <v>2945.1</v>
      </c>
      <c r="AK94" s="246">
        <f t="shared" si="40"/>
        <v>-1.0000000002037268E-3</v>
      </c>
      <c r="AL94" s="125"/>
      <c r="AM94" s="125"/>
      <c r="BB94" s="39"/>
      <c r="BC94" s="39"/>
      <c r="BD94" s="39"/>
      <c r="BE94" s="39"/>
      <c r="BF94" s="39"/>
      <c r="BG94" s="39"/>
      <c r="BH94" s="39"/>
      <c r="BI94" s="39"/>
      <c r="BJ94" s="39"/>
      <c r="BK94" s="39"/>
      <c r="BL94" s="39"/>
      <c r="BM94" s="39"/>
      <c r="BN94" s="39"/>
      <c r="BO94" s="39"/>
      <c r="BP94" s="39"/>
      <c r="BQ94" s="39"/>
      <c r="BR94" s="39"/>
      <c r="BS94" s="39"/>
      <c r="BT94" s="39"/>
      <c r="BU94" s="39"/>
      <c r="BV94" s="39"/>
      <c r="BW94" s="39"/>
      <c r="BX94" s="39"/>
      <c r="BY94" s="39"/>
      <c r="BZ94" s="39"/>
      <c r="CA94" s="39"/>
      <c r="CB94" s="39"/>
      <c r="CC94" s="39"/>
      <c r="CD94" s="39"/>
      <c r="CE94" s="39"/>
      <c r="CF94" s="39"/>
      <c r="CG94" s="39"/>
      <c r="CH94" s="39"/>
      <c r="CI94" s="39"/>
      <c r="CJ94" s="39"/>
      <c r="CK94" s="39"/>
      <c r="CL94" s="39"/>
      <c r="CM94" s="39"/>
      <c r="CN94" s="39"/>
      <c r="CO94" s="39"/>
      <c r="CP94" s="39"/>
      <c r="CQ94" s="39"/>
      <c r="CR94" s="39"/>
      <c r="CS94" s="39"/>
      <c r="CT94" s="39"/>
      <c r="CU94" s="39"/>
      <c r="CV94" s="39"/>
      <c r="CW94" s="39"/>
      <c r="CX94" s="39"/>
      <c r="CY94" s="39"/>
      <c r="CZ94" s="39"/>
      <c r="DA94" s="39"/>
      <c r="DB94" s="39"/>
      <c r="DC94" s="39"/>
      <c r="DD94" s="39"/>
      <c r="DE94" s="39"/>
      <c r="DF94" s="39"/>
      <c r="DG94" s="39"/>
      <c r="DH94" s="39"/>
      <c r="DI94" s="39"/>
      <c r="DJ94" s="39"/>
      <c r="DK94" s="39"/>
      <c r="DL94" s="39"/>
      <c r="DM94" s="39"/>
      <c r="DN94" s="39"/>
      <c r="DO94" s="39"/>
      <c r="DP94" s="39"/>
      <c r="DQ94" s="39"/>
      <c r="DR94" s="39"/>
      <c r="DS94" s="39"/>
      <c r="DT94" s="39"/>
      <c r="DU94" s="39"/>
      <c r="DV94" s="39"/>
      <c r="DW94" s="39"/>
      <c r="DX94" s="39"/>
      <c r="DY94" s="39"/>
      <c r="DZ94" s="39"/>
      <c r="EA94" s="39"/>
      <c r="EB94" s="39"/>
      <c r="EC94" s="39"/>
      <c r="ED94" s="39"/>
      <c r="EE94" s="39"/>
      <c r="EF94" s="39"/>
      <c r="EG94" s="39"/>
      <c r="EH94" s="39"/>
      <c r="EI94" s="39"/>
      <c r="EJ94" s="39"/>
      <c r="EK94" s="39"/>
      <c r="EL94" s="39"/>
      <c r="EM94" s="39"/>
      <c r="EN94" s="39"/>
      <c r="EO94" s="39"/>
      <c r="EP94" s="39"/>
      <c r="EQ94" s="39"/>
      <c r="ER94" s="39"/>
      <c r="ES94" s="39"/>
      <c r="ET94" s="39"/>
      <c r="EU94" s="39"/>
      <c r="EV94" s="39"/>
      <c r="EW94" s="39"/>
      <c r="EX94" s="39"/>
      <c r="EY94" s="39"/>
      <c r="EZ94" s="39"/>
      <c r="FA94" s="39"/>
      <c r="FB94" s="39"/>
      <c r="FC94" s="39"/>
      <c r="FD94" s="39"/>
      <c r="FE94" s="39"/>
      <c r="FF94" s="39"/>
      <c r="FG94" s="39"/>
      <c r="FH94" s="39"/>
      <c r="FI94" s="39"/>
      <c r="FJ94" s="39"/>
      <c r="FK94" s="39"/>
      <c r="FL94" s="39"/>
      <c r="FM94" s="39"/>
      <c r="FN94" s="39"/>
      <c r="FO94" s="39"/>
      <c r="FP94" s="39"/>
      <c r="FQ94" s="39"/>
      <c r="FR94" s="39"/>
      <c r="FS94" s="39"/>
      <c r="FT94" s="39"/>
      <c r="FU94" s="39"/>
      <c r="FV94" s="39"/>
      <c r="FW94" s="39"/>
      <c r="FX94" s="39"/>
      <c r="FY94" s="39"/>
      <c r="FZ94" s="39"/>
      <c r="GA94" s="39"/>
      <c r="GB94" s="39"/>
      <c r="GC94" s="39"/>
      <c r="GD94" s="39"/>
      <c r="GE94" s="39"/>
      <c r="GF94" s="39"/>
      <c r="GG94" s="39"/>
      <c r="GH94" s="39"/>
      <c r="GI94" s="39"/>
      <c r="GJ94" s="39"/>
      <c r="GK94" s="39"/>
    </row>
    <row r="95" spans="1:193" s="39" customFormat="1">
      <c r="A95" s="125" t="s">
        <v>71</v>
      </c>
      <c r="B95" s="125" t="s">
        <v>340</v>
      </c>
      <c r="C95" s="125" t="s">
        <v>251</v>
      </c>
      <c r="D95" s="125" t="s">
        <v>159</v>
      </c>
      <c r="E95" s="125" t="s">
        <v>73</v>
      </c>
      <c r="F95" s="128">
        <v>42327</v>
      </c>
      <c r="G95" s="125"/>
      <c r="H95" s="125"/>
      <c r="I95" s="129">
        <v>513.33000000000004</v>
      </c>
      <c r="J95" s="180">
        <v>653.33000000000004</v>
      </c>
      <c r="K95" s="129">
        <f t="shared" si="41"/>
        <v>1166.6600000000001</v>
      </c>
      <c r="L95" s="129">
        <v>3852.2</v>
      </c>
      <c r="M95" s="129"/>
      <c r="N95" s="129"/>
      <c r="O95" s="129"/>
      <c r="P95" s="115"/>
      <c r="Q95" s="116">
        <f t="shared" si="48"/>
        <v>5018.8599999999997</v>
      </c>
      <c r="R95" s="117"/>
      <c r="S95" s="165"/>
      <c r="T95" s="165">
        <v>0</v>
      </c>
      <c r="U95" s="165"/>
      <c r="V95" s="165"/>
      <c r="W95" s="165"/>
      <c r="X95" s="132">
        <v>537.87</v>
      </c>
      <c r="Y95" s="166"/>
      <c r="Z95" s="150"/>
      <c r="AA95" s="170">
        <v>499.12</v>
      </c>
      <c r="AB95" s="116">
        <f t="shared" si="49"/>
        <v>3981.87</v>
      </c>
      <c r="AC95" s="121">
        <f t="shared" si="50"/>
        <v>501.88599999999997</v>
      </c>
      <c r="AD95" s="116">
        <f t="shared" si="51"/>
        <v>3479.9839999999999</v>
      </c>
      <c r="AE95" s="122">
        <f t="shared" si="52"/>
        <v>0</v>
      </c>
      <c r="AF95" s="121">
        <v>10.23</v>
      </c>
      <c r="AG95" s="121">
        <f t="shared" si="53"/>
        <v>0</v>
      </c>
      <c r="AH95" s="123">
        <f t="shared" si="54"/>
        <v>5029.0899999999992</v>
      </c>
      <c r="AI95" s="237">
        <v>39.53</v>
      </c>
      <c r="AJ95" s="247">
        <v>3440.45</v>
      </c>
      <c r="AK95" s="246">
        <f t="shared" si="40"/>
        <v>-3.9999999999054126E-3</v>
      </c>
      <c r="AL95" s="125"/>
      <c r="AM95" s="125"/>
    </row>
    <row r="96" spans="1:193">
      <c r="A96" s="125" t="s">
        <v>70</v>
      </c>
      <c r="B96" s="111" t="s">
        <v>275</v>
      </c>
      <c r="C96" s="111" t="s">
        <v>252</v>
      </c>
      <c r="D96" s="111" t="s">
        <v>125</v>
      </c>
      <c r="E96" s="111" t="s">
        <v>302</v>
      </c>
      <c r="F96" s="111"/>
      <c r="G96" s="112"/>
      <c r="H96" s="112"/>
      <c r="I96" s="113">
        <v>1633.33</v>
      </c>
      <c r="J96" s="178"/>
      <c r="K96" s="113">
        <f t="shared" si="41"/>
        <v>1633.33</v>
      </c>
      <c r="L96" s="113">
        <v>1536.77</v>
      </c>
      <c r="M96" s="113"/>
      <c r="N96" s="114"/>
      <c r="O96" s="114"/>
      <c r="P96" s="115"/>
      <c r="Q96" s="116">
        <f t="shared" si="48"/>
        <v>3170.1</v>
      </c>
      <c r="R96" s="117"/>
      <c r="S96" s="118">
        <v>58.91</v>
      </c>
      <c r="T96" s="118">
        <v>0</v>
      </c>
      <c r="U96" s="118"/>
      <c r="V96" s="118"/>
      <c r="W96" s="118"/>
      <c r="X96" s="119"/>
      <c r="Y96" s="119"/>
      <c r="Z96" s="120"/>
      <c r="AA96" s="120">
        <v>0</v>
      </c>
      <c r="AB96" s="116">
        <f t="shared" si="49"/>
        <v>3111.19</v>
      </c>
      <c r="AC96" s="121">
        <f t="shared" si="50"/>
        <v>317.01</v>
      </c>
      <c r="AD96" s="116">
        <f t="shared" si="51"/>
        <v>2794.1800000000003</v>
      </c>
      <c r="AE96" s="122">
        <f t="shared" si="52"/>
        <v>317.01</v>
      </c>
      <c r="AF96" s="121">
        <v>10.23</v>
      </c>
      <c r="AG96" s="121">
        <f t="shared" si="53"/>
        <v>0</v>
      </c>
      <c r="AH96" s="123">
        <f t="shared" si="54"/>
        <v>3497.3399999999997</v>
      </c>
      <c r="AI96" s="248">
        <v>577.4</v>
      </c>
      <c r="AJ96" s="247">
        <v>2216.7800000000002</v>
      </c>
      <c r="AK96" s="246">
        <f t="shared" si="40"/>
        <v>0</v>
      </c>
      <c r="AL96" s="125"/>
      <c r="AM96" s="125"/>
      <c r="BB96" s="39"/>
      <c r="BC96" s="39"/>
      <c r="BD96" s="39"/>
      <c r="BE96" s="39"/>
      <c r="BF96" s="39"/>
      <c r="BG96" s="39"/>
      <c r="BH96" s="39"/>
      <c r="BI96" s="39"/>
      <c r="BJ96" s="39"/>
      <c r="BK96" s="39"/>
      <c r="BL96" s="39"/>
      <c r="BM96" s="39"/>
      <c r="BN96" s="39"/>
      <c r="BO96" s="39"/>
      <c r="BP96" s="39"/>
      <c r="BQ96" s="39"/>
      <c r="BR96" s="39"/>
      <c r="BS96" s="39"/>
      <c r="BT96" s="39"/>
      <c r="BU96" s="39"/>
      <c r="BV96" s="39"/>
      <c r="BW96" s="39"/>
      <c r="BX96" s="39"/>
      <c r="BY96" s="39"/>
      <c r="BZ96" s="39"/>
      <c r="CA96" s="39"/>
      <c r="CB96" s="39"/>
      <c r="CC96" s="39"/>
      <c r="CD96" s="39"/>
      <c r="CE96" s="39"/>
      <c r="CF96" s="39"/>
      <c r="CG96" s="39"/>
      <c r="CH96" s="39"/>
      <c r="CI96" s="39"/>
      <c r="CJ96" s="39"/>
      <c r="CK96" s="39"/>
      <c r="CL96" s="39"/>
      <c r="CM96" s="39"/>
      <c r="CN96" s="39"/>
      <c r="CO96" s="39"/>
      <c r="CP96" s="39"/>
      <c r="CQ96" s="39"/>
      <c r="CR96" s="39"/>
      <c r="CS96" s="39"/>
      <c r="CT96" s="39"/>
      <c r="CU96" s="39"/>
      <c r="CV96" s="39"/>
      <c r="CW96" s="39"/>
      <c r="CX96" s="39"/>
      <c r="CY96" s="39"/>
      <c r="CZ96" s="39"/>
      <c r="DA96" s="39"/>
      <c r="DB96" s="39"/>
      <c r="DC96" s="39"/>
      <c r="DD96" s="39"/>
      <c r="DE96" s="39"/>
      <c r="DF96" s="39"/>
      <c r="DG96" s="39"/>
      <c r="DH96" s="39"/>
      <c r="DI96" s="39"/>
      <c r="DJ96" s="39"/>
      <c r="DK96" s="39"/>
      <c r="DL96" s="39"/>
      <c r="DM96" s="39"/>
      <c r="DN96" s="39"/>
      <c r="DO96" s="39"/>
      <c r="DP96" s="39"/>
      <c r="DQ96" s="39"/>
      <c r="DR96" s="39"/>
      <c r="DS96" s="39"/>
      <c r="DT96" s="39"/>
      <c r="DU96" s="39"/>
      <c r="DV96" s="39"/>
      <c r="DW96" s="39"/>
      <c r="DX96" s="39"/>
      <c r="DY96" s="39"/>
      <c r="DZ96" s="39"/>
      <c r="EA96" s="39"/>
      <c r="EB96" s="39"/>
      <c r="EC96" s="39"/>
      <c r="ED96" s="39"/>
      <c r="EE96" s="39"/>
      <c r="EF96" s="39"/>
      <c r="EG96" s="39"/>
      <c r="EH96" s="39"/>
      <c r="EI96" s="39"/>
      <c r="EJ96" s="39"/>
      <c r="EK96" s="39"/>
      <c r="EL96" s="39"/>
      <c r="EM96" s="39"/>
      <c r="EN96" s="39"/>
      <c r="EO96" s="39"/>
      <c r="EP96" s="39"/>
      <c r="EQ96" s="39"/>
      <c r="ER96" s="39"/>
      <c r="ES96" s="39"/>
      <c r="ET96" s="39"/>
      <c r="EU96" s="39"/>
      <c r="EV96" s="39"/>
      <c r="EW96" s="39"/>
      <c r="EX96" s="39"/>
      <c r="EY96" s="39"/>
      <c r="EZ96" s="39"/>
      <c r="FA96" s="39"/>
      <c r="FB96" s="39"/>
      <c r="FC96" s="39"/>
      <c r="FD96" s="39"/>
      <c r="FE96" s="39"/>
      <c r="FF96" s="39"/>
      <c r="FG96" s="39"/>
      <c r="FH96" s="39"/>
      <c r="FI96" s="39"/>
      <c r="FJ96" s="39"/>
      <c r="FK96" s="39"/>
      <c r="FL96" s="39"/>
      <c r="FM96" s="39"/>
      <c r="FN96" s="39"/>
      <c r="FO96" s="39"/>
      <c r="FP96" s="39"/>
      <c r="FQ96" s="39"/>
      <c r="FR96" s="39"/>
      <c r="FS96" s="39"/>
      <c r="FT96" s="39"/>
      <c r="FU96" s="39"/>
      <c r="FV96" s="39"/>
      <c r="FW96" s="39"/>
      <c r="FX96" s="39"/>
      <c r="FY96" s="39"/>
      <c r="FZ96" s="39"/>
      <c r="GA96" s="39"/>
      <c r="GB96" s="39"/>
      <c r="GC96" s="39"/>
      <c r="GD96" s="39"/>
      <c r="GE96" s="39"/>
      <c r="GF96" s="39"/>
      <c r="GG96" s="39"/>
      <c r="GH96" s="39"/>
      <c r="GI96" s="39"/>
      <c r="GJ96" s="39"/>
      <c r="GK96" s="39"/>
    </row>
    <row r="97" spans="1:193">
      <c r="A97" s="125" t="s">
        <v>94</v>
      </c>
      <c r="B97" s="111" t="s">
        <v>346</v>
      </c>
      <c r="C97" s="111"/>
      <c r="D97" s="111" t="s">
        <v>143</v>
      </c>
      <c r="E97" s="111" t="s">
        <v>179</v>
      </c>
      <c r="F97" s="111"/>
      <c r="G97" s="112"/>
      <c r="H97" s="112"/>
      <c r="I97" s="113">
        <v>608.16</v>
      </c>
      <c r="J97" s="178"/>
      <c r="K97" s="113">
        <f t="shared" si="41"/>
        <v>608.16</v>
      </c>
      <c r="L97" s="113">
        <f>3391.86+13.09</f>
        <v>3404.9500000000003</v>
      </c>
      <c r="M97" s="113"/>
      <c r="N97" s="114"/>
      <c r="O97" s="114"/>
      <c r="P97" s="115"/>
      <c r="Q97" s="116">
        <f t="shared" si="48"/>
        <v>4013.11</v>
      </c>
      <c r="R97" s="117"/>
      <c r="S97" s="118"/>
      <c r="T97" s="127">
        <v>200</v>
      </c>
      <c r="U97" s="127">
        <f>Q97*4.9%</f>
        <v>196.64239000000001</v>
      </c>
      <c r="V97" s="127">
        <f>Q97*1%</f>
        <v>40.131100000000004</v>
      </c>
      <c r="W97" s="118"/>
      <c r="X97" s="119"/>
      <c r="Y97" s="119"/>
      <c r="Z97" s="120"/>
      <c r="AA97" s="120">
        <v>0</v>
      </c>
      <c r="AB97" s="116">
        <f t="shared" si="49"/>
        <v>3576.3365100000001</v>
      </c>
      <c r="AC97" s="121">
        <f t="shared" si="50"/>
        <v>401.31100000000004</v>
      </c>
      <c r="AD97" s="116">
        <f t="shared" si="51"/>
        <v>3175.0255099999999</v>
      </c>
      <c r="AE97" s="122">
        <f t="shared" si="52"/>
        <v>0</v>
      </c>
      <c r="AF97" s="121">
        <v>10.23</v>
      </c>
      <c r="AG97" s="121">
        <f t="shared" si="53"/>
        <v>196.64239000000001</v>
      </c>
      <c r="AH97" s="123">
        <f t="shared" si="54"/>
        <v>4219.9823900000001</v>
      </c>
      <c r="AI97" s="248">
        <v>577.4</v>
      </c>
      <c r="AJ97" s="247">
        <v>2597.63</v>
      </c>
      <c r="AK97" s="246">
        <f t="shared" si="40"/>
        <v>4.4900000002598972E-3</v>
      </c>
      <c r="AL97" s="125"/>
      <c r="AM97" s="125"/>
      <c r="BB97" s="39"/>
      <c r="BC97" s="39"/>
      <c r="BD97" s="39"/>
      <c r="BE97" s="39"/>
      <c r="BF97" s="39"/>
      <c r="BG97" s="39"/>
      <c r="BH97" s="39"/>
      <c r="BI97" s="39"/>
      <c r="BJ97" s="39"/>
      <c r="BK97" s="39"/>
      <c r="BL97" s="39"/>
      <c r="BM97" s="39"/>
      <c r="BN97" s="39"/>
      <c r="BO97" s="39"/>
      <c r="BP97" s="39"/>
      <c r="BQ97" s="39"/>
      <c r="BR97" s="39"/>
      <c r="BS97" s="39"/>
      <c r="BT97" s="39"/>
      <c r="BU97" s="39"/>
      <c r="BV97" s="39"/>
      <c r="BW97" s="39"/>
      <c r="BX97" s="39"/>
      <c r="BY97" s="39"/>
      <c r="BZ97" s="39"/>
      <c r="CA97" s="39"/>
      <c r="CB97" s="39"/>
      <c r="CC97" s="39"/>
      <c r="CD97" s="39"/>
      <c r="CE97" s="39"/>
      <c r="CF97" s="39"/>
      <c r="CG97" s="39"/>
      <c r="CH97" s="39"/>
      <c r="CI97" s="39"/>
      <c r="CJ97" s="39"/>
      <c r="CK97" s="39"/>
      <c r="CL97" s="39"/>
      <c r="CM97" s="39"/>
      <c r="CN97" s="39"/>
      <c r="CO97" s="39"/>
      <c r="CP97" s="39"/>
      <c r="CQ97" s="39"/>
      <c r="CR97" s="39"/>
      <c r="CS97" s="39"/>
      <c r="CT97" s="39"/>
      <c r="CU97" s="39"/>
      <c r="CV97" s="39"/>
      <c r="CW97" s="39"/>
      <c r="CX97" s="39"/>
      <c r="CY97" s="39"/>
      <c r="CZ97" s="39"/>
      <c r="DA97" s="39"/>
      <c r="DB97" s="39"/>
      <c r="DC97" s="39"/>
      <c r="DD97" s="39"/>
      <c r="DE97" s="39"/>
      <c r="DF97" s="39"/>
      <c r="DG97" s="39"/>
      <c r="DH97" s="39"/>
      <c r="DI97" s="39"/>
      <c r="DJ97" s="39"/>
      <c r="DK97" s="39"/>
      <c r="DL97" s="39"/>
      <c r="DM97" s="39"/>
      <c r="DN97" s="39"/>
      <c r="DO97" s="39"/>
      <c r="DP97" s="39"/>
      <c r="DQ97" s="39"/>
      <c r="DR97" s="39"/>
      <c r="DS97" s="39"/>
      <c r="DT97" s="39"/>
      <c r="DU97" s="39"/>
      <c r="DV97" s="39"/>
      <c r="DW97" s="39"/>
      <c r="DX97" s="39"/>
      <c r="DY97" s="39"/>
      <c r="DZ97" s="39"/>
      <c r="EA97" s="39"/>
      <c r="EB97" s="39"/>
      <c r="EC97" s="39"/>
      <c r="ED97" s="39"/>
      <c r="EE97" s="39"/>
      <c r="EF97" s="39"/>
      <c r="EG97" s="39"/>
      <c r="EH97" s="39"/>
      <c r="EI97" s="39"/>
      <c r="EJ97" s="39"/>
      <c r="EK97" s="39"/>
      <c r="EL97" s="39"/>
      <c r="EM97" s="39"/>
      <c r="EN97" s="39"/>
      <c r="EO97" s="39"/>
      <c r="EP97" s="39"/>
      <c r="EQ97" s="39"/>
      <c r="ER97" s="39"/>
      <c r="ES97" s="39"/>
      <c r="ET97" s="39"/>
      <c r="EU97" s="39"/>
      <c r="EV97" s="39"/>
      <c r="EW97" s="39"/>
      <c r="EX97" s="39"/>
      <c r="EY97" s="39"/>
      <c r="EZ97" s="39"/>
      <c r="FA97" s="39"/>
      <c r="FB97" s="39"/>
      <c r="FC97" s="39"/>
      <c r="FD97" s="39"/>
      <c r="FE97" s="39"/>
      <c r="FF97" s="39"/>
      <c r="FG97" s="39"/>
      <c r="FH97" s="39"/>
      <c r="FI97" s="39"/>
      <c r="FJ97" s="39"/>
      <c r="FK97" s="39"/>
      <c r="FL97" s="39"/>
      <c r="FM97" s="39"/>
      <c r="FN97" s="39"/>
      <c r="FO97" s="39"/>
      <c r="FP97" s="39"/>
      <c r="FQ97" s="39"/>
      <c r="FR97" s="39"/>
      <c r="FS97" s="39"/>
      <c r="FT97" s="39"/>
      <c r="FU97" s="39"/>
      <c r="FV97" s="39"/>
      <c r="FW97" s="39"/>
      <c r="FX97" s="39"/>
      <c r="FY97" s="39"/>
      <c r="FZ97" s="39"/>
      <c r="GA97" s="39"/>
      <c r="GB97" s="39"/>
      <c r="GC97" s="39"/>
      <c r="GD97" s="39"/>
      <c r="GE97" s="39"/>
      <c r="GF97" s="39"/>
      <c r="GG97" s="39"/>
      <c r="GH97" s="39"/>
      <c r="GI97" s="39"/>
      <c r="GJ97" s="39"/>
      <c r="GK97" s="39"/>
    </row>
    <row r="98" spans="1:193" s="39" customFormat="1">
      <c r="A98" s="125" t="s">
        <v>71</v>
      </c>
      <c r="B98" s="125" t="s">
        <v>306</v>
      </c>
      <c r="C98" s="125" t="s">
        <v>254</v>
      </c>
      <c r="D98" s="125" t="s">
        <v>160</v>
      </c>
      <c r="E98" s="125" t="s">
        <v>73</v>
      </c>
      <c r="F98" s="128">
        <v>42333</v>
      </c>
      <c r="G98" s="125"/>
      <c r="H98" s="125"/>
      <c r="I98" s="129">
        <v>513.33000000000004</v>
      </c>
      <c r="J98" s="180">
        <v>653.33000000000004</v>
      </c>
      <c r="K98" s="129">
        <f t="shared" si="41"/>
        <v>1166.6600000000001</v>
      </c>
      <c r="L98" s="129"/>
      <c r="M98" s="129"/>
      <c r="N98" s="129"/>
      <c r="O98" s="129"/>
      <c r="P98" s="115"/>
      <c r="Q98" s="116">
        <f t="shared" si="48"/>
        <v>1166.6600000000001</v>
      </c>
      <c r="R98" s="117"/>
      <c r="S98" s="165"/>
      <c r="T98" s="165">
        <v>0</v>
      </c>
      <c r="U98" s="165"/>
      <c r="V98" s="165"/>
      <c r="W98" s="165"/>
      <c r="X98" s="166"/>
      <c r="Y98" s="166"/>
      <c r="Z98" s="150"/>
      <c r="AA98" s="150">
        <v>0</v>
      </c>
      <c r="AB98" s="116">
        <f t="shared" si="49"/>
        <v>1166.6600000000001</v>
      </c>
      <c r="AC98" s="121">
        <f t="shared" si="50"/>
        <v>0</v>
      </c>
      <c r="AD98" s="116">
        <f t="shared" si="51"/>
        <v>1166.6600000000001</v>
      </c>
      <c r="AE98" s="122">
        <f t="shared" si="52"/>
        <v>116.66600000000001</v>
      </c>
      <c r="AF98" s="121">
        <v>10.23</v>
      </c>
      <c r="AG98" s="121">
        <f t="shared" si="53"/>
        <v>0</v>
      </c>
      <c r="AH98" s="123">
        <f t="shared" si="54"/>
        <v>1293.556</v>
      </c>
      <c r="AI98" s="237">
        <v>577.4</v>
      </c>
      <c r="AJ98" s="237">
        <v>589.26</v>
      </c>
      <c r="AK98" s="246">
        <f t="shared" si="40"/>
        <v>0</v>
      </c>
      <c r="AL98" s="125"/>
      <c r="AM98" s="125"/>
    </row>
    <row r="99" spans="1:193" s="39" customFormat="1">
      <c r="A99" s="125" t="s">
        <v>91</v>
      </c>
      <c r="B99" s="111" t="s">
        <v>80</v>
      </c>
      <c r="C99" s="111"/>
      <c r="D99" s="111" t="s">
        <v>110</v>
      </c>
      <c r="E99" s="111" t="s">
        <v>168</v>
      </c>
      <c r="F99" s="111"/>
      <c r="G99" s="111"/>
      <c r="H99" s="111"/>
      <c r="I99" s="113">
        <v>1100</v>
      </c>
      <c r="J99" s="181"/>
      <c r="K99" s="113">
        <f t="shared" si="41"/>
        <v>1100</v>
      </c>
      <c r="L99" s="113"/>
      <c r="M99" s="113"/>
      <c r="N99" s="113"/>
      <c r="O99" s="113"/>
      <c r="P99" s="115"/>
      <c r="Q99" s="116">
        <f t="shared" si="48"/>
        <v>1100</v>
      </c>
      <c r="R99" s="117"/>
      <c r="S99" s="118"/>
      <c r="T99" s="118">
        <v>0</v>
      </c>
      <c r="U99" s="118"/>
      <c r="V99" s="118"/>
      <c r="W99" s="118"/>
      <c r="X99" s="119"/>
      <c r="Y99" s="119"/>
      <c r="Z99" s="120"/>
      <c r="AA99" s="120">
        <v>0</v>
      </c>
      <c r="AB99" s="116">
        <f t="shared" si="49"/>
        <v>1100</v>
      </c>
      <c r="AC99" s="121">
        <f t="shared" si="50"/>
        <v>0</v>
      </c>
      <c r="AD99" s="116">
        <f t="shared" si="51"/>
        <v>1100</v>
      </c>
      <c r="AE99" s="122">
        <f t="shared" si="52"/>
        <v>110</v>
      </c>
      <c r="AF99" s="121">
        <v>10.23</v>
      </c>
      <c r="AG99" s="121">
        <f t="shared" si="53"/>
        <v>0</v>
      </c>
      <c r="AH99" s="123">
        <f t="shared" si="54"/>
        <v>1220.23</v>
      </c>
      <c r="AI99" s="237">
        <v>577.4</v>
      </c>
      <c r="AJ99" s="237">
        <v>522.6</v>
      </c>
      <c r="AK99" s="246">
        <f t="shared" si="40"/>
        <v>0</v>
      </c>
      <c r="AL99" s="125"/>
      <c r="AM99" s="125"/>
    </row>
    <row r="100" spans="1:193">
      <c r="A100" s="125" t="s">
        <v>92</v>
      </c>
      <c r="B100" s="111" t="s">
        <v>210</v>
      </c>
      <c r="C100" s="111"/>
      <c r="D100" s="111" t="s">
        <v>109</v>
      </c>
      <c r="E100" s="111" t="s">
        <v>166</v>
      </c>
      <c r="F100" s="111"/>
      <c r="G100" s="111"/>
      <c r="H100" s="111"/>
      <c r="I100" s="113">
        <v>739.23</v>
      </c>
      <c r="J100" s="181"/>
      <c r="K100" s="113">
        <f t="shared" si="41"/>
        <v>739.23</v>
      </c>
      <c r="L100" s="113">
        <f>3697+13.09</f>
        <v>3710.09</v>
      </c>
      <c r="M100" s="113"/>
      <c r="N100" s="113"/>
      <c r="O100" s="113"/>
      <c r="P100" s="115"/>
      <c r="Q100" s="116">
        <f t="shared" si="48"/>
        <v>4449.32</v>
      </c>
      <c r="R100" s="117"/>
      <c r="S100" s="118"/>
      <c r="T100" s="165"/>
      <c r="U100" s="118"/>
      <c r="V100" s="118"/>
      <c r="W100" s="118"/>
      <c r="X100" s="119"/>
      <c r="Y100" s="119"/>
      <c r="Z100" s="120"/>
      <c r="AA100" s="120">
        <v>0</v>
      </c>
      <c r="AB100" s="116">
        <f t="shared" si="49"/>
        <v>4449.32</v>
      </c>
      <c r="AC100" s="121">
        <f t="shared" si="50"/>
        <v>444.93200000000002</v>
      </c>
      <c r="AD100" s="116">
        <f t="shared" si="51"/>
        <v>4004.3879999999999</v>
      </c>
      <c r="AE100" s="122">
        <f t="shared" si="52"/>
        <v>0</v>
      </c>
      <c r="AF100" s="121">
        <v>10.23</v>
      </c>
      <c r="AG100" s="121">
        <f t="shared" si="53"/>
        <v>0</v>
      </c>
      <c r="AH100" s="123">
        <f t="shared" si="54"/>
        <v>4459.5499999999993</v>
      </c>
      <c r="AI100" s="237">
        <v>577.4</v>
      </c>
      <c r="AJ100" s="247">
        <v>3426.99</v>
      </c>
      <c r="AK100" s="246">
        <f t="shared" si="40"/>
        <v>1.9999999999527063E-3</v>
      </c>
      <c r="AL100" s="125"/>
      <c r="AM100" s="125"/>
      <c r="BB100" s="39"/>
      <c r="BC100" s="39"/>
      <c r="BD100" s="39"/>
      <c r="BE100" s="39"/>
      <c r="BF100" s="39"/>
      <c r="BG100" s="39"/>
      <c r="BH100" s="39"/>
      <c r="BI100" s="39"/>
      <c r="BJ100" s="39"/>
      <c r="BK100" s="39"/>
      <c r="BL100" s="39"/>
      <c r="BM100" s="39"/>
      <c r="BN100" s="39"/>
      <c r="BO100" s="39"/>
      <c r="BP100" s="39"/>
      <c r="BQ100" s="39"/>
      <c r="BR100" s="39"/>
      <c r="BS100" s="39"/>
      <c r="BT100" s="39"/>
      <c r="BU100" s="39"/>
      <c r="BV100" s="39"/>
      <c r="BW100" s="39"/>
      <c r="BX100" s="39"/>
      <c r="BY100" s="39"/>
      <c r="BZ100" s="39"/>
      <c r="CA100" s="39"/>
      <c r="CB100" s="39"/>
      <c r="CC100" s="39"/>
      <c r="CD100" s="39"/>
      <c r="CE100" s="39"/>
      <c r="CF100" s="39"/>
      <c r="CG100" s="39"/>
      <c r="CH100" s="39"/>
      <c r="CI100" s="39"/>
      <c r="CJ100" s="39"/>
      <c r="CK100" s="39"/>
      <c r="CL100" s="39"/>
      <c r="CM100" s="39"/>
      <c r="CN100" s="39"/>
      <c r="CO100" s="39"/>
      <c r="CP100" s="39"/>
      <c r="CQ100" s="39"/>
      <c r="CR100" s="39"/>
      <c r="CS100" s="39"/>
      <c r="CT100" s="39"/>
      <c r="CU100" s="39"/>
      <c r="CV100" s="39"/>
      <c r="CW100" s="39"/>
      <c r="CX100" s="39"/>
      <c r="CY100" s="39"/>
      <c r="CZ100" s="39"/>
      <c r="DA100" s="39"/>
      <c r="DB100" s="39"/>
      <c r="DC100" s="39"/>
      <c r="DD100" s="39"/>
      <c r="DE100" s="39"/>
      <c r="DF100" s="39"/>
      <c r="DG100" s="39"/>
      <c r="DH100" s="39"/>
      <c r="DI100" s="39"/>
      <c r="DJ100" s="39"/>
      <c r="DK100" s="39"/>
      <c r="DL100" s="39"/>
      <c r="DM100" s="39"/>
      <c r="DN100" s="39"/>
      <c r="DO100" s="39"/>
      <c r="DP100" s="39"/>
      <c r="DQ100" s="39"/>
      <c r="DR100" s="39"/>
      <c r="DS100" s="39"/>
      <c r="DT100" s="39"/>
      <c r="DU100" s="39"/>
      <c r="DV100" s="39"/>
      <c r="DW100" s="39"/>
      <c r="DX100" s="39"/>
      <c r="DY100" s="39"/>
      <c r="DZ100" s="39"/>
      <c r="EA100" s="39"/>
      <c r="EB100" s="39"/>
      <c r="EC100" s="39"/>
      <c r="ED100" s="39"/>
      <c r="EE100" s="39"/>
      <c r="EF100" s="39"/>
      <c r="EG100" s="39"/>
      <c r="EH100" s="39"/>
      <c r="EI100" s="39"/>
      <c r="EJ100" s="39"/>
      <c r="EK100" s="39"/>
      <c r="EL100" s="39"/>
      <c r="EM100" s="39"/>
      <c r="EN100" s="39"/>
      <c r="EO100" s="39"/>
      <c r="EP100" s="39"/>
      <c r="EQ100" s="39"/>
      <c r="ER100" s="39"/>
      <c r="ES100" s="39"/>
      <c r="ET100" s="39"/>
      <c r="EU100" s="39"/>
      <c r="EV100" s="39"/>
      <c r="EW100" s="39"/>
      <c r="EX100" s="39"/>
      <c r="EY100" s="39"/>
      <c r="EZ100" s="39"/>
      <c r="FA100" s="39"/>
      <c r="FB100" s="39"/>
      <c r="FC100" s="39"/>
      <c r="FD100" s="39"/>
      <c r="FE100" s="39"/>
      <c r="FF100" s="39"/>
      <c r="FG100" s="39"/>
      <c r="FH100" s="39"/>
      <c r="FI100" s="39"/>
      <c r="FJ100" s="39"/>
      <c r="FK100" s="39"/>
      <c r="FL100" s="39"/>
      <c r="FM100" s="39"/>
      <c r="FN100" s="39"/>
      <c r="FO100" s="39"/>
      <c r="FP100" s="39"/>
      <c r="FQ100" s="39"/>
      <c r="FR100" s="39"/>
      <c r="FS100" s="39"/>
      <c r="FT100" s="39"/>
      <c r="FU100" s="39"/>
      <c r="FV100" s="39"/>
      <c r="FW100" s="39"/>
      <c r="FX100" s="39"/>
      <c r="FY100" s="39"/>
      <c r="FZ100" s="39"/>
      <c r="GA100" s="39"/>
      <c r="GB100" s="39"/>
      <c r="GC100" s="39"/>
      <c r="GD100" s="39"/>
      <c r="GE100" s="39"/>
      <c r="GF100" s="39"/>
      <c r="GG100" s="39"/>
      <c r="GH100" s="39"/>
      <c r="GI100" s="39"/>
      <c r="GJ100" s="39"/>
      <c r="GK100" s="39"/>
    </row>
    <row r="101" spans="1:193">
      <c r="A101" s="130"/>
      <c r="B101" s="111"/>
      <c r="C101" s="111"/>
      <c r="D101" s="112"/>
      <c r="E101" s="111"/>
      <c r="F101" s="111"/>
      <c r="G101" s="111"/>
      <c r="H101" s="111"/>
      <c r="I101" s="113"/>
      <c r="J101" s="181"/>
      <c r="K101" s="113"/>
      <c r="L101" s="113"/>
      <c r="M101" s="113"/>
      <c r="N101" s="113"/>
      <c r="O101" s="113"/>
      <c r="P101" s="115"/>
      <c r="Q101" s="116">
        <f t="shared" si="48"/>
        <v>0</v>
      </c>
      <c r="R101" s="117"/>
      <c r="S101" s="118"/>
      <c r="T101" s="118"/>
      <c r="U101" s="118"/>
      <c r="V101" s="118"/>
      <c r="W101" s="118"/>
      <c r="X101" s="119"/>
      <c r="Y101" s="119"/>
      <c r="Z101" s="119"/>
      <c r="AA101" s="119"/>
      <c r="AB101" s="116"/>
      <c r="AC101" s="121">
        <f t="shared" si="50"/>
        <v>0</v>
      </c>
      <c r="AD101" s="116"/>
      <c r="AE101" s="122">
        <f t="shared" si="52"/>
        <v>0</v>
      </c>
      <c r="AF101" s="121"/>
      <c r="AG101" s="121">
        <f t="shared" si="53"/>
        <v>0</v>
      </c>
      <c r="AH101" s="123">
        <f t="shared" si="54"/>
        <v>0</v>
      </c>
      <c r="AI101" s="246"/>
      <c r="AJ101" s="246"/>
      <c r="AK101" s="246">
        <f t="shared" si="40"/>
        <v>0</v>
      </c>
      <c r="AL101" s="125"/>
      <c r="AM101" s="125"/>
      <c r="BB101" s="39"/>
      <c r="BC101" s="39"/>
      <c r="BD101" s="39"/>
      <c r="BE101" s="39"/>
      <c r="BF101" s="39"/>
      <c r="BG101" s="39"/>
      <c r="BH101" s="39"/>
      <c r="BI101" s="39"/>
      <c r="BJ101" s="39"/>
      <c r="BK101" s="39"/>
      <c r="BL101" s="39"/>
      <c r="BM101" s="39"/>
      <c r="BN101" s="39"/>
      <c r="BO101" s="39"/>
      <c r="BP101" s="39"/>
      <c r="BQ101" s="39"/>
      <c r="BR101" s="39"/>
      <c r="BS101" s="39"/>
      <c r="BT101" s="39"/>
      <c r="BU101" s="39"/>
      <c r="BV101" s="39"/>
      <c r="BW101" s="39"/>
      <c r="BX101" s="39"/>
      <c r="BY101" s="39"/>
      <c r="BZ101" s="39"/>
      <c r="CA101" s="39"/>
      <c r="CB101" s="39"/>
      <c r="CC101" s="39"/>
      <c r="CD101" s="39"/>
      <c r="CE101" s="39"/>
      <c r="CF101" s="39"/>
      <c r="CG101" s="39"/>
      <c r="CH101" s="39"/>
      <c r="CI101" s="39"/>
      <c r="CJ101" s="39"/>
      <c r="CK101" s="39"/>
      <c r="CL101" s="39"/>
      <c r="CM101" s="39"/>
      <c r="CN101" s="39"/>
      <c r="CO101" s="39"/>
      <c r="CP101" s="39"/>
      <c r="CQ101" s="39"/>
      <c r="CR101" s="39"/>
      <c r="CS101" s="39"/>
      <c r="CT101" s="39"/>
      <c r="CU101" s="39"/>
      <c r="CV101" s="39"/>
      <c r="CW101" s="39"/>
      <c r="CX101" s="39"/>
      <c r="CY101" s="39"/>
      <c r="CZ101" s="39"/>
      <c r="DA101" s="39"/>
      <c r="DB101" s="39"/>
      <c r="DC101" s="39"/>
      <c r="DD101" s="39"/>
      <c r="DE101" s="39"/>
      <c r="DF101" s="39"/>
      <c r="DG101" s="39"/>
      <c r="DH101" s="39"/>
      <c r="DI101" s="39"/>
      <c r="DJ101" s="39"/>
      <c r="DK101" s="39"/>
      <c r="DL101" s="39"/>
      <c r="DM101" s="39"/>
      <c r="DN101" s="39"/>
      <c r="DO101" s="39"/>
      <c r="DP101" s="39"/>
      <c r="DQ101" s="39"/>
      <c r="DR101" s="39"/>
      <c r="DS101" s="39"/>
      <c r="DT101" s="39"/>
      <c r="DU101" s="39"/>
      <c r="DV101" s="39"/>
      <c r="DW101" s="39"/>
      <c r="DX101" s="39"/>
      <c r="DY101" s="39"/>
      <c r="DZ101" s="39"/>
      <c r="EA101" s="39"/>
      <c r="EB101" s="39"/>
      <c r="EC101" s="39"/>
      <c r="ED101" s="39"/>
      <c r="EE101" s="39"/>
      <c r="EF101" s="39"/>
      <c r="EG101" s="39"/>
      <c r="EH101" s="39"/>
      <c r="EI101" s="39"/>
      <c r="EJ101" s="39"/>
      <c r="EK101" s="39"/>
      <c r="EL101" s="39"/>
      <c r="EM101" s="39"/>
      <c r="EN101" s="39"/>
      <c r="EO101" s="39"/>
      <c r="EP101" s="39"/>
      <c r="EQ101" s="39"/>
      <c r="ER101" s="39"/>
      <c r="ES101" s="39"/>
      <c r="ET101" s="39"/>
      <c r="EU101" s="39"/>
      <c r="EV101" s="39"/>
      <c r="EW101" s="39"/>
      <c r="EX101" s="39"/>
      <c r="EY101" s="39"/>
      <c r="EZ101" s="39"/>
      <c r="FA101" s="39"/>
      <c r="FB101" s="39"/>
      <c r="FC101" s="39"/>
      <c r="FD101" s="39"/>
      <c r="FE101" s="39"/>
      <c r="FF101" s="39"/>
      <c r="FG101" s="39"/>
      <c r="FH101" s="39"/>
      <c r="FI101" s="39"/>
      <c r="FJ101" s="39"/>
      <c r="FK101" s="39"/>
      <c r="FL101" s="39"/>
      <c r="FM101" s="39"/>
      <c r="FN101" s="39"/>
      <c r="FO101" s="39"/>
      <c r="FP101" s="39"/>
      <c r="FQ101" s="39"/>
      <c r="FR101" s="39"/>
      <c r="FS101" s="39"/>
      <c r="FT101" s="39"/>
      <c r="FU101" s="39"/>
      <c r="FV101" s="39"/>
      <c r="FW101" s="39"/>
      <c r="FX101" s="39"/>
      <c r="FY101" s="39"/>
      <c r="FZ101" s="39"/>
      <c r="GA101" s="39"/>
      <c r="GB101" s="39"/>
      <c r="GC101" s="39"/>
      <c r="GD101" s="39"/>
      <c r="GE101" s="39"/>
      <c r="GF101" s="39"/>
      <c r="GG101" s="39"/>
      <c r="GH101" s="39"/>
      <c r="GI101" s="39"/>
      <c r="GJ101" s="39"/>
      <c r="GK101" s="39"/>
    </row>
    <row r="102" spans="1:193" s="39" customFormat="1">
      <c r="A102" s="107"/>
      <c r="B102" s="108"/>
      <c r="C102" s="108"/>
      <c r="D102" s="108"/>
      <c r="E102" s="108"/>
      <c r="F102" s="108"/>
      <c r="G102" s="108"/>
      <c r="H102" s="108"/>
      <c r="I102" s="109"/>
      <c r="J102" s="184"/>
      <c r="K102" s="109"/>
      <c r="L102" s="109"/>
      <c r="M102" s="109"/>
      <c r="N102" s="109"/>
      <c r="O102" s="109"/>
      <c r="P102" s="109"/>
      <c r="Q102" s="110"/>
      <c r="R102" s="109"/>
      <c r="S102" s="109"/>
      <c r="T102" s="109"/>
      <c r="U102" s="109"/>
      <c r="V102" s="109"/>
      <c r="W102" s="109"/>
      <c r="X102" s="140"/>
      <c r="Y102" s="140"/>
      <c r="Z102" s="140"/>
      <c r="AA102" s="140"/>
      <c r="AB102" s="110"/>
      <c r="AC102" s="140"/>
      <c r="AD102" s="110"/>
      <c r="AE102" s="140"/>
      <c r="AF102" s="140"/>
      <c r="AG102" s="140"/>
      <c r="AH102" s="110"/>
      <c r="AI102" s="161"/>
      <c r="AJ102" s="161"/>
      <c r="AK102" s="101"/>
    </row>
    <row r="103" spans="1:193">
      <c r="B103" s="141" t="s">
        <v>17</v>
      </c>
      <c r="C103" s="141"/>
      <c r="D103" s="141"/>
      <c r="E103" s="141"/>
      <c r="F103" s="141"/>
      <c r="G103" s="141"/>
      <c r="H103" s="141"/>
      <c r="I103" s="113"/>
      <c r="J103" s="185"/>
      <c r="K103" s="142">
        <f>SUM(K7:K102)</f>
        <v>84251.290000000081</v>
      </c>
      <c r="L103" s="142">
        <f>SUM(L7:L102)</f>
        <v>170153.84999999998</v>
      </c>
      <c r="M103" s="142"/>
      <c r="N103" s="142">
        <f>SUM(N7:N102)</f>
        <v>938.26</v>
      </c>
      <c r="O103" s="142">
        <f>SUM(O7:O102)</f>
        <v>3753.04</v>
      </c>
      <c r="P103" s="142">
        <f>SUM(P7:P102)</f>
        <v>0</v>
      </c>
      <c r="Q103" s="142">
        <f>SUM(Q7:Q102)</f>
        <v>259096.44000000009</v>
      </c>
      <c r="R103" s="142">
        <f>SUM(R7:R102)</f>
        <v>0</v>
      </c>
      <c r="S103" s="142"/>
      <c r="T103" s="143">
        <f t="shared" ref="T103:AK103" si="55">SUM(T7:T102)</f>
        <v>4530.2289999999994</v>
      </c>
      <c r="U103" s="143">
        <f t="shared" si="55"/>
        <v>2504.9064600000002</v>
      </c>
      <c r="V103" s="143">
        <f t="shared" si="55"/>
        <v>519.74009999999998</v>
      </c>
      <c r="W103" s="143">
        <f t="shared" si="55"/>
        <v>879.38</v>
      </c>
      <c r="X103" s="142">
        <f t="shared" si="55"/>
        <v>2566.11</v>
      </c>
      <c r="Y103" s="142">
        <f t="shared" si="55"/>
        <v>335.5</v>
      </c>
      <c r="Z103" s="142">
        <f t="shared" si="55"/>
        <v>406.94</v>
      </c>
      <c r="AA103" s="142">
        <f t="shared" si="55"/>
        <v>7240.47</v>
      </c>
      <c r="AB103" s="142">
        <f t="shared" si="55"/>
        <v>239465.15444000013</v>
      </c>
      <c r="AC103" s="142">
        <f t="shared" si="55"/>
        <v>19723.508000000002</v>
      </c>
      <c r="AD103" s="142">
        <f t="shared" si="55"/>
        <v>219741.64644000004</v>
      </c>
      <c r="AE103" s="142">
        <f t="shared" si="55"/>
        <v>10584.161000000002</v>
      </c>
      <c r="AF103" s="142">
        <f t="shared" si="55"/>
        <v>941.16000000000111</v>
      </c>
      <c r="AG103" s="142">
        <f t="shared" si="55"/>
        <v>2504.9064600000002</v>
      </c>
      <c r="AH103" s="142">
        <f t="shared" si="55"/>
        <v>273126.66745999991</v>
      </c>
      <c r="AI103" s="162">
        <f t="shared" si="55"/>
        <v>46111.130000000056</v>
      </c>
      <c r="AJ103" s="162">
        <f t="shared" si="55"/>
        <v>172318.43000000005</v>
      </c>
      <c r="AK103" s="144">
        <f t="shared" si="55"/>
        <v>21.173559999996542</v>
      </c>
      <c r="AL103" s="111"/>
      <c r="AM103" s="111"/>
      <c r="BB103" s="39"/>
      <c r="BC103" s="39"/>
      <c r="BD103" s="39"/>
      <c r="BE103" s="39"/>
      <c r="BF103" s="39"/>
      <c r="BG103" s="39"/>
      <c r="BH103" s="39"/>
      <c r="BI103" s="39"/>
      <c r="BJ103" s="39"/>
      <c r="BK103" s="39"/>
      <c r="BL103" s="39"/>
      <c r="BM103" s="39"/>
      <c r="BN103" s="39"/>
      <c r="BO103" s="39"/>
      <c r="BP103" s="39"/>
      <c r="BQ103" s="39"/>
      <c r="BR103" s="39"/>
      <c r="BS103" s="39"/>
      <c r="BT103" s="39"/>
      <c r="BU103" s="39"/>
      <c r="BV103" s="39"/>
      <c r="BW103" s="39"/>
      <c r="BX103" s="39"/>
      <c r="BY103" s="39"/>
      <c r="BZ103" s="39"/>
      <c r="CA103" s="39"/>
      <c r="CB103" s="39"/>
      <c r="CC103" s="39"/>
      <c r="CD103" s="39"/>
      <c r="CE103" s="39"/>
      <c r="CF103" s="39"/>
      <c r="CG103" s="39"/>
      <c r="CH103" s="39"/>
      <c r="CI103" s="39"/>
      <c r="CJ103" s="39"/>
      <c r="CK103" s="39"/>
      <c r="CL103" s="39"/>
      <c r="CM103" s="39"/>
      <c r="CN103" s="39"/>
      <c r="CO103" s="39"/>
      <c r="CP103" s="39"/>
      <c r="CQ103" s="39"/>
      <c r="CR103" s="39"/>
      <c r="CS103" s="39"/>
      <c r="CT103" s="39"/>
      <c r="CU103" s="39"/>
      <c r="CV103" s="39"/>
      <c r="CW103" s="39"/>
      <c r="CX103" s="39"/>
      <c r="CY103" s="39"/>
      <c r="CZ103" s="39"/>
      <c r="DA103" s="39"/>
      <c r="DB103" s="39"/>
      <c r="DC103" s="39"/>
      <c r="DD103" s="39"/>
      <c r="DE103" s="39"/>
      <c r="DF103" s="39"/>
      <c r="DG103" s="39"/>
      <c r="DH103" s="39"/>
      <c r="DI103" s="39"/>
      <c r="DJ103" s="39"/>
      <c r="DK103" s="39"/>
      <c r="DL103" s="39"/>
      <c r="DM103" s="39"/>
      <c r="DN103" s="39"/>
      <c r="DO103" s="39"/>
      <c r="DP103" s="39"/>
      <c r="DQ103" s="39"/>
      <c r="DR103" s="39"/>
      <c r="DS103" s="39"/>
      <c r="DT103" s="39"/>
      <c r="DU103" s="39"/>
      <c r="DV103" s="39"/>
      <c r="DW103" s="39"/>
      <c r="DX103" s="39"/>
      <c r="DY103" s="39"/>
      <c r="DZ103" s="39"/>
      <c r="EA103" s="39"/>
      <c r="EB103" s="39"/>
      <c r="EC103" s="39"/>
      <c r="ED103" s="39"/>
      <c r="EE103" s="39"/>
      <c r="EF103" s="39"/>
      <c r="EG103" s="39"/>
      <c r="EH103" s="39"/>
      <c r="EI103" s="39"/>
      <c r="EJ103" s="39"/>
      <c r="EK103" s="39"/>
      <c r="EL103" s="39"/>
      <c r="EM103" s="39"/>
      <c r="EN103" s="39"/>
      <c r="EO103" s="39"/>
      <c r="EP103" s="39"/>
      <c r="EQ103" s="39"/>
      <c r="ER103" s="39"/>
      <c r="ES103" s="39"/>
      <c r="ET103" s="39"/>
      <c r="EU103" s="39"/>
      <c r="EV103" s="39"/>
      <c r="EW103" s="39"/>
      <c r="EX103" s="39"/>
      <c r="EY103" s="39"/>
      <c r="EZ103" s="39"/>
      <c r="FA103" s="39"/>
      <c r="FB103" s="39"/>
      <c r="FC103" s="39"/>
      <c r="FD103" s="39"/>
      <c r="FE103" s="39"/>
      <c r="FF103" s="39"/>
      <c r="FG103" s="39"/>
      <c r="FH103" s="39"/>
      <c r="FI103" s="39"/>
      <c r="FJ103" s="39"/>
      <c r="FK103" s="39"/>
      <c r="FL103" s="39"/>
      <c r="FM103" s="39"/>
      <c r="FN103" s="39"/>
      <c r="FO103" s="39"/>
      <c r="FP103" s="39"/>
      <c r="FQ103" s="39"/>
      <c r="FR103" s="39"/>
      <c r="FS103" s="39"/>
      <c r="FT103" s="39"/>
      <c r="FU103" s="39"/>
      <c r="FV103" s="39"/>
      <c r="FW103" s="39"/>
      <c r="FX103" s="39"/>
      <c r="FY103" s="39"/>
      <c r="FZ103" s="39"/>
      <c r="GA103" s="39"/>
      <c r="GB103" s="39"/>
      <c r="GC103" s="39"/>
      <c r="GD103" s="39"/>
      <c r="GE103" s="39"/>
      <c r="GF103" s="39"/>
      <c r="GG103" s="39"/>
      <c r="GH103" s="39"/>
      <c r="GI103" s="39"/>
      <c r="GJ103" s="39"/>
      <c r="GK103" s="39"/>
    </row>
    <row r="104" spans="1:193">
      <c r="AH104" s="24">
        <f>AH103*0.16</f>
        <v>43700.266793599985</v>
      </c>
      <c r="BB104" s="39"/>
      <c r="BC104" s="39"/>
      <c r="BD104" s="39"/>
      <c r="BE104" s="39"/>
      <c r="BF104" s="39"/>
      <c r="BG104" s="39"/>
      <c r="BH104" s="39"/>
      <c r="BI104" s="39"/>
      <c r="BJ104" s="39"/>
      <c r="BK104" s="39"/>
      <c r="BL104" s="39"/>
      <c r="BM104" s="39"/>
      <c r="BN104" s="39"/>
      <c r="BO104" s="39"/>
      <c r="BP104" s="39"/>
      <c r="BQ104" s="39"/>
      <c r="BR104" s="39"/>
      <c r="BS104" s="39"/>
      <c r="BT104" s="39"/>
      <c r="BU104" s="39"/>
      <c r="BV104" s="39"/>
      <c r="BW104" s="39"/>
      <c r="BX104" s="39"/>
      <c r="BY104" s="39"/>
      <c r="BZ104" s="39"/>
      <c r="CA104" s="39"/>
      <c r="CB104" s="39"/>
      <c r="CC104" s="39"/>
      <c r="CD104" s="39"/>
      <c r="CE104" s="39"/>
      <c r="CF104" s="39"/>
      <c r="CG104" s="39"/>
      <c r="CH104" s="39"/>
      <c r="CI104" s="39"/>
      <c r="CJ104" s="39"/>
      <c r="CK104" s="39"/>
      <c r="CL104" s="39"/>
      <c r="CM104" s="39"/>
      <c r="CN104" s="39"/>
      <c r="CO104" s="39"/>
      <c r="CP104" s="39"/>
      <c r="CQ104" s="39"/>
      <c r="CR104" s="39"/>
      <c r="CS104" s="39"/>
      <c r="CT104" s="39"/>
      <c r="CU104" s="39"/>
      <c r="CV104" s="39"/>
      <c r="CW104" s="39"/>
      <c r="CX104" s="39"/>
      <c r="CY104" s="39"/>
      <c r="CZ104" s="39"/>
      <c r="DA104" s="39"/>
      <c r="DB104" s="39"/>
      <c r="DC104" s="39"/>
      <c r="DD104" s="39"/>
      <c r="DE104" s="39"/>
      <c r="DF104" s="39"/>
      <c r="DG104" s="39"/>
      <c r="DH104" s="39"/>
      <c r="DI104" s="39"/>
      <c r="DJ104" s="39"/>
      <c r="DK104" s="39"/>
      <c r="DL104" s="39"/>
      <c r="DM104" s="39"/>
      <c r="DN104" s="39"/>
      <c r="DO104" s="39"/>
      <c r="DP104" s="39"/>
      <c r="DQ104" s="39"/>
      <c r="DR104" s="39"/>
      <c r="DS104" s="39"/>
      <c r="DT104" s="39"/>
      <c r="DU104" s="39"/>
      <c r="DV104" s="39"/>
      <c r="DW104" s="39"/>
      <c r="DX104" s="39"/>
      <c r="DY104" s="39"/>
      <c r="DZ104" s="39"/>
      <c r="EA104" s="39"/>
      <c r="EB104" s="39"/>
      <c r="EC104" s="39"/>
      <c r="ED104" s="39"/>
      <c r="EE104" s="39"/>
      <c r="EF104" s="39"/>
      <c r="EG104" s="39"/>
      <c r="EH104" s="39"/>
      <c r="EI104" s="39"/>
      <c r="EJ104" s="39"/>
      <c r="EK104" s="39"/>
      <c r="EL104" s="39"/>
      <c r="EM104" s="39"/>
      <c r="EN104" s="39"/>
      <c r="EO104" s="39"/>
      <c r="EP104" s="39"/>
      <c r="EQ104" s="39"/>
      <c r="ER104" s="39"/>
      <c r="ES104" s="39"/>
      <c r="ET104" s="39"/>
      <c r="EU104" s="39"/>
      <c r="EV104" s="39"/>
      <c r="EW104" s="39"/>
      <c r="EX104" s="39"/>
      <c r="EY104" s="39"/>
      <c r="EZ104" s="39"/>
      <c r="FA104" s="39"/>
      <c r="FB104" s="39"/>
      <c r="FC104" s="39"/>
      <c r="FD104" s="39"/>
      <c r="FE104" s="39"/>
      <c r="FF104" s="39"/>
      <c r="FG104" s="39"/>
      <c r="FH104" s="39"/>
      <c r="FI104" s="39"/>
      <c r="FJ104" s="39"/>
      <c r="FK104" s="39"/>
      <c r="FL104" s="39"/>
      <c r="FM104" s="39"/>
      <c r="FN104" s="39"/>
      <c r="FO104" s="39"/>
      <c r="FP104" s="39"/>
      <c r="FQ104" s="39"/>
      <c r="FR104" s="39"/>
      <c r="FS104" s="39"/>
      <c r="FT104" s="39"/>
      <c r="FU104" s="39"/>
      <c r="FV104" s="39"/>
      <c r="FW104" s="39"/>
      <c r="FX104" s="39"/>
      <c r="FY104" s="39"/>
      <c r="FZ104" s="39"/>
      <c r="GA104" s="39"/>
      <c r="GB104" s="39"/>
      <c r="GC104" s="39"/>
      <c r="GD104" s="39"/>
      <c r="GE104" s="39"/>
      <c r="GF104" s="39"/>
      <c r="GG104" s="39"/>
      <c r="GH104" s="39"/>
      <c r="GI104" s="39"/>
      <c r="GJ104" s="39"/>
      <c r="GK104" s="39"/>
    </row>
    <row r="105" spans="1:193">
      <c r="A105" s="224" t="s">
        <v>292</v>
      </c>
      <c r="B105" s="224"/>
      <c r="C105" s="145"/>
      <c r="D105" s="111"/>
      <c r="E105" s="111"/>
      <c r="F105" s="111"/>
      <c r="G105" s="111"/>
      <c r="H105" s="111"/>
      <c r="I105" s="113"/>
      <c r="J105" s="181"/>
      <c r="K105" s="113"/>
      <c r="L105" s="113"/>
      <c r="M105" s="113"/>
      <c r="N105" s="113"/>
      <c r="O105" s="113"/>
      <c r="P105" s="113"/>
      <c r="Q105" s="142"/>
      <c r="R105" s="113"/>
      <c r="S105" s="113"/>
      <c r="T105" s="129"/>
      <c r="U105" s="129"/>
      <c r="V105" s="129"/>
      <c r="W105" s="129"/>
      <c r="X105" s="113"/>
      <c r="Y105" s="113"/>
      <c r="Z105" s="113"/>
      <c r="AA105" s="113"/>
      <c r="AB105" s="142"/>
      <c r="AC105" s="113"/>
      <c r="AD105" s="142"/>
      <c r="AE105" s="113"/>
      <c r="AF105" s="113"/>
      <c r="AG105" s="113"/>
      <c r="AH105" s="142">
        <f>+AH103+AH104</f>
        <v>316826.9342535999</v>
      </c>
      <c r="AI105" s="162"/>
      <c r="AJ105" s="162"/>
      <c r="AK105" s="144"/>
      <c r="AL105" s="111"/>
      <c r="AM105" s="111"/>
      <c r="BB105" s="39"/>
      <c r="BC105" s="39"/>
      <c r="BD105" s="39"/>
      <c r="BE105" s="39"/>
      <c r="BF105" s="39"/>
      <c r="BG105" s="39"/>
      <c r="BH105" s="39"/>
      <c r="BI105" s="39"/>
      <c r="BJ105" s="39"/>
      <c r="BK105" s="39"/>
      <c r="BL105" s="39"/>
      <c r="BM105" s="39"/>
      <c r="BN105" s="39"/>
      <c r="BO105" s="39"/>
      <c r="BP105" s="39"/>
      <c r="BQ105" s="39"/>
      <c r="BR105" s="39"/>
      <c r="BS105" s="39"/>
      <c r="BT105" s="39"/>
      <c r="BU105" s="39"/>
      <c r="BV105" s="39"/>
      <c r="BW105" s="39"/>
      <c r="BX105" s="39"/>
      <c r="BY105" s="39"/>
      <c r="BZ105" s="39"/>
      <c r="CA105" s="39"/>
      <c r="CB105" s="39"/>
      <c r="CC105" s="39"/>
      <c r="CD105" s="39"/>
      <c r="CE105" s="39"/>
      <c r="CF105" s="39"/>
      <c r="CG105" s="39"/>
      <c r="CH105" s="39"/>
      <c r="CI105" s="39"/>
      <c r="CJ105" s="39"/>
      <c r="CK105" s="39"/>
      <c r="CL105" s="39"/>
      <c r="CM105" s="39"/>
      <c r="CN105" s="39"/>
      <c r="CO105" s="39"/>
      <c r="CP105" s="39"/>
      <c r="CQ105" s="39"/>
      <c r="CR105" s="39"/>
      <c r="CS105" s="39"/>
      <c r="CT105" s="39"/>
      <c r="CU105" s="39"/>
      <c r="CV105" s="39"/>
      <c r="CW105" s="39"/>
      <c r="CX105" s="39"/>
      <c r="CY105" s="39"/>
      <c r="CZ105" s="39"/>
      <c r="DA105" s="39"/>
      <c r="DB105" s="39"/>
      <c r="DC105" s="39"/>
      <c r="DD105" s="39"/>
      <c r="DE105" s="39"/>
      <c r="DF105" s="39"/>
      <c r="DG105" s="39"/>
      <c r="DH105" s="39"/>
      <c r="DI105" s="39"/>
      <c r="DJ105" s="39"/>
      <c r="DK105" s="39"/>
      <c r="DL105" s="39"/>
      <c r="DM105" s="39"/>
      <c r="DN105" s="39"/>
      <c r="DO105" s="39"/>
      <c r="DP105" s="39"/>
      <c r="DQ105" s="39"/>
      <c r="DR105" s="39"/>
      <c r="DS105" s="39"/>
      <c r="DT105" s="39"/>
      <c r="DU105" s="39"/>
      <c r="DV105" s="39"/>
      <c r="DW105" s="39"/>
      <c r="DX105" s="39"/>
      <c r="DY105" s="39"/>
      <c r="DZ105" s="39"/>
      <c r="EA105" s="39"/>
      <c r="EB105" s="39"/>
      <c r="EC105" s="39"/>
      <c r="ED105" s="39"/>
      <c r="EE105" s="39"/>
      <c r="EF105" s="39"/>
      <c r="EG105" s="39"/>
      <c r="EH105" s="39"/>
      <c r="EI105" s="39"/>
      <c r="EJ105" s="39"/>
      <c r="EK105" s="39"/>
      <c r="EL105" s="39"/>
      <c r="EM105" s="39"/>
      <c r="EN105" s="39"/>
      <c r="EO105" s="39"/>
      <c r="EP105" s="39"/>
      <c r="EQ105" s="39"/>
      <c r="ER105" s="39"/>
      <c r="ES105" s="39"/>
      <c r="ET105" s="39"/>
      <c r="EU105" s="39"/>
      <c r="EV105" s="39"/>
      <c r="EW105" s="39"/>
      <c r="EX105" s="39"/>
      <c r="EY105" s="39"/>
      <c r="EZ105" s="39"/>
      <c r="FA105" s="39"/>
      <c r="FB105" s="39"/>
      <c r="FC105" s="39"/>
      <c r="FD105" s="39"/>
      <c r="FE105" s="39"/>
      <c r="FF105" s="39"/>
      <c r="FG105" s="39"/>
      <c r="FH105" s="39"/>
      <c r="FI105" s="39"/>
      <c r="FJ105" s="39"/>
      <c r="FK105" s="39"/>
      <c r="FL105" s="39"/>
      <c r="FM105" s="39"/>
      <c r="FN105" s="39"/>
      <c r="FO105" s="39"/>
      <c r="FP105" s="39"/>
      <c r="FQ105" s="39"/>
      <c r="FR105" s="39"/>
      <c r="FS105" s="39"/>
      <c r="FT105" s="39"/>
      <c r="FU105" s="39"/>
      <c r="FV105" s="39"/>
      <c r="FW105" s="39"/>
      <c r="FX105" s="39"/>
      <c r="FY105" s="39"/>
      <c r="FZ105" s="39"/>
      <c r="GA105" s="39"/>
      <c r="GB105" s="39"/>
      <c r="GC105" s="39"/>
      <c r="GD105" s="39"/>
      <c r="GE105" s="39"/>
      <c r="GF105" s="39"/>
      <c r="GG105" s="39"/>
      <c r="GH105" s="39"/>
      <c r="GI105" s="39"/>
      <c r="GJ105" s="39"/>
      <c r="GK105" s="39"/>
    </row>
    <row r="106" spans="1:193">
      <c r="A106" s="130"/>
      <c r="B106" s="111" t="s">
        <v>293</v>
      </c>
      <c r="C106" s="111"/>
      <c r="D106" s="112"/>
      <c r="E106" s="111"/>
      <c r="F106" s="111"/>
      <c r="G106" s="111"/>
      <c r="H106" s="111"/>
      <c r="I106" s="113"/>
      <c r="J106" s="181"/>
      <c r="K106" s="113">
        <v>543.20000000000005</v>
      </c>
      <c r="L106" s="113">
        <v>489.5</v>
      </c>
      <c r="M106" s="113"/>
      <c r="N106" s="113"/>
      <c r="O106" s="113"/>
      <c r="P106" s="113"/>
      <c r="Q106" s="116">
        <f>SUM(K106:P106)</f>
        <v>1032.7</v>
      </c>
      <c r="R106" s="117"/>
      <c r="S106" s="117"/>
      <c r="T106" s="129"/>
      <c r="U106" s="127">
        <f>Q106*4.9%</f>
        <v>50.602300000000007</v>
      </c>
      <c r="V106" s="127">
        <f>Q106*1%</f>
        <v>10.327</v>
      </c>
      <c r="W106" s="129"/>
      <c r="X106" s="146"/>
      <c r="Y106" s="146"/>
      <c r="Z106" s="146"/>
      <c r="AA106" s="146"/>
      <c r="AB106" s="116">
        <f>+Q106-R106</f>
        <v>1032.7</v>
      </c>
      <c r="AC106" s="121">
        <f>+AB106*0.05</f>
        <v>51.635000000000005</v>
      </c>
      <c r="AD106" s="116">
        <f>+AB106-X106-AA106</f>
        <v>1032.7</v>
      </c>
      <c r="AE106" s="122">
        <f>IF(AB106&lt;3000,AB106*0.1,0)</f>
        <v>103.27000000000001</v>
      </c>
      <c r="AF106" s="121">
        <v>0</v>
      </c>
      <c r="AG106" s="121"/>
      <c r="AH106" s="116">
        <f>+AB106+AE106+AF106</f>
        <v>1135.97</v>
      </c>
      <c r="AI106" s="163"/>
      <c r="AJ106" s="163"/>
      <c r="AK106" s="147"/>
      <c r="AL106" s="111"/>
      <c r="AM106" s="111"/>
      <c r="BB106" s="39"/>
      <c r="BC106" s="39"/>
      <c r="BD106" s="39"/>
      <c r="BE106" s="39"/>
      <c r="BF106" s="39"/>
      <c r="BG106" s="39"/>
      <c r="BH106" s="39"/>
      <c r="BI106" s="39"/>
      <c r="BJ106" s="39"/>
      <c r="BK106" s="39"/>
      <c r="BL106" s="39"/>
      <c r="BM106" s="39"/>
      <c r="BN106" s="39"/>
      <c r="BO106" s="39"/>
      <c r="BP106" s="39"/>
      <c r="BQ106" s="39"/>
      <c r="BR106" s="39"/>
      <c r="BS106" s="39"/>
      <c r="BT106" s="39"/>
      <c r="BU106" s="39"/>
      <c r="BV106" s="39"/>
      <c r="BW106" s="39"/>
      <c r="BX106" s="39"/>
      <c r="BY106" s="39"/>
      <c r="BZ106" s="39"/>
      <c r="CA106" s="39"/>
      <c r="CB106" s="39"/>
      <c r="CC106" s="39"/>
      <c r="CD106" s="39"/>
      <c r="CE106" s="39"/>
      <c r="CF106" s="39"/>
      <c r="CG106" s="39"/>
      <c r="CH106" s="39"/>
      <c r="CI106" s="39"/>
      <c r="CJ106" s="39"/>
      <c r="CK106" s="39"/>
      <c r="CL106" s="39"/>
      <c r="CM106" s="39"/>
      <c r="CN106" s="39"/>
      <c r="CO106" s="39"/>
      <c r="CP106" s="39"/>
      <c r="CQ106" s="39"/>
      <c r="CR106" s="39"/>
      <c r="CS106" s="39"/>
      <c r="CT106" s="39"/>
      <c r="CU106" s="39"/>
      <c r="CV106" s="39"/>
      <c r="CW106" s="39"/>
      <c r="CX106" s="39"/>
      <c r="CY106" s="39"/>
      <c r="CZ106" s="39"/>
      <c r="DA106" s="39"/>
      <c r="DB106" s="39"/>
      <c r="DC106" s="39"/>
      <c r="DD106" s="39"/>
      <c r="DE106" s="39"/>
      <c r="DF106" s="39"/>
      <c r="DG106" s="39"/>
      <c r="DH106" s="39"/>
      <c r="DI106" s="39"/>
      <c r="DJ106" s="39"/>
      <c r="DK106" s="39"/>
      <c r="DL106" s="39"/>
      <c r="DM106" s="39"/>
      <c r="DN106" s="39"/>
      <c r="DO106" s="39"/>
      <c r="DP106" s="39"/>
      <c r="DQ106" s="39"/>
      <c r="DR106" s="39"/>
      <c r="DS106" s="39"/>
      <c r="DT106" s="39"/>
      <c r="DU106" s="39"/>
      <c r="DV106" s="39"/>
      <c r="DW106" s="39"/>
      <c r="DX106" s="39"/>
      <c r="DY106" s="39"/>
      <c r="DZ106" s="39"/>
      <c r="EA106" s="39"/>
      <c r="EB106" s="39"/>
      <c r="EC106" s="39"/>
      <c r="ED106" s="39"/>
      <c r="EE106" s="39"/>
      <c r="EF106" s="39"/>
      <c r="EG106" s="39"/>
      <c r="EH106" s="39"/>
      <c r="EI106" s="39"/>
      <c r="EJ106" s="39"/>
      <c r="EK106" s="39"/>
      <c r="EL106" s="39"/>
      <c r="EM106" s="39"/>
      <c r="EN106" s="39"/>
      <c r="EO106" s="39"/>
      <c r="EP106" s="39"/>
      <c r="EQ106" s="39"/>
      <c r="ER106" s="39"/>
      <c r="ES106" s="39"/>
      <c r="ET106" s="39"/>
      <c r="EU106" s="39"/>
      <c r="EV106" s="39"/>
      <c r="EW106" s="39"/>
      <c r="EX106" s="39"/>
      <c r="EY106" s="39"/>
      <c r="EZ106" s="39"/>
      <c r="FA106" s="39"/>
      <c r="FB106" s="39"/>
      <c r="FC106" s="39"/>
      <c r="FD106" s="39"/>
      <c r="FE106" s="39"/>
      <c r="FF106" s="39"/>
      <c r="FG106" s="39"/>
      <c r="FH106" s="39"/>
      <c r="FI106" s="39"/>
      <c r="FJ106" s="39"/>
      <c r="FK106" s="39"/>
      <c r="FL106" s="39"/>
      <c r="FM106" s="39"/>
      <c r="FN106" s="39"/>
      <c r="FO106" s="39"/>
      <c r="FP106" s="39"/>
      <c r="FQ106" s="39"/>
      <c r="FR106" s="39"/>
      <c r="FS106" s="39"/>
      <c r="FT106" s="39"/>
      <c r="FU106" s="39"/>
      <c r="FV106" s="39"/>
      <c r="FW106" s="39"/>
      <c r="FX106" s="39"/>
      <c r="FY106" s="39"/>
      <c r="FZ106" s="39"/>
      <c r="GA106" s="39"/>
      <c r="GB106" s="39"/>
      <c r="GC106" s="39"/>
      <c r="GD106" s="39"/>
      <c r="GE106" s="39"/>
      <c r="GF106" s="39"/>
      <c r="GG106" s="39"/>
      <c r="GH106" s="39"/>
      <c r="GI106" s="39"/>
      <c r="GJ106" s="39"/>
      <c r="GK106" s="39"/>
    </row>
    <row r="107" spans="1:193">
      <c r="A107" s="130"/>
      <c r="B107" s="112" t="s">
        <v>324</v>
      </c>
      <c r="C107" s="112"/>
      <c r="D107" s="112"/>
      <c r="E107" s="112"/>
      <c r="F107" s="112"/>
      <c r="G107" s="112"/>
      <c r="H107" s="112"/>
      <c r="I107" s="114"/>
      <c r="J107" s="178"/>
      <c r="K107" s="114">
        <v>1166.6600000000001</v>
      </c>
      <c r="L107" s="114">
        <v>2663.24</v>
      </c>
      <c r="M107" s="114"/>
      <c r="N107" s="114"/>
      <c r="O107" s="114"/>
      <c r="P107" s="114"/>
      <c r="Q107" s="116">
        <f>SUM(K107:P107)</f>
        <v>3829.8999999999996</v>
      </c>
      <c r="R107" s="117"/>
      <c r="S107" s="117"/>
      <c r="T107" s="129"/>
      <c r="U107" s="129"/>
      <c r="V107" s="129"/>
      <c r="W107" s="129"/>
      <c r="X107" s="146"/>
      <c r="Y107" s="146"/>
      <c r="Z107" s="146"/>
      <c r="AA107" s="146"/>
      <c r="AB107" s="116">
        <f>+Q107-R107</f>
        <v>3829.8999999999996</v>
      </c>
      <c r="AC107" s="121">
        <f>+AB107*0.05</f>
        <v>191.495</v>
      </c>
      <c r="AD107" s="116">
        <f>+AB107-X107-AA107</f>
        <v>3829.8999999999996</v>
      </c>
      <c r="AE107" s="122">
        <f>IF(AB107&lt;3000,AB107*0.1,0)</f>
        <v>0</v>
      </c>
      <c r="AF107" s="121">
        <v>0</v>
      </c>
      <c r="AG107" s="121"/>
      <c r="AH107" s="116">
        <f>+AB107+AE107+AF107</f>
        <v>3829.8999999999996</v>
      </c>
      <c r="AI107" s="163"/>
      <c r="AJ107" s="163"/>
      <c r="AK107" s="147"/>
      <c r="AL107" s="111"/>
      <c r="AM107" s="111"/>
      <c r="BB107" s="39"/>
      <c r="BC107" s="39"/>
      <c r="BD107" s="39"/>
      <c r="BE107" s="39"/>
      <c r="BF107" s="39"/>
      <c r="BG107" s="39"/>
      <c r="BH107" s="39"/>
      <c r="BI107" s="39"/>
      <c r="BJ107" s="39"/>
      <c r="BK107" s="39"/>
      <c r="BL107" s="39"/>
      <c r="BM107" s="39"/>
      <c r="BN107" s="39"/>
      <c r="BO107" s="39"/>
      <c r="BP107" s="39"/>
      <c r="BQ107" s="39"/>
      <c r="BR107" s="39"/>
      <c r="BS107" s="39"/>
      <c r="BT107" s="39"/>
      <c r="BU107" s="39"/>
      <c r="BV107" s="39"/>
      <c r="BW107" s="39"/>
      <c r="BX107" s="39"/>
      <c r="BY107" s="39"/>
      <c r="BZ107" s="39"/>
      <c r="CA107" s="39"/>
      <c r="CB107" s="39"/>
      <c r="CC107" s="39"/>
      <c r="CD107" s="39"/>
      <c r="CE107" s="39"/>
      <c r="CF107" s="39"/>
      <c r="CG107" s="39"/>
      <c r="CH107" s="39"/>
      <c r="CI107" s="39"/>
      <c r="CJ107" s="39"/>
      <c r="CK107" s="39"/>
      <c r="CL107" s="39"/>
      <c r="CM107" s="39"/>
      <c r="CN107" s="39"/>
      <c r="CO107" s="39"/>
      <c r="CP107" s="39"/>
      <c r="CQ107" s="39"/>
      <c r="CR107" s="39"/>
      <c r="CS107" s="39"/>
      <c r="CT107" s="39"/>
      <c r="CU107" s="39"/>
      <c r="CV107" s="39"/>
      <c r="CW107" s="39"/>
      <c r="CX107" s="39"/>
      <c r="CY107" s="39"/>
      <c r="CZ107" s="39"/>
      <c r="DA107" s="39"/>
      <c r="DB107" s="39"/>
      <c r="DC107" s="39"/>
      <c r="DD107" s="39"/>
      <c r="DE107" s="39"/>
      <c r="DF107" s="39"/>
      <c r="DG107" s="39"/>
      <c r="DH107" s="39"/>
      <c r="DI107" s="39"/>
      <c r="DJ107" s="39"/>
      <c r="DK107" s="39"/>
      <c r="DL107" s="39"/>
      <c r="DM107" s="39"/>
      <c r="DN107" s="39"/>
      <c r="DO107" s="39"/>
      <c r="DP107" s="39"/>
      <c r="DQ107" s="39"/>
      <c r="DR107" s="39"/>
      <c r="DS107" s="39"/>
      <c r="DT107" s="39"/>
      <c r="DU107" s="39"/>
      <c r="DV107" s="39"/>
      <c r="DW107" s="39"/>
      <c r="DX107" s="39"/>
      <c r="DY107" s="39"/>
      <c r="DZ107" s="39"/>
      <c r="EA107" s="39"/>
      <c r="EB107" s="39"/>
      <c r="EC107" s="39"/>
      <c r="ED107" s="39"/>
      <c r="EE107" s="39"/>
      <c r="EF107" s="39"/>
      <c r="EG107" s="39"/>
      <c r="EH107" s="39"/>
      <c r="EI107" s="39"/>
      <c r="EJ107" s="39"/>
      <c r="EK107" s="39"/>
      <c r="EL107" s="39"/>
      <c r="EM107" s="39"/>
      <c r="EN107" s="39"/>
      <c r="EO107" s="39"/>
      <c r="EP107" s="39"/>
      <c r="EQ107" s="39"/>
      <c r="ER107" s="39"/>
      <c r="ES107" s="39"/>
      <c r="ET107" s="39"/>
      <c r="EU107" s="39"/>
      <c r="EV107" s="39"/>
      <c r="EW107" s="39"/>
      <c r="EX107" s="39"/>
      <c r="EY107" s="39"/>
      <c r="EZ107" s="39"/>
      <c r="FA107" s="39"/>
      <c r="FB107" s="39"/>
      <c r="FC107" s="39"/>
      <c r="FD107" s="39"/>
      <c r="FE107" s="39"/>
      <c r="FF107" s="39"/>
      <c r="FG107" s="39"/>
      <c r="FH107" s="39"/>
      <c r="FI107" s="39"/>
      <c r="FJ107" s="39"/>
      <c r="FK107" s="39"/>
      <c r="FL107" s="39"/>
      <c r="FM107" s="39"/>
      <c r="FN107" s="39"/>
      <c r="FO107" s="39"/>
      <c r="FP107" s="39"/>
      <c r="FQ107" s="39"/>
      <c r="FR107" s="39"/>
      <c r="FS107" s="39"/>
      <c r="FT107" s="39"/>
      <c r="FU107" s="39"/>
      <c r="FV107" s="39"/>
      <c r="FW107" s="39"/>
      <c r="FX107" s="39"/>
      <c r="FY107" s="39"/>
      <c r="FZ107" s="39"/>
      <c r="GA107" s="39"/>
      <c r="GB107" s="39"/>
      <c r="GC107" s="39"/>
      <c r="GD107" s="39"/>
      <c r="GE107" s="39"/>
      <c r="GF107" s="39"/>
      <c r="GG107" s="39"/>
      <c r="GH107" s="39"/>
      <c r="GI107" s="39"/>
      <c r="GJ107" s="39"/>
      <c r="GK107" s="39"/>
    </row>
    <row r="108" spans="1:193">
      <c r="AH108" s="24">
        <f>SUM(AH106:AH107)</f>
        <v>4965.87</v>
      </c>
      <c r="BB108" s="39"/>
      <c r="BC108" s="39"/>
      <c r="BD108" s="39"/>
      <c r="BE108" s="39"/>
      <c r="BF108" s="39"/>
      <c r="BG108" s="39"/>
      <c r="BH108" s="39"/>
      <c r="BI108" s="39"/>
      <c r="BJ108" s="39"/>
      <c r="BK108" s="39"/>
      <c r="BL108" s="39"/>
      <c r="BM108" s="39"/>
      <c r="BN108" s="39"/>
      <c r="BO108" s="39"/>
      <c r="BP108" s="39"/>
      <c r="BQ108" s="39"/>
      <c r="BR108" s="39"/>
      <c r="BS108" s="39"/>
      <c r="BT108" s="39"/>
      <c r="BU108" s="39"/>
      <c r="BV108" s="39"/>
      <c r="BW108" s="39"/>
      <c r="BX108" s="39"/>
      <c r="BY108" s="39"/>
      <c r="BZ108" s="39"/>
      <c r="CA108" s="39"/>
      <c r="CB108" s="39"/>
      <c r="CC108" s="39"/>
      <c r="CD108" s="39"/>
      <c r="CE108" s="39"/>
      <c r="CF108" s="39"/>
      <c r="CG108" s="39"/>
      <c r="CH108" s="39"/>
      <c r="CI108" s="39"/>
      <c r="CJ108" s="39"/>
      <c r="CK108" s="39"/>
      <c r="CL108" s="39"/>
      <c r="CM108" s="39"/>
      <c r="CN108" s="39"/>
      <c r="CO108" s="39"/>
      <c r="CP108" s="39"/>
      <c r="CQ108" s="39"/>
      <c r="CR108" s="39"/>
      <c r="CS108" s="39"/>
      <c r="CT108" s="39"/>
      <c r="CU108" s="39"/>
      <c r="CV108" s="39"/>
      <c r="CW108" s="39"/>
      <c r="CX108" s="39"/>
      <c r="CY108" s="39"/>
      <c r="CZ108" s="39"/>
      <c r="DA108" s="39"/>
      <c r="DB108" s="39"/>
      <c r="DC108" s="39"/>
      <c r="DD108" s="39"/>
      <c r="DE108" s="39"/>
      <c r="DF108" s="39"/>
      <c r="DG108" s="39"/>
      <c r="DH108" s="39"/>
      <c r="DI108" s="39"/>
      <c r="DJ108" s="39"/>
      <c r="DK108" s="39"/>
      <c r="DL108" s="39"/>
      <c r="DM108" s="39"/>
      <c r="DN108" s="39"/>
      <c r="DO108" s="39"/>
      <c r="DP108" s="39"/>
      <c r="DQ108" s="39"/>
      <c r="DR108" s="39"/>
      <c r="DS108" s="39"/>
      <c r="DT108" s="39"/>
      <c r="DU108" s="39"/>
      <c r="DV108" s="39"/>
      <c r="DW108" s="39"/>
      <c r="DX108" s="39"/>
      <c r="DY108" s="39"/>
      <c r="DZ108" s="39"/>
      <c r="EA108" s="39"/>
      <c r="EB108" s="39"/>
      <c r="EC108" s="39"/>
      <c r="ED108" s="39"/>
      <c r="EE108" s="39"/>
      <c r="EF108" s="39"/>
      <c r="EG108" s="39"/>
      <c r="EH108" s="39"/>
      <c r="EI108" s="39"/>
      <c r="EJ108" s="39"/>
      <c r="EK108" s="39"/>
      <c r="EL108" s="39"/>
      <c r="EM108" s="39"/>
      <c r="EN108" s="39"/>
      <c r="EO108" s="39"/>
      <c r="EP108" s="39"/>
      <c r="EQ108" s="39"/>
      <c r="ER108" s="39"/>
      <c r="ES108" s="39"/>
      <c r="ET108" s="39"/>
      <c r="EU108" s="39"/>
      <c r="EV108" s="39"/>
      <c r="EW108" s="39"/>
      <c r="EX108" s="39"/>
      <c r="EY108" s="39"/>
      <c r="EZ108" s="39"/>
      <c r="FA108" s="39"/>
      <c r="FB108" s="39"/>
      <c r="FC108" s="39"/>
      <c r="FD108" s="39"/>
      <c r="FE108" s="39"/>
      <c r="FF108" s="39"/>
      <c r="FG108" s="39"/>
      <c r="FH108" s="39"/>
      <c r="FI108" s="39"/>
      <c r="FJ108" s="39"/>
      <c r="FK108" s="39"/>
      <c r="FL108" s="39"/>
      <c r="FM108" s="39"/>
      <c r="FN108" s="39"/>
      <c r="FO108" s="39"/>
      <c r="FP108" s="39"/>
      <c r="FQ108" s="39"/>
      <c r="FR108" s="39"/>
      <c r="FS108" s="39"/>
      <c r="FT108" s="39"/>
      <c r="FU108" s="39"/>
      <c r="FV108" s="39"/>
      <c r="FW108" s="39"/>
      <c r="FX108" s="39"/>
      <c r="FY108" s="39"/>
      <c r="FZ108" s="39"/>
      <c r="GA108" s="39"/>
      <c r="GB108" s="39"/>
      <c r="GC108" s="39"/>
      <c r="GD108" s="39"/>
      <c r="GE108" s="39"/>
      <c r="GF108" s="39"/>
      <c r="GG108" s="39"/>
      <c r="GH108" s="39"/>
      <c r="GI108" s="39"/>
      <c r="GJ108" s="39"/>
      <c r="GK108" s="39"/>
    </row>
    <row r="109" spans="1:193">
      <c r="B109" s="55"/>
      <c r="C109" s="55"/>
      <c r="D109" s="55"/>
      <c r="AH109" s="24">
        <f>+AH108*0.16</f>
        <v>794.53920000000005</v>
      </c>
      <c r="BB109" s="39"/>
      <c r="BC109" s="39"/>
      <c r="BD109" s="39"/>
      <c r="BE109" s="39"/>
      <c r="BF109" s="39"/>
      <c r="BG109" s="39"/>
      <c r="BH109" s="39"/>
      <c r="BI109" s="39"/>
      <c r="BJ109" s="39"/>
      <c r="BK109" s="39"/>
      <c r="BL109" s="39"/>
      <c r="BM109" s="39"/>
      <c r="BN109" s="39"/>
      <c r="BO109" s="39"/>
      <c r="BP109" s="39"/>
      <c r="BQ109" s="39"/>
      <c r="BR109" s="39"/>
      <c r="BS109" s="39"/>
      <c r="BT109" s="39"/>
      <c r="BU109" s="39"/>
      <c r="BV109" s="39"/>
      <c r="BW109" s="39"/>
      <c r="BX109" s="39"/>
      <c r="BY109" s="39"/>
      <c r="BZ109" s="39"/>
      <c r="CA109" s="39"/>
      <c r="CB109" s="39"/>
      <c r="CC109" s="39"/>
      <c r="CD109" s="39"/>
      <c r="CE109" s="39"/>
      <c r="CF109" s="39"/>
      <c r="CG109" s="39"/>
      <c r="CH109" s="39"/>
      <c r="CI109" s="39"/>
      <c r="CJ109" s="39"/>
      <c r="CK109" s="39"/>
      <c r="CL109" s="39"/>
      <c r="CM109" s="39"/>
      <c r="CN109" s="39"/>
      <c r="CO109" s="39"/>
      <c r="CP109" s="39"/>
      <c r="CQ109" s="39"/>
      <c r="CR109" s="39"/>
      <c r="CS109" s="39"/>
      <c r="CT109" s="39"/>
      <c r="CU109" s="39"/>
      <c r="CV109" s="39"/>
      <c r="CW109" s="39"/>
      <c r="CX109" s="39"/>
      <c r="CY109" s="39"/>
      <c r="CZ109" s="39"/>
      <c r="DA109" s="39"/>
      <c r="DB109" s="39"/>
      <c r="DC109" s="39"/>
      <c r="DD109" s="39"/>
      <c r="DE109" s="39"/>
      <c r="DF109" s="39"/>
      <c r="DG109" s="39"/>
      <c r="DH109" s="39"/>
      <c r="DI109" s="39"/>
      <c r="DJ109" s="39"/>
      <c r="DK109" s="39"/>
      <c r="DL109" s="39"/>
      <c r="DM109" s="39"/>
      <c r="DN109" s="39"/>
      <c r="DO109" s="39"/>
      <c r="DP109" s="39"/>
      <c r="DQ109" s="39"/>
      <c r="DR109" s="39"/>
      <c r="DS109" s="39"/>
      <c r="DT109" s="39"/>
      <c r="DU109" s="39"/>
      <c r="DV109" s="39"/>
      <c r="DW109" s="39"/>
      <c r="DX109" s="39"/>
      <c r="DY109" s="39"/>
      <c r="DZ109" s="39"/>
      <c r="EA109" s="39"/>
      <c r="EB109" s="39"/>
      <c r="EC109" s="39"/>
      <c r="ED109" s="39"/>
      <c r="EE109" s="39"/>
      <c r="EF109" s="39"/>
      <c r="EG109" s="39"/>
      <c r="EH109" s="39"/>
      <c r="EI109" s="39"/>
      <c r="EJ109" s="39"/>
      <c r="EK109" s="39"/>
      <c r="EL109" s="39"/>
      <c r="EM109" s="39"/>
      <c r="EN109" s="39"/>
      <c r="EO109" s="39"/>
      <c r="EP109" s="39"/>
      <c r="EQ109" s="39"/>
      <c r="ER109" s="39"/>
      <c r="ES109" s="39"/>
      <c r="ET109" s="39"/>
      <c r="EU109" s="39"/>
      <c r="EV109" s="39"/>
      <c r="EW109" s="39"/>
      <c r="EX109" s="39"/>
      <c r="EY109" s="39"/>
      <c r="EZ109" s="39"/>
      <c r="FA109" s="39"/>
      <c r="FB109" s="39"/>
      <c r="FC109" s="39"/>
      <c r="FD109" s="39"/>
      <c r="FE109" s="39"/>
      <c r="FF109" s="39"/>
      <c r="FG109" s="39"/>
      <c r="FH109" s="39"/>
      <c r="FI109" s="39"/>
      <c r="FJ109" s="39"/>
      <c r="FK109" s="39"/>
      <c r="FL109" s="39"/>
      <c r="FM109" s="39"/>
      <c r="FN109" s="39"/>
      <c r="FO109" s="39"/>
      <c r="FP109" s="39"/>
      <c r="FQ109" s="39"/>
      <c r="FR109" s="39"/>
      <c r="FS109" s="39"/>
      <c r="FT109" s="39"/>
      <c r="FU109" s="39"/>
      <c r="FV109" s="39"/>
      <c r="FW109" s="39"/>
      <c r="FX109" s="39"/>
      <c r="FY109" s="39"/>
      <c r="FZ109" s="39"/>
      <c r="GA109" s="39"/>
      <c r="GB109" s="39"/>
      <c r="GC109" s="39"/>
      <c r="GD109" s="39"/>
      <c r="GE109" s="39"/>
      <c r="GF109" s="39"/>
      <c r="GG109" s="39"/>
      <c r="GH109" s="39"/>
      <c r="GI109" s="39"/>
      <c r="GJ109" s="39"/>
      <c r="GK109" s="39"/>
    </row>
    <row r="110" spans="1:193">
      <c r="A110" s="222" t="s">
        <v>323</v>
      </c>
      <c r="B110" s="222"/>
      <c r="C110" s="55"/>
      <c r="D110" s="55"/>
      <c r="AH110" s="24">
        <f>+AH108+AH109</f>
        <v>5760.4092000000001</v>
      </c>
      <c r="BB110" s="39"/>
      <c r="BC110" s="39"/>
      <c r="BD110" s="39"/>
      <c r="BE110" s="39"/>
      <c r="BF110" s="39"/>
      <c r="BG110" s="39"/>
      <c r="BH110" s="39"/>
      <c r="BI110" s="39"/>
      <c r="BJ110" s="39"/>
      <c r="BK110" s="39"/>
      <c r="BL110" s="39"/>
      <c r="BM110" s="39"/>
      <c r="BN110" s="39"/>
      <c r="BO110" s="39"/>
      <c r="BP110" s="39"/>
      <c r="BQ110" s="39"/>
      <c r="BR110" s="39"/>
      <c r="BS110" s="39"/>
      <c r="BT110" s="39"/>
      <c r="BU110" s="39"/>
      <c r="BV110" s="39"/>
      <c r="BW110" s="39"/>
      <c r="BX110" s="39"/>
      <c r="BY110" s="39"/>
      <c r="BZ110" s="39"/>
      <c r="CA110" s="39"/>
      <c r="CB110" s="39"/>
      <c r="CC110" s="39"/>
      <c r="CD110" s="39"/>
      <c r="CE110" s="39"/>
      <c r="CF110" s="39"/>
      <c r="CG110" s="39"/>
      <c r="CH110" s="39"/>
      <c r="CI110" s="39"/>
      <c r="CJ110" s="39"/>
      <c r="CK110" s="39"/>
      <c r="CL110" s="39"/>
      <c r="CM110" s="39"/>
      <c r="CN110" s="39"/>
      <c r="CO110" s="39"/>
      <c r="CP110" s="39"/>
      <c r="CQ110" s="39"/>
      <c r="CR110" s="39"/>
      <c r="CS110" s="39"/>
      <c r="CT110" s="39"/>
      <c r="CU110" s="39"/>
      <c r="CV110" s="39"/>
      <c r="CW110" s="39"/>
      <c r="CX110" s="39"/>
      <c r="CY110" s="39"/>
      <c r="CZ110" s="39"/>
      <c r="DA110" s="39"/>
      <c r="DB110" s="39"/>
      <c r="DC110" s="39"/>
      <c r="DD110" s="39"/>
      <c r="DE110" s="39"/>
      <c r="DF110" s="39"/>
      <c r="DG110" s="39"/>
      <c r="DH110" s="39"/>
      <c r="DI110" s="39"/>
      <c r="DJ110" s="39"/>
      <c r="DK110" s="39"/>
      <c r="DL110" s="39"/>
      <c r="DM110" s="39"/>
      <c r="DN110" s="39"/>
      <c r="DO110" s="39"/>
      <c r="DP110" s="39"/>
      <c r="DQ110" s="39"/>
      <c r="DR110" s="39"/>
      <c r="DS110" s="39"/>
      <c r="DT110" s="39"/>
      <c r="DU110" s="39"/>
      <c r="DV110" s="39"/>
      <c r="DW110" s="39"/>
      <c r="DX110" s="39"/>
      <c r="DY110" s="39"/>
      <c r="DZ110" s="39"/>
      <c r="EA110" s="39"/>
      <c r="EB110" s="39"/>
      <c r="EC110" s="39"/>
      <c r="ED110" s="39"/>
      <c r="EE110" s="39"/>
      <c r="EF110" s="39"/>
      <c r="EG110" s="39"/>
      <c r="EH110" s="39"/>
      <c r="EI110" s="39"/>
      <c r="EJ110" s="39"/>
      <c r="EK110" s="39"/>
      <c r="EL110" s="39"/>
      <c r="EM110" s="39"/>
      <c r="EN110" s="39"/>
      <c r="EO110" s="39"/>
      <c r="EP110" s="39"/>
      <c r="EQ110" s="39"/>
      <c r="ER110" s="39"/>
      <c r="ES110" s="39"/>
      <c r="ET110" s="39"/>
      <c r="EU110" s="39"/>
      <c r="EV110" s="39"/>
      <c r="EW110" s="39"/>
      <c r="EX110" s="39"/>
      <c r="EY110" s="39"/>
      <c r="EZ110" s="39"/>
      <c r="FA110" s="39"/>
      <c r="FB110" s="39"/>
      <c r="FC110" s="39"/>
      <c r="FD110" s="39"/>
      <c r="FE110" s="39"/>
      <c r="FF110" s="39"/>
      <c r="FG110" s="39"/>
      <c r="FH110" s="39"/>
      <c r="FI110" s="39"/>
      <c r="FJ110" s="39"/>
      <c r="FK110" s="39"/>
      <c r="FL110" s="39"/>
      <c r="FM110" s="39"/>
      <c r="FN110" s="39"/>
      <c r="FO110" s="39"/>
      <c r="FP110" s="39"/>
      <c r="FQ110" s="39"/>
      <c r="FR110" s="39"/>
      <c r="FS110" s="39"/>
      <c r="FT110" s="39"/>
      <c r="FU110" s="39"/>
      <c r="FV110" s="39"/>
      <c r="FW110" s="39"/>
      <c r="FX110" s="39"/>
      <c r="FY110" s="39"/>
      <c r="FZ110" s="39"/>
      <c r="GA110" s="39"/>
      <c r="GB110" s="39"/>
      <c r="GC110" s="39"/>
      <c r="GD110" s="39"/>
      <c r="GE110" s="39"/>
      <c r="GF110" s="39"/>
      <c r="GG110" s="39"/>
      <c r="GH110" s="39"/>
      <c r="GI110" s="39"/>
      <c r="GJ110" s="39"/>
      <c r="GK110" s="39"/>
    </row>
    <row r="111" spans="1:193" s="39" customFormat="1">
      <c r="A111" s="125" t="s">
        <v>71</v>
      </c>
      <c r="B111" s="125" t="s">
        <v>250</v>
      </c>
      <c r="C111" s="125" t="s">
        <v>249</v>
      </c>
      <c r="D111" s="138"/>
      <c r="E111" s="125" t="s">
        <v>73</v>
      </c>
      <c r="F111" s="128">
        <v>42240</v>
      </c>
      <c r="G111" s="125"/>
      <c r="H111" s="125"/>
      <c r="I111" s="129"/>
      <c r="J111" s="179"/>
      <c r="K111" s="129">
        <f t="shared" ref="K111" si="56">+I111+J111</f>
        <v>0</v>
      </c>
      <c r="L111" s="129"/>
      <c r="M111" s="129"/>
      <c r="N111" s="129"/>
      <c r="O111" s="129"/>
      <c r="P111" s="172"/>
      <c r="Q111" s="187">
        <f t="shared" ref="Q111" si="57">SUM(K111:O111)-P111</f>
        <v>0</v>
      </c>
      <c r="R111" s="129"/>
      <c r="S111" s="129">
        <v>58.91</v>
      </c>
      <c r="T111" s="129"/>
      <c r="U111" s="129"/>
      <c r="V111" s="129"/>
      <c r="W111" s="129"/>
      <c r="X111" s="121"/>
      <c r="Y111" s="121"/>
      <c r="Z111" s="125"/>
      <c r="AA111" s="125">
        <v>0</v>
      </c>
      <c r="AB111" s="187">
        <f t="shared" ref="AB111" si="58">+Q111-SUM(R111:AA111)</f>
        <v>-58.91</v>
      </c>
      <c r="AC111" s="121">
        <f t="shared" ref="AC111" si="59">IF(Q111&gt;2250,Q111*0.1,0)</f>
        <v>0</v>
      </c>
      <c r="AD111" s="187">
        <f>+AB111-AC111</f>
        <v>-58.91</v>
      </c>
      <c r="AE111" s="121">
        <f>IF(Q111&lt;3500,Q111*0.1,0)</f>
        <v>0</v>
      </c>
      <c r="AF111" s="121">
        <v>10.23</v>
      </c>
      <c r="AG111" s="121">
        <f t="shared" ref="AG111" si="60">+U111</f>
        <v>0</v>
      </c>
      <c r="AH111" s="187">
        <f t="shared" ref="AH111" si="61">+Q111+AE111+AF111+AG111</f>
        <v>10.23</v>
      </c>
      <c r="AI111" s="164"/>
      <c r="AJ111" s="167"/>
      <c r="AK111" s="124">
        <f t="shared" ref="AK111" si="62">+AI111+AJ111-AD111</f>
        <v>58.91</v>
      </c>
      <c r="AL111" s="125"/>
      <c r="AM111" s="171" t="s">
        <v>322</v>
      </c>
    </row>
    <row r="113" spans="1:193">
      <c r="BB113" s="39"/>
      <c r="BC113" s="39"/>
      <c r="BD113" s="39"/>
      <c r="BE113" s="39"/>
      <c r="BF113" s="39"/>
      <c r="BG113" s="39"/>
      <c r="BH113" s="39"/>
      <c r="BI113" s="39"/>
      <c r="BJ113" s="39"/>
      <c r="BK113" s="39"/>
      <c r="BL113" s="39"/>
      <c r="BM113" s="39"/>
      <c r="BN113" s="39"/>
      <c r="BO113" s="39"/>
      <c r="BP113" s="39"/>
      <c r="BQ113" s="39"/>
      <c r="BR113" s="39"/>
      <c r="BS113" s="39"/>
      <c r="BT113" s="39"/>
      <c r="BU113" s="39"/>
      <c r="BV113" s="39"/>
      <c r="BW113" s="39"/>
      <c r="BX113" s="39"/>
      <c r="BY113" s="39"/>
      <c r="BZ113" s="39"/>
      <c r="CA113" s="39"/>
      <c r="CB113" s="39"/>
      <c r="CC113" s="39"/>
      <c r="CD113" s="39"/>
      <c r="CE113" s="39"/>
      <c r="CF113" s="39"/>
      <c r="CG113" s="39"/>
      <c r="CH113" s="39"/>
      <c r="CI113" s="39"/>
      <c r="CJ113" s="39"/>
      <c r="CK113" s="39"/>
      <c r="CL113" s="39"/>
      <c r="CM113" s="39"/>
      <c r="CN113" s="39"/>
      <c r="CO113" s="39"/>
      <c r="CP113" s="39"/>
      <c r="CQ113" s="39"/>
      <c r="CR113" s="39"/>
      <c r="CS113" s="39"/>
      <c r="CT113" s="39"/>
      <c r="CU113" s="39"/>
      <c r="CV113" s="39"/>
      <c r="CW113" s="39"/>
      <c r="CX113" s="39"/>
      <c r="CY113" s="39"/>
      <c r="CZ113" s="39"/>
      <c r="DA113" s="39"/>
      <c r="DB113" s="39"/>
      <c r="DC113" s="39"/>
      <c r="DD113" s="39"/>
      <c r="DE113" s="39"/>
      <c r="DF113" s="39"/>
      <c r="DG113" s="39"/>
      <c r="DH113" s="39"/>
      <c r="DI113" s="39"/>
      <c r="DJ113" s="39"/>
      <c r="DK113" s="39"/>
      <c r="DL113" s="39"/>
      <c r="DM113" s="39"/>
      <c r="DN113" s="39"/>
      <c r="DO113" s="39"/>
      <c r="DP113" s="39"/>
      <c r="DQ113" s="39"/>
      <c r="DR113" s="39"/>
      <c r="DS113" s="39"/>
      <c r="DT113" s="39"/>
      <c r="DU113" s="39"/>
      <c r="DV113" s="39"/>
      <c r="DW113" s="39"/>
      <c r="DX113" s="39"/>
      <c r="DY113" s="39"/>
      <c r="DZ113" s="39"/>
      <c r="EA113" s="39"/>
      <c r="EB113" s="39"/>
      <c r="EC113" s="39"/>
      <c r="ED113" s="39"/>
      <c r="EE113" s="39"/>
      <c r="EF113" s="39"/>
      <c r="EG113" s="39"/>
      <c r="EH113" s="39"/>
      <c r="EI113" s="39"/>
      <c r="EJ113" s="39"/>
      <c r="EK113" s="39"/>
      <c r="EL113" s="39"/>
      <c r="EM113" s="39"/>
      <c r="EN113" s="39"/>
      <c r="EO113" s="39"/>
      <c r="EP113" s="39"/>
      <c r="EQ113" s="39"/>
      <c r="ER113" s="39"/>
      <c r="ES113" s="39"/>
      <c r="ET113" s="39"/>
      <c r="EU113" s="39"/>
      <c r="EV113" s="39"/>
      <c r="EW113" s="39"/>
      <c r="EX113" s="39"/>
      <c r="EY113" s="39"/>
      <c r="EZ113" s="39"/>
      <c r="FA113" s="39"/>
      <c r="FB113" s="39"/>
      <c r="FC113" s="39"/>
      <c r="FD113" s="39"/>
      <c r="FE113" s="39"/>
      <c r="FF113" s="39"/>
      <c r="FG113" s="39"/>
      <c r="FH113" s="39"/>
      <c r="FI113" s="39"/>
      <c r="FJ113" s="39"/>
      <c r="FK113" s="39"/>
      <c r="FL113" s="39"/>
      <c r="FM113" s="39"/>
      <c r="FN113" s="39"/>
      <c r="FO113" s="39"/>
      <c r="FP113" s="39"/>
      <c r="FQ113" s="39"/>
      <c r="FR113" s="39"/>
      <c r="FS113" s="39"/>
      <c r="FT113" s="39"/>
      <c r="FU113" s="39"/>
      <c r="FV113" s="39"/>
      <c r="FW113" s="39"/>
      <c r="FX113" s="39"/>
      <c r="FY113" s="39"/>
      <c r="FZ113" s="39"/>
      <c r="GA113" s="39"/>
      <c r="GB113" s="39"/>
      <c r="GC113" s="39"/>
      <c r="GD113" s="39"/>
      <c r="GE113" s="39"/>
      <c r="GF113" s="39"/>
      <c r="GG113" s="39"/>
      <c r="GH113" s="39"/>
      <c r="GI113" s="39"/>
      <c r="GJ113" s="39"/>
      <c r="GK113" s="39"/>
    </row>
    <row r="114" spans="1:193">
      <c r="BB114" s="39"/>
      <c r="BC114" s="39"/>
      <c r="BD114" s="39"/>
      <c r="BE114" s="39"/>
      <c r="BF114" s="39"/>
      <c r="BG114" s="39"/>
      <c r="BH114" s="39"/>
      <c r="BI114" s="39"/>
      <c r="BJ114" s="39"/>
      <c r="BK114" s="39"/>
      <c r="BL114" s="39"/>
      <c r="BM114" s="39"/>
      <c r="BN114" s="39"/>
      <c r="BO114" s="39"/>
      <c r="BP114" s="39"/>
      <c r="BQ114" s="39"/>
      <c r="BR114" s="39"/>
      <c r="BS114" s="39"/>
      <c r="BT114" s="39"/>
      <c r="BU114" s="39"/>
      <c r="BV114" s="39"/>
      <c r="BW114" s="39"/>
      <c r="BX114" s="39"/>
      <c r="BY114" s="39"/>
      <c r="BZ114" s="39"/>
      <c r="CA114" s="39"/>
      <c r="CB114" s="39"/>
      <c r="CC114" s="39"/>
      <c r="CD114" s="39"/>
      <c r="CE114" s="39"/>
      <c r="CF114" s="39"/>
      <c r="CG114" s="39"/>
      <c r="CH114" s="39"/>
      <c r="CI114" s="39"/>
      <c r="CJ114" s="39"/>
      <c r="CK114" s="39"/>
      <c r="CL114" s="39"/>
      <c r="CM114" s="39"/>
      <c r="CN114" s="39"/>
      <c r="CO114" s="39"/>
      <c r="CP114" s="39"/>
      <c r="CQ114" s="39"/>
      <c r="CR114" s="39"/>
      <c r="CS114" s="39"/>
      <c r="CT114" s="39"/>
      <c r="CU114" s="39"/>
      <c r="CV114" s="39"/>
      <c r="CW114" s="39"/>
      <c r="CX114" s="39"/>
      <c r="CY114" s="39"/>
      <c r="CZ114" s="39"/>
      <c r="DA114" s="39"/>
      <c r="DB114" s="39"/>
      <c r="DC114" s="39"/>
      <c r="DD114" s="39"/>
      <c r="DE114" s="39"/>
      <c r="DF114" s="39"/>
      <c r="DG114" s="39"/>
      <c r="DH114" s="39"/>
      <c r="DI114" s="39"/>
      <c r="DJ114" s="39"/>
      <c r="DK114" s="39"/>
      <c r="DL114" s="39"/>
      <c r="DM114" s="39"/>
      <c r="DN114" s="39"/>
      <c r="DO114" s="39"/>
      <c r="DP114" s="39"/>
      <c r="DQ114" s="39"/>
      <c r="DR114" s="39"/>
      <c r="DS114" s="39"/>
      <c r="DT114" s="39"/>
      <c r="DU114" s="39"/>
      <c r="DV114" s="39"/>
      <c r="DW114" s="39"/>
      <c r="DX114" s="39"/>
      <c r="DY114" s="39"/>
      <c r="DZ114" s="39"/>
      <c r="EA114" s="39"/>
      <c r="EB114" s="39"/>
      <c r="EC114" s="39"/>
      <c r="ED114" s="39"/>
      <c r="EE114" s="39"/>
      <c r="EF114" s="39"/>
      <c r="EG114" s="39"/>
      <c r="EH114" s="39"/>
      <c r="EI114" s="39"/>
      <c r="EJ114" s="39"/>
      <c r="EK114" s="39"/>
      <c r="EL114" s="39"/>
      <c r="EM114" s="39"/>
      <c r="EN114" s="39"/>
      <c r="EO114" s="39"/>
      <c r="EP114" s="39"/>
      <c r="EQ114" s="39"/>
      <c r="ER114" s="39"/>
      <c r="ES114" s="39"/>
      <c r="ET114" s="39"/>
      <c r="EU114" s="39"/>
      <c r="EV114" s="39"/>
      <c r="EW114" s="39"/>
      <c r="EX114" s="39"/>
      <c r="EY114" s="39"/>
      <c r="EZ114" s="39"/>
      <c r="FA114" s="39"/>
      <c r="FB114" s="39"/>
      <c r="FC114" s="39"/>
      <c r="FD114" s="39"/>
      <c r="FE114" s="39"/>
      <c r="FF114" s="39"/>
      <c r="FG114" s="39"/>
      <c r="FH114" s="39"/>
      <c r="FI114" s="39"/>
      <c r="FJ114" s="39"/>
      <c r="FK114" s="39"/>
      <c r="FL114" s="39"/>
      <c r="FM114" s="39"/>
      <c r="FN114" s="39"/>
      <c r="FO114" s="39"/>
      <c r="FP114" s="39"/>
      <c r="FQ114" s="39"/>
      <c r="FR114" s="39"/>
      <c r="FS114" s="39"/>
      <c r="FT114" s="39"/>
      <c r="FU114" s="39"/>
      <c r="FV114" s="39"/>
      <c r="FW114" s="39"/>
      <c r="FX114" s="39"/>
      <c r="FY114" s="39"/>
      <c r="FZ114" s="39"/>
      <c r="GA114" s="39"/>
      <c r="GB114" s="39"/>
      <c r="GC114" s="39"/>
      <c r="GD114" s="39"/>
      <c r="GE114" s="39"/>
      <c r="GF114" s="39"/>
      <c r="GG114" s="39"/>
      <c r="GH114" s="39"/>
      <c r="GI114" s="39"/>
      <c r="GJ114" s="39"/>
      <c r="GK114" s="39"/>
    </row>
    <row r="115" spans="1:193">
      <c r="BB115" s="39"/>
      <c r="BC115" s="39"/>
      <c r="BD115" s="39"/>
      <c r="BE115" s="39"/>
      <c r="BF115" s="39"/>
      <c r="BG115" s="39"/>
      <c r="BH115" s="39"/>
      <c r="BI115" s="39"/>
      <c r="BJ115" s="39"/>
      <c r="BK115" s="39"/>
      <c r="BL115" s="39"/>
      <c r="BM115" s="39"/>
      <c r="BN115" s="39"/>
      <c r="BO115" s="39"/>
      <c r="BP115" s="39"/>
      <c r="BQ115" s="39"/>
      <c r="BR115" s="39"/>
      <c r="BS115" s="39"/>
      <c r="BT115" s="39"/>
      <c r="BU115" s="39"/>
      <c r="BV115" s="39"/>
      <c r="BW115" s="39"/>
      <c r="BX115" s="39"/>
      <c r="BY115" s="39"/>
      <c r="BZ115" s="39"/>
      <c r="CA115" s="39"/>
      <c r="CB115" s="39"/>
      <c r="CC115" s="39"/>
      <c r="CD115" s="39"/>
      <c r="CE115" s="39"/>
      <c r="CF115" s="39"/>
      <c r="CG115" s="39"/>
      <c r="CH115" s="39"/>
      <c r="CI115" s="39"/>
      <c r="CJ115" s="39"/>
      <c r="CK115" s="39"/>
      <c r="CL115" s="39"/>
      <c r="CM115" s="39"/>
      <c r="CN115" s="39"/>
      <c r="CO115" s="39"/>
      <c r="CP115" s="39"/>
      <c r="CQ115" s="39"/>
      <c r="CR115" s="39"/>
      <c r="CS115" s="39"/>
      <c r="CT115" s="39"/>
      <c r="CU115" s="39"/>
      <c r="CV115" s="39"/>
      <c r="CW115" s="39"/>
      <c r="CX115" s="39"/>
      <c r="CY115" s="39"/>
      <c r="CZ115" s="39"/>
      <c r="DA115" s="39"/>
      <c r="DB115" s="39"/>
      <c r="DC115" s="39"/>
      <c r="DD115" s="39"/>
      <c r="DE115" s="39"/>
      <c r="DF115" s="39"/>
      <c r="DG115" s="39"/>
      <c r="DH115" s="39"/>
      <c r="DI115" s="39"/>
      <c r="DJ115" s="39"/>
      <c r="DK115" s="39"/>
      <c r="DL115" s="39"/>
      <c r="DM115" s="39"/>
      <c r="DN115" s="39"/>
      <c r="DO115" s="39"/>
      <c r="DP115" s="39"/>
      <c r="DQ115" s="39"/>
      <c r="DR115" s="39"/>
      <c r="DS115" s="39"/>
      <c r="DT115" s="39"/>
      <c r="DU115" s="39"/>
      <c r="DV115" s="39"/>
      <c r="DW115" s="39"/>
      <c r="DX115" s="39"/>
      <c r="DY115" s="39"/>
      <c r="DZ115" s="39"/>
      <c r="EA115" s="39"/>
      <c r="EB115" s="39"/>
      <c r="EC115" s="39"/>
      <c r="ED115" s="39"/>
      <c r="EE115" s="39"/>
      <c r="EF115" s="39"/>
      <c r="EG115" s="39"/>
      <c r="EH115" s="39"/>
      <c r="EI115" s="39"/>
      <c r="EJ115" s="39"/>
      <c r="EK115" s="39"/>
      <c r="EL115" s="39"/>
      <c r="EM115" s="39"/>
      <c r="EN115" s="39"/>
      <c r="EO115" s="39"/>
      <c r="EP115" s="39"/>
      <c r="EQ115" s="39"/>
      <c r="ER115" s="39"/>
      <c r="ES115" s="39"/>
      <c r="ET115" s="39"/>
      <c r="EU115" s="39"/>
      <c r="EV115" s="39"/>
      <c r="EW115" s="39"/>
      <c r="EX115" s="39"/>
      <c r="EY115" s="39"/>
      <c r="EZ115" s="39"/>
      <c r="FA115" s="39"/>
      <c r="FB115" s="39"/>
      <c r="FC115" s="39"/>
      <c r="FD115" s="39"/>
      <c r="FE115" s="39"/>
      <c r="FF115" s="39"/>
      <c r="FG115" s="39"/>
      <c r="FH115" s="39"/>
      <c r="FI115" s="39"/>
      <c r="FJ115" s="39"/>
      <c r="FK115" s="39"/>
      <c r="FL115" s="39"/>
      <c r="FM115" s="39"/>
      <c r="FN115" s="39"/>
      <c r="FO115" s="39"/>
      <c r="FP115" s="39"/>
      <c r="FQ115" s="39"/>
      <c r="FR115" s="39"/>
      <c r="FS115" s="39"/>
      <c r="FT115" s="39"/>
      <c r="FU115" s="39"/>
      <c r="FV115" s="39"/>
      <c r="FW115" s="39"/>
      <c r="FX115" s="39"/>
      <c r="FY115" s="39"/>
      <c r="FZ115" s="39"/>
      <c r="GA115" s="39"/>
      <c r="GB115" s="39"/>
      <c r="GC115" s="39"/>
      <c r="GD115" s="39"/>
      <c r="GE115" s="39"/>
      <c r="GF115" s="39"/>
      <c r="GG115" s="39"/>
      <c r="GH115" s="39"/>
      <c r="GI115" s="39"/>
      <c r="GJ115" s="39"/>
      <c r="GK115" s="39"/>
    </row>
    <row r="116" spans="1:193">
      <c r="BB116" s="39"/>
      <c r="BC116" s="39"/>
      <c r="BD116" s="39"/>
      <c r="BE116" s="39"/>
      <c r="BF116" s="39"/>
      <c r="BG116" s="39"/>
      <c r="BH116" s="39"/>
      <c r="BI116" s="39"/>
      <c r="BJ116" s="39"/>
      <c r="BK116" s="39"/>
      <c r="BL116" s="39"/>
      <c r="BM116" s="39"/>
      <c r="BN116" s="39"/>
      <c r="BO116" s="39"/>
      <c r="BP116" s="39"/>
      <c r="BQ116" s="39"/>
      <c r="BR116" s="39"/>
      <c r="BS116" s="39"/>
      <c r="BT116" s="39"/>
      <c r="BU116" s="39"/>
      <c r="BV116" s="39"/>
      <c r="BW116" s="39"/>
      <c r="BX116" s="39"/>
      <c r="BY116" s="39"/>
      <c r="BZ116" s="39"/>
      <c r="CA116" s="39"/>
      <c r="CB116" s="39"/>
      <c r="CC116" s="39"/>
      <c r="CD116" s="39"/>
      <c r="CE116" s="39"/>
      <c r="CF116" s="39"/>
      <c r="CG116" s="39"/>
      <c r="CH116" s="39"/>
      <c r="CI116" s="39"/>
      <c r="CJ116" s="39"/>
      <c r="CK116" s="39"/>
      <c r="CL116" s="39"/>
      <c r="CM116" s="39"/>
      <c r="CN116" s="39"/>
      <c r="CO116" s="39"/>
      <c r="CP116" s="39"/>
      <c r="CQ116" s="39"/>
      <c r="CR116" s="39"/>
      <c r="CS116" s="39"/>
      <c r="CT116" s="39"/>
      <c r="CU116" s="39"/>
      <c r="CV116" s="39"/>
      <c r="CW116" s="39"/>
      <c r="CX116" s="39"/>
      <c r="CY116" s="39"/>
      <c r="CZ116" s="39"/>
      <c r="DA116" s="39"/>
      <c r="DB116" s="39"/>
      <c r="DC116" s="39"/>
      <c r="DD116" s="39"/>
      <c r="DE116" s="39"/>
      <c r="DF116" s="39"/>
      <c r="DG116" s="39"/>
      <c r="DH116" s="39"/>
      <c r="DI116" s="39"/>
      <c r="DJ116" s="39"/>
      <c r="DK116" s="39"/>
      <c r="DL116" s="39"/>
      <c r="DM116" s="39"/>
      <c r="DN116" s="39"/>
      <c r="DO116" s="39"/>
      <c r="DP116" s="39"/>
      <c r="DQ116" s="39"/>
      <c r="DR116" s="39"/>
      <c r="DS116" s="39"/>
      <c r="DT116" s="39"/>
      <c r="DU116" s="39"/>
      <c r="DV116" s="39"/>
      <c r="DW116" s="39"/>
      <c r="DX116" s="39"/>
      <c r="DY116" s="39"/>
      <c r="DZ116" s="39"/>
      <c r="EA116" s="39"/>
      <c r="EB116" s="39"/>
      <c r="EC116" s="39"/>
      <c r="ED116" s="39"/>
      <c r="EE116" s="39"/>
      <c r="EF116" s="39"/>
      <c r="EG116" s="39"/>
      <c r="EH116" s="39"/>
      <c r="EI116" s="39"/>
      <c r="EJ116" s="39"/>
      <c r="EK116" s="39"/>
      <c r="EL116" s="39"/>
      <c r="EM116" s="39"/>
      <c r="EN116" s="39"/>
      <c r="EO116" s="39"/>
      <c r="EP116" s="39"/>
      <c r="EQ116" s="39"/>
      <c r="ER116" s="39"/>
      <c r="ES116" s="39"/>
      <c r="ET116" s="39"/>
      <c r="EU116" s="39"/>
      <c r="EV116" s="39"/>
      <c r="EW116" s="39"/>
      <c r="EX116" s="39"/>
      <c r="EY116" s="39"/>
      <c r="EZ116" s="39"/>
      <c r="FA116" s="39"/>
      <c r="FB116" s="39"/>
      <c r="FC116" s="39"/>
      <c r="FD116" s="39"/>
      <c r="FE116" s="39"/>
      <c r="FF116" s="39"/>
      <c r="FG116" s="39"/>
      <c r="FH116" s="39"/>
      <c r="FI116" s="39"/>
      <c r="FJ116" s="39"/>
      <c r="FK116" s="39"/>
      <c r="FL116" s="39"/>
      <c r="FM116" s="39"/>
      <c r="FN116" s="39"/>
      <c r="FO116" s="39"/>
      <c r="FP116" s="39"/>
      <c r="FQ116" s="39"/>
      <c r="FR116" s="39"/>
      <c r="FS116" s="39"/>
      <c r="FT116" s="39"/>
      <c r="FU116" s="39"/>
      <c r="FV116" s="39"/>
      <c r="FW116" s="39"/>
      <c r="FX116" s="39"/>
      <c r="FY116" s="39"/>
      <c r="FZ116" s="39"/>
      <c r="GA116" s="39"/>
      <c r="GB116" s="39"/>
      <c r="GC116" s="39"/>
      <c r="GD116" s="39"/>
      <c r="GE116" s="39"/>
      <c r="GF116" s="39"/>
      <c r="GG116" s="39"/>
      <c r="GH116" s="39"/>
      <c r="GI116" s="39"/>
      <c r="GJ116" s="39"/>
      <c r="GK116" s="39"/>
    </row>
    <row r="117" spans="1:193">
      <c r="BB117" s="39"/>
      <c r="BC117" s="39"/>
      <c r="BD117" s="39"/>
      <c r="BE117" s="39"/>
      <c r="BF117" s="39"/>
      <c r="BG117" s="39"/>
      <c r="BH117" s="39"/>
      <c r="BI117" s="39"/>
      <c r="BJ117" s="39"/>
      <c r="BK117" s="39"/>
      <c r="BL117" s="39"/>
      <c r="BM117" s="39"/>
      <c r="BN117" s="39"/>
      <c r="BO117" s="39"/>
      <c r="BP117" s="39"/>
      <c r="BQ117" s="39"/>
      <c r="BR117" s="39"/>
      <c r="BS117" s="39"/>
      <c r="BT117" s="39"/>
      <c r="BU117" s="39"/>
      <c r="BV117" s="39"/>
      <c r="BW117" s="39"/>
      <c r="BX117" s="39"/>
      <c r="BY117" s="39"/>
      <c r="BZ117" s="39"/>
      <c r="CA117" s="39"/>
      <c r="CB117" s="39"/>
      <c r="CC117" s="39"/>
      <c r="CD117" s="39"/>
      <c r="CE117" s="39"/>
      <c r="CF117" s="39"/>
      <c r="CG117" s="39"/>
      <c r="CH117" s="39"/>
      <c r="CI117" s="39"/>
      <c r="CJ117" s="39"/>
      <c r="CK117" s="39"/>
      <c r="CL117" s="39"/>
      <c r="CM117" s="39"/>
      <c r="CN117" s="39"/>
      <c r="CO117" s="39"/>
      <c r="CP117" s="39"/>
      <c r="CQ117" s="39"/>
      <c r="CR117" s="39"/>
      <c r="CS117" s="39"/>
      <c r="CT117" s="39"/>
      <c r="CU117" s="39"/>
      <c r="CV117" s="39"/>
      <c r="CW117" s="39"/>
      <c r="CX117" s="39"/>
      <c r="CY117" s="39"/>
      <c r="CZ117" s="39"/>
      <c r="DA117" s="39"/>
      <c r="DB117" s="39"/>
      <c r="DC117" s="39"/>
      <c r="DD117" s="39"/>
      <c r="DE117" s="39"/>
      <c r="DF117" s="39"/>
      <c r="DG117" s="39"/>
      <c r="DH117" s="39"/>
      <c r="DI117" s="39"/>
      <c r="DJ117" s="39"/>
      <c r="DK117" s="39"/>
      <c r="DL117" s="39"/>
      <c r="DM117" s="39"/>
      <c r="DN117" s="39"/>
      <c r="DO117" s="39"/>
      <c r="DP117" s="39"/>
      <c r="DQ117" s="39"/>
      <c r="DR117" s="39"/>
      <c r="DS117" s="39"/>
      <c r="DT117" s="39"/>
      <c r="DU117" s="39"/>
      <c r="DV117" s="39"/>
      <c r="DW117" s="39"/>
      <c r="DX117" s="39"/>
      <c r="DY117" s="39"/>
      <c r="DZ117" s="39"/>
      <c r="EA117" s="39"/>
      <c r="EB117" s="39"/>
      <c r="EC117" s="39"/>
      <c r="ED117" s="39"/>
      <c r="EE117" s="39"/>
      <c r="EF117" s="39"/>
      <c r="EG117" s="39"/>
      <c r="EH117" s="39"/>
      <c r="EI117" s="39"/>
      <c r="EJ117" s="39"/>
      <c r="EK117" s="39"/>
      <c r="EL117" s="39"/>
      <c r="EM117" s="39"/>
      <c r="EN117" s="39"/>
      <c r="EO117" s="39"/>
      <c r="EP117" s="39"/>
      <c r="EQ117" s="39"/>
      <c r="ER117" s="39"/>
      <c r="ES117" s="39"/>
      <c r="ET117" s="39"/>
      <c r="EU117" s="39"/>
      <c r="EV117" s="39"/>
      <c r="EW117" s="39"/>
      <c r="EX117" s="39"/>
      <c r="EY117" s="39"/>
      <c r="EZ117" s="39"/>
      <c r="FA117" s="39"/>
      <c r="FB117" s="39"/>
      <c r="FC117" s="39"/>
      <c r="FD117" s="39"/>
      <c r="FE117" s="39"/>
      <c r="FF117" s="39"/>
      <c r="FG117" s="39"/>
      <c r="FH117" s="39"/>
      <c r="FI117" s="39"/>
      <c r="FJ117" s="39"/>
      <c r="FK117" s="39"/>
      <c r="FL117" s="39"/>
      <c r="FM117" s="39"/>
      <c r="FN117" s="39"/>
      <c r="FO117" s="39"/>
      <c r="FP117" s="39"/>
      <c r="FQ117" s="39"/>
      <c r="FR117" s="39"/>
      <c r="FS117" s="39"/>
      <c r="FT117" s="39"/>
      <c r="FU117" s="39"/>
      <c r="FV117" s="39"/>
      <c r="FW117" s="39"/>
      <c r="FX117" s="39"/>
      <c r="FY117" s="39"/>
      <c r="FZ117" s="39"/>
      <c r="GA117" s="39"/>
      <c r="GB117" s="39"/>
      <c r="GC117" s="39"/>
      <c r="GD117" s="39"/>
      <c r="GE117" s="39"/>
      <c r="GF117" s="39"/>
      <c r="GG117" s="39"/>
      <c r="GH117" s="39"/>
      <c r="GI117" s="39"/>
      <c r="GJ117" s="39"/>
      <c r="GK117" s="39"/>
    </row>
    <row r="118" spans="1:193">
      <c r="BB118" s="39"/>
      <c r="BC118" s="39"/>
      <c r="BD118" s="39"/>
      <c r="BE118" s="39"/>
      <c r="BF118" s="39"/>
      <c r="BG118" s="39"/>
      <c r="BH118" s="39"/>
      <c r="BI118" s="39"/>
      <c r="BJ118" s="39"/>
      <c r="BK118" s="39"/>
      <c r="BL118" s="39"/>
      <c r="BM118" s="39"/>
      <c r="BN118" s="39"/>
      <c r="BO118" s="39"/>
      <c r="BP118" s="39"/>
      <c r="BQ118" s="39"/>
      <c r="BR118" s="39"/>
      <c r="BS118" s="39"/>
      <c r="BT118" s="39"/>
      <c r="BU118" s="39"/>
      <c r="BV118" s="39"/>
      <c r="BW118" s="39"/>
      <c r="BX118" s="39"/>
      <c r="BY118" s="39"/>
      <c r="BZ118" s="39"/>
      <c r="CA118" s="39"/>
      <c r="CB118" s="39"/>
      <c r="CC118" s="39"/>
      <c r="CD118" s="39"/>
      <c r="CE118" s="39"/>
      <c r="CF118" s="39"/>
      <c r="CG118" s="39"/>
      <c r="CH118" s="39"/>
      <c r="CI118" s="39"/>
      <c r="CJ118" s="39"/>
      <c r="CK118" s="39"/>
      <c r="CL118" s="39"/>
      <c r="CM118" s="39"/>
      <c r="CN118" s="39"/>
      <c r="CO118" s="39"/>
      <c r="CP118" s="39"/>
      <c r="CQ118" s="39"/>
      <c r="CR118" s="39"/>
      <c r="CS118" s="39"/>
      <c r="CT118" s="39"/>
      <c r="CU118" s="39"/>
      <c r="CV118" s="39"/>
      <c r="CW118" s="39"/>
      <c r="CX118" s="39"/>
      <c r="CY118" s="39"/>
      <c r="CZ118" s="39"/>
      <c r="DA118" s="39"/>
      <c r="DB118" s="39"/>
      <c r="DC118" s="39"/>
      <c r="DD118" s="39"/>
      <c r="DE118" s="39"/>
      <c r="DF118" s="39"/>
      <c r="DG118" s="39"/>
      <c r="DH118" s="39"/>
      <c r="DI118" s="39"/>
      <c r="DJ118" s="39"/>
      <c r="DK118" s="39"/>
      <c r="DL118" s="39"/>
      <c r="DM118" s="39"/>
      <c r="DN118" s="39"/>
      <c r="DO118" s="39"/>
      <c r="DP118" s="39"/>
      <c r="DQ118" s="39"/>
      <c r="DR118" s="39"/>
      <c r="DS118" s="39"/>
      <c r="DT118" s="39"/>
      <c r="DU118" s="39"/>
      <c r="DV118" s="39"/>
      <c r="DW118" s="39"/>
      <c r="DX118" s="39"/>
      <c r="DY118" s="39"/>
      <c r="DZ118" s="39"/>
      <c r="EA118" s="39"/>
      <c r="EB118" s="39"/>
      <c r="EC118" s="39"/>
      <c r="ED118" s="39"/>
      <c r="EE118" s="39"/>
      <c r="EF118" s="39"/>
      <c r="EG118" s="39"/>
      <c r="EH118" s="39"/>
      <c r="EI118" s="39"/>
      <c r="EJ118" s="39"/>
      <c r="EK118" s="39"/>
      <c r="EL118" s="39"/>
      <c r="EM118" s="39"/>
      <c r="EN118" s="39"/>
      <c r="EO118" s="39"/>
      <c r="EP118" s="39"/>
      <c r="EQ118" s="39"/>
      <c r="ER118" s="39"/>
      <c r="ES118" s="39"/>
      <c r="ET118" s="39"/>
      <c r="EU118" s="39"/>
      <c r="EV118" s="39"/>
      <c r="EW118" s="39"/>
      <c r="EX118" s="39"/>
      <c r="EY118" s="39"/>
      <c r="EZ118" s="39"/>
      <c r="FA118" s="39"/>
      <c r="FB118" s="39"/>
      <c r="FC118" s="39"/>
      <c r="FD118" s="39"/>
      <c r="FE118" s="39"/>
      <c r="FF118" s="39"/>
      <c r="FG118" s="39"/>
      <c r="FH118" s="39"/>
      <c r="FI118" s="39"/>
      <c r="FJ118" s="39"/>
      <c r="FK118" s="39"/>
      <c r="FL118" s="39"/>
      <c r="FM118" s="39"/>
      <c r="FN118" s="39"/>
      <c r="FO118" s="39"/>
      <c r="FP118" s="39"/>
      <c r="FQ118" s="39"/>
      <c r="FR118" s="39"/>
      <c r="FS118" s="39"/>
      <c r="FT118" s="39"/>
      <c r="FU118" s="39"/>
      <c r="FV118" s="39"/>
      <c r="FW118" s="39"/>
      <c r="FX118" s="39"/>
      <c r="FY118" s="39"/>
      <c r="FZ118" s="39"/>
      <c r="GA118" s="39"/>
      <c r="GB118" s="39"/>
      <c r="GC118" s="39"/>
      <c r="GD118" s="39"/>
      <c r="GE118" s="39"/>
      <c r="GF118" s="39"/>
      <c r="GG118" s="39"/>
      <c r="GH118" s="39"/>
      <c r="GI118" s="39"/>
      <c r="GJ118" s="39"/>
      <c r="GK118" s="39"/>
    </row>
    <row r="119" spans="1:193">
      <c r="A119" s="41" t="s">
        <v>57</v>
      </c>
      <c r="B119" s="23"/>
      <c r="C119" s="23"/>
      <c r="BB119" s="39"/>
      <c r="BC119" s="39"/>
      <c r="BD119" s="39"/>
      <c r="BE119" s="39"/>
      <c r="BF119" s="39"/>
      <c r="BG119" s="39"/>
      <c r="BH119" s="39"/>
      <c r="BI119" s="39"/>
      <c r="BJ119" s="39"/>
      <c r="BK119" s="39"/>
      <c r="BL119" s="39"/>
      <c r="BM119" s="39"/>
      <c r="BN119" s="39"/>
      <c r="BO119" s="39"/>
      <c r="BP119" s="39"/>
      <c r="BQ119" s="39"/>
      <c r="BR119" s="39"/>
      <c r="BS119" s="39"/>
      <c r="BT119" s="39"/>
      <c r="BU119" s="39"/>
      <c r="BV119" s="39"/>
      <c r="BW119" s="39"/>
      <c r="BX119" s="39"/>
      <c r="BY119" s="39"/>
      <c r="BZ119" s="39"/>
      <c r="CA119" s="39"/>
      <c r="CB119" s="39"/>
      <c r="CC119" s="39"/>
      <c r="CD119" s="39"/>
      <c r="CE119" s="39"/>
      <c r="CF119" s="39"/>
      <c r="CG119" s="39"/>
      <c r="CH119" s="39"/>
      <c r="CI119" s="39"/>
      <c r="CJ119" s="39"/>
      <c r="CK119" s="39"/>
      <c r="CL119" s="39"/>
      <c r="CM119" s="39"/>
      <c r="CN119" s="39"/>
      <c r="CO119" s="39"/>
      <c r="CP119" s="39"/>
      <c r="CQ119" s="39"/>
      <c r="CR119" s="39"/>
      <c r="CS119" s="39"/>
      <c r="CT119" s="39"/>
      <c r="CU119" s="39"/>
      <c r="CV119" s="39"/>
      <c r="CW119" s="39"/>
      <c r="CX119" s="39"/>
      <c r="CY119" s="39"/>
      <c r="CZ119" s="39"/>
      <c r="DA119" s="39"/>
      <c r="DB119" s="39"/>
      <c r="DC119" s="39"/>
      <c r="DD119" s="39"/>
      <c r="DE119" s="39"/>
      <c r="DF119" s="39"/>
      <c r="DG119" s="39"/>
      <c r="DH119" s="39"/>
      <c r="DI119" s="39"/>
      <c r="DJ119" s="39"/>
      <c r="DK119" s="39"/>
      <c r="DL119" s="39"/>
      <c r="DM119" s="39"/>
      <c r="DN119" s="39"/>
      <c r="DO119" s="39"/>
      <c r="DP119" s="39"/>
      <c r="DQ119" s="39"/>
      <c r="DR119" s="39"/>
      <c r="DS119" s="39"/>
      <c r="DT119" s="39"/>
      <c r="DU119" s="39"/>
      <c r="DV119" s="39"/>
      <c r="DW119" s="39"/>
      <c r="DX119" s="39"/>
      <c r="DY119" s="39"/>
      <c r="DZ119" s="39"/>
      <c r="EA119" s="39"/>
      <c r="EB119" s="39"/>
      <c r="EC119" s="39"/>
      <c r="ED119" s="39"/>
      <c r="EE119" s="39"/>
      <c r="EF119" s="39"/>
      <c r="EG119" s="39"/>
      <c r="EH119" s="39"/>
      <c r="EI119" s="39"/>
      <c r="EJ119" s="39"/>
      <c r="EK119" s="39"/>
      <c r="EL119" s="39"/>
      <c r="EM119" s="39"/>
      <c r="EN119" s="39"/>
      <c r="EO119" s="39"/>
      <c r="EP119" s="39"/>
      <c r="EQ119" s="39"/>
      <c r="ER119" s="39"/>
      <c r="ES119" s="39"/>
      <c r="ET119" s="39"/>
      <c r="EU119" s="39"/>
      <c r="EV119" s="39"/>
      <c r="EW119" s="39"/>
      <c r="EX119" s="39"/>
      <c r="EY119" s="39"/>
      <c r="EZ119" s="39"/>
      <c r="FA119" s="39"/>
      <c r="FB119" s="39"/>
      <c r="FC119" s="39"/>
      <c r="FD119" s="39"/>
      <c r="FE119" s="39"/>
      <c r="FF119" s="39"/>
      <c r="FG119" s="39"/>
      <c r="FH119" s="39"/>
      <c r="FI119" s="39"/>
      <c r="FJ119" s="39"/>
      <c r="FK119" s="39"/>
      <c r="FL119" s="39"/>
      <c r="FM119" s="39"/>
      <c r="FN119" s="39"/>
      <c r="FO119" s="39"/>
      <c r="FP119" s="39"/>
      <c r="FQ119" s="39"/>
      <c r="FR119" s="39"/>
      <c r="FS119" s="39"/>
      <c r="FT119" s="39"/>
      <c r="FU119" s="39"/>
      <c r="FV119" s="39"/>
      <c r="FW119" s="39"/>
      <c r="FX119" s="39"/>
      <c r="FY119" s="39"/>
      <c r="FZ119" s="39"/>
      <c r="GA119" s="39"/>
      <c r="GB119" s="39"/>
      <c r="GC119" s="39"/>
      <c r="GD119" s="39"/>
      <c r="GE119" s="39"/>
      <c r="GF119" s="39"/>
      <c r="GG119" s="39"/>
      <c r="GH119" s="39"/>
      <c r="GI119" s="39"/>
      <c r="GJ119" s="39"/>
      <c r="GK119" s="39"/>
    </row>
    <row r="120" spans="1:193">
      <c r="A120" s="41" t="s">
        <v>58</v>
      </c>
      <c r="B120" s="23"/>
      <c r="C120" s="23"/>
      <c r="BB120" s="39"/>
      <c r="BC120" s="39"/>
      <c r="BD120" s="39"/>
      <c r="BE120" s="39"/>
      <c r="BF120" s="39"/>
      <c r="BG120" s="39"/>
      <c r="BH120" s="39"/>
      <c r="BI120" s="39"/>
      <c r="BJ120" s="39"/>
      <c r="BK120" s="39"/>
      <c r="BL120" s="39"/>
      <c r="BM120" s="39"/>
      <c r="BN120" s="39"/>
      <c r="BO120" s="39"/>
      <c r="BP120" s="39"/>
      <c r="BQ120" s="39"/>
      <c r="BR120" s="39"/>
      <c r="BS120" s="39"/>
      <c r="BT120" s="39"/>
      <c r="BU120" s="39"/>
      <c r="BV120" s="39"/>
      <c r="BW120" s="39"/>
      <c r="BX120" s="39"/>
      <c r="BY120" s="39"/>
      <c r="BZ120" s="39"/>
      <c r="CA120" s="39"/>
      <c r="CB120" s="39"/>
      <c r="CC120" s="39"/>
      <c r="CD120" s="39"/>
      <c r="CE120" s="39"/>
      <c r="CF120" s="39"/>
      <c r="CG120" s="39"/>
      <c r="CH120" s="39"/>
      <c r="CI120" s="39"/>
      <c r="CJ120" s="39"/>
      <c r="CK120" s="39"/>
      <c r="CL120" s="39"/>
      <c r="CM120" s="39"/>
      <c r="CN120" s="39"/>
      <c r="CO120" s="39"/>
      <c r="CP120" s="39"/>
      <c r="CQ120" s="39"/>
      <c r="CR120" s="39"/>
      <c r="CS120" s="39"/>
      <c r="CT120" s="39"/>
      <c r="CU120" s="39"/>
      <c r="CV120" s="39"/>
      <c r="CW120" s="39"/>
      <c r="CX120" s="39"/>
      <c r="CY120" s="39"/>
      <c r="CZ120" s="39"/>
      <c r="DA120" s="39"/>
      <c r="DB120" s="39"/>
      <c r="DC120" s="39"/>
      <c r="DD120" s="39"/>
      <c r="DE120" s="39"/>
      <c r="DF120" s="39"/>
      <c r="DG120" s="39"/>
      <c r="DH120" s="39"/>
      <c r="DI120" s="39"/>
      <c r="DJ120" s="39"/>
      <c r="DK120" s="39"/>
      <c r="DL120" s="39"/>
      <c r="DM120" s="39"/>
      <c r="DN120" s="39"/>
      <c r="DO120" s="39"/>
      <c r="DP120" s="39"/>
      <c r="DQ120" s="39"/>
      <c r="DR120" s="39"/>
      <c r="DS120" s="39"/>
      <c r="DT120" s="39"/>
      <c r="DU120" s="39"/>
      <c r="DV120" s="39"/>
      <c r="DW120" s="39"/>
      <c r="DX120" s="39"/>
      <c r="DY120" s="39"/>
      <c r="DZ120" s="39"/>
      <c r="EA120" s="39"/>
      <c r="EB120" s="39"/>
      <c r="EC120" s="39"/>
      <c r="ED120" s="39"/>
      <c r="EE120" s="39"/>
      <c r="EF120" s="39"/>
      <c r="EG120" s="39"/>
      <c r="EH120" s="39"/>
      <c r="EI120" s="39"/>
      <c r="EJ120" s="39"/>
      <c r="EK120" s="39"/>
      <c r="EL120" s="39"/>
      <c r="EM120" s="39"/>
      <c r="EN120" s="39"/>
      <c r="EO120" s="39"/>
      <c r="EP120" s="39"/>
      <c r="EQ120" s="39"/>
      <c r="ER120" s="39"/>
      <c r="ES120" s="39"/>
      <c r="ET120" s="39"/>
      <c r="EU120" s="39"/>
      <c r="EV120" s="39"/>
      <c r="EW120" s="39"/>
      <c r="EX120" s="39"/>
      <c r="EY120" s="39"/>
      <c r="EZ120" s="39"/>
      <c r="FA120" s="39"/>
      <c r="FB120" s="39"/>
      <c r="FC120" s="39"/>
      <c r="FD120" s="39"/>
      <c r="FE120" s="39"/>
      <c r="FF120" s="39"/>
      <c r="FG120" s="39"/>
      <c r="FH120" s="39"/>
      <c r="FI120" s="39"/>
      <c r="FJ120" s="39"/>
      <c r="FK120" s="39"/>
      <c r="FL120" s="39"/>
      <c r="FM120" s="39"/>
      <c r="FN120" s="39"/>
      <c r="FO120" s="39"/>
      <c r="FP120" s="39"/>
      <c r="FQ120" s="39"/>
      <c r="FR120" s="39"/>
      <c r="FS120" s="39"/>
      <c r="FT120" s="39"/>
      <c r="FU120" s="39"/>
      <c r="FV120" s="39"/>
      <c r="FW120" s="39"/>
      <c r="FX120" s="39"/>
      <c r="FY120" s="39"/>
      <c r="FZ120" s="39"/>
      <c r="GA120" s="39"/>
      <c r="GB120" s="39"/>
      <c r="GC120" s="39"/>
      <c r="GD120" s="39"/>
      <c r="GE120" s="39"/>
      <c r="GF120" s="39"/>
      <c r="GG120" s="39"/>
      <c r="GH120" s="39"/>
      <c r="GI120" s="39"/>
      <c r="GJ120" s="39"/>
      <c r="GK120" s="39"/>
    </row>
    <row r="121" spans="1:193">
      <c r="A121" s="41" t="s">
        <v>59</v>
      </c>
      <c r="B121" s="23"/>
      <c r="C121" s="23"/>
      <c r="BB121" s="39"/>
      <c r="BC121" s="39"/>
      <c r="BD121" s="39"/>
      <c r="BE121" s="39"/>
      <c r="BF121" s="39"/>
      <c r="BG121" s="39"/>
      <c r="BH121" s="39"/>
      <c r="BI121" s="39"/>
      <c r="BJ121" s="39"/>
      <c r="BK121" s="39"/>
      <c r="BL121" s="39"/>
      <c r="BM121" s="39"/>
      <c r="BN121" s="39"/>
      <c r="BO121" s="39"/>
      <c r="BP121" s="39"/>
      <c r="BQ121" s="39"/>
      <c r="BR121" s="39"/>
      <c r="BS121" s="39"/>
      <c r="BT121" s="39"/>
      <c r="BU121" s="39"/>
      <c r="BV121" s="39"/>
      <c r="BW121" s="39"/>
      <c r="BX121" s="39"/>
      <c r="BY121" s="39"/>
      <c r="BZ121" s="39"/>
      <c r="CA121" s="39"/>
      <c r="CB121" s="39"/>
      <c r="CC121" s="39"/>
      <c r="CD121" s="39"/>
      <c r="CE121" s="39"/>
      <c r="CF121" s="39"/>
      <c r="CG121" s="39"/>
      <c r="CH121" s="39"/>
      <c r="CI121" s="39"/>
      <c r="CJ121" s="39"/>
      <c r="CK121" s="39"/>
      <c r="CL121" s="39"/>
      <c r="CM121" s="39"/>
      <c r="CN121" s="39"/>
      <c r="CO121" s="39"/>
      <c r="CP121" s="39"/>
      <c r="CQ121" s="39"/>
      <c r="CR121" s="39"/>
      <c r="CS121" s="39"/>
      <c r="CT121" s="39"/>
      <c r="CU121" s="39"/>
      <c r="CV121" s="39"/>
      <c r="CW121" s="39"/>
      <c r="CX121" s="39"/>
      <c r="CY121" s="39"/>
      <c r="CZ121" s="39"/>
      <c r="DA121" s="39"/>
      <c r="DB121" s="39"/>
      <c r="DC121" s="39"/>
      <c r="DD121" s="39"/>
      <c r="DE121" s="39"/>
      <c r="DF121" s="39"/>
      <c r="DG121" s="39"/>
      <c r="DH121" s="39"/>
      <c r="DI121" s="39"/>
      <c r="DJ121" s="39"/>
      <c r="DK121" s="39"/>
      <c r="DL121" s="39"/>
      <c r="DM121" s="39"/>
      <c r="DN121" s="39"/>
      <c r="DO121" s="39"/>
      <c r="DP121" s="39"/>
      <c r="DQ121" s="39"/>
      <c r="DR121" s="39"/>
      <c r="DS121" s="39"/>
      <c r="DT121" s="39"/>
      <c r="DU121" s="39"/>
      <c r="DV121" s="39"/>
      <c r="DW121" s="39"/>
      <c r="DX121" s="39"/>
      <c r="DY121" s="39"/>
      <c r="DZ121" s="39"/>
      <c r="EA121" s="39"/>
      <c r="EB121" s="39"/>
      <c r="EC121" s="39"/>
      <c r="ED121" s="39"/>
      <c r="EE121" s="39"/>
      <c r="EF121" s="39"/>
      <c r="EG121" s="39"/>
      <c r="EH121" s="39"/>
      <c r="EI121" s="39"/>
      <c r="EJ121" s="39"/>
      <c r="EK121" s="39"/>
      <c r="EL121" s="39"/>
      <c r="EM121" s="39"/>
      <c r="EN121" s="39"/>
      <c r="EO121" s="39"/>
      <c r="EP121" s="39"/>
      <c r="EQ121" s="39"/>
      <c r="ER121" s="39"/>
      <c r="ES121" s="39"/>
      <c r="ET121" s="39"/>
      <c r="EU121" s="39"/>
      <c r="EV121" s="39"/>
      <c r="EW121" s="39"/>
      <c r="EX121" s="39"/>
      <c r="EY121" s="39"/>
      <c r="EZ121" s="39"/>
      <c r="FA121" s="39"/>
      <c r="FB121" s="39"/>
      <c r="FC121" s="39"/>
      <c r="FD121" s="39"/>
      <c r="FE121" s="39"/>
      <c r="FF121" s="39"/>
      <c r="FG121" s="39"/>
      <c r="FH121" s="39"/>
      <c r="FI121" s="39"/>
      <c r="FJ121" s="39"/>
      <c r="FK121" s="39"/>
      <c r="FL121" s="39"/>
      <c r="FM121" s="39"/>
      <c r="FN121" s="39"/>
      <c r="FO121" s="39"/>
      <c r="FP121" s="39"/>
      <c r="FQ121" s="39"/>
      <c r="FR121" s="39"/>
      <c r="FS121" s="39"/>
      <c r="FT121" s="39"/>
      <c r="FU121" s="39"/>
      <c r="FV121" s="39"/>
      <c r="FW121" s="39"/>
      <c r="FX121" s="39"/>
      <c r="FY121" s="39"/>
      <c r="FZ121" s="39"/>
      <c r="GA121" s="39"/>
      <c r="GB121" s="39"/>
      <c r="GC121" s="39"/>
      <c r="GD121" s="39"/>
      <c r="GE121" s="39"/>
      <c r="GF121" s="39"/>
      <c r="GG121" s="39"/>
      <c r="GH121" s="39"/>
      <c r="GI121" s="39"/>
      <c r="GJ121" s="39"/>
      <c r="GK121" s="39"/>
    </row>
    <row r="122" spans="1:193">
      <c r="A122" s="41" t="s">
        <v>60</v>
      </c>
      <c r="B122" s="23"/>
      <c r="C122" s="23"/>
      <c r="BB122" s="39"/>
      <c r="BC122" s="39"/>
      <c r="BD122" s="39"/>
      <c r="BE122" s="39"/>
      <c r="BF122" s="39"/>
      <c r="BG122" s="39"/>
      <c r="BH122" s="39"/>
      <c r="BI122" s="39"/>
      <c r="BJ122" s="39"/>
      <c r="BK122" s="39"/>
      <c r="BL122" s="39"/>
      <c r="BM122" s="39"/>
      <c r="BN122" s="39"/>
      <c r="BO122" s="39"/>
      <c r="BP122" s="39"/>
      <c r="BQ122" s="39"/>
      <c r="BR122" s="39"/>
      <c r="BS122" s="39"/>
      <c r="BT122" s="39"/>
      <c r="BU122" s="39"/>
      <c r="BV122" s="39"/>
      <c r="BW122" s="39"/>
      <c r="BX122" s="39"/>
      <c r="BY122" s="39"/>
      <c r="BZ122" s="39"/>
      <c r="CA122" s="39"/>
      <c r="CB122" s="39"/>
      <c r="CC122" s="39"/>
      <c r="CD122" s="39"/>
      <c r="CE122" s="39"/>
      <c r="CF122" s="39"/>
      <c r="CG122" s="39"/>
      <c r="CH122" s="39"/>
      <c r="CI122" s="39"/>
      <c r="CJ122" s="39"/>
      <c r="CK122" s="39"/>
      <c r="CL122" s="39"/>
      <c r="CM122" s="39"/>
      <c r="CN122" s="39"/>
      <c r="CO122" s="39"/>
      <c r="CP122" s="39"/>
      <c r="CQ122" s="39"/>
      <c r="CR122" s="39"/>
      <c r="CS122" s="39"/>
      <c r="CT122" s="39"/>
      <c r="CU122" s="39"/>
      <c r="CV122" s="39"/>
      <c r="CW122" s="39"/>
      <c r="CX122" s="39"/>
      <c r="CY122" s="39"/>
      <c r="CZ122" s="39"/>
      <c r="DA122" s="39"/>
      <c r="DB122" s="39"/>
      <c r="DC122" s="39"/>
      <c r="DD122" s="39"/>
      <c r="DE122" s="39"/>
      <c r="DF122" s="39"/>
      <c r="DG122" s="39"/>
      <c r="DH122" s="39"/>
      <c r="DI122" s="39"/>
      <c r="DJ122" s="39"/>
      <c r="DK122" s="39"/>
      <c r="DL122" s="39"/>
      <c r="DM122" s="39"/>
      <c r="DN122" s="39"/>
      <c r="DO122" s="39"/>
      <c r="DP122" s="39"/>
      <c r="DQ122" s="39"/>
      <c r="DR122" s="39"/>
      <c r="DS122" s="39"/>
      <c r="DT122" s="39"/>
      <c r="DU122" s="39"/>
      <c r="DV122" s="39"/>
      <c r="DW122" s="39"/>
      <c r="DX122" s="39"/>
      <c r="DY122" s="39"/>
      <c r="DZ122" s="39"/>
      <c r="EA122" s="39"/>
      <c r="EB122" s="39"/>
      <c r="EC122" s="39"/>
      <c r="ED122" s="39"/>
      <c r="EE122" s="39"/>
      <c r="EF122" s="39"/>
      <c r="EG122" s="39"/>
      <c r="EH122" s="39"/>
      <c r="EI122" s="39"/>
      <c r="EJ122" s="39"/>
      <c r="EK122" s="39"/>
      <c r="EL122" s="39"/>
      <c r="EM122" s="39"/>
      <c r="EN122" s="39"/>
      <c r="EO122" s="39"/>
      <c r="EP122" s="39"/>
      <c r="EQ122" s="39"/>
      <c r="ER122" s="39"/>
      <c r="ES122" s="39"/>
      <c r="ET122" s="39"/>
      <c r="EU122" s="39"/>
      <c r="EV122" s="39"/>
      <c r="EW122" s="39"/>
      <c r="EX122" s="39"/>
      <c r="EY122" s="39"/>
      <c r="EZ122" s="39"/>
      <c r="FA122" s="39"/>
      <c r="FB122" s="39"/>
      <c r="FC122" s="39"/>
      <c r="FD122" s="39"/>
      <c r="FE122" s="39"/>
      <c r="FF122" s="39"/>
      <c r="FG122" s="39"/>
      <c r="FH122" s="39"/>
      <c r="FI122" s="39"/>
      <c r="FJ122" s="39"/>
      <c r="FK122" s="39"/>
      <c r="FL122" s="39"/>
      <c r="FM122" s="39"/>
      <c r="FN122" s="39"/>
      <c r="FO122" s="39"/>
      <c r="FP122" s="39"/>
      <c r="FQ122" s="39"/>
      <c r="FR122" s="39"/>
      <c r="FS122" s="39"/>
      <c r="FT122" s="39"/>
      <c r="FU122" s="39"/>
      <c r="FV122" s="39"/>
      <c r="FW122" s="39"/>
      <c r="FX122" s="39"/>
      <c r="FY122" s="39"/>
      <c r="FZ122" s="39"/>
      <c r="GA122" s="39"/>
      <c r="GB122" s="39"/>
      <c r="GC122" s="39"/>
      <c r="GD122" s="39"/>
      <c r="GE122" s="39"/>
      <c r="GF122" s="39"/>
      <c r="GG122" s="39"/>
      <c r="GH122" s="39"/>
      <c r="GI122" s="39"/>
      <c r="GJ122" s="39"/>
      <c r="GK122" s="39"/>
    </row>
    <row r="123" spans="1:193">
      <c r="A123" s="41" t="s">
        <v>61</v>
      </c>
      <c r="B123" s="23"/>
      <c r="C123" s="23"/>
      <c r="BB123" s="39"/>
      <c r="BC123" s="39"/>
      <c r="BD123" s="39"/>
      <c r="BE123" s="39"/>
      <c r="BF123" s="39"/>
      <c r="BG123" s="39"/>
      <c r="BH123" s="39"/>
      <c r="BI123" s="39"/>
      <c r="BJ123" s="39"/>
      <c r="BK123" s="39"/>
      <c r="BL123" s="39"/>
      <c r="BM123" s="39"/>
      <c r="BN123" s="39"/>
      <c r="BO123" s="39"/>
      <c r="BP123" s="39"/>
      <c r="BQ123" s="39"/>
      <c r="BR123" s="39"/>
      <c r="BS123" s="39"/>
      <c r="BT123" s="39"/>
      <c r="BU123" s="39"/>
      <c r="BV123" s="39"/>
      <c r="BW123" s="39"/>
      <c r="BX123" s="39"/>
      <c r="BY123" s="39"/>
      <c r="BZ123" s="39"/>
      <c r="CA123" s="39"/>
      <c r="CB123" s="39"/>
      <c r="CC123" s="39"/>
      <c r="CD123" s="39"/>
      <c r="CE123" s="39"/>
      <c r="CF123" s="39"/>
      <c r="CG123" s="39"/>
      <c r="CH123" s="39"/>
      <c r="CI123" s="39"/>
      <c r="CJ123" s="39"/>
      <c r="CK123" s="39"/>
      <c r="CL123" s="39"/>
      <c r="CM123" s="39"/>
      <c r="CN123" s="39"/>
      <c r="CO123" s="39"/>
      <c r="CP123" s="39"/>
      <c r="CQ123" s="39"/>
      <c r="CR123" s="39"/>
      <c r="CS123" s="39"/>
      <c r="CT123" s="39"/>
      <c r="CU123" s="39"/>
      <c r="CV123" s="39"/>
      <c r="CW123" s="39"/>
      <c r="CX123" s="39"/>
      <c r="CY123" s="39"/>
      <c r="CZ123" s="39"/>
      <c r="DA123" s="39"/>
      <c r="DB123" s="39"/>
      <c r="DC123" s="39"/>
      <c r="DD123" s="39"/>
      <c r="DE123" s="39"/>
      <c r="DF123" s="39"/>
      <c r="DG123" s="39"/>
      <c r="DH123" s="39"/>
      <c r="DI123" s="39"/>
      <c r="DJ123" s="39"/>
      <c r="DK123" s="39"/>
      <c r="DL123" s="39"/>
      <c r="DM123" s="39"/>
      <c r="DN123" s="39"/>
      <c r="DO123" s="39"/>
      <c r="DP123" s="39"/>
      <c r="DQ123" s="39"/>
      <c r="DR123" s="39"/>
      <c r="DS123" s="39"/>
      <c r="DT123" s="39"/>
      <c r="DU123" s="39"/>
      <c r="DV123" s="39"/>
      <c r="DW123" s="39"/>
      <c r="DX123" s="39"/>
      <c r="DY123" s="39"/>
      <c r="DZ123" s="39"/>
      <c r="EA123" s="39"/>
      <c r="EB123" s="39"/>
      <c r="EC123" s="39"/>
      <c r="ED123" s="39"/>
      <c r="EE123" s="39"/>
      <c r="EF123" s="39"/>
      <c r="EG123" s="39"/>
      <c r="EH123" s="39"/>
      <c r="EI123" s="39"/>
      <c r="EJ123" s="39"/>
      <c r="EK123" s="39"/>
      <c r="EL123" s="39"/>
      <c r="EM123" s="39"/>
      <c r="EN123" s="39"/>
      <c r="EO123" s="39"/>
      <c r="EP123" s="39"/>
      <c r="EQ123" s="39"/>
      <c r="ER123" s="39"/>
      <c r="ES123" s="39"/>
      <c r="ET123" s="39"/>
      <c r="EU123" s="39"/>
      <c r="EV123" s="39"/>
      <c r="EW123" s="39"/>
      <c r="EX123" s="39"/>
      <c r="EY123" s="39"/>
      <c r="EZ123" s="39"/>
      <c r="FA123" s="39"/>
      <c r="FB123" s="39"/>
      <c r="FC123" s="39"/>
      <c r="FD123" s="39"/>
      <c r="FE123" s="39"/>
      <c r="FF123" s="39"/>
      <c r="FG123" s="39"/>
      <c r="FH123" s="39"/>
      <c r="FI123" s="39"/>
      <c r="FJ123" s="39"/>
      <c r="FK123" s="39"/>
      <c r="FL123" s="39"/>
      <c r="FM123" s="39"/>
      <c r="FN123" s="39"/>
      <c r="FO123" s="39"/>
      <c r="FP123" s="39"/>
      <c r="FQ123" s="39"/>
      <c r="FR123" s="39"/>
      <c r="FS123" s="39"/>
      <c r="FT123" s="39"/>
      <c r="FU123" s="39"/>
      <c r="FV123" s="39"/>
      <c r="FW123" s="39"/>
      <c r="FX123" s="39"/>
      <c r="FY123" s="39"/>
      <c r="FZ123" s="39"/>
      <c r="GA123" s="39"/>
      <c r="GB123" s="39"/>
      <c r="GC123" s="39"/>
      <c r="GD123" s="39"/>
      <c r="GE123" s="39"/>
      <c r="GF123" s="39"/>
      <c r="GG123" s="39"/>
      <c r="GH123" s="39"/>
      <c r="GI123" s="39"/>
      <c r="GJ123" s="39"/>
      <c r="GK123" s="39"/>
    </row>
    <row r="124" spans="1:193">
      <c r="A124" s="41" t="s">
        <v>62</v>
      </c>
      <c r="B124" s="23"/>
      <c r="C124" s="23"/>
      <c r="BB124" s="39"/>
      <c r="BC124" s="39"/>
      <c r="BD124" s="39"/>
      <c r="BE124" s="39"/>
      <c r="BF124" s="39"/>
      <c r="BG124" s="39"/>
      <c r="BH124" s="39"/>
      <c r="BI124" s="39"/>
      <c r="BJ124" s="39"/>
      <c r="BK124" s="39"/>
      <c r="BL124" s="39"/>
      <c r="BM124" s="39"/>
      <c r="BN124" s="39"/>
      <c r="BO124" s="39"/>
      <c r="BP124" s="39"/>
      <c r="BQ124" s="39"/>
      <c r="BR124" s="39"/>
      <c r="BS124" s="39"/>
      <c r="BT124" s="39"/>
      <c r="BU124" s="39"/>
      <c r="BV124" s="39"/>
      <c r="BW124" s="39"/>
      <c r="BX124" s="39"/>
      <c r="BY124" s="39"/>
      <c r="BZ124" s="39"/>
      <c r="CA124" s="39"/>
      <c r="CB124" s="39"/>
      <c r="CC124" s="39"/>
      <c r="CD124" s="39"/>
      <c r="CE124" s="39"/>
      <c r="CF124" s="39"/>
      <c r="CG124" s="39"/>
      <c r="CH124" s="39"/>
      <c r="CI124" s="39"/>
      <c r="CJ124" s="39"/>
      <c r="CK124" s="39"/>
      <c r="CL124" s="39"/>
      <c r="CM124" s="39"/>
      <c r="CN124" s="39"/>
      <c r="CO124" s="39"/>
      <c r="CP124" s="39"/>
      <c r="CQ124" s="39"/>
      <c r="CR124" s="39"/>
      <c r="CS124" s="39"/>
      <c r="CT124" s="39"/>
      <c r="CU124" s="39"/>
      <c r="CV124" s="39"/>
      <c r="CW124" s="39"/>
      <c r="CX124" s="39"/>
      <c r="CY124" s="39"/>
      <c r="CZ124" s="39"/>
      <c r="DA124" s="39"/>
      <c r="DB124" s="39"/>
      <c r="DC124" s="39"/>
      <c r="DD124" s="39"/>
      <c r="DE124" s="39"/>
      <c r="DF124" s="39"/>
      <c r="DG124" s="39"/>
      <c r="DH124" s="39"/>
      <c r="DI124" s="39"/>
      <c r="DJ124" s="39"/>
      <c r="DK124" s="39"/>
      <c r="DL124" s="39"/>
      <c r="DM124" s="39"/>
      <c r="DN124" s="39"/>
      <c r="DO124" s="39"/>
      <c r="DP124" s="39"/>
      <c r="DQ124" s="39"/>
      <c r="DR124" s="39"/>
      <c r="DS124" s="39"/>
      <c r="DT124" s="39"/>
      <c r="DU124" s="39"/>
      <c r="DV124" s="39"/>
      <c r="DW124" s="39"/>
      <c r="DX124" s="39"/>
      <c r="DY124" s="39"/>
      <c r="DZ124" s="39"/>
      <c r="EA124" s="39"/>
      <c r="EB124" s="39"/>
      <c r="EC124" s="39"/>
      <c r="ED124" s="39"/>
      <c r="EE124" s="39"/>
      <c r="EF124" s="39"/>
      <c r="EG124" s="39"/>
      <c r="EH124" s="39"/>
      <c r="EI124" s="39"/>
      <c r="EJ124" s="39"/>
      <c r="EK124" s="39"/>
      <c r="EL124" s="39"/>
      <c r="EM124" s="39"/>
      <c r="EN124" s="39"/>
      <c r="EO124" s="39"/>
      <c r="EP124" s="39"/>
      <c r="EQ124" s="39"/>
      <c r="ER124" s="39"/>
      <c r="ES124" s="39"/>
      <c r="ET124" s="39"/>
      <c r="EU124" s="39"/>
      <c r="EV124" s="39"/>
      <c r="EW124" s="39"/>
      <c r="EX124" s="39"/>
      <c r="EY124" s="39"/>
      <c r="EZ124" s="39"/>
      <c r="FA124" s="39"/>
      <c r="FB124" s="39"/>
      <c r="FC124" s="39"/>
      <c r="FD124" s="39"/>
      <c r="FE124" s="39"/>
      <c r="FF124" s="39"/>
      <c r="FG124" s="39"/>
      <c r="FH124" s="39"/>
      <c r="FI124" s="39"/>
      <c r="FJ124" s="39"/>
      <c r="FK124" s="39"/>
      <c r="FL124" s="39"/>
      <c r="FM124" s="39"/>
      <c r="FN124" s="39"/>
      <c r="FO124" s="39"/>
      <c r="FP124" s="39"/>
      <c r="FQ124" s="39"/>
      <c r="FR124" s="39"/>
      <c r="FS124" s="39"/>
      <c r="FT124" s="39"/>
      <c r="FU124" s="39"/>
      <c r="FV124" s="39"/>
      <c r="FW124" s="39"/>
      <c r="FX124" s="39"/>
      <c r="FY124" s="39"/>
      <c r="FZ124" s="39"/>
      <c r="GA124" s="39"/>
      <c r="GB124" s="39"/>
      <c r="GC124" s="39"/>
      <c r="GD124" s="39"/>
      <c r="GE124" s="39"/>
      <c r="GF124" s="39"/>
      <c r="GG124" s="39"/>
      <c r="GH124" s="39"/>
      <c r="GI124" s="39"/>
      <c r="GJ124" s="39"/>
      <c r="GK124" s="39"/>
    </row>
    <row r="125" spans="1:193">
      <c r="BB125" s="39"/>
      <c r="BC125" s="39"/>
      <c r="BD125" s="39"/>
      <c r="BE125" s="39"/>
      <c r="BF125" s="39"/>
      <c r="BG125" s="39"/>
      <c r="BH125" s="39"/>
      <c r="BI125" s="39"/>
      <c r="BJ125" s="39"/>
      <c r="BK125" s="39"/>
      <c r="BL125" s="39"/>
      <c r="BM125" s="39"/>
      <c r="BN125" s="39"/>
      <c r="BO125" s="39"/>
      <c r="BP125" s="39"/>
      <c r="BQ125" s="39"/>
      <c r="BR125" s="39"/>
      <c r="BS125" s="39"/>
      <c r="BT125" s="39"/>
      <c r="BU125" s="39"/>
      <c r="BV125" s="39"/>
      <c r="BW125" s="39"/>
      <c r="BX125" s="39"/>
      <c r="BY125" s="39"/>
      <c r="BZ125" s="39"/>
      <c r="CA125" s="39"/>
      <c r="CB125" s="39"/>
      <c r="CC125" s="39"/>
      <c r="CD125" s="39"/>
      <c r="CE125" s="39"/>
      <c r="CF125" s="39"/>
      <c r="CG125" s="39"/>
      <c r="CH125" s="39"/>
      <c r="CI125" s="39"/>
      <c r="CJ125" s="39"/>
      <c r="CK125" s="39"/>
      <c r="CL125" s="39"/>
      <c r="CM125" s="39"/>
      <c r="CN125" s="39"/>
      <c r="CO125" s="39"/>
      <c r="CP125" s="39"/>
      <c r="CQ125" s="39"/>
      <c r="CR125" s="39"/>
      <c r="CS125" s="39"/>
      <c r="CT125" s="39"/>
      <c r="CU125" s="39"/>
      <c r="CV125" s="39"/>
      <c r="CW125" s="39"/>
      <c r="CX125" s="39"/>
      <c r="CY125" s="39"/>
      <c r="CZ125" s="39"/>
      <c r="DA125" s="39"/>
      <c r="DB125" s="39"/>
      <c r="DC125" s="39"/>
      <c r="DD125" s="39"/>
      <c r="DE125" s="39"/>
      <c r="DF125" s="39"/>
      <c r="DG125" s="39"/>
      <c r="DH125" s="39"/>
      <c r="DI125" s="39"/>
      <c r="DJ125" s="39"/>
      <c r="DK125" s="39"/>
      <c r="DL125" s="39"/>
      <c r="DM125" s="39"/>
      <c r="DN125" s="39"/>
      <c r="DO125" s="39"/>
      <c r="DP125" s="39"/>
      <c r="DQ125" s="39"/>
      <c r="DR125" s="39"/>
      <c r="DS125" s="39"/>
      <c r="DT125" s="39"/>
      <c r="DU125" s="39"/>
      <c r="DV125" s="39"/>
      <c r="DW125" s="39"/>
      <c r="DX125" s="39"/>
      <c r="DY125" s="39"/>
      <c r="DZ125" s="39"/>
      <c r="EA125" s="39"/>
      <c r="EB125" s="39"/>
      <c r="EC125" s="39"/>
      <c r="ED125" s="39"/>
      <c r="EE125" s="39"/>
      <c r="EF125" s="39"/>
      <c r="EG125" s="39"/>
      <c r="EH125" s="39"/>
      <c r="EI125" s="39"/>
      <c r="EJ125" s="39"/>
      <c r="EK125" s="39"/>
      <c r="EL125" s="39"/>
      <c r="EM125" s="39"/>
      <c r="EN125" s="39"/>
      <c r="EO125" s="39"/>
      <c r="EP125" s="39"/>
      <c r="EQ125" s="39"/>
      <c r="ER125" s="39"/>
      <c r="ES125" s="39"/>
      <c r="ET125" s="39"/>
      <c r="EU125" s="39"/>
      <c r="EV125" s="39"/>
      <c r="EW125" s="39"/>
      <c r="EX125" s="39"/>
      <c r="EY125" s="39"/>
      <c r="EZ125" s="39"/>
      <c r="FA125" s="39"/>
      <c r="FB125" s="39"/>
      <c r="FC125" s="39"/>
      <c r="FD125" s="39"/>
      <c r="FE125" s="39"/>
      <c r="FF125" s="39"/>
      <c r="FG125" s="39"/>
      <c r="FH125" s="39"/>
      <c r="FI125" s="39"/>
      <c r="FJ125" s="39"/>
      <c r="FK125" s="39"/>
      <c r="FL125" s="39"/>
      <c r="FM125" s="39"/>
      <c r="FN125" s="39"/>
      <c r="FO125" s="39"/>
      <c r="FP125" s="39"/>
      <c r="FQ125" s="39"/>
      <c r="FR125" s="39"/>
      <c r="FS125" s="39"/>
      <c r="FT125" s="39"/>
      <c r="FU125" s="39"/>
      <c r="FV125" s="39"/>
      <c r="FW125" s="39"/>
      <c r="FX125" s="39"/>
      <c r="FY125" s="39"/>
      <c r="FZ125" s="39"/>
      <c r="GA125" s="39"/>
      <c r="GB125" s="39"/>
      <c r="GC125" s="39"/>
      <c r="GD125" s="39"/>
      <c r="GE125" s="39"/>
      <c r="GF125" s="39"/>
      <c r="GG125" s="39"/>
      <c r="GH125" s="39"/>
      <c r="GI125" s="39"/>
      <c r="GJ125" s="39"/>
      <c r="GK125" s="39"/>
    </row>
    <row r="126" spans="1:193">
      <c r="BB126" s="39"/>
      <c r="BC126" s="39"/>
      <c r="BD126" s="39"/>
      <c r="BE126" s="39"/>
      <c r="BF126" s="39"/>
      <c r="BG126" s="39"/>
      <c r="BH126" s="39"/>
      <c r="BI126" s="39"/>
      <c r="BJ126" s="39"/>
      <c r="BK126" s="39"/>
      <c r="BL126" s="39"/>
      <c r="BM126" s="39"/>
      <c r="BN126" s="39"/>
      <c r="BO126" s="39"/>
      <c r="BP126" s="39"/>
      <c r="BQ126" s="39"/>
      <c r="BR126" s="39"/>
      <c r="BS126" s="39"/>
      <c r="BT126" s="39"/>
      <c r="BU126" s="39"/>
      <c r="BV126" s="39"/>
      <c r="BW126" s="39"/>
      <c r="BX126" s="39"/>
      <c r="BY126" s="39"/>
      <c r="BZ126" s="39"/>
      <c r="CA126" s="39"/>
      <c r="CB126" s="39"/>
      <c r="CC126" s="39"/>
      <c r="CD126" s="39"/>
      <c r="CE126" s="39"/>
      <c r="CF126" s="39"/>
      <c r="CG126" s="39"/>
      <c r="CH126" s="39"/>
      <c r="CI126" s="39"/>
      <c r="CJ126" s="39"/>
      <c r="CK126" s="39"/>
      <c r="CL126" s="39"/>
      <c r="CM126" s="39"/>
      <c r="CN126" s="39"/>
      <c r="CO126" s="39"/>
      <c r="CP126" s="39"/>
      <c r="CQ126" s="39"/>
      <c r="CR126" s="39"/>
      <c r="CS126" s="39"/>
      <c r="CT126" s="39"/>
      <c r="CU126" s="39"/>
      <c r="CV126" s="39"/>
      <c r="CW126" s="39"/>
      <c r="CX126" s="39"/>
      <c r="CY126" s="39"/>
      <c r="CZ126" s="39"/>
      <c r="DA126" s="39"/>
      <c r="DB126" s="39"/>
      <c r="DC126" s="39"/>
      <c r="DD126" s="39"/>
      <c r="DE126" s="39"/>
      <c r="DF126" s="39"/>
      <c r="DG126" s="39"/>
      <c r="DH126" s="39"/>
      <c r="DI126" s="39"/>
      <c r="DJ126" s="39"/>
      <c r="DK126" s="39"/>
      <c r="DL126" s="39"/>
      <c r="DM126" s="39"/>
      <c r="DN126" s="39"/>
      <c r="DO126" s="39"/>
      <c r="DP126" s="39"/>
      <c r="DQ126" s="39"/>
      <c r="DR126" s="39"/>
      <c r="DS126" s="39"/>
      <c r="DT126" s="39"/>
      <c r="DU126" s="39"/>
      <c r="DV126" s="39"/>
      <c r="DW126" s="39"/>
      <c r="DX126" s="39"/>
      <c r="DY126" s="39"/>
      <c r="DZ126" s="39"/>
      <c r="EA126" s="39"/>
      <c r="EB126" s="39"/>
      <c r="EC126" s="39"/>
      <c r="ED126" s="39"/>
      <c r="EE126" s="39"/>
      <c r="EF126" s="39"/>
      <c r="EG126" s="39"/>
      <c r="EH126" s="39"/>
      <c r="EI126" s="39"/>
      <c r="EJ126" s="39"/>
      <c r="EK126" s="39"/>
      <c r="EL126" s="39"/>
      <c r="EM126" s="39"/>
      <c r="EN126" s="39"/>
      <c r="EO126" s="39"/>
      <c r="EP126" s="39"/>
      <c r="EQ126" s="39"/>
      <c r="ER126" s="39"/>
      <c r="ES126" s="39"/>
      <c r="ET126" s="39"/>
      <c r="EU126" s="39"/>
      <c r="EV126" s="39"/>
      <c r="EW126" s="39"/>
      <c r="EX126" s="39"/>
      <c r="EY126" s="39"/>
      <c r="EZ126" s="39"/>
      <c r="FA126" s="39"/>
      <c r="FB126" s="39"/>
      <c r="FC126" s="39"/>
      <c r="FD126" s="39"/>
      <c r="FE126" s="39"/>
      <c r="FF126" s="39"/>
      <c r="FG126" s="39"/>
      <c r="FH126" s="39"/>
      <c r="FI126" s="39"/>
      <c r="FJ126" s="39"/>
      <c r="FK126" s="39"/>
      <c r="FL126" s="39"/>
      <c r="FM126" s="39"/>
      <c r="FN126" s="39"/>
      <c r="FO126" s="39"/>
      <c r="FP126" s="39"/>
      <c r="FQ126" s="39"/>
      <c r="FR126" s="39"/>
      <c r="FS126" s="39"/>
      <c r="FT126" s="39"/>
      <c r="FU126" s="39"/>
      <c r="FV126" s="39"/>
      <c r="FW126" s="39"/>
      <c r="FX126" s="39"/>
      <c r="FY126" s="39"/>
      <c r="FZ126" s="39"/>
      <c r="GA126" s="39"/>
      <c r="GB126" s="39"/>
      <c r="GC126" s="39"/>
      <c r="GD126" s="39"/>
      <c r="GE126" s="39"/>
      <c r="GF126" s="39"/>
      <c r="GG126" s="39"/>
      <c r="GH126" s="39"/>
      <c r="GI126" s="39"/>
      <c r="GJ126" s="39"/>
      <c r="GK126" s="39"/>
    </row>
    <row r="128" spans="1:193">
      <c r="B128" s="27"/>
      <c r="C128" s="70"/>
    </row>
    <row r="129" spans="2:3">
      <c r="B129" s="27"/>
      <c r="C129" s="70"/>
    </row>
    <row r="130" spans="2:3">
      <c r="B130" s="27"/>
      <c r="C130" s="70"/>
    </row>
  </sheetData>
  <sheetProtection selectLockedCells="1" selectUnlockedCells="1"/>
  <autoFilter ref="A5:AM101">
    <filterColumn colId="34" showButton="0"/>
    <sortState ref="A8:AN94">
      <sortCondition ref="B5:B94"/>
    </sortState>
  </autoFilter>
  <mergeCells count="37">
    <mergeCell ref="A110:B110"/>
    <mergeCell ref="AM5:AM6"/>
    <mergeCell ref="A105:B105"/>
    <mergeCell ref="AH5:AH6"/>
    <mergeCell ref="AI5:AJ5"/>
    <mergeCell ref="AK5:AK6"/>
    <mergeCell ref="AL5:AL6"/>
    <mergeCell ref="AA5:AA6"/>
    <mergeCell ref="AB5:AB6"/>
    <mergeCell ref="AC5:AC6"/>
    <mergeCell ref="AD5:AD6"/>
    <mergeCell ref="AE5:AE6"/>
    <mergeCell ref="AF5:AF6"/>
    <mergeCell ref="U5:U6"/>
    <mergeCell ref="V5:V6"/>
    <mergeCell ref="W5:W6"/>
    <mergeCell ref="X5:X6"/>
    <mergeCell ref="Y5:Y6"/>
    <mergeCell ref="Z5:Z6"/>
    <mergeCell ref="N5:N6"/>
    <mergeCell ref="O5:O6"/>
    <mergeCell ref="P5:P6"/>
    <mergeCell ref="Q5:Q6"/>
    <mergeCell ref="R5:R6"/>
    <mergeCell ref="T5:T6"/>
    <mergeCell ref="L5:L6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K5:K6"/>
  </mergeCells>
  <pageMargins left="0.32708333333333334" right="8.4027777777777785E-2" top="0.29097222222222224" bottom="0.35277777777777775" header="2.5694444444444443E-2" footer="8.7499999999999994E-2"/>
  <pageSetup scale="42" orientation="portrait" useFirstPageNumber="1" horizontalDpi="300" verticalDpi="300" r:id="rId1"/>
  <headerFooter alignWithMargins="0">
    <oddHeader>&amp;C&amp;"Times New Roman,Normal"&amp;12&amp;A</oddHeader>
    <oddFooter>&amp;C&amp;"Times New Roman,Normal"&amp;12Página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BB123"/>
  <sheetViews>
    <sheetView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E31" sqref="E31"/>
    </sheetView>
  </sheetViews>
  <sheetFormatPr baseColWidth="10" defaultColWidth="11.5703125" defaultRowHeight="15"/>
  <cols>
    <col min="1" max="1" width="28.7109375" style="41" customWidth="1"/>
    <col min="2" max="2" width="39.140625" style="41" customWidth="1"/>
    <col min="3" max="3" width="8.140625" style="41" bestFit="1" customWidth="1"/>
    <col min="4" max="4" width="8.85546875" style="41" customWidth="1"/>
    <col min="5" max="5" width="31.5703125" style="41" customWidth="1"/>
    <col min="6" max="6" width="20.140625" style="41" bestFit="1" customWidth="1"/>
    <col min="7" max="7" width="13" style="41" bestFit="1" customWidth="1"/>
    <col min="8" max="8" width="11.7109375" style="41" customWidth="1"/>
    <col min="9" max="9" width="17.140625" style="23" customWidth="1"/>
    <col min="10" max="10" width="11.7109375" style="41" customWidth="1"/>
    <col min="11" max="13" width="13.85546875" style="23" customWidth="1"/>
    <col min="14" max="16" width="13.5703125" style="23" customWidth="1"/>
    <col min="17" max="17" width="17" style="24" customWidth="1"/>
    <col min="18" max="19" width="13.5703125" style="23" customWidth="1"/>
    <col min="20" max="20" width="13.5703125" style="25" customWidth="1"/>
    <col min="21" max="21" width="19.28515625" style="25" customWidth="1"/>
    <col min="22" max="22" width="16.85546875" style="25" customWidth="1"/>
    <col min="23" max="23" width="16.140625" style="25" customWidth="1"/>
    <col min="24" max="27" width="13.5703125" style="23" customWidth="1"/>
    <col min="28" max="28" width="16.7109375" style="24" customWidth="1"/>
    <col min="29" max="29" width="16.7109375" style="23" customWidth="1"/>
    <col min="30" max="30" width="15.42578125" style="24" customWidth="1"/>
    <col min="31" max="32" width="13.5703125" style="23" customWidth="1"/>
    <col min="33" max="33" width="15.42578125" style="24" customWidth="1"/>
    <col min="34" max="35" width="0" style="41" hidden="1" customWidth="1"/>
    <col min="36" max="36" width="15.28515625" style="41" hidden="1" customWidth="1"/>
    <col min="37" max="38" width="0" style="41" hidden="1" customWidth="1"/>
    <col min="39" max="39" width="13.85546875" style="41" customWidth="1"/>
    <col min="40" max="40" width="34.85546875" style="41" customWidth="1"/>
    <col min="41" max="54" width="11.5703125" style="39"/>
    <col min="55" max="16384" width="11.5703125" style="41"/>
  </cols>
  <sheetData>
    <row r="1" spans="1:54" s="17" customFormat="1">
      <c r="A1" s="12" t="s">
        <v>24</v>
      </c>
      <c r="B1" s="12"/>
      <c r="C1" s="12"/>
      <c r="D1" s="12"/>
      <c r="E1" s="13"/>
      <c r="F1" s="13"/>
      <c r="G1" s="13"/>
      <c r="H1" s="13"/>
      <c r="I1" s="14"/>
      <c r="J1" s="13"/>
      <c r="K1" s="14"/>
      <c r="L1" s="14"/>
      <c r="M1" s="14"/>
      <c r="N1" s="14"/>
      <c r="O1" s="14"/>
      <c r="P1" s="14"/>
      <c r="Q1" s="15"/>
      <c r="R1" s="14"/>
      <c r="S1" s="14"/>
      <c r="T1" s="14"/>
      <c r="U1" s="14"/>
      <c r="V1" s="14"/>
      <c r="W1" s="14"/>
      <c r="X1" s="14"/>
      <c r="Y1" s="14"/>
      <c r="Z1" s="14"/>
      <c r="AA1" s="14"/>
      <c r="AB1" s="15"/>
      <c r="AC1" s="14"/>
      <c r="AD1" s="15"/>
      <c r="AE1" s="14"/>
      <c r="AF1" s="14"/>
      <c r="AG1" s="15"/>
      <c r="AH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</row>
    <row r="2" spans="1:54" s="17" customFormat="1">
      <c r="A2" s="18" t="s">
        <v>76</v>
      </c>
      <c r="B2" s="18"/>
      <c r="C2" s="18"/>
      <c r="D2" s="18"/>
      <c r="E2" s="19"/>
      <c r="F2" s="19"/>
      <c r="G2" s="19"/>
      <c r="H2" s="19"/>
      <c r="I2" s="14"/>
      <c r="J2" s="19"/>
      <c r="K2" s="14"/>
      <c r="L2" s="14"/>
      <c r="M2" s="14"/>
      <c r="N2" s="14"/>
      <c r="O2" s="14"/>
      <c r="P2" s="14"/>
      <c r="Q2" s="15"/>
      <c r="R2" s="14"/>
      <c r="S2" s="14"/>
      <c r="T2" s="14"/>
      <c r="U2" s="14"/>
      <c r="V2" s="14"/>
      <c r="W2" s="14"/>
      <c r="X2" s="14"/>
      <c r="Y2" s="14"/>
      <c r="Z2" s="14"/>
      <c r="AA2" s="14"/>
      <c r="AB2" s="15"/>
      <c r="AC2" s="14"/>
      <c r="AD2" s="15"/>
      <c r="AE2" s="14"/>
      <c r="AF2" s="14"/>
      <c r="AG2" s="15"/>
      <c r="AH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</row>
    <row r="3" spans="1:54" s="17" customFormat="1">
      <c r="A3" s="20" t="s">
        <v>260</v>
      </c>
      <c r="B3" s="20"/>
      <c r="C3" s="20"/>
      <c r="D3" s="20"/>
      <c r="E3" s="21"/>
      <c r="F3" s="21"/>
      <c r="G3" s="21"/>
      <c r="H3" s="21"/>
      <c r="I3" s="14"/>
      <c r="J3" s="21"/>
      <c r="K3" s="14"/>
      <c r="L3" s="14"/>
      <c r="M3" s="14"/>
      <c r="N3" s="14"/>
      <c r="O3" s="14"/>
      <c r="P3" s="14"/>
      <c r="Q3" s="15"/>
      <c r="R3" s="14"/>
      <c r="S3" s="14"/>
      <c r="T3" s="14"/>
      <c r="U3" s="14"/>
      <c r="V3" s="14"/>
      <c r="W3" s="14"/>
      <c r="X3" s="14"/>
      <c r="Y3" s="14"/>
      <c r="Z3" s="14"/>
      <c r="AA3" s="14"/>
      <c r="AB3" s="15"/>
      <c r="AC3" s="14"/>
      <c r="AD3" s="15"/>
      <c r="AE3" s="14"/>
      <c r="AF3" s="14"/>
      <c r="AG3" s="15"/>
      <c r="AH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</row>
    <row r="4" spans="1:54" s="22" customFormat="1">
      <c r="A4" s="22" t="s">
        <v>259</v>
      </c>
      <c r="I4" s="23"/>
      <c r="K4" s="23"/>
      <c r="L4" s="23"/>
      <c r="M4" s="23"/>
      <c r="N4" s="23"/>
      <c r="O4" s="23"/>
      <c r="P4" s="23"/>
      <c r="Q4" s="24"/>
      <c r="R4" s="23"/>
      <c r="S4" s="23"/>
      <c r="T4" s="25"/>
      <c r="U4" s="25"/>
      <c r="V4" s="25"/>
      <c r="W4" s="25"/>
      <c r="X4" s="23"/>
      <c r="Y4" s="23"/>
      <c r="Z4" s="23"/>
      <c r="AA4" s="23"/>
      <c r="AB4" s="24"/>
      <c r="AC4" s="23"/>
      <c r="AD4" s="24"/>
      <c r="AE4" s="23"/>
      <c r="AF4" s="23"/>
      <c r="AG4" s="24"/>
      <c r="AO4" s="26"/>
      <c r="AP4" s="26"/>
      <c r="AQ4" s="26"/>
      <c r="AR4" s="26"/>
      <c r="AS4" s="26"/>
      <c r="AT4" s="26"/>
      <c r="AU4" s="26"/>
      <c r="AV4" s="26"/>
      <c r="AW4" s="26"/>
      <c r="AX4" s="26"/>
      <c r="AY4" s="26"/>
      <c r="AZ4" s="26"/>
      <c r="BA4" s="26"/>
      <c r="BB4" s="26"/>
    </row>
    <row r="5" spans="1:54" s="22" customFormat="1" ht="28.5" customHeight="1">
      <c r="A5" s="212" t="s">
        <v>39</v>
      </c>
      <c r="B5" s="214" t="s">
        <v>40</v>
      </c>
      <c r="C5" s="212"/>
      <c r="D5" s="214" t="s">
        <v>41</v>
      </c>
      <c r="E5" s="214" t="s">
        <v>0</v>
      </c>
      <c r="F5" s="212" t="s">
        <v>246</v>
      </c>
      <c r="G5" s="216" t="s">
        <v>67</v>
      </c>
      <c r="H5" s="216" t="s">
        <v>65</v>
      </c>
      <c r="I5" s="218" t="s">
        <v>66</v>
      </c>
      <c r="J5" s="210" t="s">
        <v>68</v>
      </c>
      <c r="K5" s="216" t="s">
        <v>34</v>
      </c>
      <c r="L5" s="210" t="s">
        <v>75</v>
      </c>
      <c r="M5" s="95"/>
      <c r="N5" s="216" t="s">
        <v>35</v>
      </c>
      <c r="O5" s="216" t="s">
        <v>36</v>
      </c>
      <c r="P5" s="216" t="s">
        <v>63</v>
      </c>
      <c r="Q5" s="216" t="s">
        <v>37</v>
      </c>
      <c r="R5" s="216" t="s">
        <v>38</v>
      </c>
      <c r="S5" s="88"/>
      <c r="T5" s="220" t="s">
        <v>186</v>
      </c>
      <c r="U5" s="220" t="s">
        <v>213</v>
      </c>
      <c r="V5" s="220" t="s">
        <v>212</v>
      </c>
      <c r="W5" s="220" t="s">
        <v>187</v>
      </c>
      <c r="X5" s="216" t="s">
        <v>30</v>
      </c>
      <c r="Y5" s="216" t="s">
        <v>56</v>
      </c>
      <c r="Z5" s="216" t="s">
        <v>55</v>
      </c>
      <c r="AA5" s="216" t="s">
        <v>32</v>
      </c>
      <c r="AB5" s="216" t="s">
        <v>64</v>
      </c>
      <c r="AC5" s="216" t="s">
        <v>27</v>
      </c>
      <c r="AD5" s="216" t="s">
        <v>31</v>
      </c>
      <c r="AE5" s="216" t="s">
        <v>26</v>
      </c>
      <c r="AF5" s="216" t="s">
        <v>28</v>
      </c>
      <c r="AG5" s="216" t="s">
        <v>29</v>
      </c>
      <c r="AH5" s="216" t="s">
        <v>188</v>
      </c>
      <c r="AI5" s="216" t="s">
        <v>189</v>
      </c>
      <c r="AJ5" s="229" t="s">
        <v>190</v>
      </c>
      <c r="AK5" s="230"/>
      <c r="AL5" s="223" t="s">
        <v>191</v>
      </c>
      <c r="AM5" s="223" t="s">
        <v>257</v>
      </c>
      <c r="AN5" s="223" t="s">
        <v>258</v>
      </c>
      <c r="AO5" s="26"/>
      <c r="AP5" s="26"/>
      <c r="AQ5" s="26"/>
      <c r="AR5" s="26"/>
      <c r="AS5" s="26"/>
      <c r="AT5" s="26"/>
      <c r="AU5" s="26"/>
      <c r="AV5" s="26"/>
      <c r="AW5" s="26"/>
      <c r="AX5" s="26"/>
      <c r="AY5" s="26"/>
      <c r="AZ5" s="26"/>
      <c r="BA5" s="26"/>
      <c r="BB5" s="26"/>
    </row>
    <row r="6" spans="1:54" s="66" customFormat="1" ht="39" customHeight="1">
      <c r="A6" s="228"/>
      <c r="B6" s="214"/>
      <c r="C6" s="228"/>
      <c r="D6" s="214"/>
      <c r="E6" s="214"/>
      <c r="F6" s="228"/>
      <c r="G6" s="216"/>
      <c r="H6" s="216"/>
      <c r="I6" s="233"/>
      <c r="J6" s="234"/>
      <c r="K6" s="216"/>
      <c r="L6" s="234"/>
      <c r="M6" s="96" t="s">
        <v>288</v>
      </c>
      <c r="N6" s="216"/>
      <c r="O6" s="216"/>
      <c r="P6" s="216"/>
      <c r="Q6" s="216"/>
      <c r="R6" s="216"/>
      <c r="S6" s="89" t="s">
        <v>276</v>
      </c>
      <c r="T6" s="231"/>
      <c r="U6" s="231"/>
      <c r="V6" s="231"/>
      <c r="W6" s="231"/>
      <c r="X6" s="216"/>
      <c r="Y6" s="216"/>
      <c r="Z6" s="216"/>
      <c r="AA6" s="216"/>
      <c r="AB6" s="216"/>
      <c r="AC6" s="216"/>
      <c r="AD6" s="216"/>
      <c r="AE6" s="216"/>
      <c r="AF6" s="216"/>
      <c r="AG6" s="216"/>
      <c r="AH6" s="216"/>
      <c r="AI6" s="216"/>
      <c r="AJ6" s="64" t="s">
        <v>66</v>
      </c>
      <c r="AK6" s="64" t="s">
        <v>68</v>
      </c>
      <c r="AL6" s="223"/>
      <c r="AM6" s="223"/>
      <c r="AN6" s="223"/>
      <c r="AO6" s="65"/>
      <c r="AP6" s="65"/>
      <c r="AQ6" s="65"/>
      <c r="AR6" s="65"/>
      <c r="AS6" s="65"/>
      <c r="AT6" s="65"/>
      <c r="AU6" s="65"/>
      <c r="AV6" s="65"/>
      <c r="AW6" s="65"/>
      <c r="AX6" s="65"/>
      <c r="AY6" s="65"/>
      <c r="AZ6" s="65"/>
      <c r="BA6" s="65"/>
      <c r="BB6" s="65"/>
    </row>
    <row r="7" spans="1:54" s="40" customFormat="1">
      <c r="A7" s="27" t="s">
        <v>91</v>
      </c>
      <c r="B7" s="27" t="s">
        <v>238</v>
      </c>
      <c r="C7" s="27"/>
      <c r="D7" s="27" t="s">
        <v>95</v>
      </c>
      <c r="E7" s="27" t="s">
        <v>72</v>
      </c>
      <c r="F7" s="27"/>
      <c r="G7" s="28"/>
      <c r="H7" s="28"/>
      <c r="I7" s="30">
        <v>1166.26</v>
      </c>
      <c r="J7" s="29"/>
      <c r="K7" s="30">
        <f t="shared" ref="K7:K38" si="0">+I7+J7</f>
        <v>1166.26</v>
      </c>
      <c r="L7" s="30">
        <v>3954.17</v>
      </c>
      <c r="M7" s="30">
        <v>0</v>
      </c>
      <c r="N7" s="31"/>
      <c r="O7" s="31"/>
      <c r="P7" s="32"/>
      <c r="Q7" s="33">
        <f t="shared" ref="Q7:Q38" si="1">SUM(K7:O7)-P7</f>
        <v>5120.43</v>
      </c>
      <c r="R7" s="34"/>
      <c r="S7" s="45"/>
      <c r="T7" s="45">
        <v>0</v>
      </c>
      <c r="U7" s="45"/>
      <c r="V7" s="45"/>
      <c r="W7" s="45"/>
      <c r="X7" s="36"/>
      <c r="Y7" s="36"/>
      <c r="Z7" s="35"/>
      <c r="AA7" s="35">
        <v>0</v>
      </c>
      <c r="AB7" s="33">
        <f t="shared" ref="AB7:AB13" si="2">+Q7-SUM(R7:AA7)</f>
        <v>5120.43</v>
      </c>
      <c r="AC7" s="37">
        <f>IF(Q7&gt;4500,Q7*0.1,0)</f>
        <v>512.04300000000001</v>
      </c>
      <c r="AD7" s="33">
        <f t="shared" ref="AD7:AD13" si="3">+AB7-AC7</f>
        <v>4608.3870000000006</v>
      </c>
      <c r="AE7" s="38">
        <f t="shared" ref="AE7:AE38" si="4">IF(Q7&lt;4500,Q7*0.1,0)</f>
        <v>0</v>
      </c>
      <c r="AF7" s="37">
        <v>10.23</v>
      </c>
      <c r="AG7" s="67">
        <f t="shared" ref="AG7:AG38" si="5">+Q7+AE7+AF7</f>
        <v>5130.66</v>
      </c>
      <c r="AH7" s="39"/>
      <c r="AI7" s="56"/>
      <c r="AJ7" s="39"/>
      <c r="AK7" s="39"/>
      <c r="AL7" s="56"/>
      <c r="AM7" s="39"/>
      <c r="AN7" s="39"/>
      <c r="AO7" s="39"/>
      <c r="AP7" s="39"/>
      <c r="AQ7" s="39"/>
      <c r="AR7" s="39"/>
      <c r="AS7" s="39"/>
      <c r="AT7" s="39"/>
      <c r="AU7" s="39"/>
      <c r="AV7" s="39"/>
      <c r="AW7" s="39"/>
      <c r="AX7" s="39"/>
      <c r="AY7" s="39"/>
      <c r="AZ7" s="39"/>
      <c r="BA7" s="39"/>
      <c r="BB7" s="39"/>
    </row>
    <row r="8" spans="1:54">
      <c r="A8" s="27" t="s">
        <v>71</v>
      </c>
      <c r="B8" s="27" t="s">
        <v>219</v>
      </c>
      <c r="C8" s="27" t="s">
        <v>252</v>
      </c>
      <c r="D8" s="27" t="s">
        <v>145</v>
      </c>
      <c r="E8" s="27" t="s">
        <v>74</v>
      </c>
      <c r="F8" s="27"/>
      <c r="G8" s="28"/>
      <c r="H8" s="28"/>
      <c r="I8" s="30">
        <v>1633.33</v>
      </c>
      <c r="J8" s="28"/>
      <c r="K8" s="30">
        <f t="shared" si="0"/>
        <v>1633.33</v>
      </c>
      <c r="L8" s="30">
        <v>60706.45</v>
      </c>
      <c r="M8" s="30"/>
      <c r="N8" s="31"/>
      <c r="O8" s="31"/>
      <c r="P8" s="32"/>
      <c r="Q8" s="33">
        <f t="shared" si="1"/>
        <v>62339.78</v>
      </c>
      <c r="R8" s="34"/>
      <c r="S8" s="45"/>
      <c r="T8" s="45">
        <v>0</v>
      </c>
      <c r="U8" s="45"/>
      <c r="V8" s="45"/>
      <c r="W8" s="45"/>
      <c r="X8" s="36"/>
      <c r="Y8" s="36"/>
      <c r="Z8" s="35"/>
      <c r="AA8" s="35">
        <v>0</v>
      </c>
      <c r="AB8" s="33">
        <f t="shared" si="2"/>
        <v>62339.78</v>
      </c>
      <c r="AC8" s="37">
        <f>IF(Q8&gt;4500,Q8*0.1,0)</f>
        <v>6233.9780000000001</v>
      </c>
      <c r="AD8" s="33">
        <f t="shared" si="3"/>
        <v>56105.801999999996</v>
      </c>
      <c r="AE8" s="38">
        <f t="shared" si="4"/>
        <v>0</v>
      </c>
      <c r="AF8" s="37">
        <v>10.23</v>
      </c>
      <c r="AG8" s="67">
        <f t="shared" si="5"/>
        <v>62350.01</v>
      </c>
      <c r="AH8" s="39"/>
      <c r="AI8" s="56"/>
      <c r="AJ8" s="39"/>
      <c r="AK8" s="39"/>
      <c r="AL8" s="56"/>
      <c r="AM8" s="39"/>
      <c r="AN8" s="39"/>
    </row>
    <row r="9" spans="1:54">
      <c r="A9" s="62" t="s">
        <v>94</v>
      </c>
      <c r="B9" s="27" t="s">
        <v>196</v>
      </c>
      <c r="C9" s="27"/>
      <c r="D9" s="27" t="s">
        <v>126</v>
      </c>
      <c r="E9" s="27" t="s">
        <v>174</v>
      </c>
      <c r="F9" s="27"/>
      <c r="G9" s="28"/>
      <c r="H9" s="28"/>
      <c r="I9" s="30">
        <v>608.16</v>
      </c>
      <c r="J9" s="28"/>
      <c r="K9" s="30">
        <f t="shared" si="0"/>
        <v>608.16</v>
      </c>
      <c r="L9" s="30">
        <v>4993.21</v>
      </c>
      <c r="M9" s="30"/>
      <c r="N9" s="31"/>
      <c r="O9" s="31"/>
      <c r="P9" s="32"/>
      <c r="Q9" s="33">
        <f t="shared" si="1"/>
        <v>5601.37</v>
      </c>
      <c r="R9" s="34"/>
      <c r="S9" s="45"/>
      <c r="T9" s="45"/>
      <c r="U9" s="75">
        <f>Q9*4.9%</f>
        <v>274.46713</v>
      </c>
      <c r="V9" s="75">
        <f>Q9*1%</f>
        <v>56.0137</v>
      </c>
      <c r="W9" s="45"/>
      <c r="X9" s="36"/>
      <c r="Y9" s="36"/>
      <c r="Z9" s="35"/>
      <c r="AA9" s="35">
        <v>0</v>
      </c>
      <c r="AB9" s="33">
        <f t="shared" si="2"/>
        <v>5270.8891700000004</v>
      </c>
      <c r="AC9" s="37">
        <f>IF(Q9&gt;4500,Q9*0.1,0)</f>
        <v>560.13700000000006</v>
      </c>
      <c r="AD9" s="33">
        <f t="shared" si="3"/>
        <v>4710.7521700000007</v>
      </c>
      <c r="AE9" s="38">
        <f t="shared" si="4"/>
        <v>0</v>
      </c>
      <c r="AF9" s="37">
        <v>10.23</v>
      </c>
      <c r="AG9" s="67">
        <f t="shared" si="5"/>
        <v>5611.5999999999995</v>
      </c>
      <c r="AH9" s="39"/>
      <c r="AI9" s="56"/>
      <c r="AJ9" s="39"/>
      <c r="AK9" s="39"/>
      <c r="AL9" s="56"/>
      <c r="AM9" s="39"/>
      <c r="AN9" s="39"/>
    </row>
    <row r="10" spans="1:54">
      <c r="A10" s="62" t="s">
        <v>92</v>
      </c>
      <c r="B10" s="27" t="s">
        <v>205</v>
      </c>
      <c r="C10" s="27"/>
      <c r="D10" s="27" t="s">
        <v>206</v>
      </c>
      <c r="E10" s="27" t="s">
        <v>167</v>
      </c>
      <c r="F10" s="27"/>
      <c r="G10" s="28"/>
      <c r="H10" s="28"/>
      <c r="I10" s="30">
        <v>739.23</v>
      </c>
      <c r="J10" s="28"/>
      <c r="K10" s="30">
        <f t="shared" si="0"/>
        <v>739.23</v>
      </c>
      <c r="L10" s="30"/>
      <c r="M10" s="30"/>
      <c r="N10" s="31"/>
      <c r="O10" s="31"/>
      <c r="P10" s="32"/>
      <c r="Q10" s="33">
        <f t="shared" si="1"/>
        <v>739.23</v>
      </c>
      <c r="R10" s="34"/>
      <c r="S10" s="45"/>
      <c r="T10" s="45"/>
      <c r="U10" s="45"/>
      <c r="V10" s="45"/>
      <c r="W10" s="45"/>
      <c r="X10" s="36"/>
      <c r="Y10" s="36"/>
      <c r="Z10" s="35"/>
      <c r="AA10" s="35"/>
      <c r="AB10" s="33">
        <f t="shared" si="2"/>
        <v>739.23</v>
      </c>
      <c r="AC10" s="37"/>
      <c r="AD10" s="33">
        <f t="shared" si="3"/>
        <v>739.23</v>
      </c>
      <c r="AE10" s="38">
        <f t="shared" si="4"/>
        <v>73.923000000000002</v>
      </c>
      <c r="AF10" s="37">
        <v>10.23</v>
      </c>
      <c r="AG10" s="67">
        <f t="shared" si="5"/>
        <v>823.38300000000004</v>
      </c>
      <c r="AH10" s="39"/>
      <c r="AI10" s="56"/>
      <c r="AJ10" s="39"/>
      <c r="AK10" s="39"/>
      <c r="AL10" s="56"/>
      <c r="AM10" s="39"/>
      <c r="AN10" s="39"/>
    </row>
    <row r="11" spans="1:54">
      <c r="A11" s="27" t="s">
        <v>91</v>
      </c>
      <c r="B11" s="27" t="s">
        <v>235</v>
      </c>
      <c r="C11" s="27"/>
      <c r="D11" s="27" t="s">
        <v>96</v>
      </c>
      <c r="E11" s="27" t="s">
        <v>72</v>
      </c>
      <c r="F11" s="27"/>
      <c r="G11" s="27"/>
      <c r="H11" s="27"/>
      <c r="I11" s="30">
        <v>1166.6600000000001</v>
      </c>
      <c r="J11" s="29"/>
      <c r="K11" s="30">
        <f t="shared" si="0"/>
        <v>1166.6600000000001</v>
      </c>
      <c r="L11" s="30">
        <v>1433.64</v>
      </c>
      <c r="M11" s="30"/>
      <c r="N11" s="30"/>
      <c r="O11" s="30"/>
      <c r="P11" s="32"/>
      <c r="Q11" s="33">
        <f t="shared" si="1"/>
        <v>2600.3000000000002</v>
      </c>
      <c r="R11" s="34"/>
      <c r="S11" s="45"/>
      <c r="T11" s="45">
        <v>0</v>
      </c>
      <c r="U11" s="45"/>
      <c r="V11" s="45"/>
      <c r="W11" s="45"/>
      <c r="X11" s="36"/>
      <c r="Y11" s="36"/>
      <c r="Z11" s="35"/>
      <c r="AA11" s="35">
        <v>0</v>
      </c>
      <c r="AB11" s="33">
        <f t="shared" si="2"/>
        <v>2600.3000000000002</v>
      </c>
      <c r="AC11" s="37">
        <f t="shared" ref="AC11:AC42" si="6">IF(Q11&gt;4500,Q11*0.1,0)</f>
        <v>0</v>
      </c>
      <c r="AD11" s="33">
        <f t="shared" si="3"/>
        <v>2600.3000000000002</v>
      </c>
      <c r="AE11" s="38">
        <f t="shared" si="4"/>
        <v>260.03000000000003</v>
      </c>
      <c r="AF11" s="37">
        <v>10.23</v>
      </c>
      <c r="AG11" s="67">
        <f t="shared" si="5"/>
        <v>2870.5600000000004</v>
      </c>
      <c r="AH11" s="39"/>
      <c r="AI11" s="56"/>
      <c r="AJ11" s="39"/>
      <c r="AK11" s="39"/>
      <c r="AL11" s="56"/>
      <c r="AM11" s="39"/>
      <c r="AN11" s="39"/>
    </row>
    <row r="12" spans="1:54">
      <c r="A12" s="27" t="s">
        <v>71</v>
      </c>
      <c r="B12" s="27" t="s">
        <v>87</v>
      </c>
      <c r="C12" s="27" t="s">
        <v>252</v>
      </c>
      <c r="D12" s="27">
        <v>16</v>
      </c>
      <c r="E12" s="27" t="s">
        <v>184</v>
      </c>
      <c r="F12" s="27"/>
      <c r="G12" s="28"/>
      <c r="H12" s="28"/>
      <c r="I12" s="30">
        <v>1633.33</v>
      </c>
      <c r="J12" s="28"/>
      <c r="K12" s="30">
        <f t="shared" si="0"/>
        <v>1633.33</v>
      </c>
      <c r="L12" s="30">
        <v>13631.88</v>
      </c>
      <c r="M12" s="30"/>
      <c r="N12" s="31"/>
      <c r="O12" s="31"/>
      <c r="P12" s="32"/>
      <c r="Q12" s="33">
        <f t="shared" si="1"/>
        <v>15265.21</v>
      </c>
      <c r="R12" s="34"/>
      <c r="S12" s="45"/>
      <c r="T12" s="45">
        <v>0</v>
      </c>
      <c r="U12" s="45"/>
      <c r="V12" s="45"/>
      <c r="W12" s="45"/>
      <c r="X12" s="36"/>
      <c r="Y12" s="36"/>
      <c r="Z12" s="35"/>
      <c r="AA12" s="35">
        <v>0</v>
      </c>
      <c r="AB12" s="33">
        <f t="shared" si="2"/>
        <v>15265.21</v>
      </c>
      <c r="AC12" s="37">
        <f t="shared" si="6"/>
        <v>1526.521</v>
      </c>
      <c r="AD12" s="33">
        <f t="shared" si="3"/>
        <v>13738.688999999998</v>
      </c>
      <c r="AE12" s="38">
        <f t="shared" si="4"/>
        <v>0</v>
      </c>
      <c r="AF12" s="37">
        <v>10.23</v>
      </c>
      <c r="AG12" s="67">
        <f t="shared" si="5"/>
        <v>15275.439999999999</v>
      </c>
      <c r="AH12" s="39"/>
      <c r="AI12" s="56"/>
      <c r="AJ12" s="39"/>
      <c r="AK12" s="39"/>
      <c r="AL12" s="56"/>
      <c r="AM12" s="39"/>
      <c r="AN12" s="39"/>
    </row>
    <row r="13" spans="1:54" s="84" customFormat="1">
      <c r="A13" s="79" t="s">
        <v>91</v>
      </c>
      <c r="B13" s="79" t="s">
        <v>269</v>
      </c>
      <c r="C13" s="79"/>
      <c r="D13" s="79"/>
      <c r="E13" s="79" t="s">
        <v>270</v>
      </c>
      <c r="F13" s="87">
        <v>42422</v>
      </c>
      <c r="G13" s="79"/>
      <c r="H13" s="79"/>
      <c r="I13" s="80">
        <v>0</v>
      </c>
      <c r="J13" s="79">
        <v>483.75</v>
      </c>
      <c r="K13" s="80">
        <f t="shared" si="0"/>
        <v>483.75</v>
      </c>
      <c r="L13" s="80">
        <v>0</v>
      </c>
      <c r="M13" s="80"/>
      <c r="N13" s="80"/>
      <c r="O13" s="80"/>
      <c r="P13" s="81"/>
      <c r="Q13" s="82">
        <f t="shared" si="1"/>
        <v>483.75</v>
      </c>
      <c r="R13" s="80"/>
      <c r="S13" s="45"/>
      <c r="T13" s="80"/>
      <c r="U13" s="80"/>
      <c r="V13" s="80"/>
      <c r="W13" s="80"/>
      <c r="X13" s="83"/>
      <c r="Y13" s="83"/>
      <c r="Z13" s="79"/>
      <c r="AA13" s="79"/>
      <c r="AB13" s="82">
        <f t="shared" si="2"/>
        <v>483.75</v>
      </c>
      <c r="AC13" s="83">
        <f t="shared" si="6"/>
        <v>0</v>
      </c>
      <c r="AD13" s="82">
        <f t="shared" si="3"/>
        <v>483.75</v>
      </c>
      <c r="AE13" s="83">
        <f t="shared" si="4"/>
        <v>48.375</v>
      </c>
      <c r="AF13" s="83">
        <v>10.23</v>
      </c>
      <c r="AG13" s="82">
        <f t="shared" si="5"/>
        <v>542.35500000000002</v>
      </c>
      <c r="AI13" s="85"/>
      <c r="AL13" s="85"/>
      <c r="AM13" s="84">
        <v>1456104819</v>
      </c>
      <c r="AN13" s="78" t="s">
        <v>282</v>
      </c>
    </row>
    <row r="14" spans="1:54" s="39" customFormat="1">
      <c r="A14" s="63" t="s">
        <v>70</v>
      </c>
      <c r="B14" s="63" t="s">
        <v>203</v>
      </c>
      <c r="C14" s="63" t="s">
        <v>248</v>
      </c>
      <c r="D14" s="63"/>
      <c r="E14" s="63" t="s">
        <v>173</v>
      </c>
      <c r="F14" s="72">
        <v>42417</v>
      </c>
      <c r="G14" s="63"/>
      <c r="H14" s="63"/>
      <c r="I14" s="53">
        <v>513.33000000000004</v>
      </c>
      <c r="J14" s="63">
        <v>653.33000000000004</v>
      </c>
      <c r="K14" s="53">
        <f t="shared" si="0"/>
        <v>1166.6600000000001</v>
      </c>
      <c r="L14" s="53">
        <v>164</v>
      </c>
      <c r="M14" s="53"/>
      <c r="N14" s="53"/>
      <c r="O14" s="53"/>
      <c r="P14" s="73"/>
      <c r="Q14" s="33">
        <f t="shared" si="1"/>
        <v>1330.66</v>
      </c>
      <c r="R14" s="34"/>
      <c r="S14" s="45"/>
      <c r="T14" s="45">
        <v>0</v>
      </c>
      <c r="U14" s="45"/>
      <c r="V14" s="45"/>
      <c r="W14" s="45"/>
      <c r="X14" s="36"/>
      <c r="Y14" s="36"/>
      <c r="Z14" s="35"/>
      <c r="AA14" s="35">
        <v>0</v>
      </c>
      <c r="AB14" s="33">
        <f>+Q14-SUM(R14:AA14)</f>
        <v>1330.66</v>
      </c>
      <c r="AC14" s="37">
        <f>IF(Q14&gt;4500,Q14*0.1,0)</f>
        <v>0</v>
      </c>
      <c r="AD14" s="33">
        <f>+AB14-AC14</f>
        <v>1330.66</v>
      </c>
      <c r="AE14" s="38">
        <f>IF(Q14&lt;4500,Q14*0.1,0)</f>
        <v>133.066</v>
      </c>
      <c r="AF14" s="37">
        <v>10.23</v>
      </c>
      <c r="AG14" s="67">
        <f>+Q14+AE14+AF14</f>
        <v>1473.9560000000001</v>
      </c>
      <c r="AI14" s="56"/>
      <c r="AL14" s="56"/>
    </row>
    <row r="15" spans="1:54">
      <c r="A15" s="27" t="s">
        <v>71</v>
      </c>
      <c r="B15" s="27" t="s">
        <v>222</v>
      </c>
      <c r="C15" s="27" t="s">
        <v>249</v>
      </c>
      <c r="D15" s="27" t="s">
        <v>146</v>
      </c>
      <c r="E15" s="27" t="s">
        <v>73</v>
      </c>
      <c r="F15" s="57"/>
      <c r="G15" s="28"/>
      <c r="H15" s="28"/>
      <c r="I15" s="30">
        <v>513.33000000000004</v>
      </c>
      <c r="J15" s="28">
        <v>653.33000000000004</v>
      </c>
      <c r="K15" s="30">
        <f t="shared" si="0"/>
        <v>1166.6600000000001</v>
      </c>
      <c r="L15" s="30">
        <v>1508.49</v>
      </c>
      <c r="M15" s="30"/>
      <c r="N15" s="31"/>
      <c r="O15" s="31"/>
      <c r="P15" s="32"/>
      <c r="Q15" s="33">
        <f t="shared" si="1"/>
        <v>2675.15</v>
      </c>
      <c r="R15" s="34"/>
      <c r="S15" s="45"/>
      <c r="T15" s="45">
        <v>0</v>
      </c>
      <c r="U15" s="45"/>
      <c r="V15" s="45"/>
      <c r="W15" s="45"/>
      <c r="X15" s="36"/>
      <c r="Y15" s="36"/>
      <c r="Z15" s="35"/>
      <c r="AA15" s="35">
        <v>368.35</v>
      </c>
      <c r="AB15" s="33">
        <f t="shared" ref="AB15:AB45" si="7">+Q15-SUM(R15:AA15)</f>
        <v>2306.8000000000002</v>
      </c>
      <c r="AC15" s="37">
        <f t="shared" si="6"/>
        <v>0</v>
      </c>
      <c r="AD15" s="33">
        <f t="shared" ref="AD15:AD44" si="8">+AB15-AC15</f>
        <v>2306.8000000000002</v>
      </c>
      <c r="AE15" s="38">
        <f t="shared" si="4"/>
        <v>267.51500000000004</v>
      </c>
      <c r="AF15" s="37">
        <v>10.23</v>
      </c>
      <c r="AG15" s="67">
        <f t="shared" si="5"/>
        <v>2952.895</v>
      </c>
      <c r="AH15" s="39"/>
      <c r="AI15" s="56"/>
      <c r="AJ15" s="39"/>
      <c r="AK15" s="39"/>
      <c r="AL15" s="56"/>
      <c r="AM15" s="39"/>
      <c r="AN15" s="39"/>
    </row>
    <row r="16" spans="1:54">
      <c r="A16" s="62" t="s">
        <v>94</v>
      </c>
      <c r="B16" s="63" t="s">
        <v>234</v>
      </c>
      <c r="C16" s="63"/>
      <c r="D16" s="27" t="s">
        <v>127</v>
      </c>
      <c r="E16" s="27" t="s">
        <v>174</v>
      </c>
      <c r="F16" s="27"/>
      <c r="G16" s="28"/>
      <c r="H16" s="28"/>
      <c r="I16" s="30">
        <v>608.16</v>
      </c>
      <c r="J16" s="28"/>
      <c r="K16" s="30">
        <f t="shared" si="0"/>
        <v>608.16</v>
      </c>
      <c r="L16" s="30"/>
      <c r="M16" s="30"/>
      <c r="N16" s="31"/>
      <c r="O16" s="31"/>
      <c r="P16" s="32"/>
      <c r="Q16" s="33">
        <f t="shared" si="1"/>
        <v>608.16</v>
      </c>
      <c r="R16" s="34"/>
      <c r="S16" s="45"/>
      <c r="T16" s="75">
        <v>150</v>
      </c>
      <c r="U16" s="75">
        <f>Q16*4.9%</f>
        <v>29.79984</v>
      </c>
      <c r="V16" s="75">
        <f>Q16*1%</f>
        <v>6.0815999999999999</v>
      </c>
      <c r="W16" s="45"/>
      <c r="X16" s="36"/>
      <c r="Y16" s="36"/>
      <c r="Z16" s="35"/>
      <c r="AA16" s="35">
        <v>0</v>
      </c>
      <c r="AB16" s="33">
        <f t="shared" si="7"/>
        <v>422.27855999999997</v>
      </c>
      <c r="AC16" s="37">
        <f t="shared" si="6"/>
        <v>0</v>
      </c>
      <c r="AD16" s="33">
        <f t="shared" si="8"/>
        <v>422.27855999999997</v>
      </c>
      <c r="AE16" s="38">
        <f t="shared" si="4"/>
        <v>60.816000000000003</v>
      </c>
      <c r="AF16" s="37">
        <v>10.23</v>
      </c>
      <c r="AG16" s="67">
        <f t="shared" si="5"/>
        <v>679.20600000000002</v>
      </c>
      <c r="AH16" s="39"/>
      <c r="AI16" s="56"/>
      <c r="AJ16" s="39"/>
      <c r="AK16" s="39"/>
      <c r="AL16" s="56"/>
      <c r="AM16" s="39"/>
      <c r="AN16" s="39"/>
    </row>
    <row r="17" spans="1:54">
      <c r="A17" s="27" t="s">
        <v>70</v>
      </c>
      <c r="B17" s="27" t="s">
        <v>247</v>
      </c>
      <c r="C17" s="27" t="s">
        <v>248</v>
      </c>
      <c r="D17" s="27" t="s">
        <v>144</v>
      </c>
      <c r="E17" s="27" t="s">
        <v>73</v>
      </c>
      <c r="F17" s="68">
        <v>42326</v>
      </c>
      <c r="G17" s="28"/>
      <c r="H17" s="28"/>
      <c r="I17" s="30">
        <v>513.33000000000004</v>
      </c>
      <c r="J17" s="28"/>
      <c r="K17" s="30">
        <f t="shared" si="0"/>
        <v>513.33000000000004</v>
      </c>
      <c r="L17" s="30">
        <v>513.33000000000004</v>
      </c>
      <c r="M17" s="30">
        <v>66.069999999999993</v>
      </c>
      <c r="N17" s="31"/>
      <c r="O17" s="31"/>
      <c r="P17" s="32"/>
      <c r="Q17" s="33">
        <f t="shared" si="1"/>
        <v>1092.73</v>
      </c>
      <c r="R17" s="34"/>
      <c r="S17" s="45"/>
      <c r="T17" s="45">
        <v>0</v>
      </c>
      <c r="U17" s="45"/>
      <c r="V17" s="45"/>
      <c r="W17" s="45"/>
      <c r="X17" s="36"/>
      <c r="Y17" s="36"/>
      <c r="Z17" s="35"/>
      <c r="AA17" s="97">
        <f>+Q17*0.25+125</f>
        <v>398.1825</v>
      </c>
      <c r="AB17" s="33">
        <f t="shared" si="7"/>
        <v>694.54750000000001</v>
      </c>
      <c r="AC17" s="37">
        <f t="shared" si="6"/>
        <v>0</v>
      </c>
      <c r="AD17" s="33">
        <f t="shared" si="8"/>
        <v>694.54750000000001</v>
      </c>
      <c r="AE17" s="38">
        <f t="shared" si="4"/>
        <v>109.27300000000001</v>
      </c>
      <c r="AF17" s="37">
        <v>10.23</v>
      </c>
      <c r="AG17" s="67">
        <f t="shared" si="5"/>
        <v>1212.2329999999999</v>
      </c>
      <c r="AH17" s="39"/>
      <c r="AI17" s="91"/>
      <c r="AJ17" s="39"/>
      <c r="AK17" s="39"/>
      <c r="AL17" s="56"/>
      <c r="AM17" s="39"/>
      <c r="AN17" s="39">
        <f>622.79+125</f>
        <v>747.79</v>
      </c>
      <c r="AO17" s="39" t="s">
        <v>278</v>
      </c>
    </row>
    <row r="18" spans="1:54">
      <c r="A18" s="27" t="s">
        <v>69</v>
      </c>
      <c r="B18" s="27" t="s">
        <v>277</v>
      </c>
      <c r="C18" s="27"/>
      <c r="D18" s="27" t="s">
        <v>111</v>
      </c>
      <c r="E18" s="27" t="s">
        <v>169</v>
      </c>
      <c r="F18" s="27"/>
      <c r="G18" s="28"/>
      <c r="H18" s="28"/>
      <c r="I18" s="30">
        <v>933.33</v>
      </c>
      <c r="J18" s="28"/>
      <c r="K18" s="30">
        <f t="shared" si="0"/>
        <v>933.33</v>
      </c>
      <c r="L18" s="30">
        <v>550</v>
      </c>
      <c r="M18" s="30"/>
      <c r="N18" s="31"/>
      <c r="O18" s="31"/>
      <c r="P18" s="32"/>
      <c r="Q18" s="33">
        <f t="shared" si="1"/>
        <v>1483.33</v>
      </c>
      <c r="R18" s="34"/>
      <c r="S18" s="45">
        <v>58.91</v>
      </c>
      <c r="T18" s="45">
        <v>0</v>
      </c>
      <c r="U18" s="45"/>
      <c r="V18" s="45"/>
      <c r="W18" s="45"/>
      <c r="X18" s="36"/>
      <c r="Y18" s="36"/>
      <c r="Z18" s="90"/>
      <c r="AA18" s="35">
        <v>0</v>
      </c>
      <c r="AB18" s="33">
        <f t="shared" si="7"/>
        <v>1424.4199999999998</v>
      </c>
      <c r="AC18" s="37">
        <f t="shared" si="6"/>
        <v>0</v>
      </c>
      <c r="AD18" s="33">
        <f t="shared" si="8"/>
        <v>1424.4199999999998</v>
      </c>
      <c r="AE18" s="38">
        <f t="shared" si="4"/>
        <v>148.333</v>
      </c>
      <c r="AF18" s="37">
        <v>10.23</v>
      </c>
      <c r="AG18" s="67">
        <f t="shared" si="5"/>
        <v>1641.893</v>
      </c>
      <c r="AH18" s="39"/>
      <c r="AI18" s="56"/>
      <c r="AJ18" s="39"/>
      <c r="AK18" s="39"/>
      <c r="AL18" s="56"/>
      <c r="AM18" s="39"/>
      <c r="AN18" s="39" t="s">
        <v>283</v>
      </c>
    </row>
    <row r="19" spans="1:54">
      <c r="A19" s="27" t="s">
        <v>71</v>
      </c>
      <c r="B19" s="27" t="s">
        <v>261</v>
      </c>
      <c r="C19" s="27" t="s">
        <v>251</v>
      </c>
      <c r="D19" s="27" t="s">
        <v>147</v>
      </c>
      <c r="E19" s="27" t="s">
        <v>73</v>
      </c>
      <c r="F19" s="27"/>
      <c r="G19" s="28"/>
      <c r="H19" s="28"/>
      <c r="I19" s="30">
        <v>513.33000000000004</v>
      </c>
      <c r="J19" s="28"/>
      <c r="K19" s="30">
        <f t="shared" si="0"/>
        <v>513.33000000000004</v>
      </c>
      <c r="L19" s="30">
        <f>513.33+10425.49</f>
        <v>10938.82</v>
      </c>
      <c r="M19" s="30"/>
      <c r="N19" s="31"/>
      <c r="O19" s="31"/>
      <c r="P19" s="32"/>
      <c r="Q19" s="33">
        <f t="shared" si="1"/>
        <v>11452.15</v>
      </c>
      <c r="R19" s="34"/>
      <c r="S19" s="45">
        <v>58.91</v>
      </c>
      <c r="T19" s="75">
        <v>500</v>
      </c>
      <c r="U19" s="45"/>
      <c r="V19" s="45"/>
      <c r="W19" s="45"/>
      <c r="X19" s="36"/>
      <c r="Y19" s="36">
        <v>167.44</v>
      </c>
      <c r="Z19" s="35"/>
      <c r="AA19" s="43">
        <v>1697.06</v>
      </c>
      <c r="AB19" s="33">
        <f t="shared" si="7"/>
        <v>9028.74</v>
      </c>
      <c r="AC19" s="37">
        <f t="shared" si="6"/>
        <v>1145.2149999999999</v>
      </c>
      <c r="AD19" s="33">
        <f t="shared" si="8"/>
        <v>7883.5249999999996</v>
      </c>
      <c r="AE19" s="38">
        <f t="shared" si="4"/>
        <v>0</v>
      </c>
      <c r="AF19" s="37">
        <v>10.23</v>
      </c>
      <c r="AG19" s="67">
        <f t="shared" si="5"/>
        <v>11462.38</v>
      </c>
      <c r="AH19" s="39"/>
      <c r="AI19" s="56"/>
      <c r="AJ19" s="39"/>
      <c r="AK19" s="39"/>
      <c r="AL19" s="56"/>
      <c r="AM19" s="39"/>
      <c r="AN19" s="39"/>
    </row>
    <row r="20" spans="1:54">
      <c r="A20" s="27" t="s">
        <v>91</v>
      </c>
      <c r="B20" s="27" t="s">
        <v>237</v>
      </c>
      <c r="C20" s="27"/>
      <c r="D20" s="27" t="s">
        <v>97</v>
      </c>
      <c r="E20" s="27" t="s">
        <v>72</v>
      </c>
      <c r="F20" s="27"/>
      <c r="G20" s="27"/>
      <c r="H20" s="27"/>
      <c r="I20" s="30">
        <v>1166.26</v>
      </c>
      <c r="J20" s="29"/>
      <c r="K20" s="30">
        <f t="shared" si="0"/>
        <v>1166.26</v>
      </c>
      <c r="L20" s="30"/>
      <c r="M20" s="30"/>
      <c r="N20" s="30"/>
      <c r="O20" s="30"/>
      <c r="P20" s="32"/>
      <c r="Q20" s="33">
        <f t="shared" si="1"/>
        <v>1166.26</v>
      </c>
      <c r="R20" s="34"/>
      <c r="S20" s="45"/>
      <c r="T20" s="45">
        <v>0</v>
      </c>
      <c r="U20" s="45"/>
      <c r="V20" s="45"/>
      <c r="W20" s="45"/>
      <c r="X20" s="36"/>
      <c r="Y20" s="36"/>
      <c r="Z20" s="35"/>
      <c r="AA20" s="35">
        <v>0</v>
      </c>
      <c r="AB20" s="33">
        <f t="shared" si="7"/>
        <v>1166.26</v>
      </c>
      <c r="AC20" s="37">
        <f t="shared" si="6"/>
        <v>0</v>
      </c>
      <c r="AD20" s="33">
        <f t="shared" si="8"/>
        <v>1166.26</v>
      </c>
      <c r="AE20" s="38">
        <f t="shared" si="4"/>
        <v>116.626</v>
      </c>
      <c r="AF20" s="37">
        <v>10.23</v>
      </c>
      <c r="AG20" s="67">
        <f t="shared" si="5"/>
        <v>1293.116</v>
      </c>
      <c r="AH20" s="39"/>
      <c r="AI20" s="56"/>
      <c r="AJ20" s="39"/>
      <c r="AK20" s="39"/>
      <c r="AL20" s="56"/>
      <c r="AM20" s="39"/>
      <c r="AN20" s="39"/>
    </row>
    <row r="21" spans="1:54">
      <c r="A21" s="62" t="s">
        <v>94</v>
      </c>
      <c r="B21" s="27" t="s">
        <v>198</v>
      </c>
      <c r="C21" s="27"/>
      <c r="D21" s="27" t="s">
        <v>128</v>
      </c>
      <c r="E21" s="27" t="s">
        <v>162</v>
      </c>
      <c r="F21" s="27"/>
      <c r="G21" s="28"/>
      <c r="H21" s="28"/>
      <c r="I21" s="30">
        <v>511.28</v>
      </c>
      <c r="J21" s="28"/>
      <c r="K21" s="30">
        <f t="shared" si="0"/>
        <v>511.28</v>
      </c>
      <c r="L21" s="30">
        <v>2243.33</v>
      </c>
      <c r="M21" s="30"/>
      <c r="N21" s="31"/>
      <c r="O21" s="31"/>
      <c r="P21" s="32"/>
      <c r="Q21" s="33">
        <f t="shared" si="1"/>
        <v>2754.6099999999997</v>
      </c>
      <c r="R21" s="34"/>
      <c r="S21" s="45"/>
      <c r="T21" s="75">
        <v>0</v>
      </c>
      <c r="U21" s="75">
        <f>Q21*4.9%</f>
        <v>134.97588999999999</v>
      </c>
      <c r="V21" s="75">
        <f>Q21*1%</f>
        <v>27.546099999999996</v>
      </c>
      <c r="W21" s="45"/>
      <c r="X21" s="36"/>
      <c r="Y21" s="36"/>
      <c r="Z21" s="35"/>
      <c r="AA21" s="35">
        <v>0</v>
      </c>
      <c r="AB21" s="33">
        <f t="shared" si="7"/>
        <v>2592.0880099999995</v>
      </c>
      <c r="AC21" s="37">
        <f t="shared" si="6"/>
        <v>0</v>
      </c>
      <c r="AD21" s="33">
        <f t="shared" si="8"/>
        <v>2592.0880099999995</v>
      </c>
      <c r="AE21" s="38">
        <f t="shared" si="4"/>
        <v>275.46099999999996</v>
      </c>
      <c r="AF21" s="37">
        <v>10.23</v>
      </c>
      <c r="AG21" s="67">
        <f t="shared" si="5"/>
        <v>3040.3009999999995</v>
      </c>
      <c r="AH21" s="39"/>
      <c r="AI21" s="56"/>
      <c r="AJ21" s="39"/>
      <c r="AK21" s="39"/>
      <c r="AL21" s="56"/>
      <c r="AM21" s="39"/>
      <c r="AN21" s="39"/>
    </row>
    <row r="22" spans="1:54">
      <c r="A22" s="27" t="s">
        <v>71</v>
      </c>
      <c r="B22" s="27" t="s">
        <v>267</v>
      </c>
      <c r="C22" s="27" t="s">
        <v>252</v>
      </c>
      <c r="D22" s="27">
        <v>18</v>
      </c>
      <c r="E22" s="27" t="s">
        <v>185</v>
      </c>
      <c r="F22" s="27"/>
      <c r="G22" s="28"/>
      <c r="H22" s="28"/>
      <c r="I22" s="30">
        <v>1633.33</v>
      </c>
      <c r="J22" s="28"/>
      <c r="K22" s="30">
        <f t="shared" si="0"/>
        <v>1633.33</v>
      </c>
      <c r="L22" s="30">
        <v>13971.02</v>
      </c>
      <c r="M22" s="30"/>
      <c r="N22" s="31"/>
      <c r="O22" s="31"/>
      <c r="P22" s="32"/>
      <c r="Q22" s="33">
        <f t="shared" si="1"/>
        <v>15604.35</v>
      </c>
      <c r="R22" s="34"/>
      <c r="S22" s="45"/>
      <c r="T22" s="75">
        <v>700</v>
      </c>
      <c r="U22" s="45"/>
      <c r="V22" s="45"/>
      <c r="W22" s="45"/>
      <c r="X22" s="36"/>
      <c r="Y22" s="36"/>
      <c r="Z22" s="35">
        <v>205.7</v>
      </c>
      <c r="AA22" s="35">
        <v>0</v>
      </c>
      <c r="AB22" s="33">
        <f t="shared" si="7"/>
        <v>14698.65</v>
      </c>
      <c r="AC22" s="37">
        <f t="shared" si="6"/>
        <v>1560.4350000000002</v>
      </c>
      <c r="AD22" s="33">
        <f t="shared" si="8"/>
        <v>13138.215</v>
      </c>
      <c r="AE22" s="38">
        <f t="shared" si="4"/>
        <v>0</v>
      </c>
      <c r="AF22" s="37">
        <v>10.23</v>
      </c>
      <c r="AG22" s="67">
        <f t="shared" si="5"/>
        <v>15614.58</v>
      </c>
      <c r="AH22" s="39"/>
      <c r="AI22" s="56"/>
      <c r="AJ22" s="39"/>
      <c r="AK22" s="39"/>
      <c r="AL22" s="56"/>
      <c r="AM22" s="39"/>
      <c r="AN22" s="39"/>
    </row>
    <row r="23" spans="1:54">
      <c r="A23" s="27" t="s">
        <v>94</v>
      </c>
      <c r="B23" s="27" t="s">
        <v>268</v>
      </c>
      <c r="C23" s="27"/>
      <c r="D23" s="27" t="s">
        <v>129</v>
      </c>
      <c r="E23" s="27" t="s">
        <v>175</v>
      </c>
      <c r="F23" s="27"/>
      <c r="G23" s="28"/>
      <c r="H23" s="28"/>
      <c r="I23" s="30">
        <v>1100</v>
      </c>
      <c r="J23" s="28"/>
      <c r="K23" s="30">
        <f t="shared" si="0"/>
        <v>1100</v>
      </c>
      <c r="L23" s="30">
        <v>314.3</v>
      </c>
      <c r="M23" s="30"/>
      <c r="N23" s="31"/>
      <c r="O23" s="31"/>
      <c r="P23" s="32"/>
      <c r="Q23" s="33">
        <f t="shared" si="1"/>
        <v>1414.3</v>
      </c>
      <c r="R23" s="34"/>
      <c r="S23" s="45"/>
      <c r="T23" s="75">
        <f>+Q23*1%</f>
        <v>14.143000000000001</v>
      </c>
      <c r="U23" s="75">
        <f>+Q23*4.9%</f>
        <v>69.300700000000006</v>
      </c>
      <c r="V23" s="45"/>
      <c r="W23" s="45"/>
      <c r="X23" s="36"/>
      <c r="Y23" s="36"/>
      <c r="Z23" s="35"/>
      <c r="AA23" s="35">
        <v>0</v>
      </c>
      <c r="AB23" s="33">
        <f t="shared" si="7"/>
        <v>1330.8562999999999</v>
      </c>
      <c r="AC23" s="37">
        <f t="shared" si="6"/>
        <v>0</v>
      </c>
      <c r="AD23" s="33">
        <f t="shared" si="8"/>
        <v>1330.8562999999999</v>
      </c>
      <c r="AE23" s="38">
        <f t="shared" si="4"/>
        <v>141.43</v>
      </c>
      <c r="AF23" s="37">
        <v>10.23</v>
      </c>
      <c r="AG23" s="67">
        <f t="shared" si="5"/>
        <v>1565.96</v>
      </c>
      <c r="AH23" s="39"/>
      <c r="AI23" s="56"/>
      <c r="AJ23" s="39"/>
      <c r="AK23" s="39"/>
      <c r="AL23" s="56"/>
      <c r="AM23" s="39"/>
      <c r="AN23" s="39"/>
    </row>
    <row r="24" spans="1:54">
      <c r="A24" s="27" t="s">
        <v>69</v>
      </c>
      <c r="B24" s="27" t="s">
        <v>228</v>
      </c>
      <c r="C24" s="27"/>
      <c r="D24" s="27" t="s">
        <v>113</v>
      </c>
      <c r="E24" s="27" t="s">
        <v>169</v>
      </c>
      <c r="F24" s="27"/>
      <c r="G24" s="28"/>
      <c r="H24" s="28"/>
      <c r="I24" s="30">
        <v>933.33</v>
      </c>
      <c r="J24" s="28"/>
      <c r="K24" s="30">
        <f t="shared" si="0"/>
        <v>933.33</v>
      </c>
      <c r="L24" s="30">
        <v>550</v>
      </c>
      <c r="M24" s="30"/>
      <c r="N24" s="31"/>
      <c r="O24" s="31"/>
      <c r="P24" s="32"/>
      <c r="Q24" s="33">
        <f t="shared" si="1"/>
        <v>1483.33</v>
      </c>
      <c r="R24" s="34"/>
      <c r="S24" s="45">
        <v>38.28</v>
      </c>
      <c r="T24" s="45">
        <v>0</v>
      </c>
      <c r="U24" s="45"/>
      <c r="V24" s="45"/>
      <c r="W24" s="45"/>
      <c r="X24" s="36"/>
      <c r="Y24" s="36"/>
      <c r="Z24" s="35"/>
      <c r="AA24" s="35">
        <f>357.73+148.47</f>
        <v>506.20000000000005</v>
      </c>
      <c r="AB24" s="33">
        <f t="shared" si="7"/>
        <v>938.84999999999991</v>
      </c>
      <c r="AC24" s="37">
        <f t="shared" si="6"/>
        <v>0</v>
      </c>
      <c r="AD24" s="33">
        <f t="shared" si="8"/>
        <v>938.84999999999991</v>
      </c>
      <c r="AE24" s="38">
        <f t="shared" si="4"/>
        <v>148.333</v>
      </c>
      <c r="AF24" s="37">
        <v>10.23</v>
      </c>
      <c r="AG24" s="67">
        <f t="shared" si="5"/>
        <v>1641.893</v>
      </c>
      <c r="AH24" s="39"/>
      <c r="AI24" s="56"/>
      <c r="AJ24" s="39"/>
      <c r="AK24" s="39"/>
      <c r="AL24" s="56"/>
      <c r="AM24" s="39"/>
      <c r="AN24" s="39" t="s">
        <v>283</v>
      </c>
    </row>
    <row r="25" spans="1:54">
      <c r="A25" s="27" t="s">
        <v>70</v>
      </c>
      <c r="B25" s="27" t="s">
        <v>245</v>
      </c>
      <c r="C25" s="27" t="s">
        <v>248</v>
      </c>
      <c r="D25" s="27" t="s">
        <v>122</v>
      </c>
      <c r="E25" s="27" t="s">
        <v>73</v>
      </c>
      <c r="F25" s="68">
        <v>42432</v>
      </c>
      <c r="G25" s="28"/>
      <c r="H25" s="28"/>
      <c r="I25" s="30">
        <v>513.33000000000004</v>
      </c>
      <c r="J25" s="28">
        <v>653.33000000000004</v>
      </c>
      <c r="K25" s="30">
        <f t="shared" si="0"/>
        <v>1166.6600000000001</v>
      </c>
      <c r="L25" s="30">
        <f>1792.44+1000+1500</f>
        <v>4292.4400000000005</v>
      </c>
      <c r="M25" s="30"/>
      <c r="N25" s="31"/>
      <c r="O25" s="31"/>
      <c r="P25" s="32"/>
      <c r="Q25" s="33">
        <f t="shared" si="1"/>
        <v>5459.1</v>
      </c>
      <c r="R25" s="34"/>
      <c r="S25" s="45"/>
      <c r="T25" s="45">
        <v>0</v>
      </c>
      <c r="U25" s="45"/>
      <c r="V25" s="45"/>
      <c r="W25" s="45"/>
      <c r="X25" s="36"/>
      <c r="Y25" s="36"/>
      <c r="Z25" s="35"/>
      <c r="AA25" s="35">
        <f>797.62</f>
        <v>797.62</v>
      </c>
      <c r="AB25" s="33">
        <f t="shared" si="7"/>
        <v>4661.4800000000005</v>
      </c>
      <c r="AC25" s="37">
        <f t="shared" si="6"/>
        <v>545.91000000000008</v>
      </c>
      <c r="AD25" s="33">
        <f t="shared" si="8"/>
        <v>4115.5700000000006</v>
      </c>
      <c r="AE25" s="38">
        <f t="shared" si="4"/>
        <v>0</v>
      </c>
      <c r="AF25" s="37">
        <v>10.23</v>
      </c>
      <c r="AG25" s="67">
        <f t="shared" si="5"/>
        <v>5469.33</v>
      </c>
      <c r="AH25" s="39"/>
      <c r="AI25" s="56"/>
      <c r="AJ25" s="39"/>
      <c r="AK25" s="39"/>
      <c r="AL25" s="56"/>
      <c r="AM25" s="39"/>
      <c r="AN25" s="39"/>
    </row>
    <row r="26" spans="1:54">
      <c r="A26" s="62" t="s">
        <v>92</v>
      </c>
      <c r="B26" s="27" t="s">
        <v>209</v>
      </c>
      <c r="C26" s="27"/>
      <c r="D26" s="27" t="s">
        <v>100</v>
      </c>
      <c r="E26" s="27" t="s">
        <v>161</v>
      </c>
      <c r="F26" s="27"/>
      <c r="G26" s="27"/>
      <c r="H26" s="27"/>
      <c r="I26" s="76">
        <v>739.23</v>
      </c>
      <c r="J26" s="27"/>
      <c r="K26" s="30">
        <f t="shared" si="0"/>
        <v>739.23</v>
      </c>
      <c r="L26" s="30">
        <v>2507.88</v>
      </c>
      <c r="M26" s="30"/>
      <c r="N26" s="30"/>
      <c r="O26" s="30"/>
      <c r="P26" s="32"/>
      <c r="Q26" s="33">
        <f t="shared" si="1"/>
        <v>3247.11</v>
      </c>
      <c r="R26" s="34"/>
      <c r="S26" s="45"/>
      <c r="T26" s="45">
        <v>0</v>
      </c>
      <c r="U26" s="45"/>
      <c r="V26" s="45"/>
      <c r="W26" s="45"/>
      <c r="X26" s="36"/>
      <c r="Y26" s="36"/>
      <c r="Z26" s="35"/>
      <c r="AA26" s="35">
        <v>0</v>
      </c>
      <c r="AB26" s="33">
        <f t="shared" si="7"/>
        <v>3247.11</v>
      </c>
      <c r="AC26" s="37">
        <f t="shared" si="6"/>
        <v>0</v>
      </c>
      <c r="AD26" s="33">
        <f t="shared" si="8"/>
        <v>3247.11</v>
      </c>
      <c r="AE26" s="38">
        <f t="shared" si="4"/>
        <v>324.71100000000001</v>
      </c>
      <c r="AF26" s="37">
        <v>10.23</v>
      </c>
      <c r="AG26" s="67">
        <f t="shared" si="5"/>
        <v>3582.0509999999999</v>
      </c>
      <c r="AH26" s="39"/>
      <c r="AI26" s="56"/>
      <c r="AJ26" s="39"/>
      <c r="AK26" s="39"/>
      <c r="AL26" s="56"/>
      <c r="AM26" s="39"/>
      <c r="AN26" s="39"/>
    </row>
    <row r="27" spans="1:54">
      <c r="A27" s="27" t="s">
        <v>70</v>
      </c>
      <c r="B27" s="27" t="s">
        <v>220</v>
      </c>
      <c r="C27" s="27" t="s">
        <v>248</v>
      </c>
      <c r="D27" s="27" t="s">
        <v>121</v>
      </c>
      <c r="E27" s="27" t="s">
        <v>173</v>
      </c>
      <c r="F27" s="68">
        <v>42304</v>
      </c>
      <c r="G27" s="28"/>
      <c r="H27" s="28"/>
      <c r="I27" s="30">
        <v>513.33000000000004</v>
      </c>
      <c r="J27" s="28"/>
      <c r="K27" s="30">
        <f t="shared" si="0"/>
        <v>513.33000000000004</v>
      </c>
      <c r="L27" s="30">
        <v>513.33000000000004</v>
      </c>
      <c r="M27" s="30">
        <v>66.069999999999993</v>
      </c>
      <c r="N27" s="31"/>
      <c r="O27" s="31"/>
      <c r="P27" s="32"/>
      <c r="Q27" s="33">
        <f t="shared" si="1"/>
        <v>1092.73</v>
      </c>
      <c r="R27" s="34"/>
      <c r="S27" s="45"/>
      <c r="T27" s="45">
        <v>0</v>
      </c>
      <c r="U27" s="45"/>
      <c r="V27" s="45"/>
      <c r="W27" s="45"/>
      <c r="X27" s="36"/>
      <c r="Y27" s="36"/>
      <c r="Z27" s="35"/>
      <c r="AA27" s="35">
        <v>0</v>
      </c>
      <c r="AB27" s="33">
        <f t="shared" si="7"/>
        <v>1092.73</v>
      </c>
      <c r="AC27" s="37">
        <f t="shared" si="6"/>
        <v>0</v>
      </c>
      <c r="AD27" s="33">
        <f t="shared" si="8"/>
        <v>1092.73</v>
      </c>
      <c r="AE27" s="38">
        <f t="shared" si="4"/>
        <v>109.27300000000001</v>
      </c>
      <c r="AF27" s="37">
        <v>10.23</v>
      </c>
      <c r="AG27" s="67">
        <f t="shared" si="5"/>
        <v>1212.2329999999999</v>
      </c>
      <c r="AH27" s="39"/>
      <c r="AI27" s="56"/>
      <c r="AJ27" s="39"/>
      <c r="AK27" s="39"/>
      <c r="AL27" s="56"/>
      <c r="AM27" s="39"/>
      <c r="AN27" s="39"/>
    </row>
    <row r="28" spans="1:54" s="40" customFormat="1">
      <c r="A28" s="27" t="s">
        <v>92</v>
      </c>
      <c r="B28" s="27" t="s">
        <v>240</v>
      </c>
      <c r="C28" s="27"/>
      <c r="D28" s="27" t="s">
        <v>114</v>
      </c>
      <c r="E28" s="27" t="s">
        <v>167</v>
      </c>
      <c r="F28" s="27"/>
      <c r="G28" s="27"/>
      <c r="H28" s="27"/>
      <c r="I28" s="30">
        <v>1100</v>
      </c>
      <c r="J28" s="27"/>
      <c r="K28" s="30">
        <f t="shared" si="0"/>
        <v>1100</v>
      </c>
      <c r="L28" s="30">
        <v>1052.97</v>
      </c>
      <c r="M28" s="30"/>
      <c r="N28" s="30"/>
      <c r="O28" s="30"/>
      <c r="P28" s="32"/>
      <c r="Q28" s="33">
        <f t="shared" si="1"/>
        <v>2152.9700000000003</v>
      </c>
      <c r="R28" s="34"/>
      <c r="S28" s="45"/>
      <c r="T28" s="45">
        <v>0</v>
      </c>
      <c r="U28" s="45"/>
      <c r="V28" s="45"/>
      <c r="W28" s="45"/>
      <c r="X28" s="36"/>
      <c r="Y28" s="36"/>
      <c r="Z28" s="35"/>
      <c r="AA28" s="35">
        <v>0</v>
      </c>
      <c r="AB28" s="33">
        <f t="shared" si="7"/>
        <v>2152.9700000000003</v>
      </c>
      <c r="AC28" s="37">
        <f t="shared" si="6"/>
        <v>0</v>
      </c>
      <c r="AD28" s="33">
        <f t="shared" si="8"/>
        <v>2152.9700000000003</v>
      </c>
      <c r="AE28" s="38">
        <f t="shared" si="4"/>
        <v>215.29700000000003</v>
      </c>
      <c r="AF28" s="37">
        <v>10.23</v>
      </c>
      <c r="AG28" s="67">
        <f t="shared" si="5"/>
        <v>2378.4970000000003</v>
      </c>
      <c r="AH28" s="39"/>
      <c r="AI28" s="56"/>
      <c r="AJ28" s="39"/>
      <c r="AK28" s="39"/>
      <c r="AL28" s="56"/>
      <c r="AM28" s="39"/>
      <c r="AN28" s="39"/>
      <c r="AO28" s="39"/>
      <c r="AP28" s="39"/>
      <c r="AQ28" s="39"/>
      <c r="AR28" s="39"/>
      <c r="AS28" s="39"/>
      <c r="AT28" s="39"/>
      <c r="AU28" s="39"/>
      <c r="AV28" s="39"/>
      <c r="AW28" s="39"/>
      <c r="AX28" s="39"/>
      <c r="AY28" s="39"/>
      <c r="AZ28" s="39"/>
      <c r="BA28" s="39"/>
      <c r="BB28" s="39"/>
    </row>
    <row r="29" spans="1:54">
      <c r="A29" s="27" t="s">
        <v>69</v>
      </c>
      <c r="B29" s="27" t="s">
        <v>227</v>
      </c>
      <c r="C29" s="27"/>
      <c r="D29" s="27" t="s">
        <v>112</v>
      </c>
      <c r="E29" s="27" t="s">
        <v>170</v>
      </c>
      <c r="F29" s="27"/>
      <c r="G29" s="27"/>
      <c r="H29" s="27"/>
      <c r="I29" s="30">
        <v>933.33</v>
      </c>
      <c r="J29" s="27"/>
      <c r="K29" s="30">
        <f t="shared" si="0"/>
        <v>933.33</v>
      </c>
      <c r="L29" s="30">
        <v>550</v>
      </c>
      <c r="M29" s="30"/>
      <c r="N29" s="30"/>
      <c r="O29" s="30"/>
      <c r="P29" s="32"/>
      <c r="Q29" s="33">
        <f t="shared" si="1"/>
        <v>1483.33</v>
      </c>
      <c r="R29" s="34"/>
      <c r="S29" s="45">
        <v>58.91</v>
      </c>
      <c r="T29" s="45">
        <v>0</v>
      </c>
      <c r="U29" s="45"/>
      <c r="V29" s="45"/>
      <c r="W29" s="45"/>
      <c r="X29" s="36"/>
      <c r="Y29" s="36"/>
      <c r="Z29" s="35"/>
      <c r="AA29" s="35">
        <v>0</v>
      </c>
      <c r="AB29" s="33">
        <f t="shared" si="7"/>
        <v>1424.4199999999998</v>
      </c>
      <c r="AC29" s="37">
        <f t="shared" si="6"/>
        <v>0</v>
      </c>
      <c r="AD29" s="33">
        <f t="shared" si="8"/>
        <v>1424.4199999999998</v>
      </c>
      <c r="AE29" s="38">
        <f t="shared" si="4"/>
        <v>148.333</v>
      </c>
      <c r="AF29" s="37">
        <v>10.23</v>
      </c>
      <c r="AG29" s="67">
        <f t="shared" si="5"/>
        <v>1641.893</v>
      </c>
      <c r="AH29" s="39"/>
      <c r="AI29" s="56"/>
      <c r="AJ29" s="39"/>
      <c r="AK29" s="39"/>
      <c r="AL29" s="56"/>
      <c r="AM29" s="39"/>
      <c r="AN29" s="39" t="s">
        <v>283</v>
      </c>
    </row>
    <row r="30" spans="1:54">
      <c r="A30" s="27" t="s">
        <v>253</v>
      </c>
      <c r="B30" s="27" t="s">
        <v>207</v>
      </c>
      <c r="C30" s="27"/>
      <c r="D30" s="27" t="s">
        <v>115</v>
      </c>
      <c r="E30" s="27" t="s">
        <v>171</v>
      </c>
      <c r="F30" s="27"/>
      <c r="G30" s="27"/>
      <c r="H30" s="27"/>
      <c r="I30" s="30">
        <v>1516.67</v>
      </c>
      <c r="J30" s="27"/>
      <c r="K30" s="30">
        <f t="shared" si="0"/>
        <v>1516.67</v>
      </c>
      <c r="L30" s="30"/>
      <c r="M30" s="30"/>
      <c r="N30" s="30"/>
      <c r="O30" s="30"/>
      <c r="P30" s="32"/>
      <c r="Q30" s="33">
        <f t="shared" si="1"/>
        <v>1516.67</v>
      </c>
      <c r="R30" s="34"/>
      <c r="S30" s="45"/>
      <c r="T30" s="75">
        <v>200</v>
      </c>
      <c r="U30" s="45"/>
      <c r="V30" s="45"/>
      <c r="W30" s="45"/>
      <c r="X30" s="36"/>
      <c r="Y30" s="36"/>
      <c r="Z30" s="35"/>
      <c r="AA30" s="35">
        <v>0</v>
      </c>
      <c r="AB30" s="33">
        <f t="shared" si="7"/>
        <v>1316.67</v>
      </c>
      <c r="AC30" s="37">
        <f t="shared" si="6"/>
        <v>0</v>
      </c>
      <c r="AD30" s="33">
        <f t="shared" si="8"/>
        <v>1316.67</v>
      </c>
      <c r="AE30" s="38">
        <f t="shared" si="4"/>
        <v>151.667</v>
      </c>
      <c r="AF30" s="37">
        <v>10.23</v>
      </c>
      <c r="AG30" s="67">
        <f t="shared" si="5"/>
        <v>1678.567</v>
      </c>
      <c r="AH30" s="39"/>
      <c r="AI30" s="56"/>
      <c r="AJ30" s="39"/>
      <c r="AK30" s="39"/>
      <c r="AL30" s="56"/>
      <c r="AM30" s="39"/>
      <c r="AN30" s="39" t="s">
        <v>280</v>
      </c>
    </row>
    <row r="31" spans="1:54" s="40" customFormat="1">
      <c r="A31" s="62" t="s">
        <v>94</v>
      </c>
      <c r="B31" s="27" t="s">
        <v>231</v>
      </c>
      <c r="C31" s="27"/>
      <c r="D31" s="27" t="s">
        <v>130</v>
      </c>
      <c r="E31" s="27" t="s">
        <v>174</v>
      </c>
      <c r="F31" s="27"/>
      <c r="G31" s="28"/>
      <c r="H31" s="28"/>
      <c r="I31" s="30">
        <v>608.16</v>
      </c>
      <c r="J31" s="28"/>
      <c r="K31" s="30">
        <f t="shared" si="0"/>
        <v>608.16</v>
      </c>
      <c r="L31" s="30">
        <v>3595.22</v>
      </c>
      <c r="M31" s="30"/>
      <c r="N31" s="31"/>
      <c r="O31" s="31"/>
      <c r="P31" s="32"/>
      <c r="Q31" s="33">
        <f t="shared" si="1"/>
        <v>4203.38</v>
      </c>
      <c r="R31" s="34"/>
      <c r="S31" s="45"/>
      <c r="T31" s="75">
        <v>500</v>
      </c>
      <c r="U31" s="75">
        <f>Q31*4.9%</f>
        <v>205.96562</v>
      </c>
      <c r="V31" s="75">
        <f>Q31*1%</f>
        <v>42.033799999999999</v>
      </c>
      <c r="W31" s="45"/>
      <c r="X31" s="36"/>
      <c r="Y31" s="36"/>
      <c r="Z31" s="35"/>
      <c r="AA31" s="35">
        <v>0</v>
      </c>
      <c r="AB31" s="33">
        <f t="shared" si="7"/>
        <v>3455.38058</v>
      </c>
      <c r="AC31" s="37">
        <f t="shared" si="6"/>
        <v>0</v>
      </c>
      <c r="AD31" s="33">
        <f t="shared" si="8"/>
        <v>3455.38058</v>
      </c>
      <c r="AE31" s="38">
        <f t="shared" si="4"/>
        <v>420.33800000000002</v>
      </c>
      <c r="AF31" s="37">
        <v>10.23</v>
      </c>
      <c r="AG31" s="67">
        <f t="shared" si="5"/>
        <v>4633.9479999999994</v>
      </c>
      <c r="AH31" s="39"/>
      <c r="AI31" s="56"/>
      <c r="AJ31" s="39"/>
      <c r="AK31" s="39"/>
      <c r="AL31" s="56"/>
      <c r="AM31" s="39"/>
      <c r="AN31" s="39"/>
      <c r="AO31" s="39"/>
      <c r="AP31" s="39"/>
      <c r="AQ31" s="39"/>
      <c r="AR31" s="39"/>
      <c r="AS31" s="39"/>
      <c r="AT31" s="39"/>
      <c r="AU31" s="39"/>
      <c r="AV31" s="39"/>
      <c r="AW31" s="39"/>
      <c r="AX31" s="39"/>
      <c r="AY31" s="39"/>
      <c r="AZ31" s="39"/>
      <c r="BA31" s="39"/>
      <c r="BB31" s="39"/>
    </row>
    <row r="32" spans="1:54" s="40" customFormat="1">
      <c r="A32" s="62" t="s">
        <v>94</v>
      </c>
      <c r="B32" s="27" t="s">
        <v>229</v>
      </c>
      <c r="C32" s="27"/>
      <c r="D32" s="27" t="s">
        <v>131</v>
      </c>
      <c r="E32" s="27" t="s">
        <v>176</v>
      </c>
      <c r="F32" s="27"/>
      <c r="G32" s="28"/>
      <c r="H32" s="28"/>
      <c r="I32" s="30">
        <v>608.16</v>
      </c>
      <c r="J32" s="28"/>
      <c r="K32" s="30">
        <f t="shared" si="0"/>
        <v>608.16</v>
      </c>
      <c r="L32" s="30">
        <v>2998.94</v>
      </c>
      <c r="M32" s="30"/>
      <c r="N32" s="31"/>
      <c r="O32" s="31"/>
      <c r="P32" s="32"/>
      <c r="Q32" s="33">
        <f t="shared" si="1"/>
        <v>3607.1</v>
      </c>
      <c r="R32" s="34"/>
      <c r="S32" s="45"/>
      <c r="T32" s="75">
        <v>1000</v>
      </c>
      <c r="U32" s="75">
        <f>Q32*4.9%</f>
        <v>176.74790000000002</v>
      </c>
      <c r="V32" s="75">
        <f>Q32*1%</f>
        <v>36.070999999999998</v>
      </c>
      <c r="W32" s="45">
        <v>300</v>
      </c>
      <c r="X32" s="36"/>
      <c r="Y32" s="36"/>
      <c r="Z32" s="90"/>
      <c r="AA32" s="35">
        <v>0</v>
      </c>
      <c r="AB32" s="33">
        <f t="shared" si="7"/>
        <v>2094.2811000000002</v>
      </c>
      <c r="AC32" s="37">
        <f t="shared" si="6"/>
        <v>0</v>
      </c>
      <c r="AD32" s="33">
        <f t="shared" si="8"/>
        <v>2094.2811000000002</v>
      </c>
      <c r="AE32" s="38">
        <f t="shared" si="4"/>
        <v>360.71000000000004</v>
      </c>
      <c r="AF32" s="37">
        <v>10.23</v>
      </c>
      <c r="AG32" s="67">
        <f t="shared" si="5"/>
        <v>3978.04</v>
      </c>
      <c r="AH32" s="39"/>
      <c r="AI32" s="56"/>
      <c r="AJ32" s="39"/>
      <c r="AK32" s="39"/>
      <c r="AL32" s="56"/>
      <c r="AM32" s="39"/>
      <c r="AN32" s="39"/>
      <c r="AO32" s="39"/>
      <c r="AP32" s="39"/>
      <c r="AQ32" s="39"/>
      <c r="AR32" s="39"/>
      <c r="AS32" s="39"/>
      <c r="AT32" s="39"/>
      <c r="AU32" s="39"/>
      <c r="AV32" s="39"/>
      <c r="AW32" s="39"/>
      <c r="AX32" s="39"/>
      <c r="AY32" s="39"/>
      <c r="AZ32" s="39"/>
      <c r="BA32" s="39"/>
      <c r="BB32" s="39"/>
    </row>
    <row r="33" spans="1:54" s="40" customFormat="1">
      <c r="A33" s="27" t="s">
        <v>91</v>
      </c>
      <c r="B33" s="27" t="s">
        <v>236</v>
      </c>
      <c r="C33" s="27"/>
      <c r="D33" s="27" t="s">
        <v>98</v>
      </c>
      <c r="E33" s="27" t="s">
        <v>72</v>
      </c>
      <c r="F33" s="27"/>
      <c r="G33" s="27"/>
      <c r="H33" s="27"/>
      <c r="I33" s="30">
        <v>1166.26</v>
      </c>
      <c r="J33" s="29"/>
      <c r="K33" s="30">
        <f t="shared" si="0"/>
        <v>1166.26</v>
      </c>
      <c r="L33" s="30">
        <v>1218.03</v>
      </c>
      <c r="M33" s="30"/>
      <c r="N33" s="30"/>
      <c r="O33" s="30"/>
      <c r="P33" s="32"/>
      <c r="Q33" s="33">
        <f t="shared" si="1"/>
        <v>2384.29</v>
      </c>
      <c r="R33" s="34"/>
      <c r="S33" s="45"/>
      <c r="T33" s="45">
        <v>0</v>
      </c>
      <c r="U33" s="45"/>
      <c r="V33" s="45"/>
      <c r="W33" s="45"/>
      <c r="X33" s="36"/>
      <c r="Y33" s="36"/>
      <c r="Z33" s="35"/>
      <c r="AA33" s="35">
        <v>0</v>
      </c>
      <c r="AB33" s="33">
        <f t="shared" si="7"/>
        <v>2384.29</v>
      </c>
      <c r="AC33" s="37">
        <f t="shared" si="6"/>
        <v>0</v>
      </c>
      <c r="AD33" s="33">
        <f t="shared" si="8"/>
        <v>2384.29</v>
      </c>
      <c r="AE33" s="38">
        <f t="shared" si="4"/>
        <v>238.429</v>
      </c>
      <c r="AF33" s="37">
        <v>10.23</v>
      </c>
      <c r="AG33" s="67">
        <f t="shared" si="5"/>
        <v>2632.9490000000001</v>
      </c>
      <c r="AH33" s="39"/>
      <c r="AI33" s="56"/>
      <c r="AJ33" s="39"/>
      <c r="AK33" s="39"/>
      <c r="AL33" s="56"/>
      <c r="AM33" s="39"/>
      <c r="AN33" s="39"/>
      <c r="AO33" s="39"/>
      <c r="AP33" s="39"/>
      <c r="AQ33" s="39"/>
      <c r="AR33" s="39"/>
      <c r="AS33" s="39"/>
      <c r="AT33" s="39"/>
      <c r="AU33" s="39"/>
      <c r="AV33" s="39"/>
      <c r="AW33" s="39"/>
      <c r="AX33" s="39"/>
      <c r="AY33" s="39"/>
      <c r="AZ33" s="39"/>
      <c r="BA33" s="39"/>
      <c r="BB33" s="39"/>
    </row>
    <row r="34" spans="1:54" s="84" customFormat="1">
      <c r="A34" s="79" t="s">
        <v>92</v>
      </c>
      <c r="B34" s="79" t="s">
        <v>281</v>
      </c>
      <c r="C34" s="79"/>
      <c r="D34" s="79"/>
      <c r="E34" s="79" t="s">
        <v>167</v>
      </c>
      <c r="F34" s="87">
        <v>42422</v>
      </c>
      <c r="G34" s="79"/>
      <c r="H34" s="79"/>
      <c r="I34" s="80">
        <v>0</v>
      </c>
      <c r="J34" s="86">
        <v>475.39</v>
      </c>
      <c r="K34" s="80">
        <f t="shared" si="0"/>
        <v>475.39</v>
      </c>
      <c r="L34" s="80">
        <v>0</v>
      </c>
      <c r="M34" s="80"/>
      <c r="N34" s="80"/>
      <c r="O34" s="80"/>
      <c r="P34" s="81"/>
      <c r="Q34" s="82">
        <f t="shared" si="1"/>
        <v>475.39</v>
      </c>
      <c r="R34" s="80"/>
      <c r="S34" s="80"/>
      <c r="T34" s="80"/>
      <c r="U34" s="80"/>
      <c r="V34" s="80"/>
      <c r="W34" s="80"/>
      <c r="X34" s="83"/>
      <c r="Y34" s="83"/>
      <c r="Z34" s="79"/>
      <c r="AA34" s="79"/>
      <c r="AB34" s="82">
        <f t="shared" si="7"/>
        <v>475.39</v>
      </c>
      <c r="AC34" s="83">
        <f t="shared" si="6"/>
        <v>0</v>
      </c>
      <c r="AD34" s="82">
        <f t="shared" si="8"/>
        <v>475.39</v>
      </c>
      <c r="AE34" s="83">
        <f t="shared" si="4"/>
        <v>47.539000000000001</v>
      </c>
      <c r="AF34" s="83">
        <v>10.23</v>
      </c>
      <c r="AG34" s="82">
        <f t="shared" si="5"/>
        <v>533.15899999999999</v>
      </c>
      <c r="AI34" s="85"/>
      <c r="AL34" s="85"/>
      <c r="AM34" s="84">
        <v>1182316935</v>
      </c>
      <c r="AN34" s="78" t="s">
        <v>282</v>
      </c>
    </row>
    <row r="35" spans="1:54" s="39" customFormat="1">
      <c r="A35" s="63" t="s">
        <v>71</v>
      </c>
      <c r="B35" s="63" t="s">
        <v>204</v>
      </c>
      <c r="C35" s="63" t="s">
        <v>249</v>
      </c>
      <c r="D35" s="63"/>
      <c r="E35" s="63" t="s">
        <v>73</v>
      </c>
      <c r="F35" s="72">
        <v>42415</v>
      </c>
      <c r="G35" s="63"/>
      <c r="H35" s="63"/>
      <c r="I35" s="53">
        <v>513.33000000000004</v>
      </c>
      <c r="J35" s="74">
        <v>653.33000000000004</v>
      </c>
      <c r="K35" s="53">
        <f t="shared" si="0"/>
        <v>1166.6600000000001</v>
      </c>
      <c r="L35" s="53"/>
      <c r="M35" s="53"/>
      <c r="N35" s="53"/>
      <c r="O35" s="53"/>
      <c r="P35" s="73"/>
      <c r="Q35" s="33">
        <f>SUM(K35:O35)-P35</f>
        <v>1166.6600000000001</v>
      </c>
      <c r="R35" s="34"/>
      <c r="S35" s="45"/>
      <c r="T35" s="45">
        <v>0</v>
      </c>
      <c r="U35" s="45"/>
      <c r="V35" s="45"/>
      <c r="W35" s="45"/>
      <c r="X35" s="36"/>
      <c r="Y35" s="36"/>
      <c r="Z35" s="35"/>
      <c r="AA35" s="35">
        <v>0</v>
      </c>
      <c r="AB35" s="33">
        <f>+Q35-SUM(R35:AA35)</f>
        <v>1166.6600000000001</v>
      </c>
      <c r="AC35" s="37">
        <f>IF(Q35&gt;4500,Q35*0.1,0)</f>
        <v>0</v>
      </c>
      <c r="AD35" s="33">
        <f>+AB35-AC35</f>
        <v>1166.6600000000001</v>
      </c>
      <c r="AE35" s="38">
        <f>IF(Q35&lt;4500,Q35*0.1,0)</f>
        <v>116.66600000000001</v>
      </c>
      <c r="AF35" s="37">
        <v>10.23</v>
      </c>
      <c r="AG35" s="67">
        <f>+Q35+AE35+AF35</f>
        <v>1293.556</v>
      </c>
      <c r="AI35" s="56"/>
      <c r="AL35" s="56"/>
    </row>
    <row r="36" spans="1:54">
      <c r="A36" s="27" t="s">
        <v>71</v>
      </c>
      <c r="B36" s="27" t="s">
        <v>226</v>
      </c>
      <c r="C36" s="27" t="s">
        <v>249</v>
      </c>
      <c r="D36" s="27" t="s">
        <v>148</v>
      </c>
      <c r="E36" s="27" t="s">
        <v>73</v>
      </c>
      <c r="F36" s="27"/>
      <c r="G36" s="28"/>
      <c r="H36" s="28"/>
      <c r="I36" s="53">
        <v>513.33000000000004</v>
      </c>
      <c r="J36" s="28"/>
      <c r="K36" s="30">
        <f t="shared" si="0"/>
        <v>513.33000000000004</v>
      </c>
      <c r="L36" s="30">
        <f>479+10921.01</f>
        <v>11400.01</v>
      </c>
      <c r="M36" s="30"/>
      <c r="N36" s="31"/>
      <c r="O36" s="31"/>
      <c r="P36" s="32"/>
      <c r="Q36" s="33">
        <f t="shared" si="1"/>
        <v>11913.34</v>
      </c>
      <c r="R36" s="34"/>
      <c r="S36" s="45">
        <v>58.91</v>
      </c>
      <c r="T36" s="45">
        <v>0</v>
      </c>
      <c r="U36" s="45"/>
      <c r="V36" s="45"/>
      <c r="W36" s="45"/>
      <c r="X36" s="36"/>
      <c r="Y36" s="36"/>
      <c r="Z36" s="35"/>
      <c r="AA36" s="35">
        <v>349.07</v>
      </c>
      <c r="AB36" s="33">
        <f t="shared" si="7"/>
        <v>11505.36</v>
      </c>
      <c r="AC36" s="37">
        <f t="shared" si="6"/>
        <v>1191.3340000000001</v>
      </c>
      <c r="AD36" s="33">
        <f t="shared" si="8"/>
        <v>10314.026</v>
      </c>
      <c r="AE36" s="38">
        <f t="shared" si="4"/>
        <v>0</v>
      </c>
      <c r="AF36" s="37">
        <v>10.23</v>
      </c>
      <c r="AG36" s="67">
        <f t="shared" si="5"/>
        <v>11923.57</v>
      </c>
      <c r="AH36" s="39"/>
      <c r="AI36" s="56"/>
      <c r="AJ36" s="39"/>
      <c r="AK36" s="39"/>
      <c r="AL36" s="56"/>
      <c r="AM36" s="39"/>
      <c r="AN36" s="39"/>
    </row>
    <row r="37" spans="1:54">
      <c r="A37" s="27" t="s">
        <v>71</v>
      </c>
      <c r="B37" s="27" t="s">
        <v>223</v>
      </c>
      <c r="C37" s="27" t="s">
        <v>249</v>
      </c>
      <c r="D37" s="27" t="s">
        <v>149</v>
      </c>
      <c r="E37" s="27" t="s">
        <v>73</v>
      </c>
      <c r="F37" s="27"/>
      <c r="G37" s="28"/>
      <c r="H37" s="28"/>
      <c r="I37" s="53">
        <v>513.33000000000004</v>
      </c>
      <c r="J37" s="28"/>
      <c r="K37" s="30">
        <f t="shared" si="0"/>
        <v>513.33000000000004</v>
      </c>
      <c r="L37" s="30">
        <v>782.63</v>
      </c>
      <c r="M37" s="30"/>
      <c r="N37" s="31"/>
      <c r="O37" s="31"/>
      <c r="P37" s="32"/>
      <c r="Q37" s="33">
        <f t="shared" si="1"/>
        <v>1295.96</v>
      </c>
      <c r="R37" s="34"/>
      <c r="S37" s="45">
        <v>58.91</v>
      </c>
      <c r="T37" s="45">
        <v>0</v>
      </c>
      <c r="U37" s="45"/>
      <c r="V37" s="45"/>
      <c r="W37" s="45"/>
      <c r="X37" s="36"/>
      <c r="Y37" s="36"/>
      <c r="Z37" s="35"/>
      <c r="AA37" s="35">
        <v>0</v>
      </c>
      <c r="AB37" s="33">
        <f t="shared" si="7"/>
        <v>1237.05</v>
      </c>
      <c r="AC37" s="37">
        <f t="shared" si="6"/>
        <v>0</v>
      </c>
      <c r="AD37" s="33">
        <f t="shared" si="8"/>
        <v>1237.05</v>
      </c>
      <c r="AE37" s="38">
        <f t="shared" si="4"/>
        <v>129.596</v>
      </c>
      <c r="AF37" s="37">
        <v>10.23</v>
      </c>
      <c r="AG37" s="67">
        <f t="shared" si="5"/>
        <v>1435.7860000000001</v>
      </c>
      <c r="AH37" s="39"/>
      <c r="AI37" s="56"/>
      <c r="AJ37" s="39"/>
      <c r="AK37" s="39"/>
      <c r="AL37" s="56"/>
      <c r="AM37" s="39"/>
      <c r="AN37" s="39"/>
    </row>
    <row r="38" spans="1:54">
      <c r="A38" s="62" t="s">
        <v>92</v>
      </c>
      <c r="B38" s="27" t="s">
        <v>230</v>
      </c>
      <c r="C38" s="27"/>
      <c r="D38" s="27" t="s">
        <v>101</v>
      </c>
      <c r="E38" s="27" t="s">
        <v>162</v>
      </c>
      <c r="F38" s="27"/>
      <c r="G38" s="27"/>
      <c r="H38" s="27"/>
      <c r="I38" s="30">
        <v>739.23</v>
      </c>
      <c r="J38" s="27"/>
      <c r="K38" s="30">
        <f t="shared" si="0"/>
        <v>739.23</v>
      </c>
      <c r="L38" s="30">
        <v>1893.56</v>
      </c>
      <c r="M38" s="30"/>
      <c r="N38" s="30"/>
      <c r="O38" s="30"/>
      <c r="P38" s="32"/>
      <c r="Q38" s="33">
        <f t="shared" si="1"/>
        <v>2632.79</v>
      </c>
      <c r="R38" s="34"/>
      <c r="S38" s="45"/>
      <c r="T38" s="45">
        <v>0</v>
      </c>
      <c r="U38" s="45"/>
      <c r="V38" s="45"/>
      <c r="W38" s="45"/>
      <c r="X38" s="36"/>
      <c r="Y38" s="36"/>
      <c r="Z38" s="35"/>
      <c r="AA38" s="35">
        <v>0</v>
      </c>
      <c r="AB38" s="33">
        <f t="shared" si="7"/>
        <v>2632.79</v>
      </c>
      <c r="AC38" s="37">
        <f t="shared" si="6"/>
        <v>0</v>
      </c>
      <c r="AD38" s="33">
        <f t="shared" si="8"/>
        <v>2632.79</v>
      </c>
      <c r="AE38" s="38">
        <f t="shared" si="4"/>
        <v>263.279</v>
      </c>
      <c r="AF38" s="37">
        <v>10.23</v>
      </c>
      <c r="AG38" s="67">
        <f t="shared" si="5"/>
        <v>2906.299</v>
      </c>
      <c r="AH38" s="39"/>
      <c r="AI38" s="56"/>
      <c r="AJ38" s="39"/>
      <c r="AK38" s="39"/>
      <c r="AL38" s="56"/>
      <c r="AM38" s="39"/>
      <c r="AN38" s="39"/>
    </row>
    <row r="39" spans="1:54">
      <c r="A39" s="27" t="s">
        <v>71</v>
      </c>
      <c r="B39" s="27" t="s">
        <v>224</v>
      </c>
      <c r="C39" s="27" t="s">
        <v>251</v>
      </c>
      <c r="D39" s="27" t="s">
        <v>150</v>
      </c>
      <c r="E39" s="27" t="s">
        <v>73</v>
      </c>
      <c r="F39" s="27"/>
      <c r="G39" s="28"/>
      <c r="H39" s="28"/>
      <c r="I39" s="53">
        <v>513.33000000000004</v>
      </c>
      <c r="J39" s="28"/>
      <c r="K39" s="30">
        <f t="shared" ref="K39:K71" si="9">+I39+J39</f>
        <v>513.33000000000004</v>
      </c>
      <c r="L39" s="30">
        <f>182.34+5581.29</f>
        <v>5763.63</v>
      </c>
      <c r="M39" s="30"/>
      <c r="N39" s="31"/>
      <c r="O39" s="31"/>
      <c r="P39" s="32"/>
      <c r="Q39" s="33">
        <f t="shared" ref="Q39:Q71" si="10">SUM(K39:O39)-P39</f>
        <v>6276.96</v>
      </c>
      <c r="R39" s="34"/>
      <c r="S39" s="45">
        <v>58.91</v>
      </c>
      <c r="T39" s="45">
        <v>0</v>
      </c>
      <c r="U39" s="45"/>
      <c r="V39" s="45"/>
      <c r="W39" s="45"/>
      <c r="X39" s="36"/>
      <c r="Y39" s="36"/>
      <c r="Z39" s="35"/>
      <c r="AA39" s="35">
        <v>0</v>
      </c>
      <c r="AB39" s="33">
        <f t="shared" si="7"/>
        <v>6218.05</v>
      </c>
      <c r="AC39" s="37">
        <f t="shared" si="6"/>
        <v>627.69600000000003</v>
      </c>
      <c r="AD39" s="33">
        <f t="shared" si="8"/>
        <v>5590.3540000000003</v>
      </c>
      <c r="AE39" s="38">
        <f t="shared" ref="AE39:AE72" si="11">IF(Q39&lt;4500,Q39*0.1,0)</f>
        <v>0</v>
      </c>
      <c r="AF39" s="37">
        <v>10.23</v>
      </c>
      <c r="AG39" s="67">
        <f t="shared" ref="AG39:AG72" si="12">+Q39+AE39+AF39</f>
        <v>6287.19</v>
      </c>
      <c r="AH39" s="39"/>
      <c r="AI39" s="56"/>
      <c r="AJ39" s="39"/>
      <c r="AK39" s="39"/>
      <c r="AL39" s="56"/>
      <c r="AM39" s="39"/>
      <c r="AN39" s="39"/>
    </row>
    <row r="40" spans="1:54">
      <c r="A40" s="27" t="s">
        <v>71</v>
      </c>
      <c r="B40" s="27" t="s">
        <v>255</v>
      </c>
      <c r="C40" s="27" t="s">
        <v>254</v>
      </c>
      <c r="D40" s="27" t="s">
        <v>151</v>
      </c>
      <c r="E40" s="27" t="s">
        <v>73</v>
      </c>
      <c r="F40" s="27"/>
      <c r="G40" s="28"/>
      <c r="H40" s="28"/>
      <c r="I40" s="30">
        <v>513.33000000000004</v>
      </c>
      <c r="J40" s="28"/>
      <c r="K40" s="30">
        <f t="shared" si="9"/>
        <v>513.33000000000004</v>
      </c>
      <c r="L40" s="30">
        <f>513.33+7214.56+1000</f>
        <v>8727.89</v>
      </c>
      <c r="M40" s="30"/>
      <c r="N40" s="31"/>
      <c r="O40" s="31"/>
      <c r="P40" s="32"/>
      <c r="Q40" s="33">
        <f t="shared" si="10"/>
        <v>9241.2199999999993</v>
      </c>
      <c r="R40" s="34"/>
      <c r="S40" s="45"/>
      <c r="T40" s="45">
        <v>0</v>
      </c>
      <c r="U40" s="45"/>
      <c r="V40" s="45"/>
      <c r="W40" s="45"/>
      <c r="X40" s="36"/>
      <c r="Y40" s="36"/>
      <c r="Z40" s="35"/>
      <c r="AA40" s="35">
        <v>208.6</v>
      </c>
      <c r="AB40" s="33">
        <f t="shared" si="7"/>
        <v>9032.619999999999</v>
      </c>
      <c r="AC40" s="37">
        <f t="shared" si="6"/>
        <v>924.12199999999996</v>
      </c>
      <c r="AD40" s="33">
        <f t="shared" si="8"/>
        <v>8108.4979999999987</v>
      </c>
      <c r="AE40" s="38">
        <f t="shared" si="11"/>
        <v>0</v>
      </c>
      <c r="AF40" s="37">
        <v>10.23</v>
      </c>
      <c r="AG40" s="67">
        <f t="shared" si="12"/>
        <v>9251.4499999999989</v>
      </c>
      <c r="AH40" s="39"/>
      <c r="AI40" s="56"/>
      <c r="AJ40" s="39"/>
      <c r="AK40" s="39"/>
      <c r="AL40" s="56"/>
      <c r="AM40" s="39"/>
      <c r="AN40" s="39"/>
    </row>
    <row r="41" spans="1:54">
      <c r="A41" s="27" t="s">
        <v>70</v>
      </c>
      <c r="B41" s="27" t="s">
        <v>84</v>
      </c>
      <c r="C41" s="27" t="s">
        <v>248</v>
      </c>
      <c r="D41" s="27" t="s">
        <v>123</v>
      </c>
      <c r="E41" s="27" t="s">
        <v>173</v>
      </c>
      <c r="F41" s="27"/>
      <c r="G41" s="28"/>
      <c r="H41" s="28"/>
      <c r="I41" s="30">
        <v>513.33000000000004</v>
      </c>
      <c r="J41" s="28"/>
      <c r="K41" s="30">
        <f t="shared" si="9"/>
        <v>513.33000000000004</v>
      </c>
      <c r="L41" s="30"/>
      <c r="M41" s="30">
        <v>56.63</v>
      </c>
      <c r="N41" s="31"/>
      <c r="O41" s="31"/>
      <c r="P41" s="32"/>
      <c r="Q41" s="33">
        <f t="shared" si="10"/>
        <v>569.96</v>
      </c>
      <c r="R41" s="34"/>
      <c r="S41" s="45">
        <v>58.91</v>
      </c>
      <c r="T41" s="45">
        <v>0</v>
      </c>
      <c r="U41" s="45"/>
      <c r="V41" s="45"/>
      <c r="W41" s="45"/>
      <c r="X41" s="36"/>
      <c r="Y41" s="36"/>
      <c r="Z41" s="35"/>
      <c r="AA41" s="35">
        <v>0</v>
      </c>
      <c r="AB41" s="33">
        <f t="shared" si="7"/>
        <v>511.05000000000007</v>
      </c>
      <c r="AC41" s="37">
        <f t="shared" si="6"/>
        <v>0</v>
      </c>
      <c r="AD41" s="33">
        <f t="shared" si="8"/>
        <v>511.05000000000007</v>
      </c>
      <c r="AE41" s="38">
        <f t="shared" si="11"/>
        <v>56.996000000000009</v>
      </c>
      <c r="AF41" s="37">
        <v>10.23</v>
      </c>
      <c r="AG41" s="67">
        <f t="shared" si="12"/>
        <v>637.18600000000004</v>
      </c>
      <c r="AH41" s="39"/>
      <c r="AI41" s="56"/>
      <c r="AJ41" s="39"/>
      <c r="AK41" s="39"/>
      <c r="AL41" s="56"/>
      <c r="AM41" s="39"/>
      <c r="AN41" s="39"/>
    </row>
    <row r="42" spans="1:54">
      <c r="A42" s="27" t="s">
        <v>71</v>
      </c>
      <c r="B42" s="27" t="s">
        <v>256</v>
      </c>
      <c r="C42" s="27" t="s">
        <v>254</v>
      </c>
      <c r="D42" s="27" t="s">
        <v>152</v>
      </c>
      <c r="E42" s="27" t="s">
        <v>73</v>
      </c>
      <c r="F42" s="27"/>
      <c r="G42" s="28"/>
      <c r="H42" s="28"/>
      <c r="I42" s="30">
        <v>513.33000000000004</v>
      </c>
      <c r="J42" s="28"/>
      <c r="K42" s="30">
        <f t="shared" si="9"/>
        <v>513.33000000000004</v>
      </c>
      <c r="L42" s="30">
        <f>513.33+3459.51+1000</f>
        <v>4972.84</v>
      </c>
      <c r="M42" s="30"/>
      <c r="N42" s="31"/>
      <c r="O42" s="31"/>
      <c r="P42" s="32"/>
      <c r="Q42" s="33">
        <f t="shared" si="10"/>
        <v>5486.17</v>
      </c>
      <c r="R42" s="34"/>
      <c r="S42" s="45"/>
      <c r="T42" s="45">
        <v>0</v>
      </c>
      <c r="U42" s="45"/>
      <c r="V42" s="45"/>
      <c r="W42" s="45"/>
      <c r="X42" s="36"/>
      <c r="Y42" s="36"/>
      <c r="Z42" s="35"/>
      <c r="AA42" s="35">
        <v>0</v>
      </c>
      <c r="AB42" s="33">
        <f t="shared" si="7"/>
        <v>5486.17</v>
      </c>
      <c r="AC42" s="37">
        <f t="shared" si="6"/>
        <v>548.61700000000008</v>
      </c>
      <c r="AD42" s="33">
        <f t="shared" si="8"/>
        <v>4937.5529999999999</v>
      </c>
      <c r="AE42" s="38">
        <f t="shared" si="11"/>
        <v>0</v>
      </c>
      <c r="AF42" s="37">
        <v>10.23</v>
      </c>
      <c r="AG42" s="67">
        <f t="shared" si="12"/>
        <v>5496.4</v>
      </c>
      <c r="AH42" s="39"/>
      <c r="AI42" s="56"/>
      <c r="AJ42" s="39"/>
      <c r="AK42" s="39"/>
      <c r="AL42" s="56"/>
      <c r="AM42" s="39"/>
      <c r="AN42" s="39"/>
    </row>
    <row r="43" spans="1:54">
      <c r="A43" s="27" t="s">
        <v>91</v>
      </c>
      <c r="B43" s="27" t="s">
        <v>81</v>
      </c>
      <c r="C43" s="27"/>
      <c r="D43" s="27" t="s">
        <v>116</v>
      </c>
      <c r="E43" s="27" t="s">
        <v>172</v>
      </c>
      <c r="F43" s="27"/>
      <c r="G43" s="27"/>
      <c r="H43" s="27"/>
      <c r="I43" s="30">
        <v>1633.33</v>
      </c>
      <c r="J43" s="27"/>
      <c r="K43" s="30">
        <f t="shared" si="9"/>
        <v>1633.33</v>
      </c>
      <c r="L43" s="30"/>
      <c r="M43" s="30"/>
      <c r="N43" s="30"/>
      <c r="O43" s="30"/>
      <c r="P43" s="32"/>
      <c r="Q43" s="33">
        <f t="shared" si="10"/>
        <v>1633.33</v>
      </c>
      <c r="R43" s="34"/>
      <c r="S43" s="45"/>
      <c r="T43" s="45">
        <v>0</v>
      </c>
      <c r="U43" s="45"/>
      <c r="V43" s="45"/>
      <c r="W43" s="45"/>
      <c r="X43" s="36"/>
      <c r="Y43" s="36"/>
      <c r="Z43" s="35"/>
      <c r="AA43" s="35">
        <v>0</v>
      </c>
      <c r="AB43" s="33">
        <f t="shared" si="7"/>
        <v>1633.33</v>
      </c>
      <c r="AC43" s="37">
        <f t="shared" ref="AC43:AC75" si="13">IF(Q43&gt;4500,Q43*0.1,0)</f>
        <v>0</v>
      </c>
      <c r="AD43" s="33">
        <f t="shared" si="8"/>
        <v>1633.33</v>
      </c>
      <c r="AE43" s="38">
        <f t="shared" si="11"/>
        <v>163.333</v>
      </c>
      <c r="AF43" s="37">
        <v>10.23</v>
      </c>
      <c r="AG43" s="67">
        <f t="shared" si="12"/>
        <v>1806.893</v>
      </c>
      <c r="AH43" s="39"/>
      <c r="AI43" s="56"/>
      <c r="AJ43" s="39"/>
      <c r="AK43" s="39"/>
      <c r="AL43" s="56"/>
      <c r="AM43" s="39"/>
      <c r="AN43" s="39"/>
    </row>
    <row r="44" spans="1:54">
      <c r="A44" s="27" t="s">
        <v>71</v>
      </c>
      <c r="B44" s="27" t="s">
        <v>262</v>
      </c>
      <c r="C44" s="27"/>
      <c r="D44" s="27" t="s">
        <v>154</v>
      </c>
      <c r="E44" s="27" t="s">
        <v>73</v>
      </c>
      <c r="F44" s="27"/>
      <c r="G44" s="28"/>
      <c r="H44" s="28"/>
      <c r="I44" s="30">
        <v>513.33000000000004</v>
      </c>
      <c r="J44" s="28"/>
      <c r="K44" s="30">
        <f t="shared" si="9"/>
        <v>513.33000000000004</v>
      </c>
      <c r="L44" s="30">
        <f>513.33+14319.74</f>
        <v>14833.07</v>
      </c>
      <c r="M44" s="30"/>
      <c r="N44" s="31"/>
      <c r="O44" s="31"/>
      <c r="P44" s="32"/>
      <c r="Q44" s="33">
        <f t="shared" si="10"/>
        <v>15346.4</v>
      </c>
      <c r="R44" s="34"/>
      <c r="S44" s="45"/>
      <c r="T44" s="45">
        <v>0</v>
      </c>
      <c r="U44" s="45"/>
      <c r="V44" s="45"/>
      <c r="W44" s="45"/>
      <c r="X44" s="36"/>
      <c r="Y44" s="36"/>
      <c r="Z44" s="35"/>
      <c r="AA44" s="35">
        <v>0</v>
      </c>
      <c r="AB44" s="33">
        <f t="shared" si="7"/>
        <v>15346.4</v>
      </c>
      <c r="AC44" s="37">
        <f t="shared" si="13"/>
        <v>1534.64</v>
      </c>
      <c r="AD44" s="33">
        <f t="shared" si="8"/>
        <v>13811.76</v>
      </c>
      <c r="AE44" s="38">
        <f t="shared" si="11"/>
        <v>0</v>
      </c>
      <c r="AF44" s="37">
        <v>10.23</v>
      </c>
      <c r="AG44" s="67">
        <f t="shared" si="12"/>
        <v>15356.63</v>
      </c>
      <c r="AH44" s="39"/>
      <c r="AI44" s="56"/>
      <c r="AJ44" s="39"/>
      <c r="AK44" s="39"/>
      <c r="AL44" s="56"/>
      <c r="AM44" s="39"/>
      <c r="AN44" s="39"/>
    </row>
    <row r="45" spans="1:54" s="61" customFormat="1">
      <c r="A45" s="57" t="s">
        <v>93</v>
      </c>
      <c r="B45" s="57" t="s">
        <v>200</v>
      </c>
      <c r="C45" s="57"/>
      <c r="D45" s="57"/>
      <c r="E45" s="57" t="s">
        <v>171</v>
      </c>
      <c r="F45" s="98">
        <v>42413</v>
      </c>
      <c r="G45" s="57"/>
      <c r="H45" s="57"/>
      <c r="I45" s="58">
        <v>1400</v>
      </c>
      <c r="J45" s="57"/>
      <c r="K45" s="58">
        <f t="shared" si="9"/>
        <v>1400</v>
      </c>
      <c r="L45" s="58"/>
      <c r="M45" s="58"/>
      <c r="N45" s="58"/>
      <c r="O45" s="58"/>
      <c r="P45" s="92"/>
      <c r="Q45" s="59">
        <f t="shared" si="10"/>
        <v>1400</v>
      </c>
      <c r="R45" s="58"/>
      <c r="S45" s="58"/>
      <c r="T45" s="58"/>
      <c r="U45" s="58"/>
      <c r="V45" s="58"/>
      <c r="W45" s="58"/>
      <c r="X45" s="60"/>
      <c r="Y45" s="60"/>
      <c r="Z45" s="57"/>
      <c r="AA45" s="57"/>
      <c r="AB45" s="59">
        <f t="shared" si="7"/>
        <v>1400</v>
      </c>
      <c r="AC45" s="60">
        <f t="shared" si="13"/>
        <v>0</v>
      </c>
      <c r="AD45" s="59">
        <f t="shared" ref="AD45:AD76" si="14">+AB45-AC45</f>
        <v>1400</v>
      </c>
      <c r="AE45" s="60">
        <f t="shared" si="11"/>
        <v>140</v>
      </c>
      <c r="AF45" s="60">
        <v>10.23</v>
      </c>
      <c r="AG45" s="59">
        <f t="shared" si="12"/>
        <v>1550.23</v>
      </c>
      <c r="AI45" s="93"/>
      <c r="AL45" s="93"/>
      <c r="AM45" s="61" t="s">
        <v>289</v>
      </c>
    </row>
    <row r="46" spans="1:54">
      <c r="A46" s="62" t="s">
        <v>94</v>
      </c>
      <c r="B46" s="27" t="s">
        <v>192</v>
      </c>
      <c r="C46" s="27"/>
      <c r="D46" s="27" t="s">
        <v>132</v>
      </c>
      <c r="E46" s="27" t="s">
        <v>174</v>
      </c>
      <c r="F46" s="27"/>
      <c r="G46" s="28"/>
      <c r="H46" s="28"/>
      <c r="I46" s="30">
        <v>608.16</v>
      </c>
      <c r="J46" s="28"/>
      <c r="K46" s="30">
        <f t="shared" si="9"/>
        <v>608.16</v>
      </c>
      <c r="L46" s="30">
        <v>309.60000000000002</v>
      </c>
      <c r="M46" s="30"/>
      <c r="N46" s="31"/>
      <c r="O46" s="31"/>
      <c r="P46" s="32"/>
      <c r="Q46" s="33">
        <f t="shared" si="10"/>
        <v>917.76</v>
      </c>
      <c r="R46" s="34"/>
      <c r="S46" s="45"/>
      <c r="T46" s="75">
        <v>100</v>
      </c>
      <c r="U46" s="75">
        <f>Q46*4.9%</f>
        <v>44.970240000000004</v>
      </c>
      <c r="V46" s="75">
        <f>Q46*1%</f>
        <v>9.1776</v>
      </c>
      <c r="W46" s="45"/>
      <c r="X46" s="36"/>
      <c r="Y46" s="36"/>
      <c r="Z46" s="35"/>
      <c r="AA46" s="35">
        <v>0</v>
      </c>
      <c r="AB46" s="33">
        <f t="shared" ref="AB46:AB78" si="15">+Q46-SUM(R46:AA46)</f>
        <v>763.61216000000002</v>
      </c>
      <c r="AC46" s="37">
        <f t="shared" si="13"/>
        <v>0</v>
      </c>
      <c r="AD46" s="33">
        <f t="shared" si="14"/>
        <v>763.61216000000002</v>
      </c>
      <c r="AE46" s="38">
        <f t="shared" si="11"/>
        <v>91.77600000000001</v>
      </c>
      <c r="AF46" s="37">
        <v>10.23</v>
      </c>
      <c r="AG46" s="67">
        <f t="shared" si="12"/>
        <v>1019.7660000000001</v>
      </c>
      <c r="AH46" s="39"/>
      <c r="AI46" s="56"/>
      <c r="AJ46" s="39"/>
      <c r="AK46" s="39"/>
      <c r="AL46" s="56"/>
      <c r="AM46" s="39"/>
      <c r="AN46" s="39"/>
    </row>
    <row r="47" spans="1:54" s="61" customFormat="1">
      <c r="A47" s="57" t="s">
        <v>91</v>
      </c>
      <c r="B47" s="57" t="s">
        <v>264</v>
      </c>
      <c r="C47" s="57"/>
      <c r="D47" s="57" t="s">
        <v>265</v>
      </c>
      <c r="E47" s="57" t="s">
        <v>174</v>
      </c>
      <c r="F47" s="57"/>
      <c r="G47" s="57"/>
      <c r="H47" s="57"/>
      <c r="I47" s="58">
        <v>608.16</v>
      </c>
      <c r="J47" s="57"/>
      <c r="K47" s="58">
        <f t="shared" si="9"/>
        <v>608.16</v>
      </c>
      <c r="L47" s="58">
        <v>801.03</v>
      </c>
      <c r="M47" s="58"/>
      <c r="N47" s="58"/>
      <c r="O47" s="58"/>
      <c r="P47" s="92"/>
      <c r="Q47" s="59">
        <f t="shared" si="10"/>
        <v>1409.19</v>
      </c>
      <c r="R47" s="58"/>
      <c r="S47" s="58"/>
      <c r="T47" s="58"/>
      <c r="U47" s="58"/>
      <c r="V47" s="58"/>
      <c r="W47" s="58"/>
      <c r="X47" s="60"/>
      <c r="Y47" s="60"/>
      <c r="Z47" s="57"/>
      <c r="AA47" s="57"/>
      <c r="AB47" s="59">
        <f t="shared" si="15"/>
        <v>1409.19</v>
      </c>
      <c r="AC47" s="60">
        <f t="shared" si="13"/>
        <v>0</v>
      </c>
      <c r="AD47" s="59">
        <f t="shared" si="14"/>
        <v>1409.19</v>
      </c>
      <c r="AE47" s="60">
        <f t="shared" si="11"/>
        <v>140.91900000000001</v>
      </c>
      <c r="AF47" s="60">
        <v>10.23</v>
      </c>
      <c r="AG47" s="59">
        <f t="shared" si="12"/>
        <v>1560.3390000000002</v>
      </c>
      <c r="AI47" s="93"/>
      <c r="AL47" s="93"/>
      <c r="AM47" s="61">
        <v>2948910731</v>
      </c>
      <c r="AN47" s="94" t="s">
        <v>284</v>
      </c>
    </row>
    <row r="48" spans="1:54">
      <c r="A48" s="62" t="s">
        <v>94</v>
      </c>
      <c r="B48" s="27" t="s">
        <v>194</v>
      </c>
      <c r="C48" s="27"/>
      <c r="D48" s="27" t="s">
        <v>133</v>
      </c>
      <c r="E48" s="27" t="s">
        <v>177</v>
      </c>
      <c r="F48" s="27"/>
      <c r="G48" s="28"/>
      <c r="H48" s="28"/>
      <c r="I48" s="30">
        <v>608.16</v>
      </c>
      <c r="J48" s="28"/>
      <c r="K48" s="30">
        <f t="shared" si="9"/>
        <v>608.16</v>
      </c>
      <c r="L48" s="30">
        <v>1886.62</v>
      </c>
      <c r="M48" s="30"/>
      <c r="N48" s="31"/>
      <c r="O48" s="31"/>
      <c r="P48" s="32"/>
      <c r="Q48" s="33">
        <f t="shared" si="10"/>
        <v>2494.7799999999997</v>
      </c>
      <c r="R48" s="34"/>
      <c r="S48" s="45"/>
      <c r="T48" s="45"/>
      <c r="U48" s="75">
        <f>Q48*4.9%</f>
        <v>122.24422</v>
      </c>
      <c r="V48" s="75">
        <f>Q48*1%</f>
        <v>24.947799999999997</v>
      </c>
      <c r="W48" s="45"/>
      <c r="X48" s="36"/>
      <c r="Y48" s="36"/>
      <c r="Z48" s="35"/>
      <c r="AA48" s="35">
        <v>0</v>
      </c>
      <c r="AB48" s="33">
        <f t="shared" si="15"/>
        <v>2347.5879799999998</v>
      </c>
      <c r="AC48" s="37">
        <f t="shared" si="13"/>
        <v>0</v>
      </c>
      <c r="AD48" s="33">
        <f t="shared" si="14"/>
        <v>2347.5879799999998</v>
      </c>
      <c r="AE48" s="38">
        <f t="shared" si="11"/>
        <v>249.47799999999998</v>
      </c>
      <c r="AF48" s="37">
        <v>10.23</v>
      </c>
      <c r="AG48" s="67">
        <f t="shared" si="12"/>
        <v>2754.4879999999998</v>
      </c>
      <c r="AH48" s="39"/>
      <c r="AI48" s="56"/>
      <c r="AJ48" s="39"/>
      <c r="AK48" s="39"/>
      <c r="AL48" s="56"/>
      <c r="AM48" s="39"/>
      <c r="AN48" s="39"/>
    </row>
    <row r="49" spans="1:54">
      <c r="A49" s="62" t="s">
        <v>92</v>
      </c>
      <c r="B49" s="27" t="s">
        <v>233</v>
      </c>
      <c r="C49" s="27"/>
      <c r="D49" s="27" t="s">
        <v>102</v>
      </c>
      <c r="E49" s="27" t="s">
        <v>163</v>
      </c>
      <c r="F49" s="27"/>
      <c r="G49" s="27"/>
      <c r="H49" s="27"/>
      <c r="I49" s="30">
        <v>739.23</v>
      </c>
      <c r="J49" s="27"/>
      <c r="K49" s="30">
        <f t="shared" si="9"/>
        <v>739.23</v>
      </c>
      <c r="L49" s="30">
        <v>2866.06</v>
      </c>
      <c r="M49" s="30"/>
      <c r="N49" s="30"/>
      <c r="O49" s="30"/>
      <c r="P49" s="32"/>
      <c r="Q49" s="33">
        <f t="shared" si="10"/>
        <v>3605.29</v>
      </c>
      <c r="R49" s="34"/>
      <c r="S49" s="45"/>
      <c r="T49" s="45">
        <v>0</v>
      </c>
      <c r="U49" s="45"/>
      <c r="V49" s="45"/>
      <c r="W49" s="45"/>
      <c r="X49" s="36"/>
      <c r="Y49" s="36"/>
      <c r="Z49" s="35"/>
      <c r="AA49" s="35">
        <v>0</v>
      </c>
      <c r="AB49" s="33">
        <f t="shared" si="15"/>
        <v>3605.29</v>
      </c>
      <c r="AC49" s="37">
        <f t="shared" si="13"/>
        <v>0</v>
      </c>
      <c r="AD49" s="33">
        <f t="shared" si="14"/>
        <v>3605.29</v>
      </c>
      <c r="AE49" s="38">
        <f t="shared" si="11"/>
        <v>360.529</v>
      </c>
      <c r="AF49" s="37">
        <v>10.23</v>
      </c>
      <c r="AG49" s="67">
        <f t="shared" si="12"/>
        <v>3976.049</v>
      </c>
      <c r="AH49" s="39"/>
      <c r="AI49" s="56"/>
      <c r="AJ49" s="39"/>
      <c r="AK49" s="39"/>
      <c r="AL49" s="56"/>
      <c r="AM49" s="39"/>
      <c r="AN49" s="39"/>
    </row>
    <row r="50" spans="1:54" s="61" customFormat="1">
      <c r="A50" s="62" t="s">
        <v>94</v>
      </c>
      <c r="B50" s="63" t="s">
        <v>202</v>
      </c>
      <c r="C50" s="63"/>
      <c r="D50" s="63"/>
      <c r="E50" s="63" t="s">
        <v>163</v>
      </c>
      <c r="F50" s="72">
        <v>42416</v>
      </c>
      <c r="G50" s="63"/>
      <c r="H50" s="63"/>
      <c r="I50" s="53">
        <v>739.23</v>
      </c>
      <c r="J50" s="63"/>
      <c r="K50" s="53">
        <f t="shared" si="9"/>
        <v>739.23</v>
      </c>
      <c r="L50" s="53">
        <v>2438.48</v>
      </c>
      <c r="M50" s="53"/>
      <c r="N50" s="53"/>
      <c r="O50" s="53"/>
      <c r="P50" s="73"/>
      <c r="Q50" s="59">
        <f t="shared" si="10"/>
        <v>3177.71</v>
      </c>
      <c r="R50" s="58"/>
      <c r="S50" s="45"/>
      <c r="T50" s="58"/>
      <c r="U50" s="58"/>
      <c r="V50" s="58">
        <f>Q50*1%</f>
        <v>31.777100000000001</v>
      </c>
      <c r="W50" s="58"/>
      <c r="X50" s="60"/>
      <c r="Y50" s="60"/>
      <c r="Z50" s="57"/>
      <c r="AA50" s="57"/>
      <c r="AB50" s="59">
        <f t="shared" si="15"/>
        <v>3145.9329000000002</v>
      </c>
      <c r="AC50" s="60">
        <f t="shared" si="13"/>
        <v>0</v>
      </c>
      <c r="AD50" s="59">
        <f t="shared" si="14"/>
        <v>3145.9329000000002</v>
      </c>
      <c r="AE50" s="60">
        <f t="shared" si="11"/>
        <v>317.77100000000002</v>
      </c>
      <c r="AF50" s="37">
        <v>10.23</v>
      </c>
      <c r="AG50" s="67">
        <f t="shared" si="12"/>
        <v>3505.7110000000002</v>
      </c>
      <c r="AH50" s="39"/>
      <c r="AI50" s="56"/>
      <c r="AJ50" s="39"/>
      <c r="AK50" s="39"/>
      <c r="AL50" s="56"/>
      <c r="AM50" s="39">
        <v>1296641458</v>
      </c>
      <c r="AN50" s="39"/>
      <c r="AO50" s="39"/>
      <c r="AP50" s="39"/>
      <c r="AQ50" s="39"/>
      <c r="AR50" s="39"/>
      <c r="AS50" s="39"/>
      <c r="AT50" s="39"/>
      <c r="AU50" s="39"/>
      <c r="AV50" s="39"/>
      <c r="AW50" s="39"/>
      <c r="AX50" s="39"/>
      <c r="AY50" s="39"/>
      <c r="AZ50" s="39"/>
      <c r="BA50" s="39"/>
      <c r="BB50" s="39"/>
    </row>
    <row r="51" spans="1:54">
      <c r="A51" s="27" t="s">
        <v>71</v>
      </c>
      <c r="B51" s="27" t="s">
        <v>88</v>
      </c>
      <c r="C51" s="27" t="s">
        <v>254</v>
      </c>
      <c r="D51" s="27" t="s">
        <v>153</v>
      </c>
      <c r="E51" s="27" t="s">
        <v>73</v>
      </c>
      <c r="F51" s="27"/>
      <c r="G51" s="28"/>
      <c r="H51" s="28"/>
      <c r="I51" s="30">
        <v>513.33000000000004</v>
      </c>
      <c r="J51" s="28"/>
      <c r="K51" s="30">
        <f t="shared" si="9"/>
        <v>513.33000000000004</v>
      </c>
      <c r="L51" s="30">
        <f>513.33+20087.68</f>
        <v>20601.010000000002</v>
      </c>
      <c r="M51" s="30"/>
      <c r="N51" s="31"/>
      <c r="O51" s="31"/>
      <c r="P51" s="32"/>
      <c r="Q51" s="33">
        <f t="shared" si="10"/>
        <v>21114.340000000004</v>
      </c>
      <c r="R51" s="34"/>
      <c r="S51" s="45">
        <v>58.91</v>
      </c>
      <c r="T51" s="45">
        <v>0</v>
      </c>
      <c r="U51" s="45"/>
      <c r="V51" s="45"/>
      <c r="W51" s="45"/>
      <c r="X51" s="36"/>
      <c r="Y51" s="36"/>
      <c r="Z51" s="35"/>
      <c r="AA51" s="35">
        <v>0</v>
      </c>
      <c r="AB51" s="33">
        <f t="shared" si="15"/>
        <v>21055.430000000004</v>
      </c>
      <c r="AC51" s="37">
        <f t="shared" si="13"/>
        <v>2111.4340000000007</v>
      </c>
      <c r="AD51" s="33">
        <f t="shared" si="14"/>
        <v>18943.996000000003</v>
      </c>
      <c r="AE51" s="38">
        <f t="shared" si="11"/>
        <v>0</v>
      </c>
      <c r="AF51" s="37">
        <v>10.23</v>
      </c>
      <c r="AG51" s="67">
        <f t="shared" si="12"/>
        <v>21124.570000000003</v>
      </c>
      <c r="AH51" s="39"/>
      <c r="AI51" s="56"/>
      <c r="AJ51" s="39"/>
      <c r="AK51" s="39"/>
      <c r="AL51" s="56"/>
      <c r="AM51" s="39"/>
      <c r="AN51" s="39"/>
    </row>
    <row r="52" spans="1:54">
      <c r="A52" s="27" t="s">
        <v>71</v>
      </c>
      <c r="B52" s="27" t="s">
        <v>221</v>
      </c>
      <c r="C52" s="27" t="s">
        <v>251</v>
      </c>
      <c r="D52" s="27">
        <v>30</v>
      </c>
      <c r="E52" s="27" t="s">
        <v>73</v>
      </c>
      <c r="F52" s="27"/>
      <c r="G52" s="28"/>
      <c r="H52" s="28"/>
      <c r="I52" s="53">
        <v>513.33000000000004</v>
      </c>
      <c r="J52" s="28"/>
      <c r="K52" s="30">
        <f t="shared" si="9"/>
        <v>513.33000000000004</v>
      </c>
      <c r="L52" s="30">
        <f>148.48+9126.81</f>
        <v>9275.2899999999991</v>
      </c>
      <c r="M52" s="30"/>
      <c r="N52" s="31"/>
      <c r="O52" s="31"/>
      <c r="P52" s="32"/>
      <c r="Q52" s="33">
        <f t="shared" si="10"/>
        <v>9788.619999999999</v>
      </c>
      <c r="R52" s="34"/>
      <c r="S52" s="45"/>
      <c r="T52" s="45">
        <v>0</v>
      </c>
      <c r="U52" s="45"/>
      <c r="V52" s="45"/>
      <c r="W52" s="45"/>
      <c r="X52" s="36"/>
      <c r="Y52" s="36"/>
      <c r="Z52" s="35"/>
      <c r="AA52" s="35">
        <v>0</v>
      </c>
      <c r="AB52" s="33">
        <f t="shared" si="15"/>
        <v>9788.619999999999</v>
      </c>
      <c r="AC52" s="37">
        <f t="shared" si="13"/>
        <v>978.86199999999997</v>
      </c>
      <c r="AD52" s="33">
        <f t="shared" si="14"/>
        <v>8809.7579999999998</v>
      </c>
      <c r="AE52" s="38">
        <f t="shared" si="11"/>
        <v>0</v>
      </c>
      <c r="AF52" s="37">
        <v>10.23</v>
      </c>
      <c r="AG52" s="67">
        <f t="shared" si="12"/>
        <v>9798.8499999999985</v>
      </c>
      <c r="AH52" s="39"/>
      <c r="AI52" s="56"/>
      <c r="AJ52" s="39"/>
      <c r="AK52" s="39"/>
      <c r="AL52" s="56"/>
      <c r="AM52" s="39"/>
      <c r="AN52" s="39"/>
    </row>
    <row r="53" spans="1:54">
      <c r="A53" s="27" t="s">
        <v>71</v>
      </c>
      <c r="B53" s="27" t="s">
        <v>216</v>
      </c>
      <c r="C53" s="27" t="s">
        <v>249</v>
      </c>
      <c r="D53" s="27" t="s">
        <v>155</v>
      </c>
      <c r="E53" s="27" t="s">
        <v>73</v>
      </c>
      <c r="F53" s="68">
        <v>42408</v>
      </c>
      <c r="G53" s="28"/>
      <c r="H53" s="28"/>
      <c r="I53" s="30">
        <v>513.33000000000004</v>
      </c>
      <c r="J53" s="28">
        <v>653.33000000000004</v>
      </c>
      <c r="K53" s="30">
        <f t="shared" si="9"/>
        <v>1166.6600000000001</v>
      </c>
      <c r="L53" s="30">
        <v>-653.33000000000004</v>
      </c>
      <c r="M53" s="30"/>
      <c r="N53" s="31"/>
      <c r="O53" s="31"/>
      <c r="P53" s="32"/>
      <c r="Q53" s="33">
        <f t="shared" si="10"/>
        <v>513.33000000000004</v>
      </c>
      <c r="R53" s="34"/>
      <c r="S53" s="45"/>
      <c r="T53" s="45">
        <v>0</v>
      </c>
      <c r="U53" s="45"/>
      <c r="V53" s="45"/>
      <c r="W53" s="45"/>
      <c r="X53" s="36"/>
      <c r="Y53" s="36"/>
      <c r="Z53" s="90"/>
      <c r="AA53" s="90">
        <f>+Q53*0.25</f>
        <v>128.33250000000001</v>
      </c>
      <c r="AB53" s="33">
        <f t="shared" si="15"/>
        <v>384.99750000000006</v>
      </c>
      <c r="AC53" s="37">
        <f t="shared" si="13"/>
        <v>0</v>
      </c>
      <c r="AD53" s="33">
        <f t="shared" si="14"/>
        <v>384.99750000000006</v>
      </c>
      <c r="AE53" s="38">
        <f t="shared" si="11"/>
        <v>51.333000000000006</v>
      </c>
      <c r="AF53" s="37">
        <v>10.23</v>
      </c>
      <c r="AG53" s="67">
        <f t="shared" si="12"/>
        <v>574.89300000000003</v>
      </c>
      <c r="AH53" s="39"/>
      <c r="AI53" s="56"/>
      <c r="AJ53" s="39"/>
      <c r="AK53" s="39"/>
      <c r="AL53" s="56"/>
      <c r="AM53" s="39"/>
      <c r="AN53" s="39">
        <v>129.37</v>
      </c>
      <c r="AO53" s="39" t="s">
        <v>279</v>
      </c>
    </row>
    <row r="54" spans="1:54">
      <c r="A54" s="27" t="s">
        <v>70</v>
      </c>
      <c r="B54" s="27" t="s">
        <v>225</v>
      </c>
      <c r="C54" s="27" t="s">
        <v>248</v>
      </c>
      <c r="D54" s="27" t="s">
        <v>124</v>
      </c>
      <c r="E54" s="27" t="s">
        <v>173</v>
      </c>
      <c r="F54" s="68">
        <v>42352</v>
      </c>
      <c r="G54" s="28"/>
      <c r="H54" s="28"/>
      <c r="I54" s="30">
        <v>513.33000000000004</v>
      </c>
      <c r="J54" s="28">
        <v>653.33000000000004</v>
      </c>
      <c r="K54" s="30">
        <f t="shared" si="9"/>
        <v>1166.6600000000001</v>
      </c>
      <c r="L54" s="30"/>
      <c r="M54" s="30"/>
      <c r="N54" s="31"/>
      <c r="O54" s="31"/>
      <c r="P54" s="32"/>
      <c r="Q54" s="33">
        <f t="shared" si="10"/>
        <v>1166.6600000000001</v>
      </c>
      <c r="R54" s="34"/>
      <c r="S54" s="45"/>
      <c r="T54" s="45">
        <v>0</v>
      </c>
      <c r="U54" s="45"/>
      <c r="V54" s="45"/>
      <c r="W54" s="45"/>
      <c r="X54" s="36"/>
      <c r="Y54" s="36"/>
      <c r="Z54" s="35"/>
      <c r="AA54" s="35">
        <v>0</v>
      </c>
      <c r="AB54" s="33">
        <f t="shared" si="15"/>
        <v>1166.6600000000001</v>
      </c>
      <c r="AC54" s="37">
        <f t="shared" si="13"/>
        <v>0</v>
      </c>
      <c r="AD54" s="33">
        <f t="shared" si="14"/>
        <v>1166.6600000000001</v>
      </c>
      <c r="AE54" s="38">
        <f t="shared" si="11"/>
        <v>116.66600000000001</v>
      </c>
      <c r="AF54" s="37">
        <v>10.23</v>
      </c>
      <c r="AG54" s="67">
        <f t="shared" si="12"/>
        <v>1293.556</v>
      </c>
      <c r="AH54" s="39"/>
      <c r="AI54" s="56"/>
      <c r="AJ54" s="39"/>
      <c r="AK54" s="39"/>
      <c r="AL54" s="56"/>
      <c r="AM54" s="39"/>
      <c r="AN54" s="39"/>
    </row>
    <row r="55" spans="1:54" s="84" customFormat="1">
      <c r="A55" s="79" t="s">
        <v>71</v>
      </c>
      <c r="B55" s="79" t="s">
        <v>285</v>
      </c>
      <c r="C55" s="79"/>
      <c r="D55" s="79"/>
      <c r="E55" s="79" t="s">
        <v>73</v>
      </c>
      <c r="F55" s="87">
        <v>42055</v>
      </c>
      <c r="G55" s="79"/>
      <c r="H55" s="79"/>
      <c r="I55" s="80">
        <v>513.33000000000004</v>
      </c>
      <c r="J55" s="79">
        <v>653.33000000000004</v>
      </c>
      <c r="K55" s="80">
        <f t="shared" si="9"/>
        <v>1166.6600000000001</v>
      </c>
      <c r="L55" s="80"/>
      <c r="M55" s="80"/>
      <c r="N55" s="80"/>
      <c r="O55" s="80"/>
      <c r="P55" s="81"/>
      <c r="Q55" s="82">
        <f t="shared" si="10"/>
        <v>1166.6600000000001</v>
      </c>
      <c r="R55" s="80"/>
      <c r="S55" s="80"/>
      <c r="T55" s="80"/>
      <c r="U55" s="80"/>
      <c r="V55" s="80"/>
      <c r="W55" s="80"/>
      <c r="X55" s="83"/>
      <c r="Y55" s="83"/>
      <c r="Z55" s="79"/>
      <c r="AA55" s="79"/>
      <c r="AB55" s="82">
        <f t="shared" si="15"/>
        <v>1166.6600000000001</v>
      </c>
      <c r="AC55" s="83">
        <f t="shared" si="13"/>
        <v>0</v>
      </c>
      <c r="AD55" s="82">
        <f t="shared" si="14"/>
        <v>1166.6600000000001</v>
      </c>
      <c r="AE55" s="83">
        <f t="shared" si="11"/>
        <v>116.66600000000001</v>
      </c>
      <c r="AF55" s="83">
        <v>10.23</v>
      </c>
      <c r="AG55" s="82">
        <f t="shared" si="12"/>
        <v>1293.556</v>
      </c>
      <c r="AI55" s="85"/>
      <c r="AL55" s="85"/>
      <c r="AM55" s="84">
        <v>1905307865</v>
      </c>
      <c r="AN55" s="78" t="s">
        <v>266</v>
      </c>
    </row>
    <row r="56" spans="1:54">
      <c r="A56" s="27" t="s">
        <v>71</v>
      </c>
      <c r="B56" s="27" t="s">
        <v>263</v>
      </c>
      <c r="C56" s="27" t="s">
        <v>251</v>
      </c>
      <c r="D56" s="27" t="s">
        <v>156</v>
      </c>
      <c r="E56" s="27" t="s">
        <v>73</v>
      </c>
      <c r="F56" s="27"/>
      <c r="G56" s="28"/>
      <c r="H56" s="28"/>
      <c r="I56" s="30">
        <v>513.33000000000004</v>
      </c>
      <c r="J56" s="28"/>
      <c r="K56" s="30">
        <f t="shared" si="9"/>
        <v>513.33000000000004</v>
      </c>
      <c r="L56" s="30">
        <v>513.33000000000004</v>
      </c>
      <c r="M56" s="30">
        <v>66.010000000000005</v>
      </c>
      <c r="N56" s="31"/>
      <c r="O56" s="31"/>
      <c r="P56" s="32"/>
      <c r="Q56" s="33">
        <f t="shared" si="10"/>
        <v>1092.67</v>
      </c>
      <c r="R56" s="34"/>
      <c r="S56" s="45"/>
      <c r="T56" s="45">
        <v>0</v>
      </c>
      <c r="U56" s="45"/>
      <c r="V56" s="45"/>
      <c r="W56" s="45"/>
      <c r="X56" s="36"/>
      <c r="Y56" s="36"/>
      <c r="Z56" s="35"/>
      <c r="AA56" s="35">
        <v>86.56</v>
      </c>
      <c r="AB56" s="33">
        <f t="shared" si="15"/>
        <v>1006.1100000000001</v>
      </c>
      <c r="AC56" s="37">
        <f t="shared" si="13"/>
        <v>0</v>
      </c>
      <c r="AD56" s="33">
        <f t="shared" si="14"/>
        <v>1006.1100000000001</v>
      </c>
      <c r="AE56" s="38">
        <f t="shared" si="11"/>
        <v>109.26700000000001</v>
      </c>
      <c r="AF56" s="37">
        <v>10.23</v>
      </c>
      <c r="AG56" s="67">
        <f t="shared" si="12"/>
        <v>1212.1670000000001</v>
      </c>
      <c r="AH56" s="39"/>
      <c r="AI56" s="56"/>
      <c r="AJ56" s="39"/>
      <c r="AK56" s="39"/>
      <c r="AL56" s="56"/>
      <c r="AM56" s="39"/>
      <c r="AN56" s="39"/>
    </row>
    <row r="57" spans="1:54">
      <c r="A57" s="27" t="s">
        <v>94</v>
      </c>
      <c r="B57" s="27" t="s">
        <v>243</v>
      </c>
      <c r="C57" s="27"/>
      <c r="D57" s="27" t="s">
        <v>134</v>
      </c>
      <c r="E57" s="27" t="s">
        <v>178</v>
      </c>
      <c r="F57" s="27"/>
      <c r="G57" s="28"/>
      <c r="H57" s="28"/>
      <c r="I57" s="30">
        <v>1100</v>
      </c>
      <c r="J57" s="28"/>
      <c r="K57" s="30">
        <f t="shared" si="9"/>
        <v>1100</v>
      </c>
      <c r="L57" s="30">
        <v>307.39999999999998</v>
      </c>
      <c r="M57" s="30"/>
      <c r="N57" s="31"/>
      <c r="O57" s="31"/>
      <c r="P57" s="32"/>
      <c r="Q57" s="33">
        <f t="shared" si="10"/>
        <v>1407.4</v>
      </c>
      <c r="R57" s="34"/>
      <c r="S57" s="45"/>
      <c r="T57" s="75">
        <f>+Q57*1%</f>
        <v>14.074000000000002</v>
      </c>
      <c r="U57" s="75">
        <f>+Q57*4.9%</f>
        <v>68.962600000000009</v>
      </c>
      <c r="V57" s="45"/>
      <c r="W57" s="45"/>
      <c r="X57" s="36"/>
      <c r="Y57" s="36"/>
      <c r="Z57" s="35"/>
      <c r="AA57" s="35">
        <v>0</v>
      </c>
      <c r="AB57" s="33">
        <f t="shared" si="15"/>
        <v>1324.3634000000002</v>
      </c>
      <c r="AC57" s="37">
        <f t="shared" si="13"/>
        <v>0</v>
      </c>
      <c r="AD57" s="33">
        <f t="shared" si="14"/>
        <v>1324.3634000000002</v>
      </c>
      <c r="AE57" s="38">
        <f t="shared" si="11"/>
        <v>140.74</v>
      </c>
      <c r="AF57" s="37">
        <v>10.23</v>
      </c>
      <c r="AG57" s="67">
        <f t="shared" si="12"/>
        <v>1558.3700000000001</v>
      </c>
      <c r="AH57" s="39"/>
      <c r="AI57" s="56"/>
      <c r="AJ57" s="39"/>
      <c r="AK57" s="39"/>
      <c r="AL57" s="56"/>
      <c r="AM57" s="39"/>
      <c r="AN57" s="39"/>
    </row>
    <row r="58" spans="1:54">
      <c r="A58" s="62" t="s">
        <v>92</v>
      </c>
      <c r="B58" s="27" t="s">
        <v>77</v>
      </c>
      <c r="C58" s="27"/>
      <c r="D58" s="27" t="s">
        <v>103</v>
      </c>
      <c r="E58" s="27" t="s">
        <v>163</v>
      </c>
      <c r="F58" s="27"/>
      <c r="G58" s="27"/>
      <c r="H58" s="27"/>
      <c r="I58" s="30">
        <v>739.23</v>
      </c>
      <c r="J58" s="27"/>
      <c r="K58" s="30">
        <f t="shared" si="9"/>
        <v>739.23</v>
      </c>
      <c r="L58" s="30"/>
      <c r="M58" s="30"/>
      <c r="N58" s="30"/>
      <c r="O58" s="30"/>
      <c r="P58" s="32"/>
      <c r="Q58" s="33">
        <f t="shared" si="10"/>
        <v>739.23</v>
      </c>
      <c r="R58" s="34"/>
      <c r="S58" s="45"/>
      <c r="T58" s="45">
        <v>0</v>
      </c>
      <c r="U58" s="45"/>
      <c r="V58" s="45"/>
      <c r="W58" s="45"/>
      <c r="X58" s="36"/>
      <c r="Y58" s="36"/>
      <c r="Z58" s="35"/>
      <c r="AA58" s="35">
        <v>0</v>
      </c>
      <c r="AB58" s="33">
        <f t="shared" si="15"/>
        <v>739.23</v>
      </c>
      <c r="AC58" s="37">
        <f t="shared" si="13"/>
        <v>0</v>
      </c>
      <c r="AD58" s="33">
        <f t="shared" si="14"/>
        <v>739.23</v>
      </c>
      <c r="AE58" s="38">
        <f t="shared" si="11"/>
        <v>73.923000000000002</v>
      </c>
      <c r="AF58" s="37">
        <v>10.23</v>
      </c>
      <c r="AG58" s="67">
        <f t="shared" si="12"/>
        <v>823.38300000000004</v>
      </c>
      <c r="AH58" s="39"/>
      <c r="AI58" s="56"/>
      <c r="AJ58" s="39"/>
      <c r="AK58" s="39"/>
      <c r="AL58" s="56"/>
      <c r="AM58" s="39"/>
      <c r="AN58" s="39"/>
    </row>
    <row r="59" spans="1:54">
      <c r="A59" s="62" t="s">
        <v>94</v>
      </c>
      <c r="B59" s="27" t="s">
        <v>208</v>
      </c>
      <c r="C59" s="27"/>
      <c r="D59" s="27" t="s">
        <v>135</v>
      </c>
      <c r="E59" s="27" t="s">
        <v>179</v>
      </c>
      <c r="F59" s="27"/>
      <c r="G59" s="28"/>
      <c r="H59" s="28"/>
      <c r="I59" s="30">
        <v>608.16</v>
      </c>
      <c r="J59" s="28"/>
      <c r="K59" s="30">
        <f t="shared" si="9"/>
        <v>608.16</v>
      </c>
      <c r="L59" s="30"/>
      <c r="M59" s="30"/>
      <c r="N59" s="31"/>
      <c r="O59" s="31"/>
      <c r="P59" s="32"/>
      <c r="Q59" s="33">
        <f t="shared" si="10"/>
        <v>608.16</v>
      </c>
      <c r="R59" s="34"/>
      <c r="S59" s="45"/>
      <c r="T59" s="45"/>
      <c r="U59" s="75">
        <f>Q59*4.9%</f>
        <v>29.79984</v>
      </c>
      <c r="V59" s="75">
        <f>Q59*1%</f>
        <v>6.0815999999999999</v>
      </c>
      <c r="W59" s="45"/>
      <c r="X59" s="36"/>
      <c r="Y59" s="36"/>
      <c r="Z59" s="35"/>
      <c r="AA59" s="35">
        <v>0</v>
      </c>
      <c r="AB59" s="33">
        <f t="shared" si="15"/>
        <v>572.27855999999997</v>
      </c>
      <c r="AC59" s="37">
        <f t="shared" si="13"/>
        <v>0</v>
      </c>
      <c r="AD59" s="33">
        <f t="shared" si="14"/>
        <v>572.27855999999997</v>
      </c>
      <c r="AE59" s="38">
        <f t="shared" si="11"/>
        <v>60.816000000000003</v>
      </c>
      <c r="AF59" s="37">
        <v>10.23</v>
      </c>
      <c r="AG59" s="67">
        <f t="shared" si="12"/>
        <v>679.20600000000002</v>
      </c>
      <c r="AH59" s="39"/>
      <c r="AI59" s="56"/>
      <c r="AJ59" s="39"/>
      <c r="AK59" s="39"/>
      <c r="AL59" s="56"/>
      <c r="AM59" s="39"/>
      <c r="AN59" s="39"/>
    </row>
    <row r="60" spans="1:54">
      <c r="A60" s="62" t="s">
        <v>94</v>
      </c>
      <c r="B60" s="27" t="s">
        <v>199</v>
      </c>
      <c r="C60" s="27"/>
      <c r="D60" s="27" t="s">
        <v>136</v>
      </c>
      <c r="E60" s="27" t="s">
        <v>180</v>
      </c>
      <c r="F60" s="27"/>
      <c r="G60" s="28"/>
      <c r="H60" s="28"/>
      <c r="I60" s="30">
        <v>511.28</v>
      </c>
      <c r="J60" s="28"/>
      <c r="K60" s="30">
        <f t="shared" si="9"/>
        <v>511.28</v>
      </c>
      <c r="L60" s="30">
        <v>1441.8</v>
      </c>
      <c r="M60" s="30"/>
      <c r="N60" s="31"/>
      <c r="O60" s="31"/>
      <c r="P60" s="32"/>
      <c r="Q60" s="33">
        <f t="shared" si="10"/>
        <v>1953.08</v>
      </c>
      <c r="R60" s="34"/>
      <c r="S60" s="45"/>
      <c r="T60" s="75">
        <v>100</v>
      </c>
      <c r="U60" s="75">
        <f>Q60*4.9%</f>
        <v>95.700919999999996</v>
      </c>
      <c r="V60" s="75">
        <f>Q60*1%</f>
        <v>19.530799999999999</v>
      </c>
      <c r="W60" s="45"/>
      <c r="X60" s="36"/>
      <c r="Y60" s="36"/>
      <c r="Z60" s="35"/>
      <c r="AA60" s="35">
        <v>0</v>
      </c>
      <c r="AB60" s="33">
        <f t="shared" si="15"/>
        <v>1737.8482799999999</v>
      </c>
      <c r="AC60" s="37">
        <f t="shared" si="13"/>
        <v>0</v>
      </c>
      <c r="AD60" s="33">
        <f t="shared" si="14"/>
        <v>1737.8482799999999</v>
      </c>
      <c r="AE60" s="38">
        <f t="shared" si="11"/>
        <v>195.30799999999999</v>
      </c>
      <c r="AF60" s="37">
        <v>10.23</v>
      </c>
      <c r="AG60" s="67">
        <f t="shared" si="12"/>
        <v>2158.6179999999999</v>
      </c>
      <c r="AH60" s="39"/>
      <c r="AI60" s="56"/>
      <c r="AJ60" s="39"/>
      <c r="AK60" s="39"/>
      <c r="AL60" s="56"/>
      <c r="AM60" s="39"/>
      <c r="AN60" s="39"/>
    </row>
    <row r="61" spans="1:54">
      <c r="A61" s="27" t="s">
        <v>71</v>
      </c>
      <c r="B61" s="27" t="s">
        <v>287</v>
      </c>
      <c r="C61" s="27" t="s">
        <v>254</v>
      </c>
      <c r="D61" s="27" t="s">
        <v>157</v>
      </c>
      <c r="E61" s="27" t="s">
        <v>73</v>
      </c>
      <c r="F61" s="27"/>
      <c r="G61" s="28"/>
      <c r="H61" s="28"/>
      <c r="I61" s="30">
        <v>513.33000000000004</v>
      </c>
      <c r="J61" s="28"/>
      <c r="K61" s="30">
        <f t="shared" si="9"/>
        <v>513.33000000000004</v>
      </c>
      <c r="L61" s="30"/>
      <c r="M61" s="30">
        <v>66.069999999999993</v>
      </c>
      <c r="N61" s="31"/>
      <c r="O61" s="31"/>
      <c r="P61" s="32"/>
      <c r="Q61" s="33">
        <f t="shared" si="10"/>
        <v>579.40000000000009</v>
      </c>
      <c r="R61" s="34"/>
      <c r="S61" s="45"/>
      <c r="T61" s="45">
        <v>0</v>
      </c>
      <c r="U61" s="45"/>
      <c r="V61" s="45"/>
      <c r="W61" s="45"/>
      <c r="X61" s="36"/>
      <c r="Y61" s="36"/>
      <c r="Z61" s="35"/>
      <c r="AA61" s="35">
        <v>0</v>
      </c>
      <c r="AB61" s="33">
        <f t="shared" si="15"/>
        <v>579.40000000000009</v>
      </c>
      <c r="AC61" s="37">
        <f t="shared" si="13"/>
        <v>0</v>
      </c>
      <c r="AD61" s="33">
        <f t="shared" si="14"/>
        <v>579.40000000000009</v>
      </c>
      <c r="AE61" s="38">
        <f t="shared" si="11"/>
        <v>57.940000000000012</v>
      </c>
      <c r="AF61" s="37">
        <v>10.23</v>
      </c>
      <c r="AG61" s="67">
        <f t="shared" si="12"/>
        <v>647.57000000000016</v>
      </c>
      <c r="AH61" s="39"/>
      <c r="AI61" s="56"/>
      <c r="AJ61" s="39"/>
      <c r="AK61" s="39"/>
      <c r="AL61" s="56"/>
      <c r="AM61" s="39"/>
      <c r="AN61" s="39"/>
    </row>
    <row r="62" spans="1:54">
      <c r="A62" s="62" t="s">
        <v>92</v>
      </c>
      <c r="B62" s="27" t="s">
        <v>78</v>
      </c>
      <c r="C62" s="27"/>
      <c r="D62" s="27" t="s">
        <v>104</v>
      </c>
      <c r="E62" s="27" t="s">
        <v>164</v>
      </c>
      <c r="F62" s="27"/>
      <c r="G62" s="27"/>
      <c r="H62" s="28"/>
      <c r="I62" s="30">
        <v>739.23</v>
      </c>
      <c r="J62" s="28"/>
      <c r="K62" s="30">
        <f t="shared" si="9"/>
        <v>739.23</v>
      </c>
      <c r="L62" s="30">
        <v>4006.07</v>
      </c>
      <c r="M62" s="30"/>
      <c r="N62" s="42"/>
      <c r="O62" s="31"/>
      <c r="P62" s="32"/>
      <c r="Q62" s="33">
        <f t="shared" si="10"/>
        <v>4745.3</v>
      </c>
      <c r="R62" s="34"/>
      <c r="S62" s="45"/>
      <c r="T62" s="45">
        <v>0</v>
      </c>
      <c r="U62" s="45"/>
      <c r="V62" s="45"/>
      <c r="W62" s="45"/>
      <c r="X62" s="36"/>
      <c r="Y62" s="36"/>
      <c r="Z62" s="35"/>
      <c r="AA62" s="35">
        <v>0</v>
      </c>
      <c r="AB62" s="33">
        <f t="shared" si="15"/>
        <v>4745.3</v>
      </c>
      <c r="AC62" s="37">
        <f t="shared" si="13"/>
        <v>474.53000000000003</v>
      </c>
      <c r="AD62" s="33">
        <f t="shared" si="14"/>
        <v>4270.7700000000004</v>
      </c>
      <c r="AE62" s="38">
        <f t="shared" si="11"/>
        <v>0</v>
      </c>
      <c r="AF62" s="37">
        <v>10.23</v>
      </c>
      <c r="AG62" s="67">
        <f t="shared" si="12"/>
        <v>4755.53</v>
      </c>
      <c r="AH62" s="39"/>
      <c r="AI62" s="56"/>
      <c r="AJ62" s="39"/>
      <c r="AK62" s="39"/>
      <c r="AL62" s="56"/>
      <c r="AM62" s="39"/>
      <c r="AN62" s="39"/>
    </row>
    <row r="63" spans="1:54">
      <c r="A63" s="62" t="s">
        <v>92</v>
      </c>
      <c r="B63" s="27" t="s">
        <v>232</v>
      </c>
      <c r="C63" s="27"/>
      <c r="D63" s="27" t="s">
        <v>105</v>
      </c>
      <c r="E63" s="27" t="s">
        <v>163</v>
      </c>
      <c r="F63" s="27"/>
      <c r="G63" s="27"/>
      <c r="H63" s="28"/>
      <c r="I63" s="30">
        <v>739.23</v>
      </c>
      <c r="J63" s="28"/>
      <c r="K63" s="30">
        <f t="shared" si="9"/>
        <v>739.23</v>
      </c>
      <c r="L63" s="30">
        <v>3036.32</v>
      </c>
      <c r="M63" s="30"/>
      <c r="N63" s="31"/>
      <c r="O63" s="31"/>
      <c r="P63" s="32"/>
      <c r="Q63" s="33">
        <f t="shared" si="10"/>
        <v>3775.55</v>
      </c>
      <c r="R63" s="34"/>
      <c r="S63" s="45"/>
      <c r="T63" s="45">
        <v>0</v>
      </c>
      <c r="U63" s="45"/>
      <c r="V63" s="45"/>
      <c r="W63" s="45"/>
      <c r="X63" s="36"/>
      <c r="Y63" s="36"/>
      <c r="Z63" s="35"/>
      <c r="AA63" s="35">
        <v>0</v>
      </c>
      <c r="AB63" s="33">
        <f t="shared" si="15"/>
        <v>3775.55</v>
      </c>
      <c r="AC63" s="37">
        <f t="shared" si="13"/>
        <v>0</v>
      </c>
      <c r="AD63" s="33">
        <f t="shared" si="14"/>
        <v>3775.55</v>
      </c>
      <c r="AE63" s="38">
        <f t="shared" si="11"/>
        <v>377.55500000000006</v>
      </c>
      <c r="AF63" s="37">
        <v>10.23</v>
      </c>
      <c r="AG63" s="67">
        <f t="shared" si="12"/>
        <v>4163.335</v>
      </c>
      <c r="AH63" s="39"/>
      <c r="AI63" s="56"/>
      <c r="AJ63" s="39"/>
      <c r="AK63" s="39"/>
      <c r="AL63" s="56"/>
      <c r="AM63" s="39"/>
      <c r="AN63" s="39"/>
    </row>
    <row r="64" spans="1:54" s="84" customFormat="1">
      <c r="A64" s="79" t="s">
        <v>92</v>
      </c>
      <c r="B64" s="79" t="s">
        <v>272</v>
      </c>
      <c r="C64" s="79"/>
      <c r="D64" s="79"/>
      <c r="E64" s="79" t="s">
        <v>163</v>
      </c>
      <c r="F64" s="87">
        <v>42422</v>
      </c>
      <c r="G64" s="79"/>
      <c r="H64" s="79"/>
      <c r="I64" s="80">
        <v>0</v>
      </c>
      <c r="J64" s="79">
        <v>1136.73</v>
      </c>
      <c r="K64" s="80">
        <f t="shared" si="9"/>
        <v>1136.73</v>
      </c>
      <c r="L64" s="80">
        <v>0</v>
      </c>
      <c r="M64" s="80"/>
      <c r="N64" s="80"/>
      <c r="O64" s="80"/>
      <c r="P64" s="80"/>
      <c r="Q64" s="82">
        <f t="shared" si="10"/>
        <v>1136.73</v>
      </c>
      <c r="R64" s="80"/>
      <c r="S64" s="45"/>
      <c r="T64" s="80"/>
      <c r="U64" s="80"/>
      <c r="V64" s="80"/>
      <c r="W64" s="80"/>
      <c r="X64" s="83"/>
      <c r="Y64" s="83"/>
      <c r="Z64" s="79"/>
      <c r="AA64" s="79"/>
      <c r="AB64" s="82">
        <f t="shared" si="15"/>
        <v>1136.73</v>
      </c>
      <c r="AC64" s="83">
        <f t="shared" si="13"/>
        <v>0</v>
      </c>
      <c r="AD64" s="82">
        <f t="shared" si="14"/>
        <v>1136.73</v>
      </c>
      <c r="AE64" s="83">
        <f t="shared" si="11"/>
        <v>113.673</v>
      </c>
      <c r="AF64" s="83">
        <v>10.23</v>
      </c>
      <c r="AG64" s="82">
        <f t="shared" si="12"/>
        <v>1260.633</v>
      </c>
      <c r="AI64" s="85"/>
      <c r="AL64" s="85"/>
      <c r="AM64" s="84">
        <v>2857006349</v>
      </c>
      <c r="AN64" s="78" t="s">
        <v>282</v>
      </c>
    </row>
    <row r="65" spans="1:54">
      <c r="A65" s="62" t="s">
        <v>94</v>
      </c>
      <c r="B65" s="27" t="s">
        <v>85</v>
      </c>
      <c r="C65" s="27"/>
      <c r="D65" s="27" t="s">
        <v>137</v>
      </c>
      <c r="E65" s="27" t="s">
        <v>181</v>
      </c>
      <c r="F65" s="27"/>
      <c r="G65" s="28"/>
      <c r="H65" s="28"/>
      <c r="I65" s="30">
        <v>608.16</v>
      </c>
      <c r="J65" s="28"/>
      <c r="K65" s="30">
        <f t="shared" si="9"/>
        <v>608.16</v>
      </c>
      <c r="L65" s="30">
        <v>1276.27</v>
      </c>
      <c r="M65" s="30"/>
      <c r="N65" s="31"/>
      <c r="O65" s="31"/>
      <c r="P65" s="32"/>
      <c r="Q65" s="33">
        <f t="shared" si="10"/>
        <v>1884.4299999999998</v>
      </c>
      <c r="R65" s="34"/>
      <c r="S65" s="45"/>
      <c r="T65" s="45"/>
      <c r="U65" s="75">
        <f>Q65*4.9%</f>
        <v>92.337069999999997</v>
      </c>
      <c r="V65" s="75">
        <f>Q65*1%</f>
        <v>18.8443</v>
      </c>
      <c r="W65" s="45"/>
      <c r="X65" s="36"/>
      <c r="Y65" s="36"/>
      <c r="Z65" s="35"/>
      <c r="AA65" s="35">
        <v>0</v>
      </c>
      <c r="AB65" s="33">
        <f t="shared" si="15"/>
        <v>1773.2486299999998</v>
      </c>
      <c r="AC65" s="37">
        <f t="shared" si="13"/>
        <v>0</v>
      </c>
      <c r="AD65" s="33">
        <f t="shared" si="14"/>
        <v>1773.2486299999998</v>
      </c>
      <c r="AE65" s="38">
        <f t="shared" si="11"/>
        <v>188.44299999999998</v>
      </c>
      <c r="AF65" s="37">
        <v>10.23</v>
      </c>
      <c r="AG65" s="67">
        <f t="shared" si="12"/>
        <v>2083.1029999999996</v>
      </c>
      <c r="AH65" s="39"/>
      <c r="AI65" s="56"/>
      <c r="AJ65" s="39"/>
      <c r="AK65" s="39"/>
      <c r="AL65" s="56"/>
      <c r="AM65" s="39"/>
      <c r="AN65" s="39"/>
    </row>
    <row r="66" spans="1:54">
      <c r="A66" s="62" t="s">
        <v>94</v>
      </c>
      <c r="B66" s="27" t="s">
        <v>215</v>
      </c>
      <c r="C66" s="27"/>
      <c r="D66" s="27" t="s">
        <v>138</v>
      </c>
      <c r="E66" s="27" t="s">
        <v>174</v>
      </c>
      <c r="F66" s="27"/>
      <c r="G66" s="28"/>
      <c r="H66" s="28"/>
      <c r="I66" s="30">
        <v>608.16</v>
      </c>
      <c r="J66" s="28"/>
      <c r="K66" s="30">
        <f t="shared" si="9"/>
        <v>608.16</v>
      </c>
      <c r="L66" s="30">
        <v>3235.87</v>
      </c>
      <c r="M66" s="30"/>
      <c r="N66" s="31"/>
      <c r="O66" s="31"/>
      <c r="P66" s="32"/>
      <c r="Q66" s="33">
        <f t="shared" si="10"/>
        <v>3844.0299999999997</v>
      </c>
      <c r="R66" s="34"/>
      <c r="S66" s="45"/>
      <c r="T66" s="75">
        <v>200</v>
      </c>
      <c r="U66" s="75">
        <f>Q66*4.9%</f>
        <v>188.35747000000001</v>
      </c>
      <c r="V66" s="75">
        <f>Q66*1%</f>
        <v>38.440300000000001</v>
      </c>
      <c r="W66" s="75">
        <v>321.74</v>
      </c>
      <c r="X66" s="36"/>
      <c r="Y66" s="36"/>
      <c r="Z66" s="35"/>
      <c r="AA66" s="35">
        <v>0</v>
      </c>
      <c r="AB66" s="33">
        <f t="shared" si="15"/>
        <v>3095.4922299999998</v>
      </c>
      <c r="AC66" s="37">
        <f t="shared" si="13"/>
        <v>0</v>
      </c>
      <c r="AD66" s="33">
        <f t="shared" si="14"/>
        <v>3095.4922299999998</v>
      </c>
      <c r="AE66" s="38">
        <f t="shared" si="11"/>
        <v>384.40300000000002</v>
      </c>
      <c r="AF66" s="37">
        <v>10.23</v>
      </c>
      <c r="AG66" s="67">
        <f t="shared" si="12"/>
        <v>4238.6629999999996</v>
      </c>
      <c r="AH66" s="39"/>
      <c r="AI66" s="56"/>
      <c r="AJ66" s="39"/>
      <c r="AK66" s="39"/>
      <c r="AL66" s="56"/>
      <c r="AM66" s="39"/>
      <c r="AN66" s="39"/>
    </row>
    <row r="67" spans="1:54">
      <c r="A67" s="27" t="s">
        <v>93</v>
      </c>
      <c r="B67" s="27" t="s">
        <v>82</v>
      </c>
      <c r="C67" s="27"/>
      <c r="D67" s="27" t="s">
        <v>118</v>
      </c>
      <c r="E67" s="27" t="s">
        <v>171</v>
      </c>
      <c r="F67" s="27"/>
      <c r="G67" s="28"/>
      <c r="H67" s="28"/>
      <c r="I67" s="30">
        <v>1400</v>
      </c>
      <c r="J67" s="28"/>
      <c r="K67" s="30">
        <f t="shared" si="9"/>
        <v>1400</v>
      </c>
      <c r="L67" s="30">
        <f>355.65+140</f>
        <v>495.65</v>
      </c>
      <c r="M67" s="30"/>
      <c r="N67" s="31"/>
      <c r="O67" s="31"/>
      <c r="P67" s="32"/>
      <c r="Q67" s="33">
        <f t="shared" si="10"/>
        <v>1895.65</v>
      </c>
      <c r="R67" s="34"/>
      <c r="S67" s="45"/>
      <c r="T67" s="45">
        <v>0</v>
      </c>
      <c r="U67" s="45"/>
      <c r="V67" s="45"/>
      <c r="W67" s="45"/>
      <c r="X67" s="36"/>
      <c r="Y67" s="36"/>
      <c r="Z67" s="35"/>
      <c r="AA67" s="35">
        <v>0</v>
      </c>
      <c r="AB67" s="33">
        <f t="shared" si="15"/>
        <v>1895.65</v>
      </c>
      <c r="AC67" s="37">
        <f t="shared" si="13"/>
        <v>0</v>
      </c>
      <c r="AD67" s="33">
        <f t="shared" si="14"/>
        <v>1895.65</v>
      </c>
      <c r="AE67" s="38">
        <f t="shared" si="11"/>
        <v>189.56500000000003</v>
      </c>
      <c r="AF67" s="37">
        <v>10.23</v>
      </c>
      <c r="AG67" s="67">
        <f t="shared" si="12"/>
        <v>2095.4450000000002</v>
      </c>
      <c r="AH67" s="39"/>
      <c r="AI67" s="56"/>
      <c r="AJ67" s="39"/>
      <c r="AK67" s="39"/>
      <c r="AL67" s="56"/>
      <c r="AM67" s="39"/>
      <c r="AN67" s="39"/>
    </row>
    <row r="68" spans="1:54">
      <c r="A68" s="62" t="s">
        <v>94</v>
      </c>
      <c r="B68" s="27" t="s">
        <v>195</v>
      </c>
      <c r="C68" s="27"/>
      <c r="D68" s="27" t="s">
        <v>140</v>
      </c>
      <c r="E68" s="27" t="s">
        <v>174</v>
      </c>
      <c r="F68" s="27"/>
      <c r="G68" s="28"/>
      <c r="H68" s="28"/>
      <c r="I68" s="30">
        <v>608.16</v>
      </c>
      <c r="J68" s="28"/>
      <c r="K68" s="30">
        <f t="shared" si="9"/>
        <v>608.16</v>
      </c>
      <c r="L68" s="30">
        <v>527.79999999999995</v>
      </c>
      <c r="M68" s="30"/>
      <c r="N68" s="31"/>
      <c r="O68" s="31"/>
      <c r="P68" s="32"/>
      <c r="Q68" s="33">
        <f t="shared" si="10"/>
        <v>1135.96</v>
      </c>
      <c r="R68" s="34"/>
      <c r="S68" s="45"/>
      <c r="T68" s="45">
        <v>0</v>
      </c>
      <c r="U68" s="75">
        <f>Q68*4.9%</f>
        <v>55.662040000000005</v>
      </c>
      <c r="V68" s="75">
        <f>Q68*1%</f>
        <v>11.3596</v>
      </c>
      <c r="W68" s="45"/>
      <c r="X68" s="36"/>
      <c r="Y68" s="36"/>
      <c r="Z68" s="35"/>
      <c r="AA68" s="35">
        <v>0</v>
      </c>
      <c r="AB68" s="33">
        <f t="shared" si="15"/>
        <v>1068.9383600000001</v>
      </c>
      <c r="AC68" s="37">
        <f t="shared" si="13"/>
        <v>0</v>
      </c>
      <c r="AD68" s="33">
        <f t="shared" si="14"/>
        <v>1068.9383600000001</v>
      </c>
      <c r="AE68" s="38">
        <f t="shared" si="11"/>
        <v>113.596</v>
      </c>
      <c r="AF68" s="37">
        <v>10.23</v>
      </c>
      <c r="AG68" s="67">
        <f t="shared" si="12"/>
        <v>1259.7860000000001</v>
      </c>
      <c r="AH68" s="39"/>
      <c r="AI68" s="56"/>
      <c r="AJ68" s="39"/>
      <c r="AK68" s="39"/>
      <c r="AL68" s="56"/>
      <c r="AM68" s="39"/>
      <c r="AN68" s="39"/>
    </row>
    <row r="69" spans="1:54">
      <c r="A69" s="27" t="s">
        <v>91</v>
      </c>
      <c r="B69" s="27" t="s">
        <v>244</v>
      </c>
      <c r="C69" s="27"/>
      <c r="D69" s="27" t="s">
        <v>117</v>
      </c>
      <c r="E69" s="27" t="s">
        <v>171</v>
      </c>
      <c r="F69" s="27"/>
      <c r="G69" s="27"/>
      <c r="H69" s="27"/>
      <c r="I69" s="30">
        <v>1400</v>
      </c>
      <c r="J69" s="27"/>
      <c r="K69" s="30">
        <f t="shared" si="9"/>
        <v>1400</v>
      </c>
      <c r="L69" s="30"/>
      <c r="M69" s="30"/>
      <c r="N69" s="30"/>
      <c r="O69" s="30"/>
      <c r="P69" s="32"/>
      <c r="Q69" s="33">
        <f t="shared" si="10"/>
        <v>1400</v>
      </c>
      <c r="R69" s="34"/>
      <c r="S69" s="45"/>
      <c r="T69" s="45">
        <v>0</v>
      </c>
      <c r="U69" s="45"/>
      <c r="V69" s="45"/>
      <c r="W69" s="45"/>
      <c r="X69" s="36"/>
      <c r="Y69" s="36"/>
      <c r="Z69" s="35"/>
      <c r="AA69" s="35">
        <v>0</v>
      </c>
      <c r="AB69" s="33">
        <f t="shared" si="15"/>
        <v>1400</v>
      </c>
      <c r="AC69" s="37">
        <f t="shared" si="13"/>
        <v>0</v>
      </c>
      <c r="AD69" s="33">
        <f t="shared" si="14"/>
        <v>1400</v>
      </c>
      <c r="AE69" s="38">
        <f t="shared" si="11"/>
        <v>140</v>
      </c>
      <c r="AF69" s="37">
        <v>10.23</v>
      </c>
      <c r="AG69" s="67">
        <f t="shared" si="12"/>
        <v>1550.23</v>
      </c>
      <c r="AH69" s="39"/>
      <c r="AI69" s="56"/>
      <c r="AJ69" s="39"/>
      <c r="AK69" s="39"/>
      <c r="AL69" s="56"/>
      <c r="AM69" s="39"/>
      <c r="AN69" s="39" t="s">
        <v>290</v>
      </c>
    </row>
    <row r="70" spans="1:54" s="61" customFormat="1">
      <c r="A70" s="62" t="s">
        <v>92</v>
      </c>
      <c r="B70" s="63" t="s">
        <v>201</v>
      </c>
      <c r="C70" s="63"/>
      <c r="D70" s="63"/>
      <c r="E70" s="63" t="s">
        <v>163</v>
      </c>
      <c r="F70" s="72">
        <v>42416</v>
      </c>
      <c r="G70" s="63"/>
      <c r="H70" s="63"/>
      <c r="I70" s="53">
        <v>739.23</v>
      </c>
      <c r="J70" s="63"/>
      <c r="K70" s="53">
        <f t="shared" si="9"/>
        <v>739.23</v>
      </c>
      <c r="L70" s="53">
        <v>1692.78</v>
      </c>
      <c r="M70" s="53"/>
      <c r="N70" s="53"/>
      <c r="O70" s="53"/>
      <c r="P70" s="73"/>
      <c r="Q70" s="59">
        <f t="shared" si="10"/>
        <v>2432.0100000000002</v>
      </c>
      <c r="R70" s="58"/>
      <c r="S70" s="45"/>
      <c r="T70" s="58"/>
      <c r="U70" s="58"/>
      <c r="V70" s="58"/>
      <c r="W70" s="58"/>
      <c r="X70" s="60"/>
      <c r="Y70" s="60"/>
      <c r="Z70" s="57"/>
      <c r="AA70" s="57"/>
      <c r="AB70" s="59">
        <f t="shared" si="15"/>
        <v>2432.0100000000002</v>
      </c>
      <c r="AC70" s="60">
        <f t="shared" si="13"/>
        <v>0</v>
      </c>
      <c r="AD70" s="59">
        <f t="shared" si="14"/>
        <v>2432.0100000000002</v>
      </c>
      <c r="AE70" s="60">
        <f t="shared" si="11"/>
        <v>243.20100000000002</v>
      </c>
      <c r="AF70" s="37">
        <v>10.23</v>
      </c>
      <c r="AG70" s="67">
        <f t="shared" si="12"/>
        <v>2685.4410000000003</v>
      </c>
      <c r="AH70" s="39"/>
      <c r="AI70" s="56"/>
      <c r="AJ70" s="39"/>
      <c r="AK70" s="39"/>
      <c r="AL70" s="56"/>
      <c r="AM70" s="39"/>
      <c r="AN70" s="39"/>
      <c r="AO70" s="39"/>
      <c r="AP70" s="39"/>
      <c r="AQ70" s="39"/>
      <c r="AR70" s="39"/>
      <c r="AS70" s="39"/>
      <c r="AT70" s="39"/>
      <c r="AU70" s="39"/>
      <c r="AV70" s="39"/>
      <c r="AW70" s="39"/>
      <c r="AX70" s="39"/>
      <c r="AY70" s="39"/>
      <c r="AZ70" s="39"/>
      <c r="BA70" s="39"/>
      <c r="BB70" s="39"/>
    </row>
    <row r="71" spans="1:54">
      <c r="A71" s="62" t="s">
        <v>94</v>
      </c>
      <c r="B71" s="27" t="s">
        <v>214</v>
      </c>
      <c r="C71" s="27"/>
      <c r="D71" s="27" t="s">
        <v>139</v>
      </c>
      <c r="E71" s="27" t="s">
        <v>182</v>
      </c>
      <c r="F71" s="27"/>
      <c r="G71" s="28"/>
      <c r="H71" s="28"/>
      <c r="I71" s="30">
        <v>511.28</v>
      </c>
      <c r="J71" s="28"/>
      <c r="K71" s="30">
        <f t="shared" si="9"/>
        <v>511.28</v>
      </c>
      <c r="L71" s="30">
        <f>1826.28+250+200</f>
        <v>2276.2799999999997</v>
      </c>
      <c r="M71" s="30"/>
      <c r="N71" s="31"/>
      <c r="O71" s="31"/>
      <c r="P71" s="32"/>
      <c r="Q71" s="33">
        <f t="shared" si="10"/>
        <v>2787.5599999999995</v>
      </c>
      <c r="R71" s="34"/>
      <c r="S71" s="45"/>
      <c r="T71" s="75">
        <v>300</v>
      </c>
      <c r="U71" s="45"/>
      <c r="V71" s="45"/>
      <c r="W71" s="45"/>
      <c r="X71" s="36"/>
      <c r="Y71" s="36"/>
      <c r="Z71" s="35"/>
      <c r="AA71" s="35">
        <f>831.77+139.91</f>
        <v>971.68</v>
      </c>
      <c r="AB71" s="33">
        <f t="shared" si="15"/>
        <v>1515.8799999999997</v>
      </c>
      <c r="AC71" s="37">
        <f t="shared" si="13"/>
        <v>0</v>
      </c>
      <c r="AD71" s="33">
        <f t="shared" si="14"/>
        <v>1515.8799999999997</v>
      </c>
      <c r="AE71" s="38">
        <f t="shared" si="11"/>
        <v>278.75599999999997</v>
      </c>
      <c r="AF71" s="37">
        <v>10.23</v>
      </c>
      <c r="AG71" s="67">
        <f t="shared" si="12"/>
        <v>3076.5459999999994</v>
      </c>
      <c r="AH71" s="39"/>
      <c r="AI71" s="56"/>
      <c r="AJ71" s="39"/>
      <c r="AK71" s="39"/>
      <c r="AL71" s="56"/>
      <c r="AM71" s="39"/>
      <c r="AN71" s="39"/>
    </row>
    <row r="72" spans="1:54">
      <c r="A72" s="27" t="s">
        <v>91</v>
      </c>
      <c r="B72" s="27" t="s">
        <v>239</v>
      </c>
      <c r="C72" s="27"/>
      <c r="D72" s="27" t="s">
        <v>99</v>
      </c>
      <c r="E72" s="27" t="s">
        <v>72</v>
      </c>
      <c r="F72" s="27"/>
      <c r="G72" s="27"/>
      <c r="H72" s="27"/>
      <c r="I72" s="30">
        <v>1166.26</v>
      </c>
      <c r="J72" s="29"/>
      <c r="K72" s="30">
        <f t="shared" ref="K72:K90" si="16">+I72+J72</f>
        <v>1166.26</v>
      </c>
      <c r="L72" s="30">
        <v>784.32</v>
      </c>
      <c r="M72" s="30"/>
      <c r="N72" s="30"/>
      <c r="O72" s="30"/>
      <c r="P72" s="32"/>
      <c r="Q72" s="33">
        <f t="shared" ref="Q72:Q87" si="17">SUM(K72:O72)-P72</f>
        <v>1950.58</v>
      </c>
      <c r="R72" s="34"/>
      <c r="S72" s="45"/>
      <c r="T72" s="45">
        <v>0</v>
      </c>
      <c r="U72" s="45"/>
      <c r="V72" s="45"/>
      <c r="W72" s="45"/>
      <c r="X72" s="36"/>
      <c r="Y72" s="36"/>
      <c r="Z72" s="35"/>
      <c r="AA72" s="35">
        <v>0</v>
      </c>
      <c r="AB72" s="33">
        <f t="shared" si="15"/>
        <v>1950.58</v>
      </c>
      <c r="AC72" s="37">
        <f t="shared" si="13"/>
        <v>0</v>
      </c>
      <c r="AD72" s="33">
        <f t="shared" si="14"/>
        <v>1950.58</v>
      </c>
      <c r="AE72" s="38">
        <f t="shared" si="11"/>
        <v>195.05799999999999</v>
      </c>
      <c r="AF72" s="37">
        <v>10.23</v>
      </c>
      <c r="AG72" s="67">
        <f t="shared" si="12"/>
        <v>2155.8679999999999</v>
      </c>
      <c r="AH72" s="39"/>
      <c r="AI72" s="56"/>
      <c r="AJ72" s="39"/>
      <c r="AK72" s="39"/>
      <c r="AL72" s="56"/>
      <c r="AM72" s="39"/>
      <c r="AN72" s="39"/>
    </row>
    <row r="73" spans="1:54">
      <c r="A73" s="27" t="s">
        <v>93</v>
      </c>
      <c r="B73" s="27" t="s">
        <v>273</v>
      </c>
      <c r="C73" s="27"/>
      <c r="D73" s="27" t="s">
        <v>119</v>
      </c>
      <c r="E73" s="27" t="s">
        <v>168</v>
      </c>
      <c r="F73" s="27"/>
      <c r="G73" s="27"/>
      <c r="H73" s="27"/>
      <c r="I73" s="30">
        <v>1100</v>
      </c>
      <c r="J73" s="27"/>
      <c r="K73" s="30">
        <f t="shared" si="16"/>
        <v>1100</v>
      </c>
      <c r="L73" s="30"/>
      <c r="M73" s="30"/>
      <c r="N73" s="30"/>
      <c r="O73" s="30"/>
      <c r="P73" s="32"/>
      <c r="Q73" s="33">
        <f t="shared" si="17"/>
        <v>1100</v>
      </c>
      <c r="R73" s="34"/>
      <c r="S73" s="45"/>
      <c r="T73" s="45">
        <v>0</v>
      </c>
      <c r="U73" s="45"/>
      <c r="V73" s="45"/>
      <c r="W73" s="45"/>
      <c r="X73" s="36"/>
      <c r="Y73" s="36"/>
      <c r="Z73" s="35"/>
      <c r="AA73" s="35">
        <v>0</v>
      </c>
      <c r="AB73" s="33">
        <f t="shared" si="15"/>
        <v>1100</v>
      </c>
      <c r="AC73" s="37">
        <f t="shared" si="13"/>
        <v>0</v>
      </c>
      <c r="AD73" s="33">
        <f t="shared" si="14"/>
        <v>1100</v>
      </c>
      <c r="AE73" s="38">
        <f t="shared" ref="AE73:AE87" si="18">IF(Q73&lt;4500,Q73*0.1,0)</f>
        <v>110</v>
      </c>
      <c r="AF73" s="37">
        <v>10.23</v>
      </c>
      <c r="AG73" s="67">
        <f t="shared" ref="AG73:AG87" si="19">+Q73+AE73+AF73</f>
        <v>1220.23</v>
      </c>
      <c r="AH73" s="39"/>
      <c r="AI73" s="56"/>
      <c r="AJ73" s="39"/>
      <c r="AK73" s="39"/>
      <c r="AL73" s="56"/>
      <c r="AM73" s="39"/>
      <c r="AN73" s="39"/>
    </row>
    <row r="74" spans="1:54">
      <c r="A74" s="27" t="s">
        <v>71</v>
      </c>
      <c r="B74" s="27" t="s">
        <v>89</v>
      </c>
      <c r="C74" s="27" t="s">
        <v>249</v>
      </c>
      <c r="D74" s="27" t="s">
        <v>158</v>
      </c>
      <c r="E74" s="27" t="s">
        <v>73</v>
      </c>
      <c r="F74" s="27"/>
      <c r="G74" s="28"/>
      <c r="H74" s="28"/>
      <c r="I74" s="30">
        <v>513.33000000000004</v>
      </c>
      <c r="J74" s="28"/>
      <c r="K74" s="30">
        <f t="shared" si="16"/>
        <v>513.33000000000004</v>
      </c>
      <c r="L74" s="30">
        <f>513.33+4055.1</f>
        <v>4568.43</v>
      </c>
      <c r="M74" s="30"/>
      <c r="N74" s="31"/>
      <c r="O74" s="31"/>
      <c r="P74" s="32"/>
      <c r="Q74" s="33">
        <f t="shared" si="17"/>
        <v>5081.76</v>
      </c>
      <c r="R74" s="34"/>
      <c r="S74" s="45">
        <v>58.91</v>
      </c>
      <c r="T74" s="45">
        <v>0</v>
      </c>
      <c r="U74" s="45"/>
      <c r="V74" s="45"/>
      <c r="W74" s="45"/>
      <c r="X74" s="36"/>
      <c r="Y74" s="36"/>
      <c r="Z74" s="35"/>
      <c r="AA74" s="35">
        <v>0</v>
      </c>
      <c r="AB74" s="33">
        <f t="shared" si="15"/>
        <v>5022.8500000000004</v>
      </c>
      <c r="AC74" s="37">
        <f t="shared" si="13"/>
        <v>508.17600000000004</v>
      </c>
      <c r="AD74" s="33">
        <f t="shared" si="14"/>
        <v>4514.674</v>
      </c>
      <c r="AE74" s="38">
        <f t="shared" si="18"/>
        <v>0</v>
      </c>
      <c r="AF74" s="37">
        <v>10.23</v>
      </c>
      <c r="AG74" s="67">
        <f t="shared" si="19"/>
        <v>5091.99</v>
      </c>
      <c r="AH74" s="39"/>
      <c r="AI74" s="56"/>
      <c r="AJ74" s="39"/>
      <c r="AK74" s="39"/>
      <c r="AL74" s="56"/>
      <c r="AM74" s="39"/>
      <c r="AN74" s="39"/>
    </row>
    <row r="75" spans="1:54">
      <c r="A75" s="62" t="s">
        <v>94</v>
      </c>
      <c r="B75" s="27" t="s">
        <v>86</v>
      </c>
      <c r="C75" s="27"/>
      <c r="D75" s="27" t="s">
        <v>141</v>
      </c>
      <c r="E75" s="27" t="s">
        <v>183</v>
      </c>
      <c r="F75" s="27"/>
      <c r="G75" s="28"/>
      <c r="H75" s="28"/>
      <c r="I75" s="30">
        <v>543.20000000000005</v>
      </c>
      <c r="J75" s="28"/>
      <c r="K75" s="30">
        <f t="shared" si="16"/>
        <v>543.20000000000005</v>
      </c>
      <c r="L75" s="30">
        <v>1059.4000000000001</v>
      </c>
      <c r="M75" s="30"/>
      <c r="N75" s="31"/>
      <c r="O75" s="31"/>
      <c r="P75" s="32"/>
      <c r="Q75" s="33">
        <f t="shared" si="17"/>
        <v>1602.6000000000001</v>
      </c>
      <c r="R75" s="34"/>
      <c r="S75" s="45"/>
      <c r="T75" s="45">
        <v>0</v>
      </c>
      <c r="U75" s="75">
        <f>Q75*4.9%</f>
        <v>78.527400000000014</v>
      </c>
      <c r="V75" s="75">
        <f>Q75*1%</f>
        <v>16.026000000000003</v>
      </c>
      <c r="W75" s="45"/>
      <c r="X75" s="36"/>
      <c r="Y75" s="36"/>
      <c r="Z75" s="35"/>
      <c r="AA75" s="35">
        <v>0</v>
      </c>
      <c r="AB75" s="33">
        <f t="shared" si="15"/>
        <v>1508.0466000000001</v>
      </c>
      <c r="AC75" s="37">
        <f t="shared" si="13"/>
        <v>0</v>
      </c>
      <c r="AD75" s="33">
        <f t="shared" si="14"/>
        <v>1508.0466000000001</v>
      </c>
      <c r="AE75" s="38">
        <f t="shared" si="18"/>
        <v>160.26000000000002</v>
      </c>
      <c r="AF75" s="37">
        <v>10.23</v>
      </c>
      <c r="AG75" s="67">
        <f t="shared" si="19"/>
        <v>1773.0900000000001</v>
      </c>
      <c r="AH75" s="39"/>
      <c r="AI75" s="56"/>
      <c r="AJ75" s="39"/>
      <c r="AK75" s="39"/>
      <c r="AL75" s="56"/>
      <c r="AM75" s="39"/>
      <c r="AN75" s="39"/>
    </row>
    <row r="76" spans="1:54">
      <c r="A76" s="62" t="s">
        <v>94</v>
      </c>
      <c r="B76" s="27" t="s">
        <v>193</v>
      </c>
      <c r="C76" s="27"/>
      <c r="D76" s="27" t="s">
        <v>142</v>
      </c>
      <c r="E76" s="27" t="s">
        <v>174</v>
      </c>
      <c r="F76" s="27"/>
      <c r="G76" s="28"/>
      <c r="H76" s="28"/>
      <c r="I76" s="30">
        <v>608.16</v>
      </c>
      <c r="J76" s="28"/>
      <c r="K76" s="30">
        <f t="shared" si="16"/>
        <v>608.16</v>
      </c>
      <c r="L76" s="30">
        <v>1325.5</v>
      </c>
      <c r="M76" s="30"/>
      <c r="N76" s="31"/>
      <c r="O76" s="31"/>
      <c r="P76" s="32"/>
      <c r="Q76" s="33">
        <f t="shared" si="17"/>
        <v>1933.6599999999999</v>
      </c>
      <c r="R76" s="34"/>
      <c r="S76" s="45"/>
      <c r="T76" s="75">
        <v>200</v>
      </c>
      <c r="U76" s="75">
        <f>Q76*4.9%</f>
        <v>94.749339999999989</v>
      </c>
      <c r="V76" s="75">
        <f>Q76*1%</f>
        <v>19.336600000000001</v>
      </c>
      <c r="W76" s="75">
        <v>257.64</v>
      </c>
      <c r="X76" s="36"/>
      <c r="Y76" s="36"/>
      <c r="Z76" s="35">
        <v>201.24</v>
      </c>
      <c r="AA76" s="35">
        <v>0</v>
      </c>
      <c r="AB76" s="33">
        <f t="shared" si="15"/>
        <v>1160.6940599999998</v>
      </c>
      <c r="AC76" s="37">
        <f t="shared" ref="AC76:AC87" si="20">IF(Q76&gt;4500,Q76*0.1,0)</f>
        <v>0</v>
      </c>
      <c r="AD76" s="33">
        <f t="shared" si="14"/>
        <v>1160.6940599999998</v>
      </c>
      <c r="AE76" s="38">
        <f t="shared" si="18"/>
        <v>193.36599999999999</v>
      </c>
      <c r="AF76" s="37">
        <v>10.23</v>
      </c>
      <c r="AG76" s="67">
        <f t="shared" si="19"/>
        <v>2137.2559999999999</v>
      </c>
      <c r="AH76" s="39"/>
      <c r="AI76" s="56"/>
      <c r="AJ76" s="39"/>
      <c r="AK76" s="39"/>
      <c r="AL76" s="56"/>
      <c r="AM76" s="39"/>
      <c r="AN76" s="39"/>
    </row>
    <row r="77" spans="1:54">
      <c r="A77" s="62" t="s">
        <v>92</v>
      </c>
      <c r="B77" s="27" t="s">
        <v>211</v>
      </c>
      <c r="C77" s="27"/>
      <c r="D77" s="27" t="s">
        <v>107</v>
      </c>
      <c r="E77" s="27" t="s">
        <v>165</v>
      </c>
      <c r="F77" s="27"/>
      <c r="G77" s="27"/>
      <c r="H77" s="27"/>
      <c r="I77" s="30">
        <v>739.23</v>
      </c>
      <c r="J77" s="27"/>
      <c r="K77" s="30">
        <f t="shared" si="16"/>
        <v>739.23</v>
      </c>
      <c r="L77" s="30">
        <v>1998.23</v>
      </c>
      <c r="M77" s="30"/>
      <c r="N77" s="31"/>
      <c r="O77" s="31"/>
      <c r="P77" s="32"/>
      <c r="Q77" s="33">
        <f t="shared" si="17"/>
        <v>2737.46</v>
      </c>
      <c r="R77" s="34"/>
      <c r="S77" s="45"/>
      <c r="T77" s="75">
        <v>150</v>
      </c>
      <c r="U77" s="45"/>
      <c r="V77" s="45"/>
      <c r="W77" s="45"/>
      <c r="X77" s="36"/>
      <c r="Y77" s="36"/>
      <c r="Z77" s="35"/>
      <c r="AA77" s="35">
        <v>0</v>
      </c>
      <c r="AB77" s="33">
        <f t="shared" si="15"/>
        <v>2587.46</v>
      </c>
      <c r="AC77" s="37">
        <f t="shared" si="20"/>
        <v>0</v>
      </c>
      <c r="AD77" s="33">
        <f t="shared" ref="AD77:AD87" si="21">+AB77-AC77</f>
        <v>2587.46</v>
      </c>
      <c r="AE77" s="38">
        <f t="shared" si="18"/>
        <v>273.74600000000004</v>
      </c>
      <c r="AF77" s="37">
        <v>10.23</v>
      </c>
      <c r="AG77" s="67">
        <f t="shared" si="19"/>
        <v>3021.4360000000001</v>
      </c>
      <c r="AH77" s="39"/>
      <c r="AI77" s="56"/>
      <c r="AJ77" s="39"/>
      <c r="AK77" s="39"/>
      <c r="AL77" s="56"/>
      <c r="AM77" s="39"/>
      <c r="AN77" s="39"/>
    </row>
    <row r="78" spans="1:54">
      <c r="A78" s="27" t="s">
        <v>93</v>
      </c>
      <c r="B78" s="27" t="s">
        <v>83</v>
      </c>
      <c r="C78" s="27"/>
      <c r="D78" s="27" t="s">
        <v>120</v>
      </c>
      <c r="E78" s="27" t="s">
        <v>171</v>
      </c>
      <c r="F78" s="27"/>
      <c r="G78" s="28"/>
      <c r="H78" s="28"/>
      <c r="I78" s="30">
        <v>1400</v>
      </c>
      <c r="J78" s="28"/>
      <c r="K78" s="30">
        <f t="shared" si="16"/>
        <v>1400</v>
      </c>
      <c r="L78" s="30"/>
      <c r="M78" s="30"/>
      <c r="N78" s="31"/>
      <c r="O78" s="31"/>
      <c r="P78" s="32"/>
      <c r="Q78" s="33">
        <f t="shared" si="17"/>
        <v>1400</v>
      </c>
      <c r="R78" s="34"/>
      <c r="S78" s="45"/>
      <c r="T78" s="45">
        <v>0</v>
      </c>
      <c r="U78" s="45"/>
      <c r="V78" s="45"/>
      <c r="W78" s="45"/>
      <c r="X78" s="36"/>
      <c r="Y78" s="36"/>
      <c r="Z78" s="35"/>
      <c r="AA78" s="35">
        <f>355.65+71.38</f>
        <v>427.03</v>
      </c>
      <c r="AB78" s="33">
        <f t="shared" si="15"/>
        <v>972.97</v>
      </c>
      <c r="AC78" s="37">
        <f t="shared" si="20"/>
        <v>0</v>
      </c>
      <c r="AD78" s="33">
        <f t="shared" si="21"/>
        <v>972.97</v>
      </c>
      <c r="AE78" s="38">
        <f t="shared" si="18"/>
        <v>140</v>
      </c>
      <c r="AF78" s="37">
        <v>10.23</v>
      </c>
      <c r="AG78" s="67">
        <f t="shared" si="19"/>
        <v>1550.23</v>
      </c>
      <c r="AH78" s="39"/>
      <c r="AI78" s="56"/>
      <c r="AJ78" s="39"/>
      <c r="AK78" s="39"/>
      <c r="AL78" s="56"/>
      <c r="AM78" s="39"/>
      <c r="AN78" s="39"/>
    </row>
    <row r="79" spans="1:54" s="61" customFormat="1">
      <c r="A79" s="63" t="s">
        <v>93</v>
      </c>
      <c r="B79" s="63" t="s">
        <v>286</v>
      </c>
      <c r="C79" s="63"/>
      <c r="D79" s="63"/>
      <c r="E79" s="63" t="s">
        <v>171</v>
      </c>
      <c r="F79" s="72">
        <v>42410</v>
      </c>
      <c r="G79" s="63"/>
      <c r="H79" s="63"/>
      <c r="I79" s="53">
        <v>1400</v>
      </c>
      <c r="J79" s="63"/>
      <c r="K79" s="53">
        <f t="shared" si="16"/>
        <v>1400</v>
      </c>
      <c r="L79" s="53"/>
      <c r="M79" s="53"/>
      <c r="N79" s="53"/>
      <c r="O79" s="53"/>
      <c r="P79" s="73"/>
      <c r="Q79" s="59">
        <f t="shared" si="17"/>
        <v>1400</v>
      </c>
      <c r="R79" s="58"/>
      <c r="S79" s="45"/>
      <c r="T79" s="58"/>
      <c r="U79" s="58"/>
      <c r="V79" s="58"/>
      <c r="W79" s="58"/>
      <c r="X79" s="60"/>
      <c r="Y79" s="60"/>
      <c r="Z79" s="57"/>
      <c r="AA79" s="57"/>
      <c r="AB79" s="59">
        <f t="shared" ref="AB79:AB87" si="22">+Q79-SUM(R79:AA79)</f>
        <v>1400</v>
      </c>
      <c r="AC79" s="60">
        <f t="shared" si="20"/>
        <v>0</v>
      </c>
      <c r="AD79" s="59">
        <f t="shared" si="21"/>
        <v>1400</v>
      </c>
      <c r="AE79" s="60">
        <f t="shared" si="18"/>
        <v>140</v>
      </c>
      <c r="AF79" s="37">
        <v>10.23</v>
      </c>
      <c r="AG79" s="67">
        <f t="shared" si="19"/>
        <v>1550.23</v>
      </c>
      <c r="AH79" s="39"/>
      <c r="AI79" s="56"/>
      <c r="AJ79" s="39"/>
      <c r="AK79" s="39"/>
      <c r="AL79" s="56"/>
      <c r="AM79" s="39"/>
      <c r="AN79" s="39"/>
      <c r="AO79" s="39"/>
      <c r="AP79" s="39"/>
      <c r="AQ79" s="39"/>
      <c r="AR79" s="39"/>
      <c r="AS79" s="39"/>
      <c r="AT79" s="39"/>
      <c r="AU79" s="39"/>
      <c r="AV79" s="39"/>
      <c r="AW79" s="39"/>
      <c r="AX79" s="39"/>
      <c r="AY79" s="39"/>
      <c r="AZ79" s="39"/>
      <c r="BA79" s="39"/>
      <c r="BB79" s="39"/>
    </row>
    <row r="80" spans="1:54">
      <c r="A80" s="62" t="s">
        <v>92</v>
      </c>
      <c r="B80" s="27" t="s">
        <v>271</v>
      </c>
      <c r="C80" s="27"/>
      <c r="D80" s="27" t="s">
        <v>106</v>
      </c>
      <c r="E80" s="27" t="s">
        <v>163</v>
      </c>
      <c r="F80" s="27"/>
      <c r="G80" s="27"/>
      <c r="H80" s="27"/>
      <c r="I80" s="30">
        <v>739.23</v>
      </c>
      <c r="J80" s="27"/>
      <c r="K80" s="30">
        <f t="shared" si="16"/>
        <v>739.23</v>
      </c>
      <c r="L80" s="30">
        <v>774.3</v>
      </c>
      <c r="M80" s="30"/>
      <c r="N80" s="31"/>
      <c r="O80" s="31"/>
      <c r="P80" s="32"/>
      <c r="Q80" s="33">
        <f t="shared" si="17"/>
        <v>1513.53</v>
      </c>
      <c r="R80" s="34"/>
      <c r="S80" s="45"/>
      <c r="T80" s="45">
        <v>0</v>
      </c>
      <c r="U80" s="45"/>
      <c r="V80" s="45"/>
      <c r="W80" s="45"/>
      <c r="X80" s="36"/>
      <c r="Y80" s="36"/>
      <c r="Z80" s="35"/>
      <c r="AA80" s="35">
        <v>0</v>
      </c>
      <c r="AB80" s="33">
        <f t="shared" si="22"/>
        <v>1513.53</v>
      </c>
      <c r="AC80" s="37">
        <f t="shared" si="20"/>
        <v>0</v>
      </c>
      <c r="AD80" s="33">
        <f t="shared" si="21"/>
        <v>1513.53</v>
      </c>
      <c r="AE80" s="38">
        <f t="shared" si="18"/>
        <v>151.35300000000001</v>
      </c>
      <c r="AF80" s="37">
        <v>10.23</v>
      </c>
      <c r="AG80" s="67">
        <f t="shared" si="19"/>
        <v>1675.1130000000001</v>
      </c>
      <c r="AH80" s="39"/>
      <c r="AI80" s="56"/>
      <c r="AJ80" s="39"/>
      <c r="AK80" s="39"/>
      <c r="AL80" s="56"/>
      <c r="AM80" s="39"/>
      <c r="AN80" s="39"/>
    </row>
    <row r="81" spans="1:40">
      <c r="A81" s="62" t="s">
        <v>92</v>
      </c>
      <c r="B81" s="27" t="s">
        <v>79</v>
      </c>
      <c r="C81" s="27"/>
      <c r="D81" s="27" t="s">
        <v>108</v>
      </c>
      <c r="E81" s="27" t="s">
        <v>166</v>
      </c>
      <c r="F81" s="27"/>
      <c r="G81" s="27"/>
      <c r="H81" s="27"/>
      <c r="I81" s="30">
        <v>739.23</v>
      </c>
      <c r="J81" s="27"/>
      <c r="K81" s="30">
        <f t="shared" si="16"/>
        <v>739.23</v>
      </c>
      <c r="L81" s="30">
        <v>1939.52</v>
      </c>
      <c r="M81" s="30"/>
      <c r="N81" s="30"/>
      <c r="O81" s="30"/>
      <c r="P81" s="32"/>
      <c r="Q81" s="33">
        <f t="shared" si="17"/>
        <v>2678.75</v>
      </c>
      <c r="R81" s="34"/>
      <c r="S81" s="45"/>
      <c r="T81" s="45">
        <v>0</v>
      </c>
      <c r="U81" s="45"/>
      <c r="V81" s="45"/>
      <c r="W81" s="45"/>
      <c r="X81" s="36"/>
      <c r="Y81" s="36"/>
      <c r="Z81" s="35"/>
      <c r="AA81" s="35">
        <v>0</v>
      </c>
      <c r="AB81" s="33">
        <f t="shared" si="22"/>
        <v>2678.75</v>
      </c>
      <c r="AC81" s="37">
        <f t="shared" si="20"/>
        <v>0</v>
      </c>
      <c r="AD81" s="33">
        <f t="shared" si="21"/>
        <v>2678.75</v>
      </c>
      <c r="AE81" s="38">
        <f t="shared" si="18"/>
        <v>267.875</v>
      </c>
      <c r="AF81" s="37">
        <v>10.23</v>
      </c>
      <c r="AG81" s="67">
        <f t="shared" si="19"/>
        <v>2956.855</v>
      </c>
      <c r="AH81" s="39"/>
      <c r="AI81" s="56"/>
      <c r="AJ81" s="39"/>
      <c r="AK81" s="39"/>
      <c r="AL81" s="56"/>
      <c r="AM81" s="39"/>
      <c r="AN81" s="39"/>
    </row>
    <row r="82" spans="1:40">
      <c r="A82" s="27" t="s">
        <v>71</v>
      </c>
      <c r="B82" s="27" t="s">
        <v>274</v>
      </c>
      <c r="C82" s="27" t="s">
        <v>251</v>
      </c>
      <c r="D82" s="27" t="s">
        <v>159</v>
      </c>
      <c r="E82" s="27" t="s">
        <v>73</v>
      </c>
      <c r="F82" s="27"/>
      <c r="G82" s="28"/>
      <c r="H82" s="28"/>
      <c r="I82" s="30">
        <v>513.33000000000004</v>
      </c>
      <c r="J82" s="28">
        <v>653.33000000000004</v>
      </c>
      <c r="K82" s="30">
        <f t="shared" si="16"/>
        <v>1166.6600000000001</v>
      </c>
      <c r="L82" s="30">
        <v>639.69000000000005</v>
      </c>
      <c r="M82" s="30"/>
      <c r="N82" s="31"/>
      <c r="O82" s="31"/>
      <c r="P82" s="32"/>
      <c r="Q82" s="33">
        <f t="shared" si="17"/>
        <v>1806.3500000000001</v>
      </c>
      <c r="R82" s="34"/>
      <c r="S82" s="45"/>
      <c r="T82" s="45">
        <v>0</v>
      </c>
      <c r="U82" s="45"/>
      <c r="V82" s="45"/>
      <c r="W82" s="45"/>
      <c r="X82" s="36"/>
      <c r="Y82" s="36"/>
      <c r="Z82" s="35"/>
      <c r="AA82" s="35">
        <f>488.83+560.34</f>
        <v>1049.17</v>
      </c>
      <c r="AB82" s="33">
        <f t="shared" si="22"/>
        <v>757.18000000000006</v>
      </c>
      <c r="AC82" s="37">
        <f t="shared" si="20"/>
        <v>0</v>
      </c>
      <c r="AD82" s="33">
        <f t="shared" si="21"/>
        <v>757.18000000000006</v>
      </c>
      <c r="AE82" s="38">
        <f t="shared" si="18"/>
        <v>180.63500000000002</v>
      </c>
      <c r="AF82" s="37">
        <v>10.23</v>
      </c>
      <c r="AG82" s="67">
        <f t="shared" si="19"/>
        <v>1997.2150000000001</v>
      </c>
      <c r="AH82" s="39"/>
      <c r="AI82" s="56"/>
      <c r="AJ82" s="39"/>
      <c r="AK82" s="39"/>
      <c r="AL82" s="56"/>
      <c r="AM82" s="39"/>
      <c r="AN82" s="39"/>
    </row>
    <row r="83" spans="1:40">
      <c r="A83" s="27" t="s">
        <v>70</v>
      </c>
      <c r="B83" s="27" t="s">
        <v>275</v>
      </c>
      <c r="C83" s="27" t="s">
        <v>248</v>
      </c>
      <c r="D83" s="27" t="s">
        <v>125</v>
      </c>
      <c r="E83" s="27" t="s">
        <v>173</v>
      </c>
      <c r="F83" s="27"/>
      <c r="G83" s="28"/>
      <c r="H83" s="28"/>
      <c r="I83" s="30">
        <v>1166.67</v>
      </c>
      <c r="J83" s="28"/>
      <c r="K83" s="30">
        <f t="shared" si="16"/>
        <v>1166.67</v>
      </c>
      <c r="L83" s="30">
        <v>2500</v>
      </c>
      <c r="M83" s="30"/>
      <c r="N83" s="31"/>
      <c r="O83" s="31"/>
      <c r="P83" s="32"/>
      <c r="Q83" s="33">
        <f t="shared" si="17"/>
        <v>3666.67</v>
      </c>
      <c r="R83" s="34"/>
      <c r="S83" s="45">
        <v>58.91</v>
      </c>
      <c r="T83" s="45">
        <v>0</v>
      </c>
      <c r="U83" s="45"/>
      <c r="V83" s="45"/>
      <c r="W83" s="45"/>
      <c r="X83" s="36"/>
      <c r="Y83" s="36"/>
      <c r="Z83" s="35"/>
      <c r="AA83" s="35">
        <v>0</v>
      </c>
      <c r="AB83" s="33">
        <f t="shared" si="22"/>
        <v>3607.76</v>
      </c>
      <c r="AC83" s="37">
        <f t="shared" si="20"/>
        <v>0</v>
      </c>
      <c r="AD83" s="33">
        <f t="shared" si="21"/>
        <v>3607.76</v>
      </c>
      <c r="AE83" s="38">
        <f t="shared" si="18"/>
        <v>366.66700000000003</v>
      </c>
      <c r="AF83" s="37">
        <v>10.23</v>
      </c>
      <c r="AG83" s="67">
        <f t="shared" si="19"/>
        <v>4043.567</v>
      </c>
      <c r="AH83" s="39"/>
      <c r="AI83" s="56"/>
      <c r="AJ83" s="39"/>
      <c r="AK83" s="39"/>
      <c r="AL83" s="56"/>
      <c r="AM83" s="39"/>
      <c r="AN83" s="39"/>
    </row>
    <row r="84" spans="1:40">
      <c r="A84" s="62" t="s">
        <v>94</v>
      </c>
      <c r="B84" s="27" t="s">
        <v>197</v>
      </c>
      <c r="C84" s="27"/>
      <c r="D84" s="27" t="s">
        <v>143</v>
      </c>
      <c r="E84" s="27" t="s">
        <v>179</v>
      </c>
      <c r="F84" s="27"/>
      <c r="G84" s="28"/>
      <c r="H84" s="28"/>
      <c r="I84" s="30">
        <v>608.16</v>
      </c>
      <c r="J84" s="28"/>
      <c r="K84" s="30">
        <f t="shared" si="16"/>
        <v>608.16</v>
      </c>
      <c r="L84" s="30">
        <v>3752</v>
      </c>
      <c r="M84" s="30"/>
      <c r="N84" s="31"/>
      <c r="O84" s="31"/>
      <c r="P84" s="32"/>
      <c r="Q84" s="33">
        <f t="shared" si="17"/>
        <v>4360.16</v>
      </c>
      <c r="R84" s="34"/>
      <c r="S84" s="45"/>
      <c r="T84" s="75">
        <v>200</v>
      </c>
      <c r="U84" s="75">
        <f>Q84*4.9%</f>
        <v>213.64784</v>
      </c>
      <c r="V84" s="75">
        <f>Q84*1%</f>
        <v>43.601599999999998</v>
      </c>
      <c r="W84" s="45"/>
      <c r="X84" s="36"/>
      <c r="Y84" s="36"/>
      <c r="Z84" s="35"/>
      <c r="AA84" s="35">
        <v>0</v>
      </c>
      <c r="AB84" s="33">
        <f t="shared" si="22"/>
        <v>3902.9105599999998</v>
      </c>
      <c r="AC84" s="37">
        <f t="shared" si="20"/>
        <v>0</v>
      </c>
      <c r="AD84" s="33">
        <f t="shared" si="21"/>
        <v>3902.9105599999998</v>
      </c>
      <c r="AE84" s="38">
        <f t="shared" si="18"/>
        <v>436.01600000000002</v>
      </c>
      <c r="AF84" s="37">
        <v>10.23</v>
      </c>
      <c r="AG84" s="67">
        <f t="shared" si="19"/>
        <v>4806.405999999999</v>
      </c>
      <c r="AH84" s="39"/>
      <c r="AI84" s="56"/>
      <c r="AJ84" s="39"/>
      <c r="AK84" s="39"/>
      <c r="AL84" s="56"/>
      <c r="AM84" s="39"/>
      <c r="AN84" s="39"/>
    </row>
    <row r="85" spans="1:40">
      <c r="A85" s="27" t="s">
        <v>91</v>
      </c>
      <c r="B85" s="27" t="s">
        <v>80</v>
      </c>
      <c r="C85" s="27"/>
      <c r="D85" s="27" t="s">
        <v>110</v>
      </c>
      <c r="E85" s="27" t="s">
        <v>168</v>
      </c>
      <c r="F85" s="27"/>
      <c r="G85" s="27"/>
      <c r="H85" s="27"/>
      <c r="I85" s="30">
        <v>1100</v>
      </c>
      <c r="J85" s="27"/>
      <c r="K85" s="30">
        <f t="shared" si="16"/>
        <v>1100</v>
      </c>
      <c r="L85" s="30"/>
      <c r="M85" s="30"/>
      <c r="N85" s="30"/>
      <c r="O85" s="30"/>
      <c r="P85" s="32"/>
      <c r="Q85" s="33">
        <f t="shared" si="17"/>
        <v>1100</v>
      </c>
      <c r="R85" s="34"/>
      <c r="S85" s="45"/>
      <c r="T85" s="45">
        <v>0</v>
      </c>
      <c r="U85" s="45"/>
      <c r="V85" s="45"/>
      <c r="W85" s="45"/>
      <c r="X85" s="36"/>
      <c r="Y85" s="36"/>
      <c r="Z85" s="35"/>
      <c r="AA85" s="35">
        <v>0</v>
      </c>
      <c r="AB85" s="33">
        <f t="shared" si="22"/>
        <v>1100</v>
      </c>
      <c r="AC85" s="37">
        <f t="shared" si="20"/>
        <v>0</v>
      </c>
      <c r="AD85" s="33">
        <f t="shared" si="21"/>
        <v>1100</v>
      </c>
      <c r="AE85" s="38">
        <f t="shared" si="18"/>
        <v>110</v>
      </c>
      <c r="AF85" s="37">
        <v>10.23</v>
      </c>
      <c r="AG85" s="67">
        <f t="shared" si="19"/>
        <v>1220.23</v>
      </c>
      <c r="AH85" s="39"/>
      <c r="AI85" s="56"/>
      <c r="AJ85" s="39"/>
      <c r="AK85" s="39"/>
      <c r="AL85" s="56"/>
      <c r="AM85" s="39"/>
      <c r="AN85" s="39"/>
    </row>
    <row r="86" spans="1:40">
      <c r="A86" s="27" t="s">
        <v>71</v>
      </c>
      <c r="B86" s="27" t="s">
        <v>90</v>
      </c>
      <c r="C86" s="27" t="s">
        <v>254</v>
      </c>
      <c r="D86" s="27" t="s">
        <v>160</v>
      </c>
      <c r="E86" s="27" t="s">
        <v>73</v>
      </c>
      <c r="F86" s="27"/>
      <c r="G86" s="28"/>
      <c r="H86" s="28"/>
      <c r="I86" s="30">
        <v>513.33000000000004</v>
      </c>
      <c r="J86" s="28">
        <v>653.33000000000004</v>
      </c>
      <c r="K86" s="30">
        <f t="shared" si="16"/>
        <v>1166.6600000000001</v>
      </c>
      <c r="L86" s="30"/>
      <c r="M86" s="30"/>
      <c r="N86" s="31"/>
      <c r="O86" s="31"/>
      <c r="P86" s="32"/>
      <c r="Q86" s="33">
        <f t="shared" si="17"/>
        <v>1166.6600000000001</v>
      </c>
      <c r="R86" s="34"/>
      <c r="S86" s="45"/>
      <c r="T86" s="45">
        <v>0</v>
      </c>
      <c r="U86" s="45"/>
      <c r="V86" s="45"/>
      <c r="W86" s="45"/>
      <c r="X86" s="36"/>
      <c r="Y86" s="36"/>
      <c r="Z86" s="35"/>
      <c r="AA86" s="35">
        <v>0</v>
      </c>
      <c r="AB86" s="33">
        <f t="shared" si="22"/>
        <v>1166.6600000000001</v>
      </c>
      <c r="AC86" s="37">
        <f t="shared" si="20"/>
        <v>0</v>
      </c>
      <c r="AD86" s="33">
        <f t="shared" si="21"/>
        <v>1166.6600000000001</v>
      </c>
      <c r="AE86" s="38">
        <f t="shared" si="18"/>
        <v>116.66600000000001</v>
      </c>
      <c r="AF86" s="37">
        <v>10.23</v>
      </c>
      <c r="AG86" s="67">
        <f t="shared" si="19"/>
        <v>1293.556</v>
      </c>
      <c r="AH86" s="39"/>
      <c r="AI86" s="56"/>
      <c r="AJ86" s="39"/>
      <c r="AK86" s="39"/>
      <c r="AL86" s="56"/>
      <c r="AM86" s="39"/>
      <c r="AN86" s="39"/>
    </row>
    <row r="87" spans="1:40">
      <c r="A87" s="62" t="s">
        <v>92</v>
      </c>
      <c r="B87" s="27" t="s">
        <v>210</v>
      </c>
      <c r="C87" s="27"/>
      <c r="D87" s="27" t="s">
        <v>109</v>
      </c>
      <c r="E87" s="27" t="s">
        <v>166</v>
      </c>
      <c r="F87" s="27"/>
      <c r="G87" s="27"/>
      <c r="H87" s="27"/>
      <c r="I87" s="30">
        <v>739.23</v>
      </c>
      <c r="J87" s="27"/>
      <c r="K87" s="30">
        <f t="shared" si="16"/>
        <v>739.23</v>
      </c>
      <c r="L87" s="30">
        <v>2851</v>
      </c>
      <c r="M87" s="30"/>
      <c r="N87" s="30"/>
      <c r="O87" s="30"/>
      <c r="P87" s="32"/>
      <c r="Q87" s="33">
        <f t="shared" si="17"/>
        <v>3590.23</v>
      </c>
      <c r="R87" s="34"/>
      <c r="S87" s="45"/>
      <c r="T87" s="75">
        <v>500</v>
      </c>
      <c r="U87" s="45"/>
      <c r="V87" s="45"/>
      <c r="W87" s="45"/>
      <c r="X87" s="36"/>
      <c r="Y87" s="36"/>
      <c r="Z87" s="35"/>
      <c r="AA87" s="35">
        <v>0</v>
      </c>
      <c r="AB87" s="33">
        <f t="shared" si="22"/>
        <v>3090.23</v>
      </c>
      <c r="AC87" s="37">
        <f t="shared" si="20"/>
        <v>0</v>
      </c>
      <c r="AD87" s="33">
        <f t="shared" si="21"/>
        <v>3090.23</v>
      </c>
      <c r="AE87" s="38">
        <f t="shared" si="18"/>
        <v>359.02300000000002</v>
      </c>
      <c r="AF87" s="37">
        <v>10.23</v>
      </c>
      <c r="AG87" s="67">
        <f t="shared" si="19"/>
        <v>3959.4830000000002</v>
      </c>
      <c r="AH87" s="39"/>
      <c r="AI87" s="56"/>
      <c r="AJ87" s="39"/>
      <c r="AK87" s="39"/>
      <c r="AL87" s="56"/>
      <c r="AM87" s="39"/>
      <c r="AN87" s="39"/>
    </row>
    <row r="88" spans="1:40">
      <c r="A88" s="27" t="s">
        <v>71</v>
      </c>
      <c r="B88" s="27" t="s">
        <v>217</v>
      </c>
      <c r="C88" s="27" t="s">
        <v>251</v>
      </c>
      <c r="D88" s="44" t="s">
        <v>218</v>
      </c>
      <c r="E88" s="27" t="s">
        <v>73</v>
      </c>
      <c r="F88" s="27"/>
      <c r="G88" s="28"/>
      <c r="H88" s="28"/>
      <c r="I88" s="30">
        <v>513.33000000000004</v>
      </c>
      <c r="J88" s="28">
        <v>653.33000000000004</v>
      </c>
      <c r="K88" s="30">
        <f t="shared" si="16"/>
        <v>1166.6600000000001</v>
      </c>
      <c r="L88" s="30"/>
      <c r="M88" s="30"/>
      <c r="N88" s="30"/>
      <c r="O88" s="30"/>
      <c r="P88" s="32"/>
      <c r="Q88" s="33">
        <f>SUM(K88:O88)-P88</f>
        <v>1166.6600000000001</v>
      </c>
      <c r="R88" s="34"/>
      <c r="S88" s="45"/>
      <c r="T88" s="45"/>
      <c r="U88" s="45"/>
      <c r="V88" s="45"/>
      <c r="W88" s="45"/>
      <c r="X88" s="36"/>
      <c r="Y88" s="36"/>
      <c r="Z88" s="35"/>
      <c r="AA88" s="35">
        <v>291.5</v>
      </c>
      <c r="AB88" s="33">
        <f>+Q88-SUM(R88:AA88)</f>
        <v>875.16000000000008</v>
      </c>
      <c r="AC88" s="37">
        <f>IF(Q88&gt;4500,Q88*0.1,0)</f>
        <v>0</v>
      </c>
      <c r="AD88" s="33">
        <f>+AB88-AC88</f>
        <v>875.16000000000008</v>
      </c>
      <c r="AE88" s="38">
        <f>IF(Q88&lt;4500,Q88*0.1,0)</f>
        <v>116.66600000000001</v>
      </c>
      <c r="AF88" s="37">
        <v>10.23</v>
      </c>
      <c r="AG88" s="67">
        <f>+Q88+AE88+AF88</f>
        <v>1293.556</v>
      </c>
      <c r="AH88" s="39"/>
      <c r="AI88" s="56"/>
      <c r="AJ88" s="39"/>
      <c r="AK88" s="39"/>
      <c r="AL88" s="56"/>
      <c r="AM88" s="39"/>
      <c r="AN88" s="39"/>
    </row>
    <row r="89" spans="1:40">
      <c r="A89" s="27" t="s">
        <v>91</v>
      </c>
      <c r="B89" s="63" t="s">
        <v>241</v>
      </c>
      <c r="C89" s="63"/>
      <c r="D89" s="44"/>
      <c r="E89" s="27" t="s">
        <v>242</v>
      </c>
      <c r="F89" s="27"/>
      <c r="G89" s="28"/>
      <c r="H89" s="28"/>
      <c r="I89" s="76">
        <v>1166.26</v>
      </c>
      <c r="J89" s="28"/>
      <c r="K89" s="30">
        <f t="shared" si="16"/>
        <v>1166.26</v>
      </c>
      <c r="L89" s="30">
        <v>2280.46</v>
      </c>
      <c r="M89" s="30"/>
      <c r="N89" s="31"/>
      <c r="O89" s="31"/>
      <c r="P89" s="32"/>
      <c r="Q89" s="33">
        <f>SUM(K89:O89)-P89</f>
        <v>3446.7200000000003</v>
      </c>
      <c r="R89" s="34"/>
      <c r="S89" s="45"/>
      <c r="T89" s="45"/>
      <c r="U89" s="45"/>
      <c r="V89" s="45"/>
      <c r="W89" s="45"/>
      <c r="X89" s="36"/>
      <c r="Y89" s="36"/>
      <c r="Z89" s="35"/>
      <c r="AA89" s="35">
        <v>0</v>
      </c>
      <c r="AB89" s="33">
        <f>+Q89-SUM(R89:AA89)</f>
        <v>3446.7200000000003</v>
      </c>
      <c r="AC89" s="37">
        <f>IF(Q89&gt;4500,Q89*0.1,0)</f>
        <v>0</v>
      </c>
      <c r="AD89" s="33">
        <f>+AB89-AC89</f>
        <v>3446.7200000000003</v>
      </c>
      <c r="AE89" s="38">
        <f>IF(Q89&lt;4500,Q89*0.1,0)</f>
        <v>344.67200000000003</v>
      </c>
      <c r="AF89" s="37">
        <v>10.23</v>
      </c>
      <c r="AG89" s="67">
        <f>+Q89+AE89+AF89</f>
        <v>3801.6220000000003</v>
      </c>
      <c r="AH89" s="39"/>
      <c r="AI89" s="56"/>
      <c r="AJ89" s="39"/>
      <c r="AK89" s="39"/>
      <c r="AL89" s="56"/>
      <c r="AM89" s="39"/>
      <c r="AN89" s="39"/>
    </row>
    <row r="90" spans="1:40">
      <c r="A90" s="27" t="s">
        <v>71</v>
      </c>
      <c r="B90" s="63" t="s">
        <v>250</v>
      </c>
      <c r="C90" s="27" t="s">
        <v>249</v>
      </c>
      <c r="D90" s="44"/>
      <c r="E90" s="27" t="s">
        <v>73</v>
      </c>
      <c r="F90" s="27"/>
      <c r="G90" s="28"/>
      <c r="H90" s="28"/>
      <c r="I90" s="76">
        <v>1166.26</v>
      </c>
      <c r="J90" s="28"/>
      <c r="K90" s="30">
        <f t="shared" si="16"/>
        <v>1166.26</v>
      </c>
      <c r="L90" s="30"/>
      <c r="M90" s="30"/>
      <c r="N90" s="31"/>
      <c r="O90" s="31"/>
      <c r="P90" s="32"/>
      <c r="Q90" s="33">
        <f>SUM(K90:O90)-P90</f>
        <v>1166.26</v>
      </c>
      <c r="R90" s="34"/>
      <c r="S90" s="45">
        <v>58.91</v>
      </c>
      <c r="T90" s="45"/>
      <c r="U90" s="45"/>
      <c r="V90" s="45"/>
      <c r="W90" s="45"/>
      <c r="X90" s="36"/>
      <c r="Y90" s="36"/>
      <c r="Z90" s="35"/>
      <c r="AA90" s="35">
        <v>0</v>
      </c>
      <c r="AB90" s="33">
        <f>+Q90-SUM(R90:AA90)</f>
        <v>1107.3499999999999</v>
      </c>
      <c r="AC90" s="37">
        <f>IF(Q90&gt;4500,Q90*0.1,0)</f>
        <v>0</v>
      </c>
      <c r="AD90" s="33">
        <f>+AB90-AC90</f>
        <v>1107.3499999999999</v>
      </c>
      <c r="AE90" s="38">
        <f>IF(Q90&lt;4500,Q90*0.1,0)</f>
        <v>116.626</v>
      </c>
      <c r="AF90" s="37">
        <v>10.23</v>
      </c>
      <c r="AG90" s="67">
        <f>+Q90+AE90+AF90</f>
        <v>1293.116</v>
      </c>
      <c r="AH90" s="39"/>
      <c r="AI90" s="56"/>
      <c r="AJ90" s="39"/>
      <c r="AK90" s="39"/>
      <c r="AL90" s="56"/>
      <c r="AM90" s="39"/>
      <c r="AN90" s="39"/>
    </row>
    <row r="91" spans="1:40">
      <c r="A91" s="27"/>
      <c r="B91" s="27"/>
      <c r="C91" s="27"/>
      <c r="D91" s="44"/>
      <c r="E91" s="27"/>
      <c r="F91" s="27"/>
      <c r="G91" s="28"/>
      <c r="H91" s="28"/>
      <c r="I91" s="30"/>
      <c r="J91" s="28"/>
      <c r="K91" s="30"/>
      <c r="L91" s="30"/>
      <c r="M91" s="30"/>
      <c r="N91" s="31"/>
      <c r="O91" s="31"/>
      <c r="P91" s="32"/>
      <c r="Q91" s="33"/>
      <c r="R91" s="34"/>
      <c r="S91" s="45"/>
      <c r="T91" s="45"/>
      <c r="U91" s="45"/>
      <c r="V91" s="45"/>
      <c r="W91" s="45"/>
      <c r="X91" s="36"/>
      <c r="Y91" s="36"/>
      <c r="Z91" s="45"/>
      <c r="AA91" s="35"/>
      <c r="AB91" s="33"/>
      <c r="AC91" s="37"/>
      <c r="AD91" s="33"/>
      <c r="AE91" s="38"/>
      <c r="AF91" s="37"/>
      <c r="AG91" s="67"/>
      <c r="AH91" s="39"/>
      <c r="AI91" s="56"/>
      <c r="AJ91" s="39"/>
      <c r="AK91" s="39"/>
      <c r="AL91" s="39"/>
      <c r="AM91" s="39"/>
      <c r="AN91" s="39"/>
    </row>
    <row r="92" spans="1:40">
      <c r="A92" s="27"/>
      <c r="B92" s="27"/>
      <c r="C92" s="27"/>
      <c r="D92" s="44"/>
      <c r="E92" s="27"/>
      <c r="F92" s="27"/>
      <c r="G92" s="28"/>
      <c r="H92" s="28"/>
      <c r="I92" s="30"/>
      <c r="J92" s="28"/>
      <c r="K92" s="30"/>
      <c r="L92" s="30"/>
      <c r="M92" s="30"/>
      <c r="N92" s="31"/>
      <c r="O92" s="31"/>
      <c r="P92" s="32"/>
      <c r="Q92" s="33"/>
      <c r="R92" s="34"/>
      <c r="S92" s="45"/>
      <c r="T92" s="45"/>
      <c r="U92" s="45"/>
      <c r="V92" s="45"/>
      <c r="W92" s="45"/>
      <c r="X92" s="36"/>
      <c r="Y92" s="36"/>
      <c r="Z92" s="45"/>
      <c r="AA92" s="35"/>
      <c r="AB92" s="33"/>
      <c r="AC92" s="37"/>
      <c r="AD92" s="33"/>
      <c r="AE92" s="38"/>
      <c r="AF92" s="37"/>
      <c r="AG92" s="67"/>
      <c r="AH92" s="39"/>
      <c r="AI92" s="56">
        <f>+AD92-AH92</f>
        <v>0</v>
      </c>
      <c r="AJ92" s="39"/>
      <c r="AK92" s="39"/>
      <c r="AL92" s="39"/>
      <c r="AM92" s="39"/>
      <c r="AN92" s="39"/>
    </row>
    <row r="93" spans="1:40">
      <c r="A93" s="46"/>
      <c r="B93" s="27"/>
      <c r="C93" s="27"/>
      <c r="D93" s="28"/>
      <c r="E93" s="27"/>
      <c r="F93" s="27"/>
      <c r="G93" s="27"/>
      <c r="H93" s="27"/>
      <c r="I93" s="30"/>
      <c r="J93" s="27"/>
      <c r="K93" s="30"/>
      <c r="L93" s="30"/>
      <c r="M93" s="30"/>
      <c r="N93" s="30"/>
      <c r="O93" s="30"/>
      <c r="P93" s="32"/>
      <c r="Q93" s="33"/>
      <c r="R93" s="34"/>
      <c r="S93" s="45"/>
      <c r="T93" s="45"/>
      <c r="U93" s="45"/>
      <c r="V93" s="45"/>
      <c r="W93" s="45"/>
      <c r="X93" s="36"/>
      <c r="Y93" s="36"/>
      <c r="Z93" s="45"/>
      <c r="AA93" s="43"/>
      <c r="AB93" s="33"/>
      <c r="AC93" s="37"/>
      <c r="AD93" s="33"/>
      <c r="AE93" s="38"/>
      <c r="AF93" s="37"/>
      <c r="AG93" s="67"/>
      <c r="AH93" s="39"/>
      <c r="AI93" s="56">
        <f>+AD93-AH93</f>
        <v>0</v>
      </c>
      <c r="AJ93" s="39"/>
      <c r="AK93" s="39"/>
      <c r="AL93" s="39"/>
      <c r="AM93" s="39"/>
      <c r="AN93" s="39"/>
    </row>
    <row r="94" spans="1:40">
      <c r="A94" s="46"/>
      <c r="B94" s="27"/>
      <c r="C94" s="27"/>
      <c r="D94" s="28"/>
      <c r="E94" s="27"/>
      <c r="F94" s="27"/>
      <c r="G94" s="27"/>
      <c r="H94" s="27"/>
      <c r="I94" s="30"/>
      <c r="J94" s="27"/>
      <c r="K94" s="30"/>
      <c r="L94" s="30"/>
      <c r="M94" s="30"/>
      <c r="N94" s="30"/>
      <c r="O94" s="30"/>
      <c r="P94" s="32"/>
      <c r="Q94" s="33"/>
      <c r="R94" s="34"/>
      <c r="S94" s="45"/>
      <c r="T94" s="45"/>
      <c r="U94" s="45"/>
      <c r="V94" s="45"/>
      <c r="W94" s="45"/>
      <c r="X94" s="36"/>
      <c r="Y94" s="36"/>
      <c r="Z94" s="36"/>
      <c r="AA94" s="36"/>
      <c r="AB94" s="33"/>
      <c r="AC94" s="37"/>
      <c r="AD94" s="33"/>
      <c r="AE94" s="38"/>
      <c r="AF94" s="37"/>
      <c r="AG94" s="67"/>
      <c r="AH94" s="39"/>
      <c r="AI94" s="56">
        <f>+AD94-AH94</f>
        <v>0</v>
      </c>
      <c r="AJ94" s="39"/>
      <c r="AK94" s="39"/>
      <c r="AL94" s="39"/>
      <c r="AM94" s="39"/>
      <c r="AN94" s="39"/>
    </row>
    <row r="95" spans="1:40" s="39" customFormat="1">
      <c r="A95" s="46"/>
      <c r="B95" s="47"/>
      <c r="C95" s="47"/>
      <c r="D95" s="47"/>
      <c r="E95" s="47"/>
      <c r="F95" s="47"/>
      <c r="G95" s="47"/>
      <c r="H95" s="47"/>
      <c r="I95" s="48"/>
      <c r="J95" s="47"/>
      <c r="K95" s="48"/>
      <c r="L95" s="48"/>
      <c r="M95" s="48"/>
      <c r="N95" s="48"/>
      <c r="O95" s="48"/>
      <c r="P95" s="48"/>
      <c r="Q95" s="49"/>
      <c r="R95" s="48"/>
      <c r="S95" s="48"/>
      <c r="T95" s="48"/>
      <c r="U95" s="48"/>
      <c r="V95" s="48"/>
      <c r="W95" s="48"/>
      <c r="X95" s="37"/>
      <c r="Y95" s="37"/>
      <c r="Z95" s="37"/>
      <c r="AA95" s="37"/>
      <c r="AB95" s="50"/>
      <c r="AC95" s="37"/>
      <c r="AD95" s="49"/>
      <c r="AE95" s="37"/>
      <c r="AF95" s="37"/>
      <c r="AG95" s="49"/>
    </row>
    <row r="96" spans="1:40" ht="15.75" thickBot="1">
      <c r="B96" s="51" t="s">
        <v>17</v>
      </c>
      <c r="C96" s="51"/>
      <c r="D96" s="51"/>
      <c r="E96" s="51"/>
      <c r="F96" s="51"/>
      <c r="G96" s="51"/>
      <c r="H96" s="51"/>
      <c r="I96" s="77"/>
      <c r="J96" s="51"/>
      <c r="K96" s="52">
        <f t="shared" ref="K96:R96" si="23">SUM(K7:K95)</f>
        <v>73736.400000000081</v>
      </c>
      <c r="L96" s="52">
        <f t="shared" si="23"/>
        <v>261382.26</v>
      </c>
      <c r="M96" s="52"/>
      <c r="N96" s="52">
        <f t="shared" si="23"/>
        <v>0</v>
      </c>
      <c r="O96" s="52">
        <f t="shared" si="23"/>
        <v>0</v>
      </c>
      <c r="P96" s="52">
        <f t="shared" si="23"/>
        <v>0</v>
      </c>
      <c r="Q96" s="52">
        <f t="shared" si="23"/>
        <v>335439.50999999989</v>
      </c>
      <c r="R96" s="52">
        <f t="shared" si="23"/>
        <v>0</v>
      </c>
      <c r="S96" s="52"/>
      <c r="T96" s="71">
        <f t="shared" ref="T96:AL96" si="24">SUM(T7:T95)</f>
        <v>4828.2170000000006</v>
      </c>
      <c r="U96" s="71">
        <f t="shared" si="24"/>
        <v>1976.21606</v>
      </c>
      <c r="V96" s="71">
        <f t="shared" si="24"/>
        <v>406.86950000000002</v>
      </c>
      <c r="W96" s="71">
        <f t="shared" si="24"/>
        <v>879.38</v>
      </c>
      <c r="X96" s="52">
        <f t="shared" si="24"/>
        <v>0</v>
      </c>
      <c r="Y96" s="52">
        <f t="shared" si="24"/>
        <v>167.44</v>
      </c>
      <c r="Z96" s="52">
        <f t="shared" si="24"/>
        <v>406.94</v>
      </c>
      <c r="AA96" s="52">
        <f t="shared" si="24"/>
        <v>7279.3550000000005</v>
      </c>
      <c r="AB96" s="52">
        <f t="shared" si="24"/>
        <v>318808.80243999982</v>
      </c>
      <c r="AC96" s="52">
        <f t="shared" si="24"/>
        <v>20983.65</v>
      </c>
      <c r="AD96" s="52">
        <f t="shared" si="24"/>
        <v>297825.15243999998</v>
      </c>
      <c r="AE96" s="52">
        <f t="shared" si="24"/>
        <v>12560.300999999996</v>
      </c>
      <c r="AF96" s="52">
        <f t="shared" si="24"/>
        <v>859.32000000000096</v>
      </c>
      <c r="AG96" s="52">
        <f t="shared" si="24"/>
        <v>348859.13099999994</v>
      </c>
      <c r="AH96" s="52">
        <f t="shared" si="24"/>
        <v>0</v>
      </c>
      <c r="AI96" s="52">
        <f t="shared" si="24"/>
        <v>0</v>
      </c>
      <c r="AJ96" s="52">
        <f t="shared" si="24"/>
        <v>0</v>
      </c>
      <c r="AK96" s="52">
        <f t="shared" si="24"/>
        <v>0</v>
      </c>
      <c r="AL96" s="52">
        <f t="shared" si="24"/>
        <v>0</v>
      </c>
    </row>
    <row r="97" spans="1:38" ht="15.75" thickTop="1">
      <c r="AG97" s="24">
        <f>AG96*0.16</f>
        <v>55817.460959999989</v>
      </c>
      <c r="AH97" s="24"/>
      <c r="AI97" s="24"/>
      <c r="AJ97" s="24"/>
      <c r="AK97" s="24"/>
      <c r="AL97" s="24"/>
    </row>
    <row r="98" spans="1:38">
      <c r="A98" s="232" t="s">
        <v>33</v>
      </c>
      <c r="B98" s="232"/>
      <c r="C98" s="69"/>
      <c r="AG98" s="24">
        <f>+AG96+AG97</f>
        <v>404676.59195999993</v>
      </c>
      <c r="AH98" s="24"/>
      <c r="AI98" s="24"/>
      <c r="AJ98" s="24"/>
      <c r="AK98" s="24"/>
      <c r="AL98" s="24"/>
    </row>
    <row r="99" spans="1:38">
      <c r="A99" s="46"/>
      <c r="B99" s="27"/>
      <c r="C99" s="27"/>
      <c r="D99" s="28"/>
      <c r="E99" s="27"/>
      <c r="F99" s="27"/>
      <c r="G99" s="27"/>
      <c r="H99" s="27"/>
      <c r="I99" s="30"/>
      <c r="J99" s="27"/>
      <c r="K99" s="30"/>
      <c r="L99" s="30"/>
      <c r="M99" s="30"/>
      <c r="N99" s="30"/>
      <c r="O99" s="30"/>
      <c r="P99" s="30"/>
      <c r="Q99" s="33">
        <f>SUM(K99:P99)</f>
        <v>0</v>
      </c>
      <c r="R99" s="34"/>
      <c r="S99" s="34"/>
      <c r="T99" s="53"/>
      <c r="U99" s="53"/>
      <c r="V99" s="53"/>
      <c r="W99" s="53"/>
      <c r="X99" s="54"/>
      <c r="Y99" s="54"/>
      <c r="Z99" s="54"/>
      <c r="AA99" s="54"/>
      <c r="AB99" s="33">
        <f>+Q99-R99</f>
        <v>0</v>
      </c>
      <c r="AC99" s="37">
        <f>+AB99*0.05</f>
        <v>0</v>
      </c>
      <c r="AD99" s="33">
        <f>+AB99-X99-AA99</f>
        <v>0</v>
      </c>
      <c r="AE99" s="38">
        <f>IF(AB99&lt;3000,AB99*0.1,0)</f>
        <v>0</v>
      </c>
      <c r="AF99" s="37">
        <v>0</v>
      </c>
      <c r="AG99" s="33">
        <f t="shared" ref="AG99:AL100" si="25">+AB99+AE99+AF99</f>
        <v>0</v>
      </c>
      <c r="AH99" s="33">
        <f t="shared" si="25"/>
        <v>0</v>
      </c>
      <c r="AI99" s="33">
        <f t="shared" si="25"/>
        <v>0</v>
      </c>
      <c r="AJ99" s="33">
        <f t="shared" si="25"/>
        <v>0</v>
      </c>
      <c r="AK99" s="33">
        <f t="shared" si="25"/>
        <v>0</v>
      </c>
      <c r="AL99" s="33">
        <f t="shared" si="25"/>
        <v>0</v>
      </c>
    </row>
    <row r="100" spans="1:38">
      <c r="A100" s="46"/>
      <c r="B100" s="28"/>
      <c r="C100" s="28"/>
      <c r="D100" s="28"/>
      <c r="E100" s="28"/>
      <c r="F100" s="28"/>
      <c r="G100" s="28"/>
      <c r="H100" s="28"/>
      <c r="I100" s="31"/>
      <c r="J100" s="28"/>
      <c r="K100" s="31"/>
      <c r="L100" s="31"/>
      <c r="M100" s="31"/>
      <c r="N100" s="31"/>
      <c r="O100" s="31"/>
      <c r="P100" s="31"/>
      <c r="Q100" s="33">
        <f>SUM(K100:P100)</f>
        <v>0</v>
      </c>
      <c r="R100" s="34"/>
      <c r="S100" s="34"/>
      <c r="T100" s="53"/>
      <c r="U100" s="53"/>
      <c r="V100" s="53"/>
      <c r="W100" s="53"/>
      <c r="X100" s="54"/>
      <c r="Y100" s="54"/>
      <c r="Z100" s="54"/>
      <c r="AA100" s="54"/>
      <c r="AB100" s="33">
        <f>+Q100-R100</f>
        <v>0</v>
      </c>
      <c r="AC100" s="37">
        <f>+AB100*0.05</f>
        <v>0</v>
      </c>
      <c r="AD100" s="33">
        <f>+AB100-X100-AA100</f>
        <v>0</v>
      </c>
      <c r="AE100" s="38">
        <f>IF(AB100&lt;3000,AB100*0.1,0)</f>
        <v>0</v>
      </c>
      <c r="AF100" s="37">
        <v>0</v>
      </c>
      <c r="AG100" s="33">
        <f t="shared" si="25"/>
        <v>0</v>
      </c>
      <c r="AH100" s="33">
        <f t="shared" si="25"/>
        <v>0</v>
      </c>
      <c r="AI100" s="33">
        <f t="shared" si="25"/>
        <v>0</v>
      </c>
      <c r="AJ100" s="33">
        <f t="shared" si="25"/>
        <v>0</v>
      </c>
      <c r="AK100" s="33">
        <f t="shared" si="25"/>
        <v>0</v>
      </c>
      <c r="AL100" s="33">
        <f t="shared" si="25"/>
        <v>0</v>
      </c>
    </row>
    <row r="101" spans="1:38">
      <c r="AG101" s="24">
        <f>SUM(AG99:AG100)</f>
        <v>0</v>
      </c>
    </row>
    <row r="102" spans="1:38">
      <c r="B102" s="55" t="s">
        <v>18</v>
      </c>
      <c r="C102" s="55"/>
      <c r="D102" s="55"/>
      <c r="AG102" s="24">
        <f>+AG101*0.16</f>
        <v>0</v>
      </c>
    </row>
    <row r="103" spans="1:38">
      <c r="B103" s="55"/>
      <c r="C103" s="55"/>
      <c r="D103" s="55"/>
      <c r="AG103" s="24">
        <f>+AG101+AG102</f>
        <v>0</v>
      </c>
    </row>
    <row r="104" spans="1:38">
      <c r="B104" s="55"/>
      <c r="C104" s="55"/>
      <c r="D104" s="55"/>
    </row>
    <row r="105" spans="1:38">
      <c r="B105" s="55" t="s">
        <v>19</v>
      </c>
      <c r="C105" s="55"/>
      <c r="D105" s="55"/>
      <c r="AG105" s="24">
        <f>+AG98+AG103</f>
        <v>404676.59195999993</v>
      </c>
    </row>
    <row r="112" spans="1:38">
      <c r="A112" s="41" t="s">
        <v>57</v>
      </c>
      <c r="B112" s="23"/>
      <c r="C112" s="23"/>
    </row>
    <row r="113" spans="1:3">
      <c r="A113" s="41" t="s">
        <v>58</v>
      </c>
      <c r="B113" s="23"/>
      <c r="C113" s="23"/>
    </row>
    <row r="114" spans="1:3">
      <c r="A114" s="41" t="s">
        <v>59</v>
      </c>
      <c r="B114" s="23"/>
      <c r="C114" s="23"/>
    </row>
    <row r="115" spans="1:3">
      <c r="A115" s="41" t="s">
        <v>60</v>
      </c>
      <c r="B115" s="23"/>
      <c r="C115" s="23"/>
    </row>
    <row r="116" spans="1:3">
      <c r="A116" s="41" t="s">
        <v>61</v>
      </c>
      <c r="B116" s="23"/>
      <c r="C116" s="23"/>
    </row>
    <row r="117" spans="1:3">
      <c r="A117" s="41" t="s">
        <v>62</v>
      </c>
      <c r="B117" s="23"/>
      <c r="C117" s="23"/>
    </row>
    <row r="121" spans="1:3">
      <c r="B121" s="27"/>
      <c r="C121" s="70"/>
    </row>
    <row r="122" spans="1:3">
      <c r="B122" s="27"/>
      <c r="C122" s="70"/>
    </row>
    <row r="123" spans="1:3">
      <c r="B123" s="27"/>
      <c r="C123" s="70"/>
    </row>
  </sheetData>
  <sheetProtection selectLockedCells="1" selectUnlockedCells="1"/>
  <autoFilter ref="A5:AL94">
    <filterColumn colId="35" showButton="0"/>
  </autoFilter>
  <mergeCells count="38">
    <mergeCell ref="A98:B98"/>
    <mergeCell ref="AA5:AA6"/>
    <mergeCell ref="AD5:AD6"/>
    <mergeCell ref="N5:N6"/>
    <mergeCell ref="P5:P6"/>
    <mergeCell ref="H5:H6"/>
    <mergeCell ref="Y5:Y6"/>
    <mergeCell ref="Z5:Z6"/>
    <mergeCell ref="A5:A6"/>
    <mergeCell ref="D5:D6"/>
    <mergeCell ref="B5:B6"/>
    <mergeCell ref="E5:E6"/>
    <mergeCell ref="I5:I6"/>
    <mergeCell ref="J5:J6"/>
    <mergeCell ref="L5:L6"/>
    <mergeCell ref="T5:T6"/>
    <mergeCell ref="R5:R6"/>
    <mergeCell ref="AB5:AB6"/>
    <mergeCell ref="X5:X6"/>
    <mergeCell ref="U5:U6"/>
    <mergeCell ref="V5:V6"/>
    <mergeCell ref="W5:W6"/>
    <mergeCell ref="C5:C6"/>
    <mergeCell ref="F5:F6"/>
    <mergeCell ref="AM5:AM6"/>
    <mergeCell ref="AN5:AN6"/>
    <mergeCell ref="AL5:AL6"/>
    <mergeCell ref="AH5:AH6"/>
    <mergeCell ref="AI5:AI6"/>
    <mergeCell ref="AJ5:AK5"/>
    <mergeCell ref="AG5:AG6"/>
    <mergeCell ref="AE5:AE6"/>
    <mergeCell ref="AC5:AC6"/>
    <mergeCell ref="AF5:AF6"/>
    <mergeCell ref="O5:O6"/>
    <mergeCell ref="G5:G6"/>
    <mergeCell ref="K5:K6"/>
    <mergeCell ref="Q5:Q6"/>
  </mergeCells>
  <pageMargins left="0.32708333333333334" right="8.4027777777777785E-2" top="0.29097222222222224" bottom="0.35277777777777775" header="2.5694444444444443E-2" footer="8.7499999999999994E-2"/>
  <pageSetup scale="42" orientation="portrait" useFirstPageNumber="1" horizontalDpi="300" verticalDpi="300" r:id="rId1"/>
  <headerFooter alignWithMargins="0">
    <oddHeader>&amp;C&amp;"Times New Roman,Normal"&amp;12&amp;A</oddHeader>
    <oddFooter>&amp;C&amp;"Times New Roman,Normal"&amp;12Página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6:C9"/>
  <sheetViews>
    <sheetView workbookViewId="0">
      <selection activeCell="B6" sqref="B6"/>
    </sheetView>
  </sheetViews>
  <sheetFormatPr baseColWidth="10" defaultColWidth="11.5703125" defaultRowHeight="12.75"/>
  <cols>
    <col min="1" max="1" width="35" customWidth="1"/>
  </cols>
  <sheetData>
    <row r="6" spans="1:3">
      <c r="A6" t="s">
        <v>46</v>
      </c>
    </row>
    <row r="7" spans="1:3">
      <c r="B7" t="s">
        <v>45</v>
      </c>
      <c r="C7" t="s">
        <v>44</v>
      </c>
    </row>
    <row r="8" spans="1:3">
      <c r="A8" t="s">
        <v>42</v>
      </c>
      <c r="B8" s="4">
        <v>14667.23</v>
      </c>
      <c r="C8" s="4">
        <f>+B8/24</f>
        <v>611.13458333333335</v>
      </c>
    </row>
    <row r="9" spans="1:3">
      <c r="A9" t="s">
        <v>43</v>
      </c>
      <c r="B9" s="4">
        <v>24343.57</v>
      </c>
      <c r="C9" s="4">
        <f>+B9/24</f>
        <v>1014.3154166666667</v>
      </c>
    </row>
  </sheetData>
  <sheetProtection selectLockedCells="1" selectUnlockedCells="1"/>
  <pageMargins left="0.32708333333333334" right="8.4027777777777785E-2" top="0.29097222222222224" bottom="0.35277777777777775" header="2.5694444444444443E-2" footer="8.7499999999999994E-2"/>
  <pageSetup scale="42" firstPageNumber="0" orientation="portrait" horizontalDpi="300" verticalDpi="300"/>
  <headerFooter alignWithMargins="0">
    <oddHeader>&amp;C&amp;"Times New Roman,Normal"&amp;12&amp;A</oddHeader>
    <oddFooter>&amp;C&amp;"Times New Roman,Normal"&amp;12Página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8"/>
  <sheetViews>
    <sheetView zoomScale="90" zoomScaleNormal="90" workbookViewId="0">
      <selection activeCell="A46" sqref="A46"/>
    </sheetView>
  </sheetViews>
  <sheetFormatPr baseColWidth="10" defaultRowHeight="12.75"/>
  <cols>
    <col min="1" max="1" width="38.5703125" customWidth="1"/>
    <col min="2" max="2" width="6.28515625" bestFit="1" customWidth="1"/>
    <col min="3" max="3" width="10.140625" bestFit="1" customWidth="1"/>
    <col min="4" max="7" width="11.42578125" style="4"/>
  </cols>
  <sheetData>
    <row r="1" spans="1:7" ht="22.5">
      <c r="A1" s="1" t="s">
        <v>24</v>
      </c>
      <c r="B1" s="1"/>
    </row>
    <row r="2" spans="1:7" ht="18">
      <c r="A2" s="2" t="s">
        <v>25</v>
      </c>
      <c r="B2" s="2"/>
    </row>
    <row r="3" spans="1:7" ht="15">
      <c r="A3" s="3" t="s">
        <v>47</v>
      </c>
      <c r="B3" s="3"/>
    </row>
    <row r="5" spans="1:7">
      <c r="C5" s="4">
        <v>73.400000000000006</v>
      </c>
      <c r="D5" s="11" t="s">
        <v>53</v>
      </c>
    </row>
    <row r="6" spans="1:7" ht="15">
      <c r="A6" s="5" t="s">
        <v>5</v>
      </c>
      <c r="B6" s="5" t="s">
        <v>50</v>
      </c>
      <c r="C6" s="6" t="s">
        <v>48</v>
      </c>
      <c r="G6" s="4">
        <v>316.81</v>
      </c>
    </row>
    <row r="7" spans="1:7" ht="15">
      <c r="A7" s="5" t="s">
        <v>10</v>
      </c>
      <c r="B7" s="5" t="s">
        <v>52</v>
      </c>
      <c r="C7" s="7">
        <v>9.6059999999999999</v>
      </c>
      <c r="D7" s="4">
        <f>+C7*$C$5</f>
        <v>705.08040000000005</v>
      </c>
      <c r="E7" s="4">
        <f>+D7/2</f>
        <v>352.54020000000003</v>
      </c>
      <c r="F7" s="4">
        <v>7.5</v>
      </c>
      <c r="G7" s="4">
        <f>SUM(E7:F7)</f>
        <v>360.04020000000003</v>
      </c>
    </row>
    <row r="8" spans="1:7" ht="15">
      <c r="A8" s="5" t="s">
        <v>23</v>
      </c>
      <c r="B8" s="10" t="s">
        <v>51</v>
      </c>
      <c r="C8" s="8">
        <v>3150</v>
      </c>
      <c r="D8" s="4">
        <f>+C8</f>
        <v>3150</v>
      </c>
      <c r="E8" s="4">
        <f t="shared" ref="E8:E26" si="0">+D8/2</f>
        <v>1575</v>
      </c>
      <c r="F8" s="4">
        <v>7.5</v>
      </c>
      <c r="G8" s="4">
        <f t="shared" ref="G8:G26" si="1">SUM(E8:F8)</f>
        <v>1582.5</v>
      </c>
    </row>
    <row r="9" spans="1:7" ht="15">
      <c r="A9" s="5" t="s">
        <v>22</v>
      </c>
      <c r="B9" s="5" t="s">
        <v>52</v>
      </c>
      <c r="C9" s="7">
        <v>26.9648</v>
      </c>
      <c r="D9" s="4">
        <f>+C9*$C$5</f>
        <v>1979.2163200000002</v>
      </c>
      <c r="E9" s="4">
        <f t="shared" si="0"/>
        <v>989.60816000000011</v>
      </c>
      <c r="F9" s="4">
        <v>7.5</v>
      </c>
      <c r="G9" s="4">
        <f t="shared" si="1"/>
        <v>997.10816000000011</v>
      </c>
    </row>
    <row r="10" spans="1:7" ht="15">
      <c r="A10" s="5" t="s">
        <v>16</v>
      </c>
      <c r="B10" s="5" t="s">
        <v>52</v>
      </c>
      <c r="C10" s="7">
        <v>9.6671999999999993</v>
      </c>
      <c r="D10" s="4">
        <f>+C10*$C$5</f>
        <v>709.57248000000004</v>
      </c>
      <c r="E10" s="4">
        <f t="shared" si="0"/>
        <v>354.78624000000002</v>
      </c>
      <c r="F10" s="4">
        <v>7.5</v>
      </c>
      <c r="G10" s="4">
        <f t="shared" si="1"/>
        <v>362.28624000000002</v>
      </c>
    </row>
    <row r="11" spans="1:7" ht="15">
      <c r="A11" s="5" t="s">
        <v>13</v>
      </c>
      <c r="B11" s="5" t="s">
        <v>52</v>
      </c>
      <c r="C11" s="7">
        <v>27.998000000000001</v>
      </c>
      <c r="D11" s="4">
        <f>+C11*$C$5</f>
        <v>2055.0532000000003</v>
      </c>
      <c r="E11" s="4">
        <f t="shared" si="0"/>
        <v>1027.5266000000001</v>
      </c>
      <c r="F11" s="4">
        <v>7.5</v>
      </c>
      <c r="G11" s="4">
        <f t="shared" si="1"/>
        <v>1035.0266000000001</v>
      </c>
    </row>
    <row r="12" spans="1:7" ht="15">
      <c r="A12" s="5" t="s">
        <v>9</v>
      </c>
      <c r="B12" s="5" t="s">
        <v>51</v>
      </c>
      <c r="C12" s="9">
        <v>455.65</v>
      </c>
      <c r="D12" s="4">
        <f>+C12</f>
        <v>455.65</v>
      </c>
      <c r="E12" s="4">
        <f t="shared" si="0"/>
        <v>227.82499999999999</v>
      </c>
      <c r="F12" s="4">
        <v>7.5</v>
      </c>
      <c r="G12" s="4">
        <f t="shared" si="1"/>
        <v>235.32499999999999</v>
      </c>
    </row>
    <row r="13" spans="1:7" ht="15">
      <c r="A13" s="5" t="s">
        <v>1</v>
      </c>
      <c r="B13" s="5" t="s">
        <v>51</v>
      </c>
      <c r="C13" s="9">
        <v>733.79</v>
      </c>
      <c r="D13" s="4">
        <f>+C13</f>
        <v>733.79</v>
      </c>
      <c r="E13" s="4">
        <f t="shared" si="0"/>
        <v>366.89499999999998</v>
      </c>
      <c r="F13" s="4">
        <v>7.5</v>
      </c>
      <c r="G13" s="4">
        <f t="shared" si="1"/>
        <v>374.39499999999998</v>
      </c>
    </row>
    <row r="14" spans="1:7" ht="15">
      <c r="A14" s="5" t="s">
        <v>3</v>
      </c>
      <c r="B14" s="5" t="s">
        <v>52</v>
      </c>
      <c r="C14" s="7">
        <v>9.6059999999999999</v>
      </c>
      <c r="D14" s="4">
        <f t="shared" ref="D14:D19" si="2">+C14*$C$5</f>
        <v>705.08040000000005</v>
      </c>
      <c r="E14" s="4">
        <f t="shared" si="0"/>
        <v>352.54020000000003</v>
      </c>
      <c r="F14" s="4">
        <v>7.5</v>
      </c>
      <c r="G14" s="4">
        <f t="shared" si="1"/>
        <v>360.04020000000003</v>
      </c>
    </row>
    <row r="15" spans="1:7" ht="15">
      <c r="A15" s="5" t="s">
        <v>12</v>
      </c>
      <c r="B15" s="5" t="s">
        <v>52</v>
      </c>
      <c r="C15" s="7">
        <v>12.3424</v>
      </c>
      <c r="D15" s="4">
        <f t="shared" si="2"/>
        <v>905.93216000000007</v>
      </c>
      <c r="E15" s="4">
        <f t="shared" si="0"/>
        <v>452.96608000000003</v>
      </c>
      <c r="F15" s="4">
        <v>7.5</v>
      </c>
      <c r="G15" s="4">
        <f t="shared" si="1"/>
        <v>460.46608000000003</v>
      </c>
    </row>
    <row r="16" spans="1:7" ht="15">
      <c r="A16" s="5" t="s">
        <v>6</v>
      </c>
      <c r="B16" s="5" t="s">
        <v>52</v>
      </c>
      <c r="C16" s="7">
        <v>25.064</v>
      </c>
      <c r="D16" s="4">
        <f t="shared" si="2"/>
        <v>1839.6976000000002</v>
      </c>
      <c r="E16" s="4">
        <f t="shared" si="0"/>
        <v>919.8488000000001</v>
      </c>
      <c r="F16" s="4">
        <v>7.5</v>
      </c>
      <c r="G16" s="4">
        <f t="shared" si="1"/>
        <v>927.3488000000001</v>
      </c>
    </row>
    <row r="17" spans="1:7" ht="15">
      <c r="A17" s="5" t="s">
        <v>11</v>
      </c>
      <c r="B17" s="5" t="s">
        <v>52</v>
      </c>
      <c r="C17" s="7">
        <v>31.19</v>
      </c>
      <c r="D17" s="4">
        <f t="shared" si="2"/>
        <v>2289.3460000000005</v>
      </c>
      <c r="E17" s="4">
        <f t="shared" si="0"/>
        <v>1144.6730000000002</v>
      </c>
      <c r="F17" s="4">
        <v>7.5</v>
      </c>
      <c r="G17" s="4">
        <f t="shared" si="1"/>
        <v>1152.1730000000002</v>
      </c>
    </row>
    <row r="18" spans="1:7" ht="15">
      <c r="A18" s="5" t="s">
        <v>7</v>
      </c>
      <c r="B18" s="5" t="s">
        <v>52</v>
      </c>
      <c r="C18" s="7">
        <v>16.537600000000001</v>
      </c>
      <c r="D18" s="4">
        <f t="shared" si="2"/>
        <v>1213.8598400000001</v>
      </c>
      <c r="E18" s="4">
        <f t="shared" si="0"/>
        <v>606.92992000000004</v>
      </c>
      <c r="F18" s="4">
        <v>7.5</v>
      </c>
      <c r="G18" s="11" t="s">
        <v>54</v>
      </c>
    </row>
    <row r="19" spans="1:7" ht="15">
      <c r="A19" s="5" t="s">
        <v>8</v>
      </c>
      <c r="B19" s="5" t="s">
        <v>52</v>
      </c>
      <c r="C19" s="7">
        <v>7.6</v>
      </c>
      <c r="D19" s="4">
        <f t="shared" si="2"/>
        <v>557.84</v>
      </c>
      <c r="E19" s="4">
        <f t="shared" si="0"/>
        <v>278.92</v>
      </c>
      <c r="F19" s="4">
        <v>7.5</v>
      </c>
      <c r="G19" s="4">
        <f t="shared" si="1"/>
        <v>286.42</v>
      </c>
    </row>
    <row r="20" spans="1:7" ht="15">
      <c r="A20" s="5" t="s">
        <v>49</v>
      </c>
      <c r="B20" s="5"/>
      <c r="C20" s="7">
        <v>539.76</v>
      </c>
      <c r="D20" s="4">
        <f>+C20</f>
        <v>539.76</v>
      </c>
      <c r="E20" s="4">
        <f t="shared" si="0"/>
        <v>269.88</v>
      </c>
      <c r="F20" s="4">
        <v>7.5</v>
      </c>
      <c r="G20" s="4">
        <f t="shared" si="1"/>
        <v>277.38</v>
      </c>
    </row>
    <row r="21" spans="1:7" ht="15">
      <c r="A21" s="5" t="s">
        <v>15</v>
      </c>
      <c r="B21" s="5" t="s">
        <v>51</v>
      </c>
      <c r="C21" s="9">
        <v>1045.56</v>
      </c>
      <c r="D21" s="4">
        <f>+C21</f>
        <v>1045.56</v>
      </c>
      <c r="E21" s="4">
        <f t="shared" si="0"/>
        <v>522.78</v>
      </c>
      <c r="F21" s="4">
        <v>7.5</v>
      </c>
      <c r="G21" s="4">
        <f t="shared" si="1"/>
        <v>530.28</v>
      </c>
    </row>
    <row r="22" spans="1:7" ht="15">
      <c r="A22" s="5" t="s">
        <v>14</v>
      </c>
      <c r="B22" s="5" t="s">
        <v>52</v>
      </c>
      <c r="C22" s="7">
        <v>22.815200000000001</v>
      </c>
      <c r="D22" s="4">
        <f>+C22*$C$5</f>
        <v>1674.6356800000001</v>
      </c>
      <c r="E22" s="4">
        <f t="shared" si="0"/>
        <v>837.31784000000005</v>
      </c>
      <c r="F22" s="4">
        <v>7.5</v>
      </c>
      <c r="G22" s="4">
        <f t="shared" si="1"/>
        <v>844.81784000000005</v>
      </c>
    </row>
    <row r="23" spans="1:7" ht="15">
      <c r="A23" s="5" t="s">
        <v>20</v>
      </c>
      <c r="B23" s="5" t="s">
        <v>52</v>
      </c>
      <c r="C23" s="7">
        <v>38.243200000000002</v>
      </c>
      <c r="D23" s="4">
        <f>+C23*$C$5</f>
        <v>2807.0508800000002</v>
      </c>
      <c r="E23" s="4">
        <f t="shared" si="0"/>
        <v>1403.5254400000001</v>
      </c>
      <c r="F23" s="4">
        <v>7.5</v>
      </c>
      <c r="G23" s="4">
        <f t="shared" si="1"/>
        <v>1411.0254400000001</v>
      </c>
    </row>
    <row r="24" spans="1:7" ht="15">
      <c r="A24" s="5" t="s">
        <v>4</v>
      </c>
      <c r="B24" s="5" t="s">
        <v>52</v>
      </c>
      <c r="C24" s="7">
        <v>19.181999999999999</v>
      </c>
      <c r="D24" s="4">
        <f>+C24*$C$5</f>
        <v>1407.9588000000001</v>
      </c>
      <c r="E24" s="4">
        <f t="shared" si="0"/>
        <v>703.97940000000006</v>
      </c>
      <c r="F24" s="4">
        <v>7.5</v>
      </c>
      <c r="G24" s="4">
        <f t="shared" si="1"/>
        <v>711.47940000000006</v>
      </c>
    </row>
    <row r="25" spans="1:7" ht="15">
      <c r="A25" s="5" t="s">
        <v>21</v>
      </c>
      <c r="B25" s="5" t="s">
        <v>52</v>
      </c>
      <c r="C25" s="7">
        <v>26.478000000000002</v>
      </c>
      <c r="D25" s="4">
        <f>+C25*$C$5</f>
        <v>1943.4852000000003</v>
      </c>
      <c r="E25" s="4">
        <f t="shared" si="0"/>
        <v>971.74260000000015</v>
      </c>
      <c r="F25" s="4">
        <v>7.5</v>
      </c>
      <c r="G25" s="4">
        <f t="shared" si="1"/>
        <v>979.24260000000015</v>
      </c>
    </row>
    <row r="26" spans="1:7" ht="15">
      <c r="A26" s="5" t="s">
        <v>2</v>
      </c>
      <c r="B26" s="5" t="s">
        <v>52</v>
      </c>
      <c r="C26" s="7">
        <v>44.414000000000001</v>
      </c>
      <c r="D26" s="4">
        <f>+C26*$C$5</f>
        <v>3259.9876000000004</v>
      </c>
      <c r="E26" s="4">
        <f t="shared" si="0"/>
        <v>1629.9938000000002</v>
      </c>
      <c r="F26" s="4">
        <v>7.5</v>
      </c>
      <c r="G26" s="4">
        <f t="shared" si="1"/>
        <v>1637.4938000000002</v>
      </c>
    </row>
    <row r="28" spans="1:7">
      <c r="D28" s="4">
        <f>SUM(D6:D27)</f>
        <v>29978.556559999997</v>
      </c>
      <c r="G28" s="4">
        <f>SUM(G6:G27)</f>
        <v>14841.658359999999</v>
      </c>
    </row>
  </sheetData>
  <pageMargins left="0.70866141732283472" right="0.70866141732283472" top="0.74803149606299213" bottom="0.74803149606299213" header="0.31496062992125984" footer="0.31496062992125984"/>
  <pageSetup scale="91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GL19"/>
  <sheetViews>
    <sheetView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C23" sqref="C23"/>
    </sheetView>
  </sheetViews>
  <sheetFormatPr baseColWidth="10" defaultColWidth="11.5703125" defaultRowHeight="15"/>
  <cols>
    <col min="1" max="1" width="28.7109375" style="41" customWidth="1"/>
    <col min="2" max="2" width="39.140625" style="41" customWidth="1"/>
    <col min="3" max="3" width="8.140625" style="41" bestFit="1" customWidth="1"/>
    <col min="4" max="4" width="8.85546875" style="41" customWidth="1"/>
    <col min="5" max="5" width="31.5703125" style="41" customWidth="1"/>
    <col min="6" max="6" width="20.140625" style="41" bestFit="1" customWidth="1"/>
    <col min="7" max="7" width="13" style="41" bestFit="1" customWidth="1"/>
    <col min="8" max="8" width="11.7109375" style="41" customWidth="1"/>
    <col min="9" max="9" width="17.140625" style="23" customWidth="1"/>
    <col min="10" max="10" width="11.7109375" style="41" customWidth="1"/>
    <col min="11" max="13" width="13.85546875" style="23" customWidth="1"/>
    <col min="14" max="16" width="13.5703125" style="23" customWidth="1"/>
    <col min="17" max="17" width="17" style="24" customWidth="1"/>
    <col min="18" max="19" width="13.5703125" style="23" customWidth="1"/>
    <col min="20" max="20" width="13.5703125" style="25" customWidth="1"/>
    <col min="21" max="21" width="19.28515625" style="25" customWidth="1"/>
    <col min="22" max="22" width="16.85546875" style="25" customWidth="1"/>
    <col min="23" max="23" width="16.140625" style="25" customWidth="1"/>
    <col min="24" max="27" width="13.5703125" style="23" customWidth="1"/>
    <col min="28" max="28" width="16.7109375" style="24" customWidth="1"/>
    <col min="29" max="29" width="16.7109375" style="23" customWidth="1"/>
    <col min="30" max="30" width="15.42578125" style="24" customWidth="1"/>
    <col min="31" max="33" width="13.5703125" style="23" customWidth="1"/>
    <col min="34" max="34" width="15.42578125" style="24" customWidth="1"/>
    <col min="35" max="35" width="15.28515625" style="4" hidden="1" customWidth="1"/>
    <col min="36" max="37" width="11.5703125" style="4" hidden="1" customWidth="1"/>
    <col min="38" max="38" width="13.85546875" style="41" hidden="1" customWidth="1"/>
    <col min="39" max="39" width="13.85546875" style="41" customWidth="1"/>
    <col min="40" max="40" width="38.28515625" style="41" bestFit="1" customWidth="1"/>
    <col min="41" max="54" width="11.5703125" style="39"/>
    <col min="55" max="16384" width="11.5703125" style="41"/>
  </cols>
  <sheetData>
    <row r="1" spans="1:194" s="17" customFormat="1">
      <c r="A1" s="12" t="s">
        <v>24</v>
      </c>
      <c r="B1" s="12"/>
      <c r="C1" s="12"/>
      <c r="D1" s="12"/>
      <c r="E1" s="13"/>
      <c r="F1" s="13"/>
      <c r="G1" s="13"/>
      <c r="H1" s="13"/>
      <c r="I1" s="14"/>
      <c r="J1" s="13"/>
      <c r="K1" s="14"/>
      <c r="L1" s="14"/>
      <c r="M1" s="14"/>
      <c r="N1" s="14"/>
      <c r="O1" s="14"/>
      <c r="P1" s="14"/>
      <c r="Q1" s="15"/>
      <c r="R1" s="14"/>
      <c r="S1" s="14"/>
      <c r="T1" s="14"/>
      <c r="U1" s="14"/>
      <c r="V1" s="14"/>
      <c r="W1" s="14"/>
      <c r="X1" s="14"/>
      <c r="Y1" s="14"/>
      <c r="Z1" s="14"/>
      <c r="AA1" s="14"/>
      <c r="AB1" s="15"/>
      <c r="AC1" s="14"/>
      <c r="AD1" s="15"/>
      <c r="AE1" s="14"/>
      <c r="AF1" s="14"/>
      <c r="AG1" s="14"/>
      <c r="AH1" s="15"/>
      <c r="AI1" s="100"/>
      <c r="AJ1" s="100"/>
      <c r="AK1" s="100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</row>
    <row r="2" spans="1:194" s="17" customFormat="1">
      <c r="A2" s="18" t="s">
        <v>76</v>
      </c>
      <c r="B2" s="18"/>
      <c r="C2" s="18"/>
      <c r="D2" s="18"/>
      <c r="E2" s="19"/>
      <c r="F2" s="19"/>
      <c r="G2" s="19"/>
      <c r="H2" s="19"/>
      <c r="I2" s="14"/>
      <c r="J2" s="19"/>
      <c r="K2" s="14"/>
      <c r="L2" s="14"/>
      <c r="M2" s="14"/>
      <c r="N2" s="14"/>
      <c r="O2" s="14"/>
      <c r="P2" s="14"/>
      <c r="Q2" s="15"/>
      <c r="R2" s="14"/>
      <c r="S2" s="14"/>
      <c r="T2" s="14"/>
      <c r="U2" s="14"/>
      <c r="V2" s="14"/>
      <c r="W2" s="14"/>
      <c r="X2" s="14"/>
      <c r="Y2" s="14"/>
      <c r="Z2" s="14"/>
      <c r="AA2" s="14"/>
      <c r="AB2" s="15"/>
      <c r="AC2" s="14"/>
      <c r="AD2" s="15"/>
      <c r="AE2" s="14"/>
      <c r="AF2" s="14"/>
      <c r="AG2" s="14"/>
      <c r="AH2" s="15"/>
      <c r="AI2" s="100"/>
      <c r="AJ2" s="100"/>
      <c r="AK2" s="100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</row>
    <row r="3" spans="1:194" s="17" customFormat="1">
      <c r="A3" s="20" t="s">
        <v>309</v>
      </c>
      <c r="B3" s="20"/>
      <c r="C3" s="20"/>
      <c r="D3" s="20"/>
      <c r="E3" s="21"/>
      <c r="F3" s="21"/>
      <c r="G3" s="21"/>
      <c r="H3" s="21"/>
      <c r="I3" s="14"/>
      <c r="J3" s="21"/>
      <c r="K3" s="14"/>
      <c r="L3" s="14"/>
      <c r="M3" s="14"/>
      <c r="N3" s="14"/>
      <c r="O3" s="14"/>
      <c r="P3" s="14"/>
      <c r="Q3" s="15"/>
      <c r="R3" s="14"/>
      <c r="S3" s="14"/>
      <c r="T3" s="14"/>
      <c r="U3" s="14"/>
      <c r="V3" s="14"/>
      <c r="W3" s="14"/>
      <c r="X3" s="14"/>
      <c r="Y3" s="14"/>
      <c r="Z3" s="14"/>
      <c r="AA3" s="14"/>
      <c r="AB3" s="15"/>
      <c r="AC3" s="14"/>
      <c r="AD3" s="15"/>
      <c r="AE3" s="14"/>
      <c r="AF3" s="14"/>
      <c r="AG3" s="14"/>
      <c r="AH3" s="15"/>
      <c r="AI3" s="100"/>
      <c r="AJ3" s="100"/>
      <c r="AK3" s="100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</row>
    <row r="4" spans="1:194" s="22" customFormat="1">
      <c r="A4" s="22" t="s">
        <v>308</v>
      </c>
      <c r="I4" s="23"/>
      <c r="K4" s="23"/>
      <c r="L4" s="23"/>
      <c r="M4" s="23"/>
      <c r="N4" s="23"/>
      <c r="O4" s="23"/>
      <c r="P4" s="23"/>
      <c r="Q4" s="24"/>
      <c r="R4" s="23"/>
      <c r="S4" s="23"/>
      <c r="T4" s="25"/>
      <c r="U4" s="25"/>
      <c r="V4" s="25"/>
      <c r="W4" s="25"/>
      <c r="X4" s="23"/>
      <c r="Y4" s="23"/>
      <c r="Z4" s="23"/>
      <c r="AA4" s="23"/>
      <c r="AB4" s="24"/>
      <c r="AC4" s="23"/>
      <c r="AD4" s="24"/>
      <c r="AE4" s="23"/>
      <c r="AF4" s="23"/>
      <c r="AG4" s="23"/>
      <c r="AH4" s="24"/>
      <c r="AI4" s="4"/>
      <c r="AJ4" s="4"/>
      <c r="AK4" s="4"/>
      <c r="AO4" s="26"/>
      <c r="AP4" s="26"/>
      <c r="AQ4" s="26"/>
      <c r="AR4" s="26"/>
      <c r="AS4" s="26"/>
      <c r="AT4" s="26"/>
      <c r="AU4" s="26"/>
      <c r="AV4" s="26"/>
      <c r="AW4" s="26"/>
      <c r="AX4" s="26"/>
      <c r="AY4" s="26"/>
      <c r="AZ4" s="26"/>
      <c r="BA4" s="26"/>
      <c r="BB4" s="26"/>
    </row>
    <row r="5" spans="1:194" s="22" customFormat="1" ht="28.5" customHeight="1">
      <c r="A5" s="212" t="s">
        <v>39</v>
      </c>
      <c r="B5" s="214" t="s">
        <v>40</v>
      </c>
      <c r="C5" s="212"/>
      <c r="D5" s="214" t="s">
        <v>41</v>
      </c>
      <c r="E5" s="214" t="s">
        <v>0</v>
      </c>
      <c r="F5" s="212" t="s">
        <v>246</v>
      </c>
      <c r="G5" s="216" t="s">
        <v>67</v>
      </c>
      <c r="H5" s="216" t="s">
        <v>65</v>
      </c>
      <c r="I5" s="218" t="s">
        <v>66</v>
      </c>
      <c r="J5" s="210" t="s">
        <v>68</v>
      </c>
      <c r="K5" s="216" t="s">
        <v>34</v>
      </c>
      <c r="L5" s="210" t="s">
        <v>75</v>
      </c>
      <c r="M5" s="155"/>
      <c r="N5" s="216" t="s">
        <v>35</v>
      </c>
      <c r="O5" s="216" t="s">
        <v>36</v>
      </c>
      <c r="P5" s="216" t="s">
        <v>63</v>
      </c>
      <c r="Q5" s="216" t="s">
        <v>37</v>
      </c>
      <c r="R5" s="216" t="s">
        <v>38</v>
      </c>
      <c r="S5" s="154"/>
      <c r="T5" s="220" t="s">
        <v>186</v>
      </c>
      <c r="U5" s="220" t="s">
        <v>213</v>
      </c>
      <c r="V5" s="220" t="s">
        <v>212</v>
      </c>
      <c r="W5" s="220" t="s">
        <v>187</v>
      </c>
      <c r="X5" s="216" t="s">
        <v>30</v>
      </c>
      <c r="Y5" s="216" t="s">
        <v>56</v>
      </c>
      <c r="Z5" s="216" t="s">
        <v>55</v>
      </c>
      <c r="AA5" s="216" t="s">
        <v>32</v>
      </c>
      <c r="AB5" s="216" t="s">
        <v>64</v>
      </c>
      <c r="AC5" s="216" t="s">
        <v>27</v>
      </c>
      <c r="AD5" s="216" t="s">
        <v>31</v>
      </c>
      <c r="AE5" s="216" t="s">
        <v>26</v>
      </c>
      <c r="AF5" s="216" t="s">
        <v>28</v>
      </c>
      <c r="AG5" s="153"/>
      <c r="AH5" s="216" t="s">
        <v>29</v>
      </c>
      <c r="AI5" s="235" t="s">
        <v>190</v>
      </c>
      <c r="AJ5" s="236"/>
      <c r="AK5" s="227" t="s">
        <v>191</v>
      </c>
      <c r="AL5" s="223" t="s">
        <v>257</v>
      </c>
      <c r="AM5" s="151"/>
      <c r="AN5" s="223" t="s">
        <v>258</v>
      </c>
      <c r="AO5" s="26"/>
      <c r="AP5" s="26"/>
      <c r="AQ5" s="26"/>
      <c r="AR5" s="26"/>
      <c r="AS5" s="26"/>
      <c r="AT5" s="26"/>
      <c r="AU5" s="26"/>
      <c r="AV5" s="26"/>
      <c r="AW5" s="26"/>
      <c r="AX5" s="26"/>
      <c r="AY5" s="26"/>
      <c r="AZ5" s="26"/>
      <c r="BA5" s="26"/>
      <c r="BB5" s="26"/>
    </row>
    <row r="6" spans="1:194" s="66" customFormat="1" ht="39" customHeight="1">
      <c r="A6" s="213"/>
      <c r="B6" s="215"/>
      <c r="C6" s="213"/>
      <c r="D6" s="215"/>
      <c r="E6" s="215"/>
      <c r="F6" s="213"/>
      <c r="G6" s="217"/>
      <c r="H6" s="217"/>
      <c r="I6" s="219"/>
      <c r="J6" s="211"/>
      <c r="K6" s="217"/>
      <c r="L6" s="211"/>
      <c r="M6" s="156" t="s">
        <v>288</v>
      </c>
      <c r="N6" s="217"/>
      <c r="O6" s="217"/>
      <c r="P6" s="217"/>
      <c r="Q6" s="217"/>
      <c r="R6" s="217"/>
      <c r="S6" s="105" t="s">
        <v>276</v>
      </c>
      <c r="T6" s="221"/>
      <c r="U6" s="221"/>
      <c r="V6" s="221"/>
      <c r="W6" s="221"/>
      <c r="X6" s="217"/>
      <c r="Y6" s="217"/>
      <c r="Z6" s="217"/>
      <c r="AA6" s="217"/>
      <c r="AB6" s="217"/>
      <c r="AC6" s="217"/>
      <c r="AD6" s="217"/>
      <c r="AE6" s="217"/>
      <c r="AF6" s="217"/>
      <c r="AG6" s="154"/>
      <c r="AH6" s="217"/>
      <c r="AI6" s="106" t="s">
        <v>66</v>
      </c>
      <c r="AJ6" s="106" t="s">
        <v>68</v>
      </c>
      <c r="AK6" s="227"/>
      <c r="AL6" s="223"/>
      <c r="AM6" s="151" t="s">
        <v>310</v>
      </c>
      <c r="AN6" s="223"/>
      <c r="AO6" s="65"/>
      <c r="AP6" s="65"/>
      <c r="AQ6" s="65"/>
      <c r="AR6" s="65"/>
      <c r="AS6" s="65"/>
      <c r="AT6" s="65"/>
      <c r="AU6" s="65"/>
      <c r="AV6" s="65"/>
      <c r="AW6" s="65"/>
      <c r="AX6" s="65"/>
      <c r="AY6" s="65"/>
      <c r="AZ6" s="65"/>
      <c r="BA6" s="65"/>
      <c r="BB6" s="65"/>
    </row>
    <row r="7" spans="1:194">
      <c r="AH7" s="24" t="e">
        <f>#REF!*0.16</f>
        <v>#REF!</v>
      </c>
      <c r="BC7" s="39"/>
      <c r="BD7" s="39"/>
      <c r="BE7" s="39"/>
      <c r="BF7" s="39"/>
      <c r="BG7" s="39"/>
      <c r="BH7" s="39"/>
      <c r="BI7" s="39"/>
      <c r="BJ7" s="39"/>
      <c r="BK7" s="39"/>
      <c r="BL7" s="39"/>
      <c r="BM7" s="39"/>
      <c r="BN7" s="39"/>
      <c r="BO7" s="39"/>
      <c r="BP7" s="39"/>
      <c r="BQ7" s="39"/>
      <c r="BR7" s="39"/>
      <c r="BS7" s="39"/>
      <c r="BT7" s="39"/>
      <c r="BU7" s="39"/>
      <c r="BV7" s="39"/>
      <c r="BW7" s="39"/>
      <c r="BX7" s="39"/>
      <c r="BY7" s="39"/>
      <c r="BZ7" s="39"/>
      <c r="CA7" s="39"/>
      <c r="CB7" s="39"/>
      <c r="CC7" s="39"/>
      <c r="CD7" s="39"/>
      <c r="CE7" s="39"/>
      <c r="CF7" s="39"/>
      <c r="CG7" s="39"/>
      <c r="CH7" s="39"/>
      <c r="CI7" s="39"/>
      <c r="CJ7" s="39"/>
      <c r="CK7" s="39"/>
      <c r="CL7" s="39"/>
      <c r="CM7" s="39"/>
      <c r="CN7" s="39"/>
      <c r="CO7" s="39"/>
      <c r="CP7" s="39"/>
      <c r="CQ7" s="39"/>
      <c r="CR7" s="39"/>
      <c r="CS7" s="39"/>
      <c r="CT7" s="39"/>
      <c r="CU7" s="39"/>
      <c r="CV7" s="39"/>
      <c r="CW7" s="39"/>
      <c r="CX7" s="39"/>
      <c r="CY7" s="39"/>
      <c r="CZ7" s="39"/>
      <c r="DA7" s="39"/>
      <c r="DB7" s="39"/>
      <c r="DC7" s="39"/>
      <c r="DD7" s="39"/>
      <c r="DE7" s="39"/>
      <c r="DF7" s="39"/>
      <c r="DG7" s="39"/>
      <c r="DH7" s="39"/>
      <c r="DI7" s="39"/>
      <c r="DJ7" s="39"/>
      <c r="DK7" s="39"/>
      <c r="DL7" s="39"/>
      <c r="DM7" s="39"/>
      <c r="DN7" s="39"/>
      <c r="DO7" s="39"/>
      <c r="DP7" s="39"/>
      <c r="DQ7" s="39"/>
      <c r="DR7" s="39"/>
      <c r="DS7" s="39"/>
      <c r="DT7" s="39"/>
      <c r="DU7" s="39"/>
      <c r="DV7" s="39"/>
      <c r="DW7" s="39"/>
      <c r="DX7" s="39"/>
      <c r="DY7" s="39"/>
      <c r="DZ7" s="39"/>
      <c r="EA7" s="39"/>
      <c r="EB7" s="39"/>
      <c r="EC7" s="39"/>
      <c r="ED7" s="39"/>
      <c r="EE7" s="39"/>
      <c r="EF7" s="39"/>
      <c r="EG7" s="39"/>
      <c r="EH7" s="39"/>
      <c r="EI7" s="39"/>
      <c r="EJ7" s="39"/>
      <c r="EK7" s="39"/>
      <c r="EL7" s="39"/>
      <c r="EM7" s="39"/>
      <c r="EN7" s="39"/>
      <c r="EO7" s="39"/>
      <c r="EP7" s="39"/>
      <c r="EQ7" s="39"/>
      <c r="ER7" s="39"/>
      <c r="ES7" s="39"/>
      <c r="ET7" s="39"/>
      <c r="EU7" s="39"/>
      <c r="EV7" s="39"/>
      <c r="EW7" s="39"/>
      <c r="EX7" s="39"/>
      <c r="EY7" s="39"/>
      <c r="EZ7" s="39"/>
      <c r="FA7" s="39"/>
      <c r="FB7" s="39"/>
      <c r="FC7" s="39"/>
      <c r="FD7" s="39"/>
      <c r="FE7" s="39"/>
      <c r="FF7" s="39"/>
      <c r="FG7" s="39"/>
      <c r="FH7" s="39"/>
      <c r="FI7" s="39"/>
      <c r="FJ7" s="39"/>
      <c r="FK7" s="39"/>
      <c r="FL7" s="39"/>
      <c r="FM7" s="39"/>
      <c r="FN7" s="39"/>
      <c r="FO7" s="39"/>
      <c r="FP7" s="39"/>
      <c r="FQ7" s="39"/>
      <c r="FR7" s="39"/>
      <c r="FS7" s="39"/>
      <c r="FT7" s="39"/>
      <c r="FU7" s="39"/>
      <c r="FV7" s="39"/>
      <c r="FW7" s="39"/>
      <c r="FX7" s="39"/>
      <c r="FY7" s="39"/>
      <c r="FZ7" s="39"/>
      <c r="GA7" s="39"/>
      <c r="GB7" s="39"/>
      <c r="GC7" s="39"/>
      <c r="GD7" s="39"/>
      <c r="GE7" s="39"/>
      <c r="GF7" s="39"/>
      <c r="GG7" s="39"/>
      <c r="GH7" s="39"/>
      <c r="GI7" s="39"/>
      <c r="GJ7" s="39"/>
      <c r="GK7" s="39"/>
      <c r="GL7" s="39"/>
    </row>
    <row r="8" spans="1:194">
      <c r="A8" s="224" t="s">
        <v>292</v>
      </c>
      <c r="B8" s="224"/>
      <c r="C8" s="152"/>
      <c r="D8" s="111"/>
      <c r="E8" s="111"/>
      <c r="F8" s="111"/>
      <c r="G8" s="111"/>
      <c r="H8" s="111"/>
      <c r="I8" s="113"/>
      <c r="J8" s="111"/>
      <c r="K8" s="113"/>
      <c r="L8" s="113"/>
      <c r="M8" s="113"/>
      <c r="N8" s="113"/>
      <c r="O8" s="113"/>
      <c r="P8" s="113"/>
      <c r="Q8" s="142"/>
      <c r="R8" s="113"/>
      <c r="S8" s="113"/>
      <c r="T8" s="129"/>
      <c r="U8" s="129"/>
      <c r="V8" s="129"/>
      <c r="W8" s="129"/>
      <c r="X8" s="113"/>
      <c r="Y8" s="113"/>
      <c r="Z8" s="113"/>
      <c r="AA8" s="113"/>
      <c r="AB8" s="142"/>
      <c r="AC8" s="113"/>
      <c r="AD8" s="142"/>
      <c r="AE8" s="113"/>
      <c r="AF8" s="113"/>
      <c r="AG8" s="113"/>
      <c r="AH8" s="142" t="e">
        <f>+#REF!+AH7</f>
        <v>#REF!</v>
      </c>
      <c r="AI8" s="144"/>
      <c r="AJ8" s="144"/>
      <c r="AK8" s="144"/>
      <c r="AL8" s="111"/>
      <c r="AM8" s="111"/>
      <c r="AN8" s="111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  <c r="EP8" s="39"/>
      <c r="EQ8" s="39"/>
      <c r="ER8" s="39"/>
      <c r="ES8" s="39"/>
      <c r="ET8" s="39"/>
      <c r="EU8" s="39"/>
      <c r="EV8" s="39"/>
      <c r="EW8" s="39"/>
      <c r="EX8" s="39"/>
      <c r="EY8" s="39"/>
      <c r="EZ8" s="39"/>
      <c r="FA8" s="39"/>
      <c r="FB8" s="39"/>
      <c r="FC8" s="39"/>
      <c r="FD8" s="39"/>
      <c r="FE8" s="39"/>
      <c r="FF8" s="39"/>
      <c r="FG8" s="39"/>
      <c r="FH8" s="39"/>
      <c r="FI8" s="39"/>
      <c r="FJ8" s="39"/>
      <c r="FK8" s="39"/>
      <c r="FL8" s="39"/>
      <c r="FM8" s="39"/>
      <c r="FN8" s="39"/>
      <c r="FO8" s="39"/>
      <c r="FP8" s="39"/>
      <c r="FQ8" s="39"/>
      <c r="FR8" s="39"/>
      <c r="FS8" s="39"/>
      <c r="FT8" s="39"/>
      <c r="FU8" s="39"/>
      <c r="FV8" s="39"/>
      <c r="FW8" s="39"/>
      <c r="FX8" s="39"/>
      <c r="FY8" s="39"/>
      <c r="FZ8" s="39"/>
      <c r="GA8" s="39"/>
      <c r="GB8" s="39"/>
      <c r="GC8" s="39"/>
      <c r="GD8" s="39"/>
      <c r="GE8" s="39"/>
      <c r="GF8" s="39"/>
      <c r="GG8" s="39"/>
      <c r="GH8" s="39"/>
      <c r="GI8" s="39"/>
      <c r="GJ8" s="39"/>
      <c r="GK8" s="39"/>
      <c r="GL8" s="39"/>
    </row>
    <row r="9" spans="1:194" hidden="1">
      <c r="A9" s="130"/>
      <c r="B9" s="111" t="s">
        <v>293</v>
      </c>
      <c r="C9" s="111"/>
      <c r="D9" s="112"/>
      <c r="E9" s="111"/>
      <c r="F9" s="111"/>
      <c r="G9" s="111"/>
      <c r="H9" s="111"/>
      <c r="I9" s="113"/>
      <c r="J9" s="111"/>
      <c r="K9" s="113"/>
      <c r="L9" s="157">
        <v>533.29999999999995</v>
      </c>
      <c r="M9" s="113"/>
      <c r="N9" s="113"/>
      <c r="O9" s="113"/>
      <c r="P9" s="113"/>
      <c r="Q9" s="116">
        <f>SUM(K9:P9)</f>
        <v>533.29999999999995</v>
      </c>
      <c r="R9" s="117"/>
      <c r="S9" s="117"/>
      <c r="T9" s="129"/>
      <c r="U9" s="127">
        <f>Q9*4.9%</f>
        <v>26.131699999999999</v>
      </c>
      <c r="V9" s="127">
        <f>Q9*1%</f>
        <v>5.3329999999999993</v>
      </c>
      <c r="W9" s="129"/>
      <c r="X9" s="146"/>
      <c r="Y9" s="146"/>
      <c r="Z9" s="146"/>
      <c r="AA9" s="146"/>
      <c r="AB9" s="116">
        <f>+Q9-R9</f>
        <v>533.29999999999995</v>
      </c>
      <c r="AC9" s="121">
        <f>+AB9*0.05</f>
        <v>26.664999999999999</v>
      </c>
      <c r="AD9" s="116">
        <f>+AB9-X9-AA9</f>
        <v>533.29999999999995</v>
      </c>
      <c r="AE9" s="122">
        <f>IF(AB9&lt;3000,AB9*0.1,0)</f>
        <v>53.33</v>
      </c>
      <c r="AF9" s="121">
        <v>0</v>
      </c>
      <c r="AG9" s="121"/>
      <c r="AH9" s="116">
        <f>+AB9+AE9+AF9</f>
        <v>586.63</v>
      </c>
      <c r="AI9" s="147"/>
      <c r="AJ9" s="147"/>
      <c r="AK9" s="147"/>
      <c r="AL9" s="111"/>
      <c r="AM9" s="111"/>
      <c r="AN9" s="111"/>
      <c r="BC9" s="39"/>
      <c r="BD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O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BZ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K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V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G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R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C9" s="39"/>
      <c r="ED9" s="39"/>
      <c r="EE9" s="39"/>
      <c r="EF9" s="39"/>
      <c r="EG9" s="39"/>
      <c r="EH9" s="39"/>
      <c r="EI9" s="39"/>
      <c r="EJ9" s="39"/>
      <c r="EK9" s="39"/>
      <c r="EL9" s="39"/>
      <c r="EM9" s="39"/>
      <c r="EN9" s="39"/>
      <c r="EO9" s="39"/>
      <c r="EP9" s="39"/>
      <c r="EQ9" s="39"/>
      <c r="ER9" s="39"/>
      <c r="ES9" s="39"/>
      <c r="ET9" s="39"/>
      <c r="EU9" s="39"/>
      <c r="EV9" s="39"/>
      <c r="EW9" s="39"/>
      <c r="EX9" s="39"/>
      <c r="EY9" s="39"/>
      <c r="EZ9" s="39"/>
      <c r="FA9" s="39"/>
      <c r="FB9" s="39"/>
      <c r="FC9" s="39"/>
      <c r="FD9" s="39"/>
      <c r="FE9" s="39"/>
      <c r="FF9" s="39"/>
      <c r="FG9" s="39"/>
      <c r="FH9" s="39"/>
      <c r="FI9" s="39"/>
      <c r="FJ9" s="39"/>
      <c r="FK9" s="39"/>
      <c r="FL9" s="39"/>
      <c r="FM9" s="39"/>
      <c r="FN9" s="39"/>
      <c r="FO9" s="39"/>
      <c r="FP9" s="39"/>
      <c r="FQ9" s="39"/>
      <c r="FR9" s="39"/>
      <c r="FS9" s="39"/>
      <c r="FT9" s="39"/>
      <c r="FU9" s="39"/>
      <c r="FV9" s="39"/>
      <c r="FW9" s="39"/>
      <c r="FX9" s="39"/>
      <c r="FY9" s="39"/>
      <c r="FZ9" s="39"/>
      <c r="GA9" s="39"/>
      <c r="GB9" s="39"/>
      <c r="GC9" s="39"/>
      <c r="GD9" s="39"/>
      <c r="GE9" s="39"/>
      <c r="GF9" s="39"/>
      <c r="GG9" s="39"/>
      <c r="GH9" s="39"/>
      <c r="GI9" s="39"/>
      <c r="GJ9" s="39"/>
      <c r="GK9" s="39"/>
      <c r="GL9" s="39"/>
    </row>
    <row r="10" spans="1:194">
      <c r="AH10" s="24">
        <f>SUM(AH9:AH9)</f>
        <v>586.63</v>
      </c>
      <c r="BC10" s="39"/>
      <c r="BD10" s="39"/>
      <c r="BE10" s="39"/>
      <c r="BF10" s="39"/>
      <c r="BG10" s="39"/>
      <c r="BH10" s="39"/>
      <c r="BI10" s="39"/>
      <c r="BJ10" s="39"/>
      <c r="BK10" s="39"/>
      <c r="BL10" s="39"/>
      <c r="BM10" s="39"/>
      <c r="BN10" s="39"/>
      <c r="BO10" s="39"/>
      <c r="BP10" s="39"/>
      <c r="BQ10" s="39"/>
      <c r="BR10" s="39"/>
      <c r="BS10" s="39"/>
      <c r="BT10" s="39"/>
      <c r="BU10" s="39"/>
      <c r="BV10" s="39"/>
      <c r="BW10" s="39"/>
      <c r="BX10" s="39"/>
      <c r="BY10" s="39"/>
      <c r="BZ10" s="39"/>
      <c r="CA10" s="39"/>
      <c r="CB10" s="39"/>
      <c r="CC10" s="39"/>
      <c r="CD10" s="39"/>
      <c r="CE10" s="39"/>
      <c r="CF10" s="39"/>
      <c r="CG10" s="39"/>
      <c r="CH10" s="39"/>
      <c r="CI10" s="39"/>
      <c r="CJ10" s="39"/>
      <c r="CK10" s="39"/>
      <c r="CL10" s="39"/>
      <c r="CM10" s="39"/>
      <c r="CN10" s="39"/>
      <c r="CO10" s="39"/>
      <c r="CP10" s="39"/>
      <c r="CQ10" s="39"/>
      <c r="CR10" s="39"/>
      <c r="CS10" s="39"/>
      <c r="CT10" s="39"/>
      <c r="CU10" s="39"/>
      <c r="CV10" s="39"/>
      <c r="CW10" s="39"/>
      <c r="CX10" s="39"/>
      <c r="CY10" s="39"/>
      <c r="CZ10" s="39"/>
      <c r="DA10" s="39"/>
      <c r="DB10" s="39"/>
      <c r="DC10" s="39"/>
      <c r="DD10" s="39"/>
      <c r="DE10" s="39"/>
      <c r="DF10" s="39"/>
      <c r="DG10" s="39"/>
      <c r="DH10" s="39"/>
      <c r="DI10" s="39"/>
      <c r="DJ10" s="39"/>
      <c r="DK10" s="39"/>
      <c r="DL10" s="39"/>
      <c r="DM10" s="39"/>
      <c r="DN10" s="39"/>
      <c r="DO10" s="39"/>
      <c r="DP10" s="39"/>
      <c r="DQ10" s="39"/>
      <c r="DR10" s="39"/>
      <c r="DS10" s="39"/>
      <c r="DT10" s="39"/>
      <c r="DU10" s="39"/>
      <c r="DV10" s="39"/>
      <c r="DW10" s="39"/>
      <c r="DX10" s="39"/>
      <c r="DY10" s="39"/>
      <c r="DZ10" s="39"/>
      <c r="EA10" s="39"/>
      <c r="EB10" s="39"/>
      <c r="EC10" s="39"/>
      <c r="ED10" s="39"/>
      <c r="EE10" s="39"/>
      <c r="EF10" s="39"/>
      <c r="EG10" s="39"/>
      <c r="EH10" s="39"/>
      <c r="EI10" s="39"/>
      <c r="EJ10" s="39"/>
      <c r="EK10" s="39"/>
      <c r="EL10" s="39"/>
      <c r="EM10" s="39"/>
      <c r="EN10" s="39"/>
      <c r="EO10" s="39"/>
      <c r="EP10" s="39"/>
      <c r="EQ10" s="39"/>
      <c r="ER10" s="39"/>
      <c r="ES10" s="39"/>
      <c r="ET10" s="39"/>
      <c r="EU10" s="39"/>
      <c r="EV10" s="39"/>
      <c r="EW10" s="39"/>
      <c r="EX10" s="39"/>
      <c r="EY10" s="39"/>
      <c r="EZ10" s="39"/>
      <c r="FA10" s="39"/>
      <c r="FB10" s="39"/>
      <c r="FC10" s="39"/>
      <c r="FD10" s="39"/>
      <c r="FE10" s="39"/>
      <c r="FF10" s="39"/>
      <c r="FG10" s="39"/>
      <c r="FH10" s="39"/>
      <c r="FI10" s="39"/>
      <c r="FJ10" s="39"/>
      <c r="FK10" s="39"/>
      <c r="FL10" s="39"/>
      <c r="FM10" s="39"/>
      <c r="FN10" s="39"/>
      <c r="FO10" s="39"/>
      <c r="FP10" s="39"/>
      <c r="FQ10" s="39"/>
      <c r="FR10" s="39"/>
      <c r="FS10" s="39"/>
      <c r="FT10" s="39"/>
      <c r="FU10" s="39"/>
      <c r="FV10" s="39"/>
      <c r="FW10" s="39"/>
      <c r="FX10" s="39"/>
      <c r="FY10" s="39"/>
      <c r="FZ10" s="39"/>
      <c r="GA10" s="39"/>
      <c r="GB10" s="39"/>
      <c r="GC10" s="39"/>
      <c r="GD10" s="39"/>
      <c r="GE10" s="39"/>
      <c r="GF10" s="39"/>
      <c r="GG10" s="39"/>
      <c r="GH10" s="39"/>
      <c r="GI10" s="39"/>
      <c r="GJ10" s="39"/>
      <c r="GK10" s="39"/>
      <c r="GL10" s="39"/>
    </row>
    <row r="11" spans="1:194">
      <c r="B11" s="55"/>
      <c r="C11" s="55"/>
      <c r="D11" s="55"/>
      <c r="AH11" s="24">
        <f>+AH10*0.16</f>
        <v>93.860799999999998</v>
      </c>
      <c r="BC11" s="39"/>
      <c r="BD11" s="39"/>
      <c r="BE11" s="39"/>
      <c r="BF11" s="39"/>
      <c r="BG11" s="39"/>
      <c r="BH11" s="39"/>
      <c r="BI11" s="39"/>
      <c r="BJ11" s="39"/>
      <c r="BK11" s="39"/>
      <c r="BL11" s="39"/>
      <c r="BM11" s="39"/>
      <c r="BN11" s="39"/>
      <c r="BO11" s="39"/>
      <c r="BP11" s="39"/>
      <c r="BQ11" s="39"/>
      <c r="BR11" s="39"/>
      <c r="BS11" s="39"/>
      <c r="BT11" s="39"/>
      <c r="BU11" s="39"/>
      <c r="BV11" s="39"/>
      <c r="BW11" s="39"/>
      <c r="BX11" s="39"/>
      <c r="BY11" s="39"/>
      <c r="BZ11" s="39"/>
      <c r="CA11" s="39"/>
      <c r="CB11" s="39"/>
      <c r="CC11" s="39"/>
      <c r="CD11" s="39"/>
      <c r="CE11" s="39"/>
      <c r="CF11" s="39"/>
      <c r="CG11" s="39"/>
      <c r="CH11" s="39"/>
      <c r="CI11" s="39"/>
      <c r="CJ11" s="39"/>
      <c r="CK11" s="39"/>
      <c r="CL11" s="39"/>
      <c r="CM11" s="39"/>
      <c r="CN11" s="39"/>
      <c r="CO11" s="39"/>
      <c r="CP11" s="39"/>
      <c r="CQ11" s="39"/>
      <c r="CR11" s="39"/>
      <c r="CS11" s="39"/>
      <c r="CT11" s="39"/>
      <c r="CU11" s="39"/>
      <c r="CV11" s="39"/>
      <c r="CW11" s="39"/>
      <c r="CX11" s="39"/>
      <c r="CY11" s="39"/>
      <c r="CZ11" s="39"/>
      <c r="DA11" s="39"/>
      <c r="DB11" s="39"/>
      <c r="DC11" s="39"/>
      <c r="DD11" s="39"/>
      <c r="DE11" s="39"/>
      <c r="DF11" s="39"/>
      <c r="DG11" s="39"/>
      <c r="DH11" s="39"/>
      <c r="DI11" s="39"/>
      <c r="DJ11" s="39"/>
      <c r="DK11" s="39"/>
      <c r="DL11" s="39"/>
      <c r="DM11" s="39"/>
      <c r="DN11" s="39"/>
      <c r="DO11" s="39"/>
      <c r="DP11" s="39"/>
      <c r="DQ11" s="39"/>
      <c r="DR11" s="39"/>
      <c r="DS11" s="39"/>
      <c r="DT11" s="39"/>
      <c r="DU11" s="39"/>
      <c r="DV11" s="39"/>
      <c r="DW11" s="39"/>
      <c r="DX11" s="39"/>
      <c r="DY11" s="39"/>
      <c r="DZ11" s="39"/>
      <c r="EA11" s="39"/>
      <c r="EB11" s="39"/>
      <c r="EC11" s="39"/>
      <c r="ED11" s="39"/>
      <c r="EE11" s="39"/>
      <c r="EF11" s="39"/>
      <c r="EG11" s="39"/>
      <c r="EH11" s="39"/>
      <c r="EI11" s="39"/>
      <c r="EJ11" s="39"/>
      <c r="EK11" s="39"/>
      <c r="EL11" s="39"/>
      <c r="EM11" s="39"/>
      <c r="EN11" s="39"/>
      <c r="EO11" s="39"/>
      <c r="EP11" s="39"/>
      <c r="EQ11" s="39"/>
      <c r="ER11" s="39"/>
      <c r="ES11" s="39"/>
      <c r="ET11" s="39"/>
      <c r="EU11" s="39"/>
      <c r="EV11" s="39"/>
      <c r="EW11" s="39"/>
      <c r="EX11" s="39"/>
      <c r="EY11" s="39"/>
      <c r="EZ11" s="39"/>
      <c r="FA11" s="39"/>
      <c r="FB11" s="39"/>
      <c r="FC11" s="39"/>
      <c r="FD11" s="39"/>
      <c r="FE11" s="39"/>
      <c r="FF11" s="39"/>
      <c r="FG11" s="39"/>
      <c r="FH11" s="39"/>
      <c r="FI11" s="39"/>
      <c r="FJ11" s="39"/>
      <c r="FK11" s="39"/>
      <c r="FL11" s="39"/>
      <c r="FM11" s="39"/>
      <c r="FN11" s="39"/>
      <c r="FO11" s="39"/>
      <c r="FP11" s="39"/>
      <c r="FQ11" s="39"/>
      <c r="FR11" s="39"/>
      <c r="FS11" s="39"/>
      <c r="FT11" s="39"/>
      <c r="FU11" s="39"/>
      <c r="FV11" s="39"/>
      <c r="FW11" s="39"/>
      <c r="FX11" s="39"/>
      <c r="FY11" s="39"/>
      <c r="FZ11" s="39"/>
      <c r="GA11" s="39"/>
      <c r="GB11" s="39"/>
      <c r="GC11" s="39"/>
      <c r="GD11" s="39"/>
      <c r="GE11" s="39"/>
      <c r="GF11" s="39"/>
      <c r="GG11" s="39"/>
      <c r="GH11" s="39"/>
      <c r="GI11" s="39"/>
      <c r="GJ11" s="39"/>
      <c r="GK11" s="39"/>
      <c r="GL11" s="39"/>
    </row>
    <row r="12" spans="1:194">
      <c r="B12" s="55"/>
      <c r="C12" s="55"/>
      <c r="D12" s="55"/>
      <c r="AH12" s="24">
        <f>+AH10+AH11</f>
        <v>680.49080000000004</v>
      </c>
      <c r="BC12" s="39"/>
      <c r="BD12" s="39"/>
      <c r="BE12" s="39"/>
      <c r="BF12" s="39"/>
      <c r="BG12" s="39"/>
      <c r="BH12" s="39"/>
      <c r="BI12" s="39"/>
      <c r="BJ12" s="39"/>
      <c r="BK12" s="39"/>
      <c r="BL12" s="39"/>
      <c r="BM12" s="39"/>
      <c r="BN12" s="39"/>
      <c r="BO12" s="39"/>
      <c r="BP12" s="39"/>
      <c r="BQ12" s="39"/>
      <c r="BR12" s="39"/>
      <c r="BS12" s="39"/>
      <c r="BT12" s="39"/>
      <c r="BU12" s="39"/>
      <c r="BV12" s="39"/>
      <c r="BW12" s="39"/>
      <c r="BX12" s="39"/>
      <c r="BY12" s="39"/>
      <c r="BZ12" s="39"/>
      <c r="CA12" s="39"/>
      <c r="CB12" s="39"/>
      <c r="CC12" s="39"/>
      <c r="CD12" s="39"/>
      <c r="CE12" s="39"/>
      <c r="CF12" s="39"/>
      <c r="CG12" s="39"/>
      <c r="CH12" s="39"/>
      <c r="CI12" s="39"/>
      <c r="CJ12" s="39"/>
      <c r="CK12" s="39"/>
      <c r="CL12" s="39"/>
      <c r="CM12" s="39"/>
      <c r="CN12" s="39"/>
      <c r="CO12" s="39"/>
      <c r="CP12" s="39"/>
      <c r="CQ12" s="39"/>
      <c r="CR12" s="39"/>
      <c r="CS12" s="39"/>
      <c r="CT12" s="39"/>
      <c r="CU12" s="39"/>
      <c r="CV12" s="39"/>
      <c r="CW12" s="39"/>
      <c r="CX12" s="39"/>
      <c r="CY12" s="39"/>
      <c r="CZ12" s="39"/>
      <c r="DA12" s="39"/>
      <c r="DB12" s="39"/>
      <c r="DC12" s="39"/>
      <c r="DD12" s="39"/>
      <c r="DE12" s="39"/>
      <c r="DF12" s="39"/>
      <c r="DG12" s="39"/>
      <c r="DH12" s="39"/>
      <c r="DI12" s="39"/>
      <c r="DJ12" s="39"/>
      <c r="DK12" s="39"/>
      <c r="DL12" s="39"/>
      <c r="DM12" s="39"/>
      <c r="DN12" s="39"/>
      <c r="DO12" s="39"/>
      <c r="DP12" s="39"/>
      <c r="DQ12" s="39"/>
      <c r="DR12" s="39"/>
      <c r="DS12" s="39"/>
      <c r="DT12" s="39"/>
      <c r="DU12" s="39"/>
      <c r="DV12" s="39"/>
      <c r="DW12" s="39"/>
      <c r="DX12" s="39"/>
      <c r="DY12" s="39"/>
      <c r="DZ12" s="39"/>
      <c r="EA12" s="39"/>
      <c r="EB12" s="39"/>
      <c r="EC12" s="39"/>
      <c r="ED12" s="39"/>
      <c r="EE12" s="39"/>
      <c r="EF12" s="39"/>
      <c r="EG12" s="39"/>
      <c r="EH12" s="39"/>
      <c r="EI12" s="39"/>
      <c r="EJ12" s="39"/>
      <c r="EK12" s="39"/>
      <c r="EL12" s="39"/>
      <c r="EM12" s="39"/>
      <c r="EN12" s="39"/>
      <c r="EO12" s="39"/>
      <c r="EP12" s="39"/>
      <c r="EQ12" s="39"/>
      <c r="ER12" s="39"/>
      <c r="ES12" s="39"/>
      <c r="ET12" s="39"/>
      <c r="EU12" s="39"/>
      <c r="EV12" s="39"/>
      <c r="EW12" s="39"/>
      <c r="EX12" s="39"/>
      <c r="EY12" s="39"/>
      <c r="EZ12" s="39"/>
      <c r="FA12" s="39"/>
      <c r="FB12" s="39"/>
      <c r="FC12" s="39"/>
      <c r="FD12" s="39"/>
      <c r="FE12" s="39"/>
      <c r="FF12" s="39"/>
      <c r="FG12" s="39"/>
      <c r="FH12" s="39"/>
      <c r="FI12" s="39"/>
      <c r="FJ12" s="39"/>
      <c r="FK12" s="39"/>
      <c r="FL12" s="39"/>
      <c r="FM12" s="39"/>
      <c r="FN12" s="39"/>
      <c r="FO12" s="39"/>
      <c r="FP12" s="39"/>
      <c r="FQ12" s="39"/>
      <c r="FR12" s="39"/>
      <c r="FS12" s="39"/>
      <c r="FT12" s="39"/>
      <c r="FU12" s="39"/>
      <c r="FV12" s="39"/>
      <c r="FW12" s="39"/>
      <c r="FX12" s="39"/>
      <c r="FY12" s="39"/>
      <c r="FZ12" s="39"/>
      <c r="GA12" s="39"/>
      <c r="GB12" s="39"/>
      <c r="GC12" s="39"/>
      <c r="GD12" s="39"/>
      <c r="GE12" s="39"/>
      <c r="GF12" s="39"/>
      <c r="GG12" s="39"/>
      <c r="GH12" s="39"/>
      <c r="GI12" s="39"/>
      <c r="GJ12" s="39"/>
      <c r="GK12" s="39"/>
      <c r="GL12" s="39"/>
    </row>
    <row r="13" spans="1:194">
      <c r="B13" s="55"/>
      <c r="C13" s="55"/>
      <c r="D13" s="55"/>
      <c r="BC13" s="39"/>
      <c r="BD13" s="39"/>
      <c r="BE13" s="39"/>
      <c r="BF13" s="39"/>
      <c r="BG13" s="39"/>
      <c r="BH13" s="39"/>
      <c r="BI13" s="39"/>
      <c r="BJ13" s="39"/>
      <c r="BK13" s="39"/>
      <c r="BL13" s="39"/>
      <c r="BM13" s="39"/>
      <c r="BN13" s="39"/>
      <c r="BO13" s="39"/>
      <c r="BP13" s="39"/>
      <c r="BQ13" s="39"/>
      <c r="BR13" s="39"/>
      <c r="BS13" s="39"/>
      <c r="BT13" s="39"/>
      <c r="BU13" s="39"/>
      <c r="BV13" s="39"/>
      <c r="BW13" s="39"/>
      <c r="BX13" s="39"/>
      <c r="BY13" s="39"/>
      <c r="BZ13" s="39"/>
      <c r="CA13" s="39"/>
      <c r="CB13" s="39"/>
      <c r="CC13" s="39"/>
      <c r="CD13" s="39"/>
      <c r="CE13" s="39"/>
      <c r="CF13" s="39"/>
      <c r="CG13" s="39"/>
      <c r="CH13" s="39"/>
      <c r="CI13" s="39"/>
      <c r="CJ13" s="39"/>
      <c r="CK13" s="39"/>
      <c r="CL13" s="39"/>
      <c r="CM13" s="39"/>
      <c r="CN13" s="39"/>
      <c r="CO13" s="39"/>
      <c r="CP13" s="39"/>
      <c r="CQ13" s="39"/>
      <c r="CR13" s="39"/>
      <c r="CS13" s="39"/>
      <c r="CT13" s="39"/>
      <c r="CU13" s="39"/>
      <c r="CV13" s="39"/>
      <c r="CW13" s="39"/>
      <c r="CX13" s="39"/>
      <c r="CY13" s="39"/>
      <c r="CZ13" s="39"/>
      <c r="DA13" s="39"/>
      <c r="DB13" s="39"/>
      <c r="DC13" s="39"/>
      <c r="DD13" s="39"/>
      <c r="DE13" s="39"/>
      <c r="DF13" s="39"/>
      <c r="DG13" s="39"/>
      <c r="DH13" s="39"/>
      <c r="DI13" s="39"/>
      <c r="DJ13" s="39"/>
      <c r="DK13" s="39"/>
      <c r="DL13" s="39"/>
      <c r="DM13" s="39"/>
      <c r="DN13" s="39"/>
      <c r="DO13" s="39"/>
      <c r="DP13" s="39"/>
      <c r="DQ13" s="39"/>
      <c r="DR13" s="39"/>
      <c r="DS13" s="39"/>
      <c r="DT13" s="39"/>
      <c r="DU13" s="39"/>
      <c r="DV13" s="39"/>
      <c r="DW13" s="39"/>
      <c r="DX13" s="39"/>
      <c r="DY13" s="39"/>
      <c r="DZ13" s="39"/>
      <c r="EA13" s="39"/>
      <c r="EB13" s="39"/>
      <c r="EC13" s="39"/>
      <c r="ED13" s="39"/>
      <c r="EE13" s="39"/>
      <c r="EF13" s="39"/>
      <c r="EG13" s="39"/>
      <c r="EH13" s="39"/>
      <c r="EI13" s="39"/>
      <c r="EJ13" s="39"/>
      <c r="EK13" s="39"/>
      <c r="EL13" s="39"/>
      <c r="EM13" s="39"/>
      <c r="EN13" s="39"/>
      <c r="EO13" s="39"/>
      <c r="EP13" s="39"/>
      <c r="EQ13" s="39"/>
      <c r="ER13" s="39"/>
      <c r="ES13" s="39"/>
      <c r="ET13" s="39"/>
      <c r="EU13" s="39"/>
      <c r="EV13" s="39"/>
      <c r="EW13" s="39"/>
      <c r="EX13" s="39"/>
      <c r="EY13" s="39"/>
      <c r="EZ13" s="39"/>
      <c r="FA13" s="39"/>
      <c r="FB13" s="39"/>
      <c r="FC13" s="39"/>
      <c r="FD13" s="39"/>
      <c r="FE13" s="39"/>
      <c r="FF13" s="39"/>
      <c r="FG13" s="39"/>
      <c r="FH13" s="39"/>
      <c r="FI13" s="39"/>
      <c r="FJ13" s="39"/>
      <c r="FK13" s="39"/>
      <c r="FL13" s="39"/>
      <c r="FM13" s="39"/>
      <c r="FN13" s="39"/>
      <c r="FO13" s="39"/>
      <c r="FP13" s="39"/>
      <c r="FQ13" s="39"/>
      <c r="FR13" s="39"/>
      <c r="FS13" s="39"/>
      <c r="FT13" s="39"/>
      <c r="FU13" s="39"/>
      <c r="FV13" s="39"/>
      <c r="FW13" s="39"/>
      <c r="FX13" s="39"/>
      <c r="FY13" s="39"/>
      <c r="FZ13" s="39"/>
      <c r="GA13" s="39"/>
      <c r="GB13" s="39"/>
      <c r="GC13" s="39"/>
      <c r="GD13" s="39"/>
      <c r="GE13" s="39"/>
      <c r="GF13" s="39"/>
      <c r="GG13" s="39"/>
      <c r="GH13" s="39"/>
      <c r="GI13" s="39"/>
      <c r="GJ13" s="39"/>
      <c r="GK13" s="39"/>
      <c r="GL13" s="39"/>
    </row>
    <row r="14" spans="1:194">
      <c r="B14" s="55"/>
      <c r="C14" s="55"/>
      <c r="D14" s="55"/>
      <c r="AH14" s="24" t="e">
        <f>+AH8+AH12</f>
        <v>#REF!</v>
      </c>
      <c r="BC14" s="39"/>
      <c r="BD14" s="39"/>
      <c r="BE14" s="39"/>
      <c r="BF14" s="39"/>
      <c r="BG14" s="39"/>
      <c r="BH14" s="39"/>
      <c r="BI14" s="39"/>
      <c r="BJ14" s="39"/>
      <c r="BK14" s="39"/>
      <c r="BL14" s="39"/>
      <c r="BM14" s="39"/>
      <c r="BN14" s="39"/>
      <c r="BO14" s="39"/>
      <c r="BP14" s="39"/>
      <c r="BQ14" s="39"/>
      <c r="BR14" s="39"/>
      <c r="BS14" s="39"/>
      <c r="BT14" s="39"/>
      <c r="BU14" s="39"/>
      <c r="BV14" s="39"/>
      <c r="BW14" s="39"/>
      <c r="BX14" s="39"/>
      <c r="BY14" s="39"/>
      <c r="BZ14" s="39"/>
      <c r="CA14" s="39"/>
      <c r="CB14" s="39"/>
      <c r="CC14" s="39"/>
      <c r="CD14" s="39"/>
      <c r="CE14" s="39"/>
      <c r="CF14" s="39"/>
      <c r="CG14" s="39"/>
      <c r="CH14" s="39"/>
      <c r="CI14" s="39"/>
      <c r="CJ14" s="39"/>
      <c r="CK14" s="39"/>
      <c r="CL14" s="39"/>
      <c r="CM14" s="39"/>
      <c r="CN14" s="39"/>
      <c r="CO14" s="39"/>
      <c r="CP14" s="39"/>
      <c r="CQ14" s="39"/>
      <c r="CR14" s="39"/>
      <c r="CS14" s="39"/>
      <c r="CT14" s="39"/>
      <c r="CU14" s="39"/>
      <c r="CV14" s="39"/>
      <c r="CW14" s="39"/>
      <c r="CX14" s="39"/>
      <c r="CY14" s="39"/>
      <c r="CZ14" s="39"/>
      <c r="DA14" s="39"/>
      <c r="DB14" s="39"/>
      <c r="DC14" s="39"/>
      <c r="DD14" s="39"/>
      <c r="DE14" s="39"/>
      <c r="DF14" s="39"/>
      <c r="DG14" s="39"/>
      <c r="DH14" s="39"/>
      <c r="DI14" s="39"/>
      <c r="DJ14" s="39"/>
      <c r="DK14" s="39"/>
      <c r="DL14" s="39"/>
      <c r="DM14" s="39"/>
      <c r="DN14" s="39"/>
      <c r="DO14" s="39"/>
      <c r="DP14" s="39"/>
      <c r="DQ14" s="39"/>
      <c r="DR14" s="39"/>
      <c r="DS14" s="39"/>
      <c r="DT14" s="39"/>
      <c r="DU14" s="39"/>
      <c r="DV14" s="39"/>
      <c r="DW14" s="39"/>
      <c r="DX14" s="39"/>
      <c r="DY14" s="39"/>
      <c r="DZ14" s="39"/>
      <c r="EA14" s="39"/>
      <c r="EB14" s="39"/>
      <c r="EC14" s="39"/>
      <c r="ED14" s="39"/>
      <c r="EE14" s="39"/>
      <c r="EF14" s="39"/>
      <c r="EG14" s="39"/>
      <c r="EH14" s="39"/>
      <c r="EI14" s="39"/>
      <c r="EJ14" s="39"/>
      <c r="EK14" s="39"/>
      <c r="EL14" s="39"/>
      <c r="EM14" s="39"/>
      <c r="EN14" s="39"/>
      <c r="EO14" s="39"/>
      <c r="EP14" s="39"/>
      <c r="EQ14" s="39"/>
      <c r="ER14" s="39"/>
      <c r="ES14" s="39"/>
      <c r="ET14" s="39"/>
      <c r="EU14" s="39"/>
      <c r="EV14" s="39"/>
      <c r="EW14" s="39"/>
      <c r="EX14" s="39"/>
      <c r="EY14" s="39"/>
      <c r="EZ14" s="39"/>
      <c r="FA14" s="39"/>
      <c r="FB14" s="39"/>
      <c r="FC14" s="39"/>
      <c r="FD14" s="39"/>
      <c r="FE14" s="39"/>
      <c r="FF14" s="39"/>
      <c r="FG14" s="39"/>
      <c r="FH14" s="39"/>
      <c r="FI14" s="39"/>
      <c r="FJ14" s="39"/>
      <c r="FK14" s="39"/>
      <c r="FL14" s="39"/>
      <c r="FM14" s="39"/>
      <c r="FN14" s="39"/>
      <c r="FO14" s="39"/>
      <c r="FP14" s="39"/>
      <c r="FQ14" s="39"/>
      <c r="FR14" s="39"/>
      <c r="FS14" s="39"/>
      <c r="FT14" s="39"/>
      <c r="FU14" s="39"/>
      <c r="FV14" s="39"/>
      <c r="FW14" s="39"/>
      <c r="FX14" s="39"/>
      <c r="FY14" s="39"/>
      <c r="FZ14" s="39"/>
      <c r="GA14" s="39"/>
      <c r="GB14" s="39"/>
      <c r="GC14" s="39"/>
      <c r="GD14" s="39"/>
      <c r="GE14" s="39"/>
      <c r="GF14" s="39"/>
      <c r="GG14" s="39"/>
      <c r="GH14" s="39"/>
      <c r="GI14" s="39"/>
      <c r="GJ14" s="39"/>
      <c r="GK14" s="39"/>
      <c r="GL14" s="39"/>
    </row>
    <row r="15" spans="1:194">
      <c r="BC15" s="39"/>
      <c r="BD15" s="39"/>
      <c r="BE15" s="39"/>
      <c r="BF15" s="39"/>
      <c r="BG15" s="39"/>
      <c r="BH15" s="39"/>
      <c r="BI15" s="39"/>
      <c r="BJ15" s="39"/>
      <c r="BK15" s="39"/>
      <c r="BL15" s="39"/>
      <c r="BM15" s="39"/>
      <c r="BN15" s="39"/>
      <c r="BO15" s="39"/>
      <c r="BP15" s="39"/>
      <c r="BQ15" s="39"/>
      <c r="BR15" s="39"/>
      <c r="BS15" s="39"/>
      <c r="BT15" s="39"/>
      <c r="BU15" s="39"/>
      <c r="BV15" s="39"/>
      <c r="BW15" s="39"/>
      <c r="BX15" s="39"/>
      <c r="BY15" s="39"/>
      <c r="BZ15" s="39"/>
      <c r="CA15" s="39"/>
      <c r="CB15" s="39"/>
      <c r="CC15" s="39"/>
      <c r="CD15" s="39"/>
      <c r="CE15" s="39"/>
      <c r="CF15" s="39"/>
      <c r="CG15" s="39"/>
      <c r="CH15" s="39"/>
      <c r="CI15" s="39"/>
      <c r="CJ15" s="39"/>
      <c r="CK15" s="39"/>
      <c r="CL15" s="39"/>
      <c r="CM15" s="39"/>
      <c r="CN15" s="39"/>
      <c r="CO15" s="39"/>
      <c r="CP15" s="39"/>
      <c r="CQ15" s="39"/>
      <c r="CR15" s="39"/>
      <c r="CS15" s="39"/>
      <c r="CT15" s="39"/>
      <c r="CU15" s="39"/>
      <c r="CV15" s="39"/>
      <c r="CW15" s="39"/>
      <c r="CX15" s="39"/>
      <c r="CY15" s="39"/>
      <c r="CZ15" s="39"/>
      <c r="DA15" s="39"/>
      <c r="DB15" s="39"/>
      <c r="DC15" s="39"/>
      <c r="DD15" s="39"/>
      <c r="DE15" s="39"/>
      <c r="DF15" s="39"/>
      <c r="DG15" s="39"/>
      <c r="DH15" s="39"/>
      <c r="DI15" s="39"/>
      <c r="DJ15" s="39"/>
      <c r="DK15" s="39"/>
      <c r="DL15" s="39"/>
      <c r="DM15" s="39"/>
      <c r="DN15" s="39"/>
      <c r="DO15" s="39"/>
      <c r="DP15" s="39"/>
      <c r="DQ15" s="39"/>
      <c r="DR15" s="39"/>
      <c r="DS15" s="39"/>
      <c r="DT15" s="39"/>
      <c r="DU15" s="39"/>
      <c r="DV15" s="39"/>
      <c r="DW15" s="39"/>
      <c r="DX15" s="39"/>
      <c r="DY15" s="39"/>
      <c r="DZ15" s="39"/>
      <c r="EA15" s="39"/>
      <c r="EB15" s="39"/>
      <c r="EC15" s="39"/>
      <c r="ED15" s="39"/>
      <c r="EE15" s="39"/>
      <c r="EF15" s="39"/>
      <c r="EG15" s="39"/>
      <c r="EH15" s="39"/>
      <c r="EI15" s="39"/>
      <c r="EJ15" s="39"/>
      <c r="EK15" s="39"/>
      <c r="EL15" s="39"/>
      <c r="EM15" s="39"/>
      <c r="EN15" s="39"/>
      <c r="EO15" s="39"/>
      <c r="EP15" s="39"/>
      <c r="EQ15" s="39"/>
      <c r="ER15" s="39"/>
      <c r="ES15" s="39"/>
      <c r="ET15" s="39"/>
      <c r="EU15" s="39"/>
      <c r="EV15" s="39"/>
      <c r="EW15" s="39"/>
      <c r="EX15" s="39"/>
      <c r="EY15" s="39"/>
      <c r="EZ15" s="39"/>
      <c r="FA15" s="39"/>
      <c r="FB15" s="39"/>
      <c r="FC15" s="39"/>
      <c r="FD15" s="39"/>
      <c r="FE15" s="39"/>
      <c r="FF15" s="39"/>
      <c r="FG15" s="39"/>
      <c r="FH15" s="39"/>
      <c r="FI15" s="39"/>
      <c r="FJ15" s="39"/>
      <c r="FK15" s="39"/>
      <c r="FL15" s="39"/>
      <c r="FM15" s="39"/>
      <c r="FN15" s="39"/>
      <c r="FO15" s="39"/>
      <c r="FP15" s="39"/>
      <c r="FQ15" s="39"/>
      <c r="FR15" s="39"/>
      <c r="FS15" s="39"/>
      <c r="FT15" s="39"/>
      <c r="FU15" s="39"/>
      <c r="FV15" s="39"/>
      <c r="FW15" s="39"/>
      <c r="FX15" s="39"/>
      <c r="FY15" s="39"/>
      <c r="FZ15" s="39"/>
      <c r="GA15" s="39"/>
      <c r="GB15" s="39"/>
      <c r="GC15" s="39"/>
      <c r="GD15" s="39"/>
      <c r="GE15" s="39"/>
      <c r="GF15" s="39"/>
      <c r="GG15" s="39"/>
      <c r="GH15" s="39"/>
      <c r="GI15" s="39"/>
      <c r="GJ15" s="39"/>
      <c r="GK15" s="39"/>
      <c r="GL15" s="39"/>
    </row>
    <row r="16" spans="1:194">
      <c r="BC16" s="39"/>
      <c r="BD16" s="39"/>
      <c r="BE16" s="39"/>
      <c r="BF16" s="39"/>
      <c r="BG16" s="39"/>
      <c r="BH16" s="39"/>
      <c r="BI16" s="39"/>
      <c r="BJ16" s="39"/>
      <c r="BK16" s="39"/>
      <c r="BL16" s="39"/>
      <c r="BM16" s="39"/>
      <c r="BN16" s="39"/>
      <c r="BO16" s="39"/>
      <c r="BP16" s="39"/>
      <c r="BQ16" s="39"/>
      <c r="BR16" s="39"/>
      <c r="BS16" s="39"/>
      <c r="BT16" s="39"/>
      <c r="BU16" s="39"/>
      <c r="BV16" s="39"/>
      <c r="BW16" s="39"/>
      <c r="BX16" s="39"/>
      <c r="BY16" s="39"/>
      <c r="BZ16" s="39"/>
      <c r="CA16" s="39"/>
      <c r="CB16" s="39"/>
      <c r="CC16" s="39"/>
      <c r="CD16" s="39"/>
      <c r="CE16" s="39"/>
      <c r="CF16" s="39"/>
      <c r="CG16" s="39"/>
      <c r="CH16" s="39"/>
      <c r="CI16" s="39"/>
      <c r="CJ16" s="39"/>
      <c r="CK16" s="39"/>
      <c r="CL16" s="39"/>
      <c r="CM16" s="39"/>
      <c r="CN16" s="39"/>
      <c r="CO16" s="39"/>
      <c r="CP16" s="39"/>
      <c r="CQ16" s="39"/>
      <c r="CR16" s="39"/>
      <c r="CS16" s="39"/>
      <c r="CT16" s="39"/>
      <c r="CU16" s="39"/>
      <c r="CV16" s="39"/>
      <c r="CW16" s="39"/>
      <c r="CX16" s="39"/>
      <c r="CY16" s="39"/>
      <c r="CZ16" s="39"/>
      <c r="DA16" s="39"/>
      <c r="DB16" s="39"/>
      <c r="DC16" s="39"/>
      <c r="DD16" s="39"/>
      <c r="DE16" s="39"/>
      <c r="DF16" s="39"/>
      <c r="DG16" s="39"/>
      <c r="DH16" s="39"/>
      <c r="DI16" s="39"/>
      <c r="DJ16" s="39"/>
      <c r="DK16" s="39"/>
      <c r="DL16" s="39"/>
      <c r="DM16" s="39"/>
      <c r="DN16" s="39"/>
      <c r="DO16" s="39"/>
      <c r="DP16" s="39"/>
      <c r="DQ16" s="39"/>
      <c r="DR16" s="39"/>
      <c r="DS16" s="39"/>
      <c r="DT16" s="39"/>
      <c r="DU16" s="39"/>
      <c r="DV16" s="39"/>
      <c r="DW16" s="39"/>
      <c r="DX16" s="39"/>
      <c r="DY16" s="39"/>
      <c r="DZ16" s="39"/>
      <c r="EA16" s="39"/>
      <c r="EB16" s="39"/>
      <c r="EC16" s="39"/>
      <c r="ED16" s="39"/>
      <c r="EE16" s="39"/>
      <c r="EF16" s="39"/>
      <c r="EG16" s="39"/>
      <c r="EH16" s="39"/>
      <c r="EI16" s="39"/>
      <c r="EJ16" s="39"/>
      <c r="EK16" s="39"/>
      <c r="EL16" s="39"/>
      <c r="EM16" s="39"/>
      <c r="EN16" s="39"/>
      <c r="EO16" s="39"/>
      <c r="EP16" s="39"/>
      <c r="EQ16" s="39"/>
      <c r="ER16" s="39"/>
      <c r="ES16" s="39"/>
      <c r="ET16" s="39"/>
      <c r="EU16" s="39"/>
      <c r="EV16" s="39"/>
      <c r="EW16" s="39"/>
      <c r="EX16" s="39"/>
      <c r="EY16" s="39"/>
      <c r="EZ16" s="39"/>
      <c r="FA16" s="39"/>
      <c r="FB16" s="39"/>
      <c r="FC16" s="39"/>
      <c r="FD16" s="39"/>
      <c r="FE16" s="39"/>
      <c r="FF16" s="39"/>
      <c r="FG16" s="39"/>
      <c r="FH16" s="39"/>
      <c r="FI16" s="39"/>
      <c r="FJ16" s="39"/>
      <c r="FK16" s="39"/>
      <c r="FL16" s="39"/>
      <c r="FM16" s="39"/>
      <c r="FN16" s="39"/>
      <c r="FO16" s="39"/>
      <c r="FP16" s="39"/>
      <c r="FQ16" s="39"/>
      <c r="FR16" s="39"/>
      <c r="FS16" s="39"/>
      <c r="FT16" s="39"/>
      <c r="FU16" s="39"/>
      <c r="FV16" s="39"/>
      <c r="FW16" s="39"/>
      <c r="FX16" s="39"/>
      <c r="FY16" s="39"/>
      <c r="FZ16" s="39"/>
      <c r="GA16" s="39"/>
      <c r="GB16" s="39"/>
      <c r="GC16" s="39"/>
      <c r="GD16" s="39"/>
      <c r="GE16" s="39"/>
      <c r="GF16" s="39"/>
      <c r="GG16" s="39"/>
      <c r="GH16" s="39"/>
      <c r="GI16" s="39"/>
      <c r="GJ16" s="39"/>
      <c r="GK16" s="39"/>
      <c r="GL16" s="39"/>
    </row>
    <row r="17" spans="55:194">
      <c r="BC17" s="39"/>
      <c r="BD17" s="39"/>
      <c r="BE17" s="39"/>
      <c r="BF17" s="39"/>
      <c r="BG17" s="39"/>
      <c r="BH17" s="39"/>
      <c r="BI17" s="39"/>
      <c r="BJ17" s="39"/>
      <c r="BK17" s="39"/>
      <c r="BL17" s="39"/>
      <c r="BM17" s="39"/>
      <c r="BN17" s="39"/>
      <c r="BO17" s="39"/>
      <c r="BP17" s="39"/>
      <c r="BQ17" s="39"/>
      <c r="BR17" s="39"/>
      <c r="BS17" s="39"/>
      <c r="BT17" s="39"/>
      <c r="BU17" s="39"/>
      <c r="BV17" s="39"/>
      <c r="BW17" s="39"/>
      <c r="BX17" s="39"/>
      <c r="BY17" s="39"/>
      <c r="BZ17" s="39"/>
      <c r="CA17" s="39"/>
      <c r="CB17" s="39"/>
      <c r="CC17" s="39"/>
      <c r="CD17" s="39"/>
      <c r="CE17" s="39"/>
      <c r="CF17" s="39"/>
      <c r="CG17" s="39"/>
      <c r="CH17" s="39"/>
      <c r="CI17" s="39"/>
      <c r="CJ17" s="39"/>
      <c r="CK17" s="39"/>
      <c r="CL17" s="39"/>
      <c r="CM17" s="39"/>
      <c r="CN17" s="39"/>
      <c r="CO17" s="39"/>
      <c r="CP17" s="39"/>
      <c r="CQ17" s="39"/>
      <c r="CR17" s="39"/>
      <c r="CS17" s="39"/>
      <c r="CT17" s="39"/>
      <c r="CU17" s="39"/>
      <c r="CV17" s="39"/>
      <c r="CW17" s="39"/>
      <c r="CX17" s="39"/>
      <c r="CY17" s="39"/>
      <c r="CZ17" s="39"/>
      <c r="DA17" s="39"/>
      <c r="DB17" s="39"/>
      <c r="DC17" s="39"/>
      <c r="DD17" s="39"/>
      <c r="DE17" s="39"/>
      <c r="DF17" s="39"/>
      <c r="DG17" s="39"/>
      <c r="DH17" s="39"/>
      <c r="DI17" s="39"/>
      <c r="DJ17" s="39"/>
      <c r="DK17" s="39"/>
      <c r="DL17" s="39"/>
      <c r="DM17" s="39"/>
      <c r="DN17" s="39"/>
      <c r="DO17" s="39"/>
      <c r="DP17" s="39"/>
      <c r="DQ17" s="39"/>
      <c r="DR17" s="39"/>
      <c r="DS17" s="39"/>
      <c r="DT17" s="39"/>
      <c r="DU17" s="39"/>
      <c r="DV17" s="39"/>
      <c r="DW17" s="39"/>
      <c r="DX17" s="39"/>
      <c r="DY17" s="39"/>
      <c r="DZ17" s="39"/>
      <c r="EA17" s="39"/>
      <c r="EB17" s="39"/>
      <c r="EC17" s="39"/>
      <c r="ED17" s="39"/>
      <c r="EE17" s="39"/>
      <c r="EF17" s="39"/>
      <c r="EG17" s="39"/>
      <c r="EH17" s="39"/>
      <c r="EI17" s="39"/>
      <c r="EJ17" s="39"/>
      <c r="EK17" s="39"/>
      <c r="EL17" s="39"/>
      <c r="EM17" s="39"/>
      <c r="EN17" s="39"/>
      <c r="EO17" s="39"/>
      <c r="EP17" s="39"/>
      <c r="EQ17" s="39"/>
      <c r="ER17" s="39"/>
      <c r="ES17" s="39"/>
      <c r="ET17" s="39"/>
      <c r="EU17" s="39"/>
      <c r="EV17" s="39"/>
      <c r="EW17" s="39"/>
      <c r="EX17" s="39"/>
      <c r="EY17" s="39"/>
      <c r="EZ17" s="39"/>
      <c r="FA17" s="39"/>
      <c r="FB17" s="39"/>
      <c r="FC17" s="39"/>
      <c r="FD17" s="39"/>
      <c r="FE17" s="39"/>
      <c r="FF17" s="39"/>
      <c r="FG17" s="39"/>
      <c r="FH17" s="39"/>
      <c r="FI17" s="39"/>
      <c r="FJ17" s="39"/>
      <c r="FK17" s="39"/>
      <c r="FL17" s="39"/>
      <c r="FM17" s="39"/>
      <c r="FN17" s="39"/>
      <c r="FO17" s="39"/>
      <c r="FP17" s="39"/>
      <c r="FQ17" s="39"/>
      <c r="FR17" s="39"/>
      <c r="FS17" s="39"/>
      <c r="FT17" s="39"/>
      <c r="FU17" s="39"/>
      <c r="FV17" s="39"/>
      <c r="FW17" s="39"/>
      <c r="FX17" s="39"/>
      <c r="FY17" s="39"/>
      <c r="FZ17" s="39"/>
      <c r="GA17" s="39"/>
      <c r="GB17" s="39"/>
      <c r="GC17" s="39"/>
      <c r="GD17" s="39"/>
      <c r="GE17" s="39"/>
      <c r="GF17" s="39"/>
      <c r="GG17" s="39"/>
      <c r="GH17" s="39"/>
      <c r="GI17" s="39"/>
      <c r="GJ17" s="39"/>
      <c r="GK17" s="39"/>
      <c r="GL17" s="39"/>
    </row>
    <row r="18" spans="55:194">
      <c r="BC18" s="39"/>
      <c r="BD18" s="39"/>
      <c r="BE18" s="39"/>
      <c r="BF18" s="39"/>
      <c r="BG18" s="39"/>
      <c r="BH18" s="39"/>
      <c r="BI18" s="39"/>
      <c r="BJ18" s="39"/>
      <c r="BK18" s="39"/>
      <c r="BL18" s="39"/>
      <c r="BM18" s="39"/>
      <c r="BN18" s="39"/>
      <c r="BO18" s="39"/>
      <c r="BP18" s="39"/>
      <c r="BQ18" s="39"/>
      <c r="BR18" s="39"/>
      <c r="BS18" s="39"/>
      <c r="BT18" s="39"/>
      <c r="BU18" s="39"/>
      <c r="BV18" s="39"/>
      <c r="BW18" s="39"/>
      <c r="BX18" s="39"/>
      <c r="BY18" s="39"/>
      <c r="BZ18" s="39"/>
      <c r="CA18" s="39"/>
      <c r="CB18" s="39"/>
      <c r="CC18" s="39"/>
      <c r="CD18" s="39"/>
      <c r="CE18" s="39"/>
      <c r="CF18" s="39"/>
      <c r="CG18" s="39"/>
      <c r="CH18" s="39"/>
      <c r="CI18" s="39"/>
      <c r="CJ18" s="39"/>
      <c r="CK18" s="39"/>
      <c r="CL18" s="39"/>
      <c r="CM18" s="39"/>
      <c r="CN18" s="39"/>
      <c r="CO18" s="39"/>
      <c r="CP18" s="39"/>
      <c r="CQ18" s="39"/>
      <c r="CR18" s="39"/>
      <c r="CS18" s="39"/>
      <c r="CT18" s="39"/>
      <c r="CU18" s="39"/>
      <c r="CV18" s="39"/>
      <c r="CW18" s="39"/>
      <c r="CX18" s="39"/>
      <c r="CY18" s="39"/>
      <c r="CZ18" s="39"/>
      <c r="DA18" s="39"/>
      <c r="DB18" s="39"/>
      <c r="DC18" s="39"/>
      <c r="DD18" s="39"/>
      <c r="DE18" s="39"/>
      <c r="DF18" s="39"/>
      <c r="DG18" s="39"/>
      <c r="DH18" s="39"/>
      <c r="DI18" s="39"/>
      <c r="DJ18" s="39"/>
      <c r="DK18" s="39"/>
      <c r="DL18" s="39"/>
      <c r="DM18" s="39"/>
      <c r="DN18" s="39"/>
      <c r="DO18" s="39"/>
      <c r="DP18" s="39"/>
      <c r="DQ18" s="39"/>
      <c r="DR18" s="39"/>
      <c r="DS18" s="39"/>
      <c r="DT18" s="39"/>
      <c r="DU18" s="39"/>
      <c r="DV18" s="39"/>
      <c r="DW18" s="39"/>
      <c r="DX18" s="39"/>
      <c r="DY18" s="39"/>
      <c r="DZ18" s="39"/>
      <c r="EA18" s="39"/>
      <c r="EB18" s="39"/>
      <c r="EC18" s="39"/>
      <c r="ED18" s="39"/>
      <c r="EE18" s="39"/>
      <c r="EF18" s="39"/>
      <c r="EG18" s="39"/>
      <c r="EH18" s="39"/>
      <c r="EI18" s="39"/>
      <c r="EJ18" s="39"/>
      <c r="EK18" s="39"/>
      <c r="EL18" s="39"/>
      <c r="EM18" s="39"/>
      <c r="EN18" s="39"/>
      <c r="EO18" s="39"/>
      <c r="EP18" s="39"/>
      <c r="EQ18" s="39"/>
      <c r="ER18" s="39"/>
      <c r="ES18" s="39"/>
      <c r="ET18" s="39"/>
      <c r="EU18" s="39"/>
      <c r="EV18" s="39"/>
      <c r="EW18" s="39"/>
      <c r="EX18" s="39"/>
      <c r="EY18" s="39"/>
      <c r="EZ18" s="39"/>
      <c r="FA18" s="39"/>
      <c r="FB18" s="39"/>
      <c r="FC18" s="39"/>
      <c r="FD18" s="39"/>
      <c r="FE18" s="39"/>
      <c r="FF18" s="39"/>
      <c r="FG18" s="39"/>
      <c r="FH18" s="39"/>
      <c r="FI18" s="39"/>
      <c r="FJ18" s="39"/>
      <c r="FK18" s="39"/>
      <c r="FL18" s="39"/>
      <c r="FM18" s="39"/>
      <c r="FN18" s="39"/>
      <c r="FO18" s="39"/>
      <c r="FP18" s="39"/>
      <c r="FQ18" s="39"/>
      <c r="FR18" s="39"/>
      <c r="FS18" s="39"/>
      <c r="FT18" s="39"/>
      <c r="FU18" s="39"/>
      <c r="FV18" s="39"/>
      <c r="FW18" s="39"/>
      <c r="FX18" s="39"/>
      <c r="FY18" s="39"/>
      <c r="FZ18" s="39"/>
      <c r="GA18" s="39"/>
      <c r="GB18" s="39"/>
      <c r="GC18" s="39"/>
      <c r="GD18" s="39"/>
      <c r="GE18" s="39"/>
      <c r="GF18" s="39"/>
      <c r="GG18" s="39"/>
      <c r="GH18" s="39"/>
      <c r="GI18" s="39"/>
      <c r="GJ18" s="39"/>
      <c r="GK18" s="39"/>
      <c r="GL18" s="39"/>
    </row>
    <row r="19" spans="55:194">
      <c r="BC19" s="39"/>
      <c r="BD19" s="39"/>
      <c r="BE19" s="39"/>
      <c r="BF19" s="39"/>
      <c r="BG19" s="39"/>
      <c r="BH19" s="39"/>
      <c r="BI19" s="39"/>
      <c r="BJ19" s="39"/>
      <c r="BK19" s="39"/>
      <c r="BL19" s="39"/>
      <c r="BM19" s="39"/>
      <c r="BN19" s="39"/>
      <c r="BO19" s="39"/>
      <c r="BP19" s="39"/>
      <c r="BQ19" s="39"/>
      <c r="BR19" s="39"/>
      <c r="BS19" s="39"/>
      <c r="BT19" s="39"/>
      <c r="BU19" s="39"/>
      <c r="BV19" s="39"/>
      <c r="BW19" s="39"/>
      <c r="BX19" s="39"/>
      <c r="BY19" s="39"/>
      <c r="BZ19" s="39"/>
      <c r="CA19" s="39"/>
      <c r="CB19" s="39"/>
      <c r="CC19" s="39"/>
      <c r="CD19" s="39"/>
      <c r="CE19" s="39"/>
      <c r="CF19" s="39"/>
      <c r="CG19" s="39"/>
      <c r="CH19" s="39"/>
      <c r="CI19" s="39"/>
      <c r="CJ19" s="39"/>
      <c r="CK19" s="39"/>
      <c r="CL19" s="39"/>
      <c r="CM19" s="39"/>
      <c r="CN19" s="39"/>
      <c r="CO19" s="39"/>
      <c r="CP19" s="39"/>
      <c r="CQ19" s="39"/>
      <c r="CR19" s="39"/>
      <c r="CS19" s="39"/>
      <c r="CT19" s="39"/>
      <c r="CU19" s="39"/>
      <c r="CV19" s="39"/>
      <c r="CW19" s="39"/>
      <c r="CX19" s="39"/>
      <c r="CY19" s="39"/>
      <c r="CZ19" s="39"/>
      <c r="DA19" s="39"/>
      <c r="DB19" s="39"/>
      <c r="DC19" s="39"/>
      <c r="DD19" s="39"/>
      <c r="DE19" s="39"/>
      <c r="DF19" s="39"/>
      <c r="DG19" s="39"/>
      <c r="DH19" s="39"/>
      <c r="DI19" s="39"/>
      <c r="DJ19" s="39"/>
      <c r="DK19" s="39"/>
      <c r="DL19" s="39"/>
      <c r="DM19" s="39"/>
      <c r="DN19" s="39"/>
      <c r="DO19" s="39"/>
      <c r="DP19" s="39"/>
      <c r="DQ19" s="39"/>
      <c r="DR19" s="39"/>
      <c r="DS19" s="39"/>
      <c r="DT19" s="39"/>
      <c r="DU19" s="39"/>
      <c r="DV19" s="39"/>
      <c r="DW19" s="39"/>
      <c r="DX19" s="39"/>
      <c r="DY19" s="39"/>
      <c r="DZ19" s="39"/>
      <c r="EA19" s="39"/>
      <c r="EB19" s="39"/>
      <c r="EC19" s="39"/>
      <c r="ED19" s="39"/>
      <c r="EE19" s="39"/>
      <c r="EF19" s="39"/>
      <c r="EG19" s="39"/>
      <c r="EH19" s="39"/>
      <c r="EI19" s="39"/>
      <c r="EJ19" s="39"/>
      <c r="EK19" s="39"/>
      <c r="EL19" s="39"/>
      <c r="EM19" s="39"/>
      <c r="EN19" s="39"/>
      <c r="EO19" s="39"/>
      <c r="EP19" s="39"/>
      <c r="EQ19" s="39"/>
      <c r="ER19" s="39"/>
      <c r="ES19" s="39"/>
      <c r="ET19" s="39"/>
      <c r="EU19" s="39"/>
      <c r="EV19" s="39"/>
      <c r="EW19" s="39"/>
      <c r="EX19" s="39"/>
      <c r="EY19" s="39"/>
      <c r="EZ19" s="39"/>
      <c r="FA19" s="39"/>
      <c r="FB19" s="39"/>
      <c r="FC19" s="39"/>
      <c r="FD19" s="39"/>
      <c r="FE19" s="39"/>
      <c r="FF19" s="39"/>
      <c r="FG19" s="39"/>
      <c r="FH19" s="39"/>
      <c r="FI19" s="39"/>
      <c r="FJ19" s="39"/>
      <c r="FK19" s="39"/>
      <c r="FL19" s="39"/>
      <c r="FM19" s="39"/>
      <c r="FN19" s="39"/>
      <c r="FO19" s="39"/>
      <c r="FP19" s="39"/>
      <c r="FQ19" s="39"/>
      <c r="FR19" s="39"/>
      <c r="FS19" s="39"/>
      <c r="FT19" s="39"/>
      <c r="FU19" s="39"/>
      <c r="FV19" s="39"/>
      <c r="FW19" s="39"/>
      <c r="FX19" s="39"/>
      <c r="FY19" s="39"/>
      <c r="FZ19" s="39"/>
      <c r="GA19" s="39"/>
      <c r="GB19" s="39"/>
      <c r="GC19" s="39"/>
      <c r="GD19" s="39"/>
      <c r="GE19" s="39"/>
      <c r="GF19" s="39"/>
      <c r="GG19" s="39"/>
      <c r="GH19" s="39"/>
      <c r="GI19" s="39"/>
      <c r="GJ19" s="39"/>
      <c r="GK19" s="39"/>
      <c r="GL19" s="39"/>
    </row>
  </sheetData>
  <sheetProtection selectLockedCells="1" selectUnlockedCells="1"/>
  <autoFilter ref="A5:AN6">
    <filterColumn colId="34" showButton="0"/>
    <filterColumn colId="38"/>
    <sortState ref="A8:AN94">
      <sortCondition ref="B5:B94"/>
    </sortState>
  </autoFilter>
  <mergeCells count="36">
    <mergeCell ref="AH5:AH6"/>
    <mergeCell ref="AI5:AJ5"/>
    <mergeCell ref="AK5:AK6"/>
    <mergeCell ref="AL5:AL6"/>
    <mergeCell ref="AN5:AN6"/>
    <mergeCell ref="A8:B8"/>
    <mergeCell ref="AA5:AA6"/>
    <mergeCell ref="AB5:AB6"/>
    <mergeCell ref="AC5:AC6"/>
    <mergeCell ref="AD5:AD6"/>
    <mergeCell ref="N5:N6"/>
    <mergeCell ref="O5:O6"/>
    <mergeCell ref="P5:P6"/>
    <mergeCell ref="Q5:Q6"/>
    <mergeCell ref="R5:R6"/>
    <mergeCell ref="T5:T6"/>
    <mergeCell ref="G5:G6"/>
    <mergeCell ref="H5:H6"/>
    <mergeCell ref="I5:I6"/>
    <mergeCell ref="J5:J6"/>
    <mergeCell ref="K5:K6"/>
    <mergeCell ref="AE5:AE6"/>
    <mergeCell ref="AF5:AF6"/>
    <mergeCell ref="U5:U6"/>
    <mergeCell ref="V5:V6"/>
    <mergeCell ref="W5:W6"/>
    <mergeCell ref="X5:X6"/>
    <mergeCell ref="Y5:Y6"/>
    <mergeCell ref="Z5:Z6"/>
    <mergeCell ref="L5:L6"/>
    <mergeCell ref="A5:A6"/>
    <mergeCell ref="B5:B6"/>
    <mergeCell ref="C5:C6"/>
    <mergeCell ref="D5:D6"/>
    <mergeCell ref="E5:E6"/>
    <mergeCell ref="F5:F6"/>
  </mergeCells>
  <pageMargins left="0.32708333333333334" right="8.4027777777777785E-2" top="0.29097222222222224" bottom="0.35277777777777775" header="2.5694444444444443E-2" footer="8.7499999999999994E-2"/>
  <pageSetup scale="42" orientation="portrait" useFirstPageNumber="1" horizontalDpi="300" verticalDpi="300" r:id="rId1"/>
  <headerFooter alignWithMargins="0">
    <oddHeader>&amp;C&amp;"Times New Roman,Normal"&amp;12&amp;A</oddHeader>
    <oddFooter>&amp;C&amp;"Times New Roman,Normal"&amp;12Página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FORMATO NOMINA COM</vt:lpstr>
      <vt:lpstr>FORMATO NOMINA</vt:lpstr>
      <vt:lpstr>descuentos</vt:lpstr>
      <vt:lpstr>INFONAVIT</vt:lpstr>
      <vt:lpstr>COMPLEMENTO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Humanos</dc:creator>
  <cp:lastModifiedBy>usuario</cp:lastModifiedBy>
  <cp:lastPrinted>2016-02-12T20:59:22Z</cp:lastPrinted>
  <dcterms:created xsi:type="dcterms:W3CDTF">2015-07-23T15:19:36Z</dcterms:created>
  <dcterms:modified xsi:type="dcterms:W3CDTF">2016-04-18T16:43:23Z</dcterms:modified>
</cp:coreProperties>
</file>