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COM'!$A$5:$AM$96</definedName>
  </definedNames>
  <calcPr calcId="124519"/>
</workbook>
</file>

<file path=xl/calcChain.xml><?xml version="1.0" encoding="utf-8"?>
<calcChain xmlns="http://schemas.openxmlformats.org/spreadsheetml/2006/main">
  <c r="L101" i="4"/>
  <c r="L102"/>
  <c r="L57"/>
  <c r="L47"/>
  <c r="L92"/>
  <c r="L83"/>
  <c r="L82"/>
  <c r="L74"/>
  <c r="L78"/>
  <c r="L72"/>
  <c r="L71"/>
  <c r="L65"/>
  <c r="L64"/>
  <c r="L62"/>
  <c r="L49"/>
  <c r="L46"/>
  <c r="L31"/>
  <c r="L30"/>
  <c r="L22"/>
  <c r="L20"/>
  <c r="L15"/>
  <c r="L9"/>
  <c r="L63" l="1"/>
  <c r="L67"/>
  <c r="L70"/>
  <c r="L27"/>
  <c r="L50"/>
  <c r="L95"/>
  <c r="L25"/>
  <c r="L87"/>
  <c r="L84"/>
  <c r="L88"/>
  <c r="L69"/>
  <c r="L10"/>
  <c r="L40"/>
  <c r="L12"/>
  <c r="L77"/>
  <c r="L51"/>
  <c r="K52"/>
  <c r="AG39" l="1"/>
  <c r="Q39"/>
  <c r="AG86"/>
  <c r="K86"/>
  <c r="Q86" s="1"/>
  <c r="AE86" s="1"/>
  <c r="AG48"/>
  <c r="Q38"/>
  <c r="AE38" s="1"/>
  <c r="AC86" l="1"/>
  <c r="AE39"/>
  <c r="AH39" s="1"/>
  <c r="AC39"/>
  <c r="AB39"/>
  <c r="AB38"/>
  <c r="AB86"/>
  <c r="AH86"/>
  <c r="AD86" l="1"/>
  <c r="AK86" s="1"/>
  <c r="AD39"/>
  <c r="AK39" s="1"/>
  <c r="K48" l="1"/>
  <c r="Q48" s="1"/>
  <c r="AE48" l="1"/>
  <c r="AH48" s="1"/>
  <c r="AC48"/>
  <c r="AB48"/>
  <c r="K10"/>
  <c r="AD48" l="1"/>
  <c r="K33"/>
  <c r="AK96"/>
  <c r="Q9" i="5" l="1"/>
  <c r="V9" s="1"/>
  <c r="AG33" i="4"/>
  <c r="Q33"/>
  <c r="AE33" l="1"/>
  <c r="AH33" s="1"/>
  <c r="AB33"/>
  <c r="U9" i="5"/>
  <c r="AB9"/>
  <c r="AC33" i="4"/>
  <c r="AD33" l="1"/>
  <c r="AK33" s="1"/>
  <c r="AE9" i="5"/>
  <c r="AH9" s="1"/>
  <c r="AH10" s="1"/>
  <c r="AC9"/>
  <c r="AD9"/>
  <c r="AH11" l="1"/>
  <c r="AH12" s="1"/>
  <c r="AH7" l="1"/>
  <c r="AH8" s="1"/>
  <c r="AH14" s="1"/>
  <c r="Q96" i="4" l="1"/>
  <c r="AC96" s="1"/>
  <c r="K58"/>
  <c r="Q58" s="1"/>
  <c r="K75"/>
  <c r="Q75" s="1"/>
  <c r="AC75" s="1"/>
  <c r="AG75"/>
  <c r="AG58"/>
  <c r="AB58" l="1"/>
  <c r="AC58"/>
  <c r="AE58"/>
  <c r="AH58" s="1"/>
  <c r="AE75"/>
  <c r="AH75" s="1"/>
  <c r="AB75"/>
  <c r="AD58" l="1"/>
  <c r="AK58" s="1"/>
  <c r="AD75"/>
  <c r="AK75" s="1"/>
  <c r="AG68"/>
  <c r="AG36"/>
  <c r="AG24"/>
  <c r="AG18"/>
  <c r="AG57" l="1"/>
  <c r="AA85"/>
  <c r="AG59" l="1"/>
  <c r="Q59"/>
  <c r="AC59" s="1"/>
  <c r="AE59" l="1"/>
  <c r="AH59" s="1"/>
  <c r="AB59"/>
  <c r="K72"/>
  <c r="Q72" s="1"/>
  <c r="AC72" s="1"/>
  <c r="K68"/>
  <c r="Q68" s="1"/>
  <c r="AC68" s="1"/>
  <c r="K36"/>
  <c r="Q36" s="1"/>
  <c r="AC36" s="1"/>
  <c r="AD59" l="1"/>
  <c r="AK59" s="1"/>
  <c r="AB68"/>
  <c r="AE68"/>
  <c r="AH68" s="1"/>
  <c r="AB36"/>
  <c r="AD36" s="1"/>
  <c r="AK36" s="1"/>
  <c r="AE36"/>
  <c r="AH36" s="1"/>
  <c r="K24"/>
  <c r="Q24" s="1"/>
  <c r="AC24" s="1"/>
  <c r="K18"/>
  <c r="Q18" s="1"/>
  <c r="AC18" s="1"/>
  <c r="AG96"/>
  <c r="AG60"/>
  <c r="AG38"/>
  <c r="AH38" s="1"/>
  <c r="AG89"/>
  <c r="AG73"/>
  <c r="AG95"/>
  <c r="AG93"/>
  <c r="AG94"/>
  <c r="AG91"/>
  <c r="AG90"/>
  <c r="AG88"/>
  <c r="AG87"/>
  <c r="AG85"/>
  <c r="AG84"/>
  <c r="AG81"/>
  <c r="AG80"/>
  <c r="AG79"/>
  <c r="AG78"/>
  <c r="AG77"/>
  <c r="AG76"/>
  <c r="AG70"/>
  <c r="AG69"/>
  <c r="AG67"/>
  <c r="AG66"/>
  <c r="AG63"/>
  <c r="AG61"/>
  <c r="AG56"/>
  <c r="AG55"/>
  <c r="AG54"/>
  <c r="AG53"/>
  <c r="AG51"/>
  <c r="AG50"/>
  <c r="AG52"/>
  <c r="AG45"/>
  <c r="AG44"/>
  <c r="AG43"/>
  <c r="AG42"/>
  <c r="AG41"/>
  <c r="AG40"/>
  <c r="AG37"/>
  <c r="AG35"/>
  <c r="AG34"/>
  <c r="AG32"/>
  <c r="AG29"/>
  <c r="AG28"/>
  <c r="AG27"/>
  <c r="AG26"/>
  <c r="AG25"/>
  <c r="AG23"/>
  <c r="AG21"/>
  <c r="AG19"/>
  <c r="AG17"/>
  <c r="AG16"/>
  <c r="AG13"/>
  <c r="AG14"/>
  <c r="AG12"/>
  <c r="AG11"/>
  <c r="AG10"/>
  <c r="AG8"/>
  <c r="AG7"/>
  <c r="AD68" l="1"/>
  <c r="AK68" s="1"/>
  <c r="AE18"/>
  <c r="AH18" s="1"/>
  <c r="AB18"/>
  <c r="AE24"/>
  <c r="AH24" s="1"/>
  <c r="AB24"/>
  <c r="U72"/>
  <c r="AG72" s="1"/>
  <c r="AE72"/>
  <c r="V72"/>
  <c r="K60"/>
  <c r="Q60" s="1"/>
  <c r="AC60" s="1"/>
  <c r="AD24" l="1"/>
  <c r="AK24" s="1"/>
  <c r="AD18"/>
  <c r="AK18" s="1"/>
  <c r="AH72"/>
  <c r="AB72"/>
  <c r="AD72" s="1"/>
  <c r="AK72" s="1"/>
  <c r="AE60"/>
  <c r="AH60" s="1"/>
  <c r="AB60"/>
  <c r="AE96"/>
  <c r="AH96" s="1"/>
  <c r="K57"/>
  <c r="Q57" s="1"/>
  <c r="AC57" s="1"/>
  <c r="K70"/>
  <c r="Q70" s="1"/>
  <c r="AC70" s="1"/>
  <c r="AD60" l="1"/>
  <c r="AK60" s="1"/>
  <c r="AE57"/>
  <c r="AH57" s="1"/>
  <c r="AB57"/>
  <c r="AE70"/>
  <c r="AH70" s="1"/>
  <c r="AF98"/>
  <c r="AB70"/>
  <c r="Q102"/>
  <c r="AB102" s="1"/>
  <c r="AD102" s="1"/>
  <c r="Q101"/>
  <c r="AJ98"/>
  <c r="AI98"/>
  <c r="X98"/>
  <c r="W98"/>
  <c r="R98"/>
  <c r="P98"/>
  <c r="O98"/>
  <c r="N98"/>
  <c r="AC38"/>
  <c r="AD38" s="1"/>
  <c r="K89"/>
  <c r="Q89" s="1"/>
  <c r="AC89" s="1"/>
  <c r="K73"/>
  <c r="K95"/>
  <c r="Q95" s="1"/>
  <c r="AC95" s="1"/>
  <c r="K93"/>
  <c r="K94"/>
  <c r="Q94" s="1"/>
  <c r="AC94" s="1"/>
  <c r="K92"/>
  <c r="Q92" s="1"/>
  <c r="AC92" s="1"/>
  <c r="K91"/>
  <c r="Q91" s="1"/>
  <c r="AC91" s="1"/>
  <c r="K90"/>
  <c r="K88"/>
  <c r="Q88" s="1"/>
  <c r="AC88" s="1"/>
  <c r="K87"/>
  <c r="Q87" s="1"/>
  <c r="AC87" s="1"/>
  <c r="K85"/>
  <c r="Q85" s="1"/>
  <c r="AC85" s="1"/>
  <c r="K84"/>
  <c r="Q84" s="1"/>
  <c r="AC84" s="1"/>
  <c r="Q83"/>
  <c r="AC83" s="1"/>
  <c r="K82"/>
  <c r="Q82" s="1"/>
  <c r="AC82" s="1"/>
  <c r="K81"/>
  <c r="Q81" s="1"/>
  <c r="AC81" s="1"/>
  <c r="K80"/>
  <c r="Q80" s="1"/>
  <c r="AC80" s="1"/>
  <c r="K79"/>
  <c r="Q79" s="1"/>
  <c r="AC79" s="1"/>
  <c r="K78"/>
  <c r="Q78" s="1"/>
  <c r="AC78" s="1"/>
  <c r="K77"/>
  <c r="Q77" s="1"/>
  <c r="AC77" s="1"/>
  <c r="K76"/>
  <c r="Q76" s="1"/>
  <c r="AC76" s="1"/>
  <c r="K74"/>
  <c r="Q74" s="1"/>
  <c r="AC74" s="1"/>
  <c r="Q71"/>
  <c r="AC71" s="1"/>
  <c r="K69"/>
  <c r="Q69" s="1"/>
  <c r="AC69" s="1"/>
  <c r="K67"/>
  <c r="Q67" s="1"/>
  <c r="AC67" s="1"/>
  <c r="K66"/>
  <c r="Q66" s="1"/>
  <c r="AC66" s="1"/>
  <c r="K65"/>
  <c r="Q65" s="1"/>
  <c r="AC65" s="1"/>
  <c r="K64"/>
  <c r="Q64" s="1"/>
  <c r="AC64" s="1"/>
  <c r="K63"/>
  <c r="Q63" s="1"/>
  <c r="AC63" s="1"/>
  <c r="K62"/>
  <c r="Q62" s="1"/>
  <c r="AC62" s="1"/>
  <c r="K61"/>
  <c r="Q61" s="1"/>
  <c r="AC61" s="1"/>
  <c r="K56"/>
  <c r="Q56" s="1"/>
  <c r="AC56" s="1"/>
  <c r="K55"/>
  <c r="Q55" s="1"/>
  <c r="AC55" s="1"/>
  <c r="K54"/>
  <c r="Q54" s="1"/>
  <c r="AC54" s="1"/>
  <c r="K53"/>
  <c r="Q53" s="1"/>
  <c r="AC53" s="1"/>
  <c r="K51"/>
  <c r="Q51" s="1"/>
  <c r="AC51" s="1"/>
  <c r="K50"/>
  <c r="Q50" s="1"/>
  <c r="AC50" s="1"/>
  <c r="K49"/>
  <c r="Q49" s="1"/>
  <c r="AC49" s="1"/>
  <c r="K47"/>
  <c r="Q47" s="1"/>
  <c r="AC47" s="1"/>
  <c r="K46"/>
  <c r="Q46" s="1"/>
  <c r="AC46" s="1"/>
  <c r="Q52"/>
  <c r="AC52" s="1"/>
  <c r="K45"/>
  <c r="Q45" s="1"/>
  <c r="AC45" s="1"/>
  <c r="K44"/>
  <c r="Q44" s="1"/>
  <c r="AC44" s="1"/>
  <c r="K43"/>
  <c r="Q43" s="1"/>
  <c r="AC43" s="1"/>
  <c r="K42"/>
  <c r="Q42" s="1"/>
  <c r="AC42" s="1"/>
  <c r="K41"/>
  <c r="Q41" s="1"/>
  <c r="AC41" s="1"/>
  <c r="K40"/>
  <c r="Q40" s="1"/>
  <c r="AC40" s="1"/>
  <c r="K37"/>
  <c r="K35"/>
  <c r="K34"/>
  <c r="Q34" s="1"/>
  <c r="AC34" s="1"/>
  <c r="K32"/>
  <c r="Q32" s="1"/>
  <c r="AC32" s="1"/>
  <c r="K31"/>
  <c r="Q31" s="1"/>
  <c r="AC31" s="1"/>
  <c r="K30"/>
  <c r="Q30" s="1"/>
  <c r="AC30" s="1"/>
  <c r="K29"/>
  <c r="K28"/>
  <c r="Q28" s="1"/>
  <c r="AC28" s="1"/>
  <c r="K27"/>
  <c r="Q27" s="1"/>
  <c r="AC27" s="1"/>
  <c r="K26"/>
  <c r="Q26" s="1"/>
  <c r="AC26" s="1"/>
  <c r="K25"/>
  <c r="Q25" s="1"/>
  <c r="AC25" s="1"/>
  <c r="AA23"/>
  <c r="K23"/>
  <c r="Q23" s="1"/>
  <c r="AC23" s="1"/>
  <c r="K22"/>
  <c r="Q22" s="1"/>
  <c r="AC22" s="1"/>
  <c r="K21"/>
  <c r="Q21" s="1"/>
  <c r="AC21" s="1"/>
  <c r="K20"/>
  <c r="Q20" s="1"/>
  <c r="AC20" s="1"/>
  <c r="K19"/>
  <c r="Q19" s="1"/>
  <c r="AC19" s="1"/>
  <c r="K17"/>
  <c r="K16"/>
  <c r="Q16" s="1"/>
  <c r="AC16" s="1"/>
  <c r="K15"/>
  <c r="Q15" s="1"/>
  <c r="AC15" s="1"/>
  <c r="K13"/>
  <c r="K14"/>
  <c r="Q14" s="1"/>
  <c r="AC14" s="1"/>
  <c r="K12"/>
  <c r="Q12" s="1"/>
  <c r="AC12" s="1"/>
  <c r="K11"/>
  <c r="Q11" s="1"/>
  <c r="AC11" s="1"/>
  <c r="Q10"/>
  <c r="AC10" s="1"/>
  <c r="K9"/>
  <c r="Q9" s="1"/>
  <c r="AC9" s="1"/>
  <c r="K8"/>
  <c r="Q8" s="1"/>
  <c r="AC8" s="1"/>
  <c r="K7"/>
  <c r="Q35" l="1"/>
  <c r="AC35" s="1"/>
  <c r="Q90"/>
  <c r="AC90" s="1"/>
  <c r="Q93"/>
  <c r="AC93" s="1"/>
  <c r="Q73"/>
  <c r="AC73" s="1"/>
  <c r="Q37"/>
  <c r="AC37" s="1"/>
  <c r="Q17"/>
  <c r="AC17" s="1"/>
  <c r="Q13"/>
  <c r="AE13" s="1"/>
  <c r="AH13" s="1"/>
  <c r="AB101"/>
  <c r="V101"/>
  <c r="U101"/>
  <c r="Y98"/>
  <c r="Q29"/>
  <c r="AC29" s="1"/>
  <c r="AD57"/>
  <c r="AK57" s="1"/>
  <c r="AD70"/>
  <c r="AK70" s="1"/>
  <c r="V47"/>
  <c r="U47"/>
  <c r="AG47" s="1"/>
  <c r="AE10"/>
  <c r="AH10" s="1"/>
  <c r="AE14"/>
  <c r="AH14" s="1"/>
  <c r="AE16"/>
  <c r="AH16" s="1"/>
  <c r="AE21"/>
  <c r="AH21" s="1"/>
  <c r="AE28"/>
  <c r="AH28" s="1"/>
  <c r="AE32"/>
  <c r="AH32" s="1"/>
  <c r="AE43"/>
  <c r="AH43" s="1"/>
  <c r="AE52"/>
  <c r="AH52" s="1"/>
  <c r="AE50"/>
  <c r="AH50" s="1"/>
  <c r="AE55"/>
  <c r="AH55" s="1"/>
  <c r="AE62"/>
  <c r="AE66"/>
  <c r="AH66" s="1"/>
  <c r="AE85"/>
  <c r="AH85" s="1"/>
  <c r="AE88"/>
  <c r="AH88" s="1"/>
  <c r="AE94"/>
  <c r="AH94" s="1"/>
  <c r="AE89"/>
  <c r="AH89" s="1"/>
  <c r="AE22"/>
  <c r="AE25"/>
  <c r="AH25" s="1"/>
  <c r="AE40"/>
  <c r="AH40" s="1"/>
  <c r="AE46"/>
  <c r="AE51"/>
  <c r="AH51" s="1"/>
  <c r="AE56"/>
  <c r="AH56" s="1"/>
  <c r="AE63"/>
  <c r="AH63" s="1"/>
  <c r="AB67"/>
  <c r="AE67"/>
  <c r="AH67" s="1"/>
  <c r="AE74"/>
  <c r="AE82"/>
  <c r="AE8"/>
  <c r="AH8" s="1"/>
  <c r="AE11"/>
  <c r="AH11" s="1"/>
  <c r="AE15"/>
  <c r="AB19"/>
  <c r="AE19"/>
  <c r="AH19" s="1"/>
  <c r="AE26"/>
  <c r="AH26" s="1"/>
  <c r="U30"/>
  <c r="AG30" s="1"/>
  <c r="AE30"/>
  <c r="AE34"/>
  <c r="AH34" s="1"/>
  <c r="AE47"/>
  <c r="AE53"/>
  <c r="AH53" s="1"/>
  <c r="AE64"/>
  <c r="AE69"/>
  <c r="AH69" s="1"/>
  <c r="AE76"/>
  <c r="AH76" s="1"/>
  <c r="AE79"/>
  <c r="AH79" s="1"/>
  <c r="V83"/>
  <c r="AE83"/>
  <c r="AE91"/>
  <c r="AH91" s="1"/>
  <c r="AE95"/>
  <c r="AH95" s="1"/>
  <c r="AE9"/>
  <c r="AE12"/>
  <c r="AH12" s="1"/>
  <c r="AE20"/>
  <c r="AE27"/>
  <c r="AH27" s="1"/>
  <c r="AE31"/>
  <c r="V49"/>
  <c r="AE49"/>
  <c r="AE61"/>
  <c r="AH61" s="1"/>
  <c r="AE65"/>
  <c r="AE71"/>
  <c r="AE77"/>
  <c r="AH77" s="1"/>
  <c r="AE80"/>
  <c r="AH80" s="1"/>
  <c r="AE84"/>
  <c r="AH84" s="1"/>
  <c r="AE87"/>
  <c r="AH87" s="1"/>
  <c r="AE92"/>
  <c r="Z98"/>
  <c r="AB12"/>
  <c r="AB52"/>
  <c r="AD52" s="1"/>
  <c r="AK52" s="1"/>
  <c r="AB77"/>
  <c r="U20"/>
  <c r="AG20" s="1"/>
  <c r="AB55"/>
  <c r="V20"/>
  <c r="AB63"/>
  <c r="AK38"/>
  <c r="AB11"/>
  <c r="V46"/>
  <c r="AB56"/>
  <c r="AB84"/>
  <c r="AB91"/>
  <c r="AD91" s="1"/>
  <c r="AK91" s="1"/>
  <c r="AB21"/>
  <c r="U49"/>
  <c r="AG49" s="1"/>
  <c r="AB94"/>
  <c r="AD94" s="1"/>
  <c r="AK94" s="1"/>
  <c r="L98"/>
  <c r="U46"/>
  <c r="AG46" s="1"/>
  <c r="AB10"/>
  <c r="AD10" s="1"/>
  <c r="AK10" s="1"/>
  <c r="AB8"/>
  <c r="AB16"/>
  <c r="AD16" s="1"/>
  <c r="AK16" s="1"/>
  <c r="AB40"/>
  <c r="AB50"/>
  <c r="AD50" s="1"/>
  <c r="AK50" s="1"/>
  <c r="K98"/>
  <c r="Q7"/>
  <c r="AC7" s="1"/>
  <c r="V9"/>
  <c r="V15"/>
  <c r="U15"/>
  <c r="AG15" s="1"/>
  <c r="AB26"/>
  <c r="U31"/>
  <c r="AG31" s="1"/>
  <c r="V31"/>
  <c r="T62"/>
  <c r="U62"/>
  <c r="AG62" s="1"/>
  <c r="U71"/>
  <c r="AG71" s="1"/>
  <c r="V71"/>
  <c r="U74"/>
  <c r="AG74" s="1"/>
  <c r="V74"/>
  <c r="AB87"/>
  <c r="AB89"/>
  <c r="U9"/>
  <c r="AG9" s="1"/>
  <c r="AB14"/>
  <c r="AD14" s="1"/>
  <c r="AK14" s="1"/>
  <c r="AB25"/>
  <c r="AD25" s="1"/>
  <c r="AK25" s="1"/>
  <c r="AB88"/>
  <c r="AD101"/>
  <c r="AE101"/>
  <c r="AH101" s="1"/>
  <c r="AC101"/>
  <c r="U22"/>
  <c r="AG22" s="1"/>
  <c r="T22"/>
  <c r="AB61"/>
  <c r="AD61" s="1"/>
  <c r="AK61" s="1"/>
  <c r="AB76"/>
  <c r="AD76" s="1"/>
  <c r="AK76" s="1"/>
  <c r="V64"/>
  <c r="AB27"/>
  <c r="AB29"/>
  <c r="AB32"/>
  <c r="AB53"/>
  <c r="U64"/>
  <c r="AG64" s="1"/>
  <c r="V65"/>
  <c r="U65"/>
  <c r="AG65" s="1"/>
  <c r="AB80"/>
  <c r="U92"/>
  <c r="AG92" s="1"/>
  <c r="AB28"/>
  <c r="AD28" s="1"/>
  <c r="AK28" s="1"/>
  <c r="V30"/>
  <c r="AB34"/>
  <c r="AB43"/>
  <c r="AD43" s="1"/>
  <c r="AK43" s="1"/>
  <c r="V51"/>
  <c r="AB51" s="1"/>
  <c r="AB69"/>
  <c r="AB79"/>
  <c r="U82"/>
  <c r="AG82" s="1"/>
  <c r="V82"/>
  <c r="U83"/>
  <c r="AG83" s="1"/>
  <c r="V92"/>
  <c r="AE102"/>
  <c r="AC102"/>
  <c r="AB66"/>
  <c r="AD66" s="1"/>
  <c r="AK66" s="1"/>
  <c r="AB85"/>
  <c r="AB95"/>
  <c r="AD95" s="1"/>
  <c r="AK95" s="1"/>
  <c r="AA90" l="1"/>
  <c r="AB90" s="1"/>
  <c r="AD90" s="1"/>
  <c r="AK90" s="1"/>
  <c r="AB37"/>
  <c r="AD37" s="1"/>
  <c r="AK37" s="1"/>
  <c r="AE37"/>
  <c r="AH37" s="1"/>
  <c r="AB93"/>
  <c r="AD93" s="1"/>
  <c r="AK93" s="1"/>
  <c r="AE93"/>
  <c r="AH93" s="1"/>
  <c r="AB35"/>
  <c r="AD35" s="1"/>
  <c r="AK35" s="1"/>
  <c r="AE35"/>
  <c r="AH35" s="1"/>
  <c r="AE73"/>
  <c r="AH73" s="1"/>
  <c r="AB73"/>
  <c r="AD73" s="1"/>
  <c r="AK73" s="1"/>
  <c r="AE90"/>
  <c r="AH90" s="1"/>
  <c r="AE17"/>
  <c r="AH17" s="1"/>
  <c r="AB13"/>
  <c r="AC13"/>
  <c r="AD89"/>
  <c r="AK89" s="1"/>
  <c r="AD51"/>
  <c r="AK51" s="1"/>
  <c r="AD19"/>
  <c r="AK19" s="1"/>
  <c r="AD40"/>
  <c r="AK40" s="1"/>
  <c r="AD63"/>
  <c r="AK63" s="1"/>
  <c r="AE29"/>
  <c r="AH29" s="1"/>
  <c r="AD34"/>
  <c r="AK34" s="1"/>
  <c r="AD80"/>
  <c r="AK80" s="1"/>
  <c r="AD53"/>
  <c r="AK53" s="1"/>
  <c r="AD56"/>
  <c r="AK56" s="1"/>
  <c r="AD69"/>
  <c r="AK69" s="1"/>
  <c r="AD21"/>
  <c r="AK21" s="1"/>
  <c r="AD29"/>
  <c r="AK29" s="1"/>
  <c r="AD8"/>
  <c r="AK8" s="1"/>
  <c r="AD67"/>
  <c r="AK67" s="1"/>
  <c r="AD26"/>
  <c r="AK26" s="1"/>
  <c r="AD87"/>
  <c r="AK87" s="1"/>
  <c r="AD55"/>
  <c r="AK55" s="1"/>
  <c r="AD27"/>
  <c r="AK27" s="1"/>
  <c r="AD84"/>
  <c r="AK84" s="1"/>
  <c r="AD88"/>
  <c r="AK88" s="1"/>
  <c r="AD77"/>
  <c r="AK77" s="1"/>
  <c r="AD79"/>
  <c r="AK79" s="1"/>
  <c r="AD11"/>
  <c r="AK11" s="1"/>
  <c r="AD32"/>
  <c r="AK32" s="1"/>
  <c r="AD12"/>
  <c r="AK12" s="1"/>
  <c r="AD85"/>
  <c r="AK85" s="1"/>
  <c r="AH31"/>
  <c r="AH92"/>
  <c r="AH71"/>
  <c r="AH83"/>
  <c r="AH47"/>
  <c r="AH46"/>
  <c r="AH62"/>
  <c r="AH49"/>
  <c r="AH74"/>
  <c r="AH20"/>
  <c r="AH9"/>
  <c r="AH64"/>
  <c r="AH22"/>
  <c r="AH30"/>
  <c r="AH15"/>
  <c r="AH65"/>
  <c r="AH82"/>
  <c r="AG98"/>
  <c r="AB47"/>
  <c r="AD47" s="1"/>
  <c r="AK47" s="1"/>
  <c r="AB49"/>
  <c r="AD49" s="1"/>
  <c r="AK49" s="1"/>
  <c r="AB83"/>
  <c r="AD83" s="1"/>
  <c r="AK83" s="1"/>
  <c r="AE41"/>
  <c r="AH41" s="1"/>
  <c r="AA17"/>
  <c r="AB17" s="1"/>
  <c r="AD17" s="1"/>
  <c r="AB30"/>
  <c r="AD30" s="1"/>
  <c r="AK30" s="1"/>
  <c r="AB42"/>
  <c r="AE42"/>
  <c r="AH42" s="1"/>
  <c r="AE23"/>
  <c r="AH23" s="1"/>
  <c r="AE81"/>
  <c r="AH81" s="1"/>
  <c r="AB45"/>
  <c r="AE45"/>
  <c r="AH45" s="1"/>
  <c r="AB44"/>
  <c r="AE44"/>
  <c r="AH44" s="1"/>
  <c r="AE7"/>
  <c r="AH7" s="1"/>
  <c r="AB54"/>
  <c r="AE54"/>
  <c r="AH54" s="1"/>
  <c r="AB78"/>
  <c r="AE78"/>
  <c r="AH78" s="1"/>
  <c r="AB20"/>
  <c r="AD20" s="1"/>
  <c r="AK20" s="1"/>
  <c r="AB23"/>
  <c r="AB64"/>
  <c r="AD64" s="1"/>
  <c r="AK64" s="1"/>
  <c r="AB65"/>
  <c r="AD65" s="1"/>
  <c r="AK65" s="1"/>
  <c r="AB46"/>
  <c r="AD46" s="1"/>
  <c r="AK46" s="1"/>
  <c r="AB31"/>
  <c r="AD31" s="1"/>
  <c r="AK31" s="1"/>
  <c r="AB15"/>
  <c r="AD15" s="1"/>
  <c r="AK15" s="1"/>
  <c r="T98"/>
  <c r="AB62"/>
  <c r="AD62" s="1"/>
  <c r="AK62" s="1"/>
  <c r="AB74"/>
  <c r="AD74" s="1"/>
  <c r="AK74" s="1"/>
  <c r="AB92"/>
  <c r="AD92" s="1"/>
  <c r="AK92" s="1"/>
  <c r="AB71"/>
  <c r="AD71" s="1"/>
  <c r="AK71" s="1"/>
  <c r="U98"/>
  <c r="V98"/>
  <c r="AB7"/>
  <c r="Q98"/>
  <c r="AB81"/>
  <c r="AB41"/>
  <c r="AB22"/>
  <c r="AD22" s="1"/>
  <c r="AK22" s="1"/>
  <c r="AB9"/>
  <c r="AD9" s="1"/>
  <c r="AK9" s="1"/>
  <c r="AH102"/>
  <c r="AH103" s="1"/>
  <c r="AB82"/>
  <c r="AD82" s="1"/>
  <c r="AK82" s="1"/>
  <c r="AD13" l="1"/>
  <c r="AK13" s="1"/>
  <c r="AD41"/>
  <c r="AK41" s="1"/>
  <c r="AK17"/>
  <c r="AD23"/>
  <c r="AK23" s="1"/>
  <c r="AD44"/>
  <c r="AD42"/>
  <c r="AK42" s="1"/>
  <c r="AD81"/>
  <c r="AK81" s="1"/>
  <c r="AD45"/>
  <c r="AK45" s="1"/>
  <c r="AD54"/>
  <c r="AK54" s="1"/>
  <c r="AD78"/>
  <c r="AK78" s="1"/>
  <c r="AA98"/>
  <c r="AB98"/>
  <c r="AD7"/>
  <c r="AK7" s="1"/>
  <c r="AC98"/>
  <c r="AH98"/>
  <c r="AH104"/>
  <c r="AH105" s="1"/>
  <c r="AE98"/>
  <c r="AK98" l="1"/>
  <c r="AH99"/>
  <c r="AH100" s="1"/>
  <c r="AH107" s="1"/>
  <c r="AD98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<sst xmlns="http://schemas.openxmlformats.org/spreadsheetml/2006/main" count="943" uniqueCount="334">
  <si>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</si>
  <si>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</si>
  <si>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</si>
  <si>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</si>
  <si>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</si>
  <si>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</si>
  <si>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</si>
  <si>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</si>
  <si>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</si>
  <si>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</si>
  <si>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</si>
  <si>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</si>
  <si>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</si>
  <si>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</si>
  <si>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</si>
  <si>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</si>
  <si>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</si>
  <si>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</si>
  <si>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</si>
  <si>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</si>
  <si>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</si>
  <si>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</si>
  <si>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</si>
  <si>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</si>
  <si>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</si>
  <si>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</si>
  <si>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</si>
  <si>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</si>
  <si>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</si>
  <si>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</si>
  <si>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</si>
  <si>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</si>
  <si>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</si>
  <si>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</si>
  <si>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</si>
  <si>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</si>
  <si>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</si>
  <si>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</si>
  <si>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</si>
  <si>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</si>
  <si>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</si>
  <si>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</si>
  <si>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</si>
  <si>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</si>
  <si>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</si>
  <si>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</si>
  <si>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</si>
  <si>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</si>
  <si>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</si>
  <si>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</si>
  <si>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</si>
  <si>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</si>
  <si>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</si>
  <si>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</si>
  <si>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</si>
  <si>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</si>
  <si>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</si>
  <si>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</si>
  <si>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</si>
  <si>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</si>
  <si>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</si>
  <si>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</si>
  <si>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</si>
  <si>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</si>
  <si>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</si>
  <si>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</si>
  <si>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</si>
  <si>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</si>
  <si>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</si>
  <si>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</si>
  <si>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</si>
  <si>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</si>
  <si>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</si>
  <si>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</si>
  <si>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</si>
  <si>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</si>
  <si>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</si>
  <si>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</si>
  <si>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</si>
  <si>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</si>
  <si>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</si>
  <si>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</si>
  <si>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</si>
  <si>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</si>
  <si>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</si>
  <si>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</si>
  <si>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</si>
  <si>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</si>
  <si>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</si>
  <si>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</si>
  <si>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</si>
  <si>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</si>
  <si>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</si>
  <si>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</si>
  <si>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</si>
  <si>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</si>
  <si>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</si>
  <si>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</si>
  <si>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</si>
  <si>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</si>
  <si>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</si>
  <si>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</si>
  <si>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</si>
  <si>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</si>
  <si>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</si>
  <si>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</si>
  <si>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</si>
  <si>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</si>
  <si>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</si>
  <si>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</si>
  <si>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</si>
  <si>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</si>
  <si>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</si>
  <si>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</si>
  <si>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</si>
  <si>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</si>
  <si>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</si>
  <si>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</si>
  <si>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</si>
  <si>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</si>
  <si>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</si>
  <si>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</si>
  <si>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</si>
  <si>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</si>
  <si>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</si>
  <si>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</si>
  <si>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</si>
  <si>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</si>
  <si>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</si>
  <si>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</si>
  <si>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</si>
  <si>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</si>
  <si>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</si>
  <si>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</si>
  <si>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</si>
  <si>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</si>
  <si>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</si>
  <si>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</si>
  <si>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</si>
  <si>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</si>
  <si>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</si>
  <si>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</si>
  <si>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</si>
  <si>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</si>
  <si>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</si>
  <si>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</si>
  <si>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</si>
  <si>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</si>
  <si>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</si>
  <si>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</si>
  <si>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</si>
  <si>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</si>
  <si>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</si>
  <si>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</si>
  <si>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</si>
  <si>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</si>
  <si>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</si>
  <si>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</si>
  <si>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</si>
  <si>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</si>
  <si>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</si>
  <si>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</si>
  <si>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</si>
  <si>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</si>
  <si>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</si>
  <si>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</si>
  <si>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</si>
  <si>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</si>
  <si>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</si>
  <si>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</si>
  <si>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</si>
  <si>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</si>
  <si>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</si>
  <si>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</si>
  <si>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</si>
  <si>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</si>
  <si>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</si>
  <si>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</si>
  <si>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</si>
  <si>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</si>
  <si>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</si>
  <si>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</si>
  <si>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</si>
  <si>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</si>
  <si>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</si>
  <si>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</si>
  <si>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</si>
  <si>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</si>
  <si>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</si>
  <si>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</si>
  <si>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</si>
  <si>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</si>
  <si>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</si>
  <si>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</si>
  <si>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</si>
  <si>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</si>
  <si>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</si>
  <si>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</si>
  <si>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</si>
  <si>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</si>
  <si>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</si>
  <si>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</si>
  <si>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</si>
  <si>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</si>
  <si>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</si>
  <si>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</si>
  <si>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</si>
  <si>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</si>
  <si>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</si>
  <si>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</si>
  <si>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</si>
  <si>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</si>
  <si>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</si>
  <si>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</si>
  <si>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</si>
  <si>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</si>
  <si>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</si>
  <si>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</si>
  <si>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</si>
  <si>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</si>
  <si>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</si>
  <si>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</si>
  <si>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</si>
  <si>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</si>
  <si>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</si>
  <si>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</si>
  <si>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</si>
  <si>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</si>
  <si>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</si>
  <si>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</si>
  <si>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</si>
  <si>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</si>
  <si>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</si>
  <si>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</si>
  <si>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</si>
  <si>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</si>
  <si>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</si>
  <si>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</si>
  <si>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</si>
  <si>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</si>
  <si>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</si>
  <si>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</si>
  <si>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</si>
  <si>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</si>
  <si>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</si>
  <si>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</si>
  <si>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</si>
  <si>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</si>
  <si>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</si>
  <si>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</si>
  <si>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</si>
  <si>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</si>
  <si>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</si>
  <si>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</si>
  <si>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</si>
  <si>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</si>
  <si>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</si>
  <si>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</si>
  <si>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</si>
  <si>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</si>
  <si>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</si>
  <si>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</si>
  <si>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</si>
  <si>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</si>
  <si>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</si>
  <si>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</si>
  <si>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</si>
  <si>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</si>
  <si>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</si>
  <si>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</si>
  <si>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</si>
  <si>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</si>
  <si>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</si>
  <si>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</si>
  <si>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</si>
  <si>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</si>
  <si>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</si>
  <si>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</si>
  <si>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</si>
  <si>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</si>
  <si>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</si>
  <si>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</si>
  <si>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</si>
  <si>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</si>
  <si>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</si>
  <si>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</si>
  <si>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</si>
  <si>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</si>
  <si>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</si>
  <si>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</si>
  <si>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</si>
  <si>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</si>
  <si>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</si>
  <si>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</si>
  <si>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HUGO ZUÑIGA</t>
  </si>
  <si>
    <t>RODRIGUEZ VENTURA CARLOS</t>
  </si>
  <si>
    <t>BRAVO QUINTERO RICARDO ALBERTO</t>
  </si>
  <si>
    <t>CORONEL DE LEON JONATHAN</t>
  </si>
  <si>
    <t>HERNANDEZ BARCENAS JOSE DIEGO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</si>
  <si>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</si>
  <si>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</si>
  <si>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</si>
  <si>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</si>
  <si>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</si>
  <si>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</si>
  <si>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</si>
  <si>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</si>
  <si>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</si>
  <si>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VEGA GARCIA GERARDO</t>
  </si>
  <si>
    <t>BARCENAS COLMENERO JORGE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</si>
  <si>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</si>
  <si>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</si>
  <si>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</si>
  <si>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</si>
  <si>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</si>
  <si>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</si>
  <si>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</si>
  <si>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Cuenta</t>
  </si>
  <si>
    <t>Banorte</t>
  </si>
  <si>
    <t>30/03/2016 AL 05/04/2016</t>
  </si>
  <si>
    <t>Periodo Semana 14</t>
  </si>
  <si>
    <t>Nvo.Ingreso</t>
  </si>
  <si>
    <t>SIFONTES SARDUA DAYAN JESUS</t>
  </si>
  <si>
    <t>Nvo. Ingreso</t>
  </si>
  <si>
    <t>HERNANDEZ CRUZ MIGUEL</t>
  </si>
  <si>
    <t>MARTINEZ GAMIÑO RODRIGO ISAURO</t>
  </si>
  <si>
    <t>Se le descuentan 3 dìas de incapacidad (31/03 al 02/04) ya aplicado.</t>
  </si>
  <si>
    <t>RESENDIZ CRESPO JOSE DAVID</t>
  </si>
  <si>
    <t>Se le descuenta 1 dìa de falta, ya aplicado</t>
  </si>
  <si>
    <t>Se le pagan ùnicamente 4 dìas, ya que a partir del 03/04 comienza su incapacidad</t>
  </si>
  <si>
    <t>Se corrige su base semanal, ya que era incorrecto el monto anterior.</t>
  </si>
  <si>
    <t>CALDERON MARTINEZ MARIO RAUL</t>
  </si>
  <si>
    <t>RIVERA GALLEGOS FRANCISCO ALEJANDRO</t>
  </si>
  <si>
    <t>OLVERA BAUTISTA J. DOLORES GILBERTO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</si>
</sst>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name val="Arial"/>
      <family val="2"/>
    </font>
    <font>
      <sz val="10"/>
      <name val="Calibri   "/>
    </font>
    <font>
      <sz val="11"/>
      <name val="Calibri   "/>
    </font>
    <font>
      <sz val="11"/>
      <name val="Calibri  "/>
    </font>
    <font>
      <sz val="11"/>
      <color rgb="FF000000"/>
      <name val="Calibri  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1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0" fontId="0" fillId="0" borderId="0" xfId="0" applyFill="1"/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" fontId="11" fillId="0" borderId="9" xfId="0" applyNumberFormat="1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2" fontId="11" fillId="0" borderId="9" xfId="0" applyNumberFormat="1" applyFont="1" applyFill="1" applyBorder="1"/>
    <xf numFmtId="14" fontId="11" fillId="0" borderId="9" xfId="0" applyNumberFormat="1" applyFont="1" applyBorder="1"/>
    <xf numFmtId="2" fontId="11" fillId="0" borderId="9" xfId="0" applyNumberFormat="1" applyFont="1" applyBorder="1"/>
    <xf numFmtId="43" fontId="11" fillId="0" borderId="9" xfId="0" applyNumberFormat="1" applyFont="1" applyBorder="1"/>
    <xf numFmtId="4" fontId="11" fillId="0" borderId="9" xfId="0" applyNumberFormat="1" applyFont="1" applyFill="1" applyBorder="1"/>
    <xf numFmtId="0" fontId="15" fillId="0" borderId="9" xfId="0" applyFont="1" applyFill="1" applyBorder="1"/>
    <xf numFmtId="43" fontId="12" fillId="11" borderId="9" xfId="2" applyFont="1" applyFill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6" fillId="8" borderId="2" xfId="2" applyFont="1" applyFill="1" applyBorder="1" applyAlignment="1">
      <alignment horizontal="center" vertical="center" wrapText="1"/>
    </xf>
    <xf numFmtId="43" fontId="17" fillId="0" borderId="0" xfId="2" applyFont="1" applyProtection="1"/>
    <xf numFmtId="43" fontId="17" fillId="0" borderId="0" xfId="2" applyFont="1"/>
    <xf numFmtId="43" fontId="17" fillId="0" borderId="0" xfId="2" applyFont="1" applyFill="1"/>
    <xf numFmtId="43" fontId="17" fillId="0" borderId="9" xfId="2" applyFont="1" applyBorder="1"/>
    <xf numFmtId="43" fontId="17" fillId="3" borderId="9" xfId="2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3" fontId="11" fillId="17" borderId="9" xfId="2" applyFont="1" applyFill="1" applyBorder="1" applyAlignment="1">
      <alignment horizontal="center"/>
    </xf>
    <xf numFmtId="14" fontId="11" fillId="12" borderId="9" xfId="0" applyNumberFormat="1" applyFont="1" applyFill="1" applyBorder="1"/>
    <xf numFmtId="43" fontId="12" fillId="12" borderId="9" xfId="2" applyFont="1" applyFill="1" applyBorder="1"/>
    <xf numFmtId="43" fontId="1" fillId="12" borderId="9" xfId="2" applyFill="1" applyBorder="1"/>
    <xf numFmtId="0" fontId="12" fillId="12" borderId="9" xfId="0" applyFont="1" applyFill="1" applyBorder="1"/>
    <xf numFmtId="0" fontId="11" fillId="12" borderId="0" xfId="0" applyFont="1" applyFill="1"/>
    <xf numFmtId="0" fontId="11" fillId="12" borderId="9" xfId="0" applyFont="1" applyFill="1" applyBorder="1" applyAlignment="1">
      <alignment horizontal="right"/>
    </xf>
    <xf numFmtId="0" fontId="12" fillId="11" borderId="9" xfId="0" applyFont="1" applyFill="1" applyBorder="1"/>
    <xf numFmtId="43" fontId="9" fillId="12" borderId="9" xfId="2" applyFont="1" applyFill="1" applyBorder="1"/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6" fillId="8" borderId="5" xfId="2" applyFont="1" applyFill="1" applyBorder="1" applyAlignment="1">
      <alignment horizontal="center" wrapText="1"/>
    </xf>
    <xf numFmtId="43" fontId="16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43" fontId="18" fillId="11" borderId="9" xfId="2" applyFont="1" applyFill="1" applyBorder="1"/>
    <xf numFmtId="0" fontId="19" fillId="12" borderId="9" xfId="0" applyFont="1" applyFill="1" applyBorder="1"/>
    <xf numFmtId="4" fontId="19" fillId="12" borderId="9" xfId="0" applyNumberFormat="1" applyFont="1" applyFill="1" applyBorder="1"/>
    <xf numFmtId="43" fontId="18" fillId="0" borderId="9" xfId="2" applyFont="1" applyFill="1" applyBorder="1"/>
    <xf numFmtId="0" fontId="19" fillId="0" borderId="9" xfId="0" applyFont="1" applyBorder="1"/>
    <xf numFmtId="4" fontId="19" fillId="0" borderId="9" xfId="0" applyNumberFormat="1" applyFont="1" applyBorder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9999FF"/>
      <color rgb="FFFF00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5"/>
  <sheetViews>
    <sheetView tabSelected="1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K13" sqref="AK1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66" customWidth="1"/>
    <col min="36" max="36" width="12.7109375" style="166" bestFit="1" customWidth="1"/>
    <col min="37" max="37" width="11.5703125" style="4" customWidth="1"/>
    <col min="38" max="38" width="13.85546875" style="41" customWidth="1"/>
    <col min="39" max="39" width="73.4257812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65"/>
      <c r="AJ1" s="165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65"/>
      <c r="AJ2" s="165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320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65"/>
      <c r="AJ3" s="165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319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66"/>
      <c r="AJ4" s="166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185" t="s">
        <v>39</v>
      </c>
      <c r="B5" s="187" t="s">
        <v>40</v>
      </c>
      <c r="C5" s="185" t="s">
        <v>252</v>
      </c>
      <c r="D5" s="187" t="s">
        <v>41</v>
      </c>
      <c r="E5" s="187" t="s">
        <v>0</v>
      </c>
      <c r="F5" s="185" t="s">
        <v>246</v>
      </c>
      <c r="G5" s="189" t="s">
        <v>67</v>
      </c>
      <c r="H5" s="189" t="s">
        <v>65</v>
      </c>
      <c r="I5" s="191" t="s">
        <v>66</v>
      </c>
      <c r="J5" s="183" t="s">
        <v>68</v>
      </c>
      <c r="K5" s="189" t="s">
        <v>34</v>
      </c>
      <c r="L5" s="183" t="s">
        <v>75</v>
      </c>
      <c r="M5" s="99"/>
      <c r="N5" s="189" t="s">
        <v>35</v>
      </c>
      <c r="O5" s="189" t="s">
        <v>36</v>
      </c>
      <c r="P5" s="189" t="s">
        <v>63</v>
      </c>
      <c r="Q5" s="189" t="s">
        <v>37</v>
      </c>
      <c r="R5" s="189" t="s">
        <v>38</v>
      </c>
      <c r="S5" s="88"/>
      <c r="T5" s="193" t="s">
        <v>186</v>
      </c>
      <c r="U5" s="193" t="s">
        <v>213</v>
      </c>
      <c r="V5" s="193" t="s">
        <v>212</v>
      </c>
      <c r="W5" s="193" t="s">
        <v>187</v>
      </c>
      <c r="X5" s="189" t="s">
        <v>30</v>
      </c>
      <c r="Y5" s="189" t="s">
        <v>56</v>
      </c>
      <c r="Z5" s="189" t="s">
        <v>55</v>
      </c>
      <c r="AA5" s="189" t="s">
        <v>32</v>
      </c>
      <c r="AB5" s="189" t="s">
        <v>64</v>
      </c>
      <c r="AC5" s="189" t="s">
        <v>27</v>
      </c>
      <c r="AD5" s="189" t="s">
        <v>31</v>
      </c>
      <c r="AE5" s="189" t="s">
        <v>26</v>
      </c>
      <c r="AF5" s="189" t="s">
        <v>28</v>
      </c>
      <c r="AG5" s="102"/>
      <c r="AH5" s="189" t="s">
        <v>29</v>
      </c>
      <c r="AI5" s="197" t="s">
        <v>316</v>
      </c>
      <c r="AJ5" s="198"/>
      <c r="AK5" s="199" t="s">
        <v>191</v>
      </c>
      <c r="AL5" s="195" t="s">
        <v>257</v>
      </c>
      <c r="AM5" s="195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186"/>
      <c r="B6" s="188"/>
      <c r="C6" s="186"/>
      <c r="D6" s="188"/>
      <c r="E6" s="188"/>
      <c r="F6" s="186"/>
      <c r="G6" s="190"/>
      <c r="H6" s="190"/>
      <c r="I6" s="192"/>
      <c r="J6" s="184"/>
      <c r="K6" s="190"/>
      <c r="L6" s="184"/>
      <c r="M6" s="104" t="s">
        <v>288</v>
      </c>
      <c r="N6" s="190"/>
      <c r="O6" s="190"/>
      <c r="P6" s="190"/>
      <c r="Q6" s="190"/>
      <c r="R6" s="190"/>
      <c r="S6" s="105" t="s">
        <v>276</v>
      </c>
      <c r="T6" s="194"/>
      <c r="U6" s="194"/>
      <c r="V6" s="194"/>
      <c r="W6" s="194"/>
      <c r="X6" s="190"/>
      <c r="Y6" s="190"/>
      <c r="Z6" s="190"/>
      <c r="AA6" s="190"/>
      <c r="AB6" s="190"/>
      <c r="AC6" s="190"/>
      <c r="AD6" s="190"/>
      <c r="AE6" s="190"/>
      <c r="AF6" s="190"/>
      <c r="AG6" s="88"/>
      <c r="AH6" s="190"/>
      <c r="AI6" s="164" t="s">
        <v>66</v>
      </c>
      <c r="AJ6" s="164" t="s">
        <v>68</v>
      </c>
      <c r="AK6" s="199"/>
      <c r="AL6" s="195"/>
      <c r="AM6" s="19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6" t="s">
        <v>91</v>
      </c>
      <c r="B7" s="111" t="s">
        <v>238</v>
      </c>
      <c r="C7" s="111"/>
      <c r="D7" s="111" t="s">
        <v>95</v>
      </c>
      <c r="E7" s="111" t="s">
        <v>72</v>
      </c>
      <c r="F7" s="111"/>
      <c r="G7" s="112"/>
      <c r="H7" s="112"/>
      <c r="I7" s="113">
        <v>1166.26</v>
      </c>
      <c r="J7" s="114"/>
      <c r="K7" s="113">
        <f t="shared" ref="K7:K37" si="0">+I7+J7</f>
        <v>1166.26</v>
      </c>
      <c r="L7" s="113">
        <v>1377.49</v>
      </c>
      <c r="M7" s="113"/>
      <c r="N7" s="115"/>
      <c r="O7" s="115"/>
      <c r="P7" s="116">
        <v>45.15</v>
      </c>
      <c r="Q7" s="117">
        <f t="shared" ref="Q7:Q39" si="1">SUM(K7:O7)-P7</f>
        <v>2498.6</v>
      </c>
      <c r="R7" s="118"/>
      <c r="S7" s="119"/>
      <c r="T7" s="119">
        <v>0</v>
      </c>
      <c r="U7" s="119"/>
      <c r="V7" s="119"/>
      <c r="W7" s="119"/>
      <c r="X7" s="120"/>
      <c r="Y7" s="120"/>
      <c r="Z7" s="121"/>
      <c r="AA7" s="121">
        <v>0</v>
      </c>
      <c r="AB7" s="117">
        <f t="shared" ref="AB7:AB39" si="2">+Q7-SUM(R7:AA7)</f>
        <v>2498.6</v>
      </c>
      <c r="AC7" s="122">
        <f>IF(Q7&gt;2250,Q7*0.1,0)</f>
        <v>249.86</v>
      </c>
      <c r="AD7" s="117">
        <f t="shared" ref="AD7:AD37" si="3">+AB7-AC7</f>
        <v>2248.7399999999998</v>
      </c>
      <c r="AE7" s="123">
        <f t="shared" ref="AE7:AE37" si="4">IF(Q7&lt;3500,Q7*0.1,0)</f>
        <v>249.86</v>
      </c>
      <c r="AF7" s="122">
        <v>10.23</v>
      </c>
      <c r="AG7" s="122">
        <f t="shared" ref="AG7:AG38" si="5">+U7</f>
        <v>0</v>
      </c>
      <c r="AH7" s="124">
        <f t="shared" ref="AH7:AH38" si="6">+Q7+AE7+AF7+AG7</f>
        <v>2758.69</v>
      </c>
      <c r="AI7" s="213">
        <v>577.4</v>
      </c>
      <c r="AJ7" s="214">
        <v>1671.34</v>
      </c>
      <c r="AK7" s="125">
        <f t="shared" ref="AK7:AK71" si="7">+AI7+AJ7-AD7</f>
        <v>0</v>
      </c>
      <c r="AL7" s="126"/>
      <c r="AM7" s="126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6" t="s">
        <v>71</v>
      </c>
      <c r="B8" s="111" t="s">
        <v>219</v>
      </c>
      <c r="C8" s="111" t="s">
        <v>252</v>
      </c>
      <c r="D8" s="111" t="s">
        <v>145</v>
      </c>
      <c r="E8" s="111" t="s">
        <v>74</v>
      </c>
      <c r="F8" s="111"/>
      <c r="G8" s="112"/>
      <c r="H8" s="112"/>
      <c r="I8" s="113">
        <v>1633.33</v>
      </c>
      <c r="J8" s="112"/>
      <c r="K8" s="113">
        <f t="shared" si="0"/>
        <v>1633.33</v>
      </c>
      <c r="L8" s="113">
        <v>3695.59</v>
      </c>
      <c r="M8" s="113"/>
      <c r="N8" s="115"/>
      <c r="O8" s="115"/>
      <c r="P8" s="116">
        <v>45.15</v>
      </c>
      <c r="Q8" s="117">
        <f t="shared" si="1"/>
        <v>5283.77</v>
      </c>
      <c r="R8" s="118"/>
      <c r="S8" s="119"/>
      <c r="T8" s="119">
        <v>0</v>
      </c>
      <c r="U8" s="119"/>
      <c r="V8" s="119"/>
      <c r="W8" s="119"/>
      <c r="X8" s="120"/>
      <c r="Y8" s="120"/>
      <c r="Z8" s="121"/>
      <c r="AA8" s="121">
        <v>0</v>
      </c>
      <c r="AB8" s="117">
        <f t="shared" si="2"/>
        <v>5283.77</v>
      </c>
      <c r="AC8" s="122">
        <f t="shared" ref="AC8:AC73" si="8">IF(Q8&gt;2250,Q8*0.1,0)</f>
        <v>528.37700000000007</v>
      </c>
      <c r="AD8" s="117">
        <f t="shared" si="3"/>
        <v>4755.393</v>
      </c>
      <c r="AE8" s="123">
        <f t="shared" si="4"/>
        <v>0</v>
      </c>
      <c r="AF8" s="122">
        <v>10.23</v>
      </c>
      <c r="AG8" s="122">
        <f t="shared" si="5"/>
        <v>0</v>
      </c>
      <c r="AH8" s="124">
        <f t="shared" si="6"/>
        <v>5294</v>
      </c>
      <c r="AI8" s="213">
        <v>577.4</v>
      </c>
      <c r="AJ8" s="214">
        <v>4177.99</v>
      </c>
      <c r="AK8" s="125">
        <f t="shared" si="7"/>
        <v>-3.0000000006111804E-3</v>
      </c>
      <c r="AL8" s="126"/>
      <c r="AM8" s="126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6" t="s">
        <v>94</v>
      </c>
      <c r="B9" s="111" t="s">
        <v>196</v>
      </c>
      <c r="C9" s="111"/>
      <c r="D9" s="111" t="s">
        <v>126</v>
      </c>
      <c r="E9" s="111" t="s">
        <v>181</v>
      </c>
      <c r="F9" s="111"/>
      <c r="G9" s="112"/>
      <c r="H9" s="112"/>
      <c r="I9" s="113">
        <v>608.16</v>
      </c>
      <c r="J9" s="112"/>
      <c r="K9" s="113">
        <f t="shared" si="0"/>
        <v>608.16</v>
      </c>
      <c r="L9" s="113">
        <f>5567.34+2.59+3052.97</f>
        <v>8622.9</v>
      </c>
      <c r="M9" s="113"/>
      <c r="N9" s="115"/>
      <c r="O9" s="115"/>
      <c r="P9" s="116">
        <v>45.15</v>
      </c>
      <c r="Q9" s="117">
        <f t="shared" si="1"/>
        <v>9185.91</v>
      </c>
      <c r="R9" s="118"/>
      <c r="S9" s="119"/>
      <c r="T9" s="119"/>
      <c r="U9" s="128">
        <f>Q9*4.9%</f>
        <v>450.10959000000003</v>
      </c>
      <c r="V9" s="128">
        <f>Q9*1%</f>
        <v>91.859099999999998</v>
      </c>
      <c r="W9" s="119"/>
      <c r="X9" s="120"/>
      <c r="Y9" s="120"/>
      <c r="Z9" s="121"/>
      <c r="AA9" s="121">
        <v>0</v>
      </c>
      <c r="AB9" s="117">
        <f t="shared" si="2"/>
        <v>8643.9413100000002</v>
      </c>
      <c r="AC9" s="122">
        <f t="shared" si="8"/>
        <v>918.59100000000001</v>
      </c>
      <c r="AD9" s="117">
        <f t="shared" si="3"/>
        <v>7725.3503099999998</v>
      </c>
      <c r="AE9" s="123">
        <f t="shared" si="4"/>
        <v>0</v>
      </c>
      <c r="AF9" s="122">
        <v>10.23</v>
      </c>
      <c r="AG9" s="122">
        <f t="shared" si="5"/>
        <v>450.10959000000003</v>
      </c>
      <c r="AH9" s="124">
        <f t="shared" si="6"/>
        <v>9646.2495899999994</v>
      </c>
      <c r="AI9" s="213">
        <v>577.4</v>
      </c>
      <c r="AJ9" s="214">
        <v>7147.95</v>
      </c>
      <c r="AK9" s="125">
        <f t="shared" si="7"/>
        <v>-3.1000000035419362E-4</v>
      </c>
      <c r="AL9" s="126"/>
      <c r="AM9" s="126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6" t="s">
        <v>92</v>
      </c>
      <c r="B10" s="111" t="s">
        <v>205</v>
      </c>
      <c r="C10" s="111"/>
      <c r="D10" s="111" t="s">
        <v>206</v>
      </c>
      <c r="E10" s="111" t="s">
        <v>167</v>
      </c>
      <c r="F10" s="111"/>
      <c r="G10" s="112"/>
      <c r="H10" s="112"/>
      <c r="I10" s="30">
        <v>739.23</v>
      </c>
      <c r="J10" s="112"/>
      <c r="K10" s="113">
        <f t="shared" si="0"/>
        <v>739.23</v>
      </c>
      <c r="L10" s="113">
        <f>1262.45+3.71</f>
        <v>1266.1600000000001</v>
      </c>
      <c r="M10" s="113"/>
      <c r="N10" s="115"/>
      <c r="O10" s="115"/>
      <c r="P10" s="116">
        <v>45.15</v>
      </c>
      <c r="Q10" s="117">
        <f t="shared" si="1"/>
        <v>1960.24</v>
      </c>
      <c r="R10" s="118"/>
      <c r="S10" s="119"/>
      <c r="T10" s="119"/>
      <c r="U10" s="119"/>
      <c r="V10" s="119"/>
      <c r="W10" s="119"/>
      <c r="X10" s="120"/>
      <c r="Y10" s="120"/>
      <c r="Z10" s="121"/>
      <c r="AA10" s="121"/>
      <c r="AB10" s="117">
        <f t="shared" si="2"/>
        <v>1960.24</v>
      </c>
      <c r="AC10" s="122">
        <f t="shared" si="8"/>
        <v>0</v>
      </c>
      <c r="AD10" s="117">
        <f t="shared" si="3"/>
        <v>1960.24</v>
      </c>
      <c r="AE10" s="123">
        <f t="shared" si="4"/>
        <v>196.024</v>
      </c>
      <c r="AF10" s="122">
        <v>10.23</v>
      </c>
      <c r="AG10" s="122">
        <f t="shared" si="5"/>
        <v>0</v>
      </c>
      <c r="AH10" s="124">
        <f t="shared" si="6"/>
        <v>2166.4940000000001</v>
      </c>
      <c r="AI10" s="213">
        <v>577.4</v>
      </c>
      <c r="AJ10" s="214">
        <v>1382.84</v>
      </c>
      <c r="AK10" s="125">
        <f t="shared" si="7"/>
        <v>0</v>
      </c>
      <c r="AL10" s="126"/>
      <c r="AM10" s="126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6" t="s">
        <v>71</v>
      </c>
      <c r="B11" s="111" t="s">
        <v>87</v>
      </c>
      <c r="C11" s="111" t="s">
        <v>252</v>
      </c>
      <c r="D11" s="111">
        <v>16</v>
      </c>
      <c r="E11" s="111" t="s">
        <v>74</v>
      </c>
      <c r="F11" s="111"/>
      <c r="G11" s="112"/>
      <c r="H11" s="112"/>
      <c r="I11" s="113">
        <v>1633.33</v>
      </c>
      <c r="J11" s="112"/>
      <c r="K11" s="113">
        <f t="shared" si="0"/>
        <v>1633.33</v>
      </c>
      <c r="L11" s="113">
        <v>675.25</v>
      </c>
      <c r="M11" s="113"/>
      <c r="N11" s="115"/>
      <c r="O11" s="115"/>
      <c r="P11" s="116">
        <v>45.15</v>
      </c>
      <c r="Q11" s="117">
        <f t="shared" si="1"/>
        <v>2263.4299999999998</v>
      </c>
      <c r="R11" s="118"/>
      <c r="S11" s="119"/>
      <c r="T11" s="119">
        <v>0</v>
      </c>
      <c r="U11" s="119"/>
      <c r="V11" s="119"/>
      <c r="W11" s="119"/>
      <c r="X11" s="120"/>
      <c r="Y11" s="120"/>
      <c r="Z11" s="121"/>
      <c r="AA11" s="121">
        <v>0</v>
      </c>
      <c r="AB11" s="117">
        <f t="shared" si="2"/>
        <v>2263.4299999999998</v>
      </c>
      <c r="AC11" s="122">
        <f t="shared" si="8"/>
        <v>226.34299999999999</v>
      </c>
      <c r="AD11" s="117">
        <f t="shared" si="3"/>
        <v>2037.0869999999998</v>
      </c>
      <c r="AE11" s="123">
        <f t="shared" si="4"/>
        <v>226.34299999999999</v>
      </c>
      <c r="AF11" s="122">
        <v>10.23</v>
      </c>
      <c r="AG11" s="122">
        <f t="shared" si="5"/>
        <v>0</v>
      </c>
      <c r="AH11" s="124">
        <f t="shared" si="6"/>
        <v>2500.0029999999997</v>
      </c>
      <c r="AI11" s="213">
        <v>577.4</v>
      </c>
      <c r="AJ11" s="214">
        <v>1459.69</v>
      </c>
      <c r="AK11" s="125">
        <f t="shared" si="7"/>
        <v>3.0000000003838068E-3</v>
      </c>
      <c r="AL11" s="126"/>
      <c r="AM11" s="126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6" t="s">
        <v>91</v>
      </c>
      <c r="B12" s="126" t="s">
        <v>269</v>
      </c>
      <c r="C12" s="126"/>
      <c r="D12" s="126"/>
      <c r="E12" s="126" t="s">
        <v>270</v>
      </c>
      <c r="F12" s="129">
        <v>42422</v>
      </c>
      <c r="G12" s="126"/>
      <c r="H12" s="126"/>
      <c r="I12" s="130">
        <v>608.16</v>
      </c>
      <c r="J12" s="126"/>
      <c r="K12" s="130">
        <f t="shared" si="0"/>
        <v>608.16</v>
      </c>
      <c r="L12" s="130">
        <f>872.62+2.59</f>
        <v>875.21</v>
      </c>
      <c r="M12" s="130"/>
      <c r="N12" s="130"/>
      <c r="O12" s="130"/>
      <c r="P12" s="116">
        <v>45.15</v>
      </c>
      <c r="Q12" s="117">
        <f t="shared" si="1"/>
        <v>1438.2199999999998</v>
      </c>
      <c r="R12" s="118"/>
      <c r="S12" s="119"/>
      <c r="T12" s="119">
        <v>0</v>
      </c>
      <c r="U12" s="119"/>
      <c r="V12" s="119"/>
      <c r="W12" s="119"/>
      <c r="X12" s="120"/>
      <c r="Y12" s="120"/>
      <c r="Z12" s="121"/>
      <c r="AA12" s="121">
        <v>0</v>
      </c>
      <c r="AB12" s="117">
        <f t="shared" si="2"/>
        <v>1438.2199999999998</v>
      </c>
      <c r="AC12" s="122">
        <f t="shared" si="8"/>
        <v>0</v>
      </c>
      <c r="AD12" s="117">
        <f t="shared" si="3"/>
        <v>1438.2199999999998</v>
      </c>
      <c r="AE12" s="172">
        <f t="shared" si="4"/>
        <v>143.82199999999997</v>
      </c>
      <c r="AF12" s="122">
        <v>10.23</v>
      </c>
      <c r="AG12" s="122">
        <f t="shared" si="5"/>
        <v>0</v>
      </c>
      <c r="AH12" s="124">
        <f t="shared" si="6"/>
        <v>1592.2719999999997</v>
      </c>
      <c r="AI12" s="213">
        <v>577.4</v>
      </c>
      <c r="AJ12" s="213">
        <v>860.82</v>
      </c>
      <c r="AK12" s="125">
        <f t="shared" si="7"/>
        <v>0</v>
      </c>
      <c r="AL12" s="126">
        <v>1456104819</v>
      </c>
      <c r="AM12" s="131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6" t="s">
        <v>71</v>
      </c>
      <c r="B13" s="126" t="s">
        <v>222</v>
      </c>
      <c r="C13" s="126" t="s">
        <v>249</v>
      </c>
      <c r="D13" s="126" t="s">
        <v>146</v>
      </c>
      <c r="E13" s="126" t="s">
        <v>73</v>
      </c>
      <c r="F13" s="129">
        <v>42383</v>
      </c>
      <c r="G13" s="126"/>
      <c r="H13" s="126"/>
      <c r="I13" s="130">
        <v>513.33000000000004</v>
      </c>
      <c r="J13" s="126"/>
      <c r="K13" s="130">
        <f t="shared" si="0"/>
        <v>513.33000000000004</v>
      </c>
      <c r="L13" s="130"/>
      <c r="M13" s="130"/>
      <c r="N13" s="130"/>
      <c r="O13" s="130"/>
      <c r="P13" s="116">
        <v>45.15</v>
      </c>
      <c r="Q13" s="117">
        <f t="shared" si="1"/>
        <v>468.18000000000006</v>
      </c>
      <c r="R13" s="118"/>
      <c r="S13" s="119"/>
      <c r="T13" s="119">
        <v>0</v>
      </c>
      <c r="U13" s="119"/>
      <c r="V13" s="119"/>
      <c r="W13" s="119"/>
      <c r="X13" s="120"/>
      <c r="Y13" s="120"/>
      <c r="Z13" s="121"/>
      <c r="AA13" s="127">
        <v>368.35</v>
      </c>
      <c r="AB13" s="117">
        <f t="shared" si="2"/>
        <v>99.830000000000041</v>
      </c>
      <c r="AC13" s="122">
        <f t="shared" si="8"/>
        <v>0</v>
      </c>
      <c r="AD13" s="117">
        <f t="shared" si="3"/>
        <v>99.830000000000041</v>
      </c>
      <c r="AE13" s="172">
        <f t="shared" si="4"/>
        <v>46.818000000000012</v>
      </c>
      <c r="AF13" s="122">
        <v>10.23</v>
      </c>
      <c r="AG13" s="122">
        <f t="shared" si="5"/>
        <v>0</v>
      </c>
      <c r="AH13" s="124">
        <f t="shared" si="6"/>
        <v>525.22800000000007</v>
      </c>
      <c r="AI13" s="213">
        <v>114.4</v>
      </c>
      <c r="AJ13" s="213">
        <v>49.3</v>
      </c>
      <c r="AK13" s="125">
        <f t="shared" si="7"/>
        <v>63.869999999999948</v>
      </c>
      <c r="AL13" s="126"/>
      <c r="AM13" s="126"/>
    </row>
    <row r="14" spans="1:193">
      <c r="A14" s="126" t="s">
        <v>70</v>
      </c>
      <c r="B14" s="126" t="s">
        <v>203</v>
      </c>
      <c r="C14" s="126" t="s">
        <v>303</v>
      </c>
      <c r="D14" s="126"/>
      <c r="E14" s="126" t="s">
        <v>173</v>
      </c>
      <c r="F14" s="129">
        <v>42417</v>
      </c>
      <c r="G14" s="126"/>
      <c r="H14" s="126"/>
      <c r="I14" s="130">
        <v>513.33000000000004</v>
      </c>
      <c r="J14" s="126"/>
      <c r="K14" s="130">
        <f t="shared" si="0"/>
        <v>513.33000000000004</v>
      </c>
      <c r="L14" s="130"/>
      <c r="M14" s="130"/>
      <c r="N14" s="130"/>
      <c r="O14" s="130"/>
      <c r="P14" s="116">
        <v>45.15</v>
      </c>
      <c r="Q14" s="117">
        <f t="shared" si="1"/>
        <v>468.18000000000006</v>
      </c>
      <c r="R14" s="118"/>
      <c r="S14" s="119"/>
      <c r="T14" s="119">
        <v>0</v>
      </c>
      <c r="U14" s="119"/>
      <c r="V14" s="119"/>
      <c r="W14" s="119"/>
      <c r="X14" s="120"/>
      <c r="Y14" s="120"/>
      <c r="Z14" s="121"/>
      <c r="AA14" s="121">
        <v>0</v>
      </c>
      <c r="AB14" s="117">
        <f t="shared" si="2"/>
        <v>468.18000000000006</v>
      </c>
      <c r="AC14" s="122">
        <f t="shared" si="8"/>
        <v>0</v>
      </c>
      <c r="AD14" s="117">
        <f t="shared" si="3"/>
        <v>468.18000000000006</v>
      </c>
      <c r="AE14" s="123">
        <f t="shared" si="4"/>
        <v>46.818000000000012</v>
      </c>
      <c r="AF14" s="122">
        <v>10.23</v>
      </c>
      <c r="AG14" s="122">
        <f t="shared" si="5"/>
        <v>0</v>
      </c>
      <c r="AH14" s="124">
        <f t="shared" si="6"/>
        <v>525.22800000000007</v>
      </c>
      <c r="AI14" s="213">
        <v>482.75</v>
      </c>
      <c r="AJ14" s="213">
        <v>49.3</v>
      </c>
      <c r="AK14" s="125">
        <f t="shared" si="7"/>
        <v>63.869999999999891</v>
      </c>
      <c r="AL14" s="126"/>
      <c r="AM14" s="126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6" t="s">
        <v>94</v>
      </c>
      <c r="B15" s="126" t="s">
        <v>234</v>
      </c>
      <c r="C15" s="126"/>
      <c r="D15" s="111" t="s">
        <v>127</v>
      </c>
      <c r="E15" s="111" t="s">
        <v>174</v>
      </c>
      <c r="F15" s="111"/>
      <c r="G15" s="112"/>
      <c r="H15" s="112"/>
      <c r="I15" s="113">
        <v>608.16</v>
      </c>
      <c r="J15" s="112"/>
      <c r="K15" s="113">
        <f t="shared" si="0"/>
        <v>608.16</v>
      </c>
      <c r="L15" s="113">
        <f>593.5+669.17</f>
        <v>1262.67</v>
      </c>
      <c r="M15" s="113"/>
      <c r="N15" s="115"/>
      <c r="O15" s="115"/>
      <c r="P15" s="116">
        <v>45.15</v>
      </c>
      <c r="Q15" s="117">
        <f t="shared" si="1"/>
        <v>1825.6799999999998</v>
      </c>
      <c r="R15" s="118"/>
      <c r="S15" s="119"/>
      <c r="T15" s="128">
        <v>150</v>
      </c>
      <c r="U15" s="128">
        <f>Q15*4.9%</f>
        <v>89.458320000000001</v>
      </c>
      <c r="V15" s="128">
        <f>Q15*1%</f>
        <v>18.256799999999998</v>
      </c>
      <c r="W15" s="119"/>
      <c r="X15" s="120"/>
      <c r="Y15" s="120"/>
      <c r="Z15" s="121"/>
      <c r="AA15" s="121">
        <v>0</v>
      </c>
      <c r="AB15" s="117">
        <f t="shared" si="2"/>
        <v>1567.9648799999998</v>
      </c>
      <c r="AC15" s="122">
        <f t="shared" si="8"/>
        <v>0</v>
      </c>
      <c r="AD15" s="117">
        <f t="shared" si="3"/>
        <v>1567.9648799999998</v>
      </c>
      <c r="AE15" s="123">
        <f t="shared" si="4"/>
        <v>182.56799999999998</v>
      </c>
      <c r="AF15" s="122">
        <v>10.23</v>
      </c>
      <c r="AG15" s="122">
        <f t="shared" si="5"/>
        <v>89.458320000000001</v>
      </c>
      <c r="AH15" s="124">
        <f t="shared" si="6"/>
        <v>2107.9363199999998</v>
      </c>
      <c r="AI15" s="213">
        <v>577.4</v>
      </c>
      <c r="AJ15" s="213">
        <v>990.56</v>
      </c>
      <c r="AK15" s="125">
        <f t="shared" si="7"/>
        <v>-4.8799999997299892E-3</v>
      </c>
      <c r="AL15" s="126"/>
      <c r="AM15" s="131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>
      <c r="A16" s="126" t="s">
        <v>69</v>
      </c>
      <c r="B16" s="111" t="s">
        <v>309</v>
      </c>
      <c r="C16" s="111"/>
      <c r="D16" s="111" t="s">
        <v>111</v>
      </c>
      <c r="E16" s="111" t="s">
        <v>169</v>
      </c>
      <c r="F16" s="111"/>
      <c r="G16" s="112"/>
      <c r="H16" s="112"/>
      <c r="I16" s="113">
        <v>933.33</v>
      </c>
      <c r="J16" s="112"/>
      <c r="K16" s="113">
        <f t="shared" si="0"/>
        <v>933.33</v>
      </c>
      <c r="L16" s="115">
        <v>550</v>
      </c>
      <c r="M16" s="113"/>
      <c r="O16" s="115"/>
      <c r="P16" s="116">
        <v>45.15</v>
      </c>
      <c r="Q16" s="117">
        <f t="shared" si="1"/>
        <v>1438.1799999999998</v>
      </c>
      <c r="R16" s="118"/>
      <c r="S16" s="128">
        <v>58.91</v>
      </c>
      <c r="T16" s="119">
        <v>0</v>
      </c>
      <c r="U16" s="119"/>
      <c r="V16" s="119"/>
      <c r="W16" s="119"/>
      <c r="X16" s="120"/>
      <c r="Y16" s="120"/>
      <c r="Z16" s="132"/>
      <c r="AA16" s="121">
        <v>0</v>
      </c>
      <c r="AB16" s="117">
        <f t="shared" si="2"/>
        <v>1379.2699999999998</v>
      </c>
      <c r="AC16" s="122">
        <f t="shared" si="8"/>
        <v>0</v>
      </c>
      <c r="AD16" s="117">
        <f t="shared" si="3"/>
        <v>1379.2699999999998</v>
      </c>
      <c r="AE16" s="123">
        <f t="shared" si="4"/>
        <v>143.81799999999998</v>
      </c>
      <c r="AF16" s="122">
        <v>10.23</v>
      </c>
      <c r="AG16" s="122">
        <f t="shared" si="5"/>
        <v>0</v>
      </c>
      <c r="AH16" s="124">
        <f t="shared" si="6"/>
        <v>1592.2279999999998</v>
      </c>
      <c r="AI16" s="213">
        <v>577.4</v>
      </c>
      <c r="AJ16" s="213">
        <v>801.87</v>
      </c>
      <c r="AK16" s="125">
        <f t="shared" si="7"/>
        <v>0</v>
      </c>
      <c r="AL16" s="126"/>
      <c r="AM16" s="126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</row>
    <row r="17" spans="1:193" s="39" customFormat="1">
      <c r="A17" s="126" t="s">
        <v>71</v>
      </c>
      <c r="B17" s="126" t="s">
        <v>261</v>
      </c>
      <c r="C17" s="126" t="s">
        <v>251</v>
      </c>
      <c r="D17" s="126" t="s">
        <v>147</v>
      </c>
      <c r="E17" s="126" t="s">
        <v>73</v>
      </c>
      <c r="F17" s="129">
        <v>41831</v>
      </c>
      <c r="G17" s="126"/>
      <c r="H17" s="126"/>
      <c r="I17" s="130">
        <v>513.33000000000004</v>
      </c>
      <c r="J17" s="126"/>
      <c r="K17" s="130">
        <f t="shared" si="0"/>
        <v>513.33000000000004</v>
      </c>
      <c r="L17" s="130"/>
      <c r="M17" s="130"/>
      <c r="N17" s="130"/>
      <c r="O17" s="130"/>
      <c r="P17" s="116">
        <v>45.15</v>
      </c>
      <c r="Q17" s="117">
        <f t="shared" si="1"/>
        <v>468.18000000000006</v>
      </c>
      <c r="R17" s="118"/>
      <c r="S17" s="128">
        <v>58.91</v>
      </c>
      <c r="T17" s="170"/>
      <c r="U17" s="170"/>
      <c r="V17" s="170"/>
      <c r="W17" s="170"/>
      <c r="X17" s="171"/>
      <c r="Y17" s="133">
        <v>167.44</v>
      </c>
      <c r="Z17" s="156"/>
      <c r="AA17" s="181">
        <f>Q17*0.25</f>
        <v>117.04500000000002</v>
      </c>
      <c r="AB17" s="117">
        <f t="shared" si="2"/>
        <v>124.78500000000008</v>
      </c>
      <c r="AC17" s="122">
        <f t="shared" si="8"/>
        <v>0</v>
      </c>
      <c r="AD17" s="117">
        <f t="shared" si="3"/>
        <v>124.78500000000008</v>
      </c>
      <c r="AE17" s="123">
        <f t="shared" si="4"/>
        <v>46.818000000000012</v>
      </c>
      <c r="AF17" s="122">
        <v>10.23</v>
      </c>
      <c r="AG17" s="122">
        <f t="shared" si="5"/>
        <v>0</v>
      </c>
      <c r="AH17" s="124">
        <f t="shared" si="6"/>
        <v>525.22800000000007</v>
      </c>
      <c r="AI17" s="213">
        <v>176.81</v>
      </c>
      <c r="AJ17" s="213">
        <v>11.85</v>
      </c>
      <c r="AK17" s="125">
        <f t="shared" si="7"/>
        <v>63.874999999999915</v>
      </c>
      <c r="AL17" s="126"/>
      <c r="AM17" s="126"/>
    </row>
    <row r="18" spans="1:193" s="39" customFormat="1">
      <c r="A18" s="126" t="s">
        <v>71</v>
      </c>
      <c r="B18" s="126" t="s">
        <v>296</v>
      </c>
      <c r="C18" s="126" t="s">
        <v>254</v>
      </c>
      <c r="D18" s="126"/>
      <c r="E18" s="126" t="s">
        <v>73</v>
      </c>
      <c r="F18" s="129">
        <v>42436</v>
      </c>
      <c r="G18" s="126"/>
      <c r="H18" s="126"/>
      <c r="I18" s="130">
        <v>513.33000000000004</v>
      </c>
      <c r="J18" s="134"/>
      <c r="K18" s="130">
        <f t="shared" si="0"/>
        <v>513.33000000000004</v>
      </c>
      <c r="L18" s="130"/>
      <c r="M18" s="130"/>
      <c r="N18" s="130"/>
      <c r="O18" s="130"/>
      <c r="P18" s="116">
        <v>45.15</v>
      </c>
      <c r="Q18" s="117">
        <f t="shared" si="1"/>
        <v>468.18000000000006</v>
      </c>
      <c r="R18" s="118"/>
      <c r="S18" s="119"/>
      <c r="T18" s="119">
        <v>0</v>
      </c>
      <c r="U18" s="119"/>
      <c r="V18" s="119"/>
      <c r="W18" s="119"/>
      <c r="X18" s="120"/>
      <c r="Y18" s="120"/>
      <c r="Z18" s="121"/>
      <c r="AA18" s="121">
        <v>0</v>
      </c>
      <c r="AB18" s="117">
        <f t="shared" si="2"/>
        <v>468.18000000000006</v>
      </c>
      <c r="AC18" s="122">
        <f t="shared" si="8"/>
        <v>0</v>
      </c>
      <c r="AD18" s="117">
        <f t="shared" si="3"/>
        <v>468.18000000000006</v>
      </c>
      <c r="AE18" s="123">
        <f t="shared" si="4"/>
        <v>46.818000000000012</v>
      </c>
      <c r="AF18" s="122">
        <v>10.23</v>
      </c>
      <c r="AG18" s="122">
        <f t="shared" si="5"/>
        <v>0</v>
      </c>
      <c r="AH18" s="124">
        <f t="shared" si="6"/>
        <v>525.22800000000007</v>
      </c>
      <c r="AI18" s="213">
        <v>482.75</v>
      </c>
      <c r="AJ18" s="213">
        <v>49.3</v>
      </c>
      <c r="AK18" s="125">
        <f t="shared" si="7"/>
        <v>63.869999999999891</v>
      </c>
      <c r="AL18" s="126"/>
      <c r="AM18" s="131"/>
      <c r="AP18" s="26"/>
    </row>
    <row r="19" spans="1:193">
      <c r="A19" s="126" t="s">
        <v>91</v>
      </c>
      <c r="B19" s="111" t="s">
        <v>331</v>
      </c>
      <c r="C19" s="111"/>
      <c r="D19" s="111" t="s">
        <v>97</v>
      </c>
      <c r="E19" s="111" t="s">
        <v>72</v>
      </c>
      <c r="F19" s="111"/>
      <c r="G19" s="111"/>
      <c r="H19" s="111"/>
      <c r="I19" s="113">
        <v>1166.26</v>
      </c>
      <c r="J19" s="114"/>
      <c r="K19" s="113">
        <f t="shared" si="0"/>
        <v>1166.26</v>
      </c>
      <c r="L19" s="113">
        <v>845.37</v>
      </c>
      <c r="M19" s="113"/>
      <c r="N19" s="113"/>
      <c r="O19" s="113"/>
      <c r="P19" s="116">
        <v>45.15</v>
      </c>
      <c r="Q19" s="117">
        <f t="shared" si="1"/>
        <v>1966.48</v>
      </c>
      <c r="R19" s="118"/>
      <c r="S19" s="119"/>
      <c r="T19" s="119">
        <v>0</v>
      </c>
      <c r="U19" s="119"/>
      <c r="V19" s="119"/>
      <c r="W19" s="119"/>
      <c r="X19" s="120"/>
      <c r="Y19" s="120"/>
      <c r="Z19" s="121"/>
      <c r="AA19" s="121">
        <v>0</v>
      </c>
      <c r="AB19" s="117">
        <f t="shared" si="2"/>
        <v>1966.48</v>
      </c>
      <c r="AC19" s="122">
        <f t="shared" si="8"/>
        <v>0</v>
      </c>
      <c r="AD19" s="117">
        <f t="shared" si="3"/>
        <v>1966.48</v>
      </c>
      <c r="AE19" s="123">
        <f t="shared" si="4"/>
        <v>196.64800000000002</v>
      </c>
      <c r="AF19" s="122">
        <v>10.23</v>
      </c>
      <c r="AG19" s="122">
        <f t="shared" si="5"/>
        <v>0</v>
      </c>
      <c r="AH19" s="124">
        <f t="shared" si="6"/>
        <v>2173.3580000000002</v>
      </c>
      <c r="AI19" s="213">
        <v>577.4</v>
      </c>
      <c r="AJ19" s="214">
        <v>1389.08</v>
      </c>
      <c r="AK19" s="125">
        <f t="shared" si="7"/>
        <v>0</v>
      </c>
      <c r="AL19" s="126"/>
      <c r="AM19" s="126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</row>
    <row r="20" spans="1:193">
      <c r="A20" s="126" t="s">
        <v>94</v>
      </c>
      <c r="B20" s="111" t="s">
        <v>198</v>
      </c>
      <c r="C20" s="111"/>
      <c r="D20" s="111" t="s">
        <v>128</v>
      </c>
      <c r="E20" s="111" t="s">
        <v>162</v>
      </c>
      <c r="F20" s="111"/>
      <c r="G20" s="112"/>
      <c r="H20" s="112"/>
      <c r="I20" s="113">
        <v>511.28</v>
      </c>
      <c r="J20" s="112"/>
      <c r="K20" s="113">
        <f t="shared" si="0"/>
        <v>511.28</v>
      </c>
      <c r="L20" s="113">
        <f>5010.52+7.42+1563.09</f>
        <v>6581.0300000000007</v>
      </c>
      <c r="M20" s="113"/>
      <c r="N20" s="115"/>
      <c r="O20" s="115"/>
      <c r="P20" s="116">
        <v>45.15</v>
      </c>
      <c r="Q20" s="117">
        <f t="shared" si="1"/>
        <v>7047.1600000000008</v>
      </c>
      <c r="R20" s="118"/>
      <c r="S20" s="119"/>
      <c r="T20" s="128">
        <v>700</v>
      </c>
      <c r="U20" s="128">
        <f>Q20*4.9%</f>
        <v>345.31084000000004</v>
      </c>
      <c r="V20" s="128">
        <f>Q20*1%</f>
        <v>70.471600000000009</v>
      </c>
      <c r="W20" s="119"/>
      <c r="X20" s="120"/>
      <c r="Y20" s="120"/>
      <c r="Z20" s="121"/>
      <c r="AA20" s="121">
        <v>0</v>
      </c>
      <c r="AB20" s="117">
        <f t="shared" si="2"/>
        <v>5931.3775600000008</v>
      </c>
      <c r="AC20" s="122">
        <f t="shared" si="8"/>
        <v>704.71600000000012</v>
      </c>
      <c r="AD20" s="117">
        <f t="shared" si="3"/>
        <v>5226.6615600000005</v>
      </c>
      <c r="AE20" s="123">
        <f t="shared" si="4"/>
        <v>0</v>
      </c>
      <c r="AF20" s="122">
        <v>10.23</v>
      </c>
      <c r="AG20" s="122">
        <f t="shared" si="5"/>
        <v>345.31084000000004</v>
      </c>
      <c r="AH20" s="124">
        <f t="shared" si="6"/>
        <v>7402.7008400000004</v>
      </c>
      <c r="AI20" s="213">
        <v>577.4</v>
      </c>
      <c r="AJ20" s="214">
        <v>4649.26</v>
      </c>
      <c r="AK20" s="125">
        <f t="shared" si="7"/>
        <v>-1.5600000006088521E-3</v>
      </c>
      <c r="AL20" s="126"/>
      <c r="AM20" s="126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6" t="s">
        <v>71</v>
      </c>
      <c r="B21" s="111" t="s">
        <v>267</v>
      </c>
      <c r="C21" s="111" t="s">
        <v>252</v>
      </c>
      <c r="D21" s="111">
        <v>18</v>
      </c>
      <c r="E21" s="111" t="s">
        <v>74</v>
      </c>
      <c r="F21" s="111"/>
      <c r="G21" s="112"/>
      <c r="H21" s="112"/>
      <c r="I21" s="113">
        <v>1633.33</v>
      </c>
      <c r="J21" s="112"/>
      <c r="K21" s="113">
        <f t="shared" si="0"/>
        <v>1633.33</v>
      </c>
      <c r="L21" s="113">
        <v>10094.42</v>
      </c>
      <c r="M21" s="113"/>
      <c r="N21" s="115">
        <v>9297.43</v>
      </c>
      <c r="O21" s="115">
        <v>15938.46</v>
      </c>
      <c r="P21" s="116">
        <v>45.15</v>
      </c>
      <c r="Q21" s="117">
        <f t="shared" si="1"/>
        <v>36918.49</v>
      </c>
      <c r="R21" s="118"/>
      <c r="S21" s="119"/>
      <c r="T21" s="128">
        <v>700</v>
      </c>
      <c r="U21" s="119"/>
      <c r="V21" s="119"/>
      <c r="W21" s="119"/>
      <c r="X21" s="120"/>
      <c r="Y21" s="120"/>
      <c r="Z21" s="127">
        <v>205.7</v>
      </c>
      <c r="AA21" s="121">
        <v>0</v>
      </c>
      <c r="AB21" s="117">
        <f t="shared" si="2"/>
        <v>36012.79</v>
      </c>
      <c r="AC21" s="122">
        <f t="shared" si="8"/>
        <v>3691.8490000000002</v>
      </c>
      <c r="AD21" s="117">
        <f t="shared" si="3"/>
        <v>32320.940999999999</v>
      </c>
      <c r="AE21" s="123">
        <f t="shared" si="4"/>
        <v>0</v>
      </c>
      <c r="AF21" s="122">
        <v>10.23</v>
      </c>
      <c r="AG21" s="122">
        <f t="shared" si="5"/>
        <v>0</v>
      </c>
      <c r="AH21" s="124">
        <f t="shared" si="6"/>
        <v>36928.720000000001</v>
      </c>
      <c r="AI21" s="213">
        <v>577.4</v>
      </c>
      <c r="AJ21" s="214">
        <v>31743.54</v>
      </c>
      <c r="AK21" s="125">
        <f t="shared" si="7"/>
        <v>-9.9999999656574801E-4</v>
      </c>
      <c r="AL21" s="126"/>
      <c r="AM21" s="126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6" t="s">
        <v>94</v>
      </c>
      <c r="B22" s="111" t="s">
        <v>268</v>
      </c>
      <c r="C22" s="111"/>
      <c r="D22" s="111" t="s">
        <v>129</v>
      </c>
      <c r="E22" s="111" t="s">
        <v>175</v>
      </c>
      <c r="F22" s="111"/>
      <c r="G22" s="112"/>
      <c r="H22" s="112"/>
      <c r="I22" s="113">
        <v>1100</v>
      </c>
      <c r="J22" s="112"/>
      <c r="K22" s="113">
        <f t="shared" si="0"/>
        <v>1100</v>
      </c>
      <c r="L22" s="113">
        <f>680+750.38</f>
        <v>1430.38</v>
      </c>
      <c r="M22" s="113"/>
      <c r="N22" s="115"/>
      <c r="O22" s="115"/>
      <c r="P22" s="116">
        <v>45.15</v>
      </c>
      <c r="Q22" s="117">
        <f t="shared" si="1"/>
        <v>2485.23</v>
      </c>
      <c r="R22" s="118"/>
      <c r="S22" s="119"/>
      <c r="T22" s="128">
        <f>+Q22*1%</f>
        <v>24.8523</v>
      </c>
      <c r="U22" s="128">
        <f>+Q22*4.9%</f>
        <v>121.77627000000001</v>
      </c>
      <c r="V22" s="119"/>
      <c r="W22" s="119"/>
      <c r="X22" s="120"/>
      <c r="Y22" s="120"/>
      <c r="Z22" s="121"/>
      <c r="AA22" s="121">
        <v>0</v>
      </c>
      <c r="AB22" s="117">
        <f t="shared" si="2"/>
        <v>2338.6014300000002</v>
      </c>
      <c r="AC22" s="122">
        <f t="shared" si="8"/>
        <v>248.52300000000002</v>
      </c>
      <c r="AD22" s="117">
        <f t="shared" si="3"/>
        <v>2090.07843</v>
      </c>
      <c r="AE22" s="123">
        <f t="shared" si="4"/>
        <v>248.52300000000002</v>
      </c>
      <c r="AF22" s="122">
        <v>10.23</v>
      </c>
      <c r="AG22" s="122">
        <f t="shared" si="5"/>
        <v>121.77627000000001</v>
      </c>
      <c r="AH22" s="124">
        <f t="shared" si="6"/>
        <v>2865.75927</v>
      </c>
      <c r="AI22" s="213">
        <v>577.4</v>
      </c>
      <c r="AJ22" s="214">
        <v>1512.68</v>
      </c>
      <c r="AK22" s="125">
        <f t="shared" si="7"/>
        <v>1.5699999999014835E-3</v>
      </c>
      <c r="AL22" s="126"/>
      <c r="AM22" s="126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6" t="s">
        <v>70</v>
      </c>
      <c r="B23" s="111" t="s">
        <v>245</v>
      </c>
      <c r="C23" s="126" t="s">
        <v>303</v>
      </c>
      <c r="D23" s="111" t="s">
        <v>122</v>
      </c>
      <c r="E23" s="126" t="s">
        <v>173</v>
      </c>
      <c r="F23" s="135">
        <v>42432</v>
      </c>
      <c r="G23" s="112"/>
      <c r="H23" s="112"/>
      <c r="I23" s="113">
        <v>513.33000000000004</v>
      </c>
      <c r="J23" s="112"/>
      <c r="K23" s="113">
        <f t="shared" si="0"/>
        <v>513.33000000000004</v>
      </c>
      <c r="L23" s="113"/>
      <c r="M23" s="113"/>
      <c r="N23" s="115"/>
      <c r="O23" s="115"/>
      <c r="P23" s="116">
        <v>45.15</v>
      </c>
      <c r="Q23" s="117">
        <f t="shared" si="1"/>
        <v>468.18000000000006</v>
      </c>
      <c r="R23" s="118"/>
      <c r="S23" s="119"/>
      <c r="T23" s="119">
        <v>0</v>
      </c>
      <c r="U23" s="119"/>
      <c r="V23" s="119"/>
      <c r="W23" s="119"/>
      <c r="X23" s="120"/>
      <c r="Y23" s="120"/>
      <c r="Z23" s="121"/>
      <c r="AA23" s="127">
        <f>797.62</f>
        <v>797.62</v>
      </c>
      <c r="AB23" s="117">
        <f t="shared" si="2"/>
        <v>-329.43999999999994</v>
      </c>
      <c r="AC23" s="122">
        <f t="shared" si="8"/>
        <v>0</v>
      </c>
      <c r="AD23" s="117">
        <f t="shared" si="3"/>
        <v>-329.43999999999994</v>
      </c>
      <c r="AE23" s="123">
        <f t="shared" si="4"/>
        <v>46.818000000000012</v>
      </c>
      <c r="AF23" s="122">
        <v>10.23</v>
      </c>
      <c r="AG23" s="122">
        <f t="shared" si="5"/>
        <v>0</v>
      </c>
      <c r="AH23" s="124">
        <f t="shared" si="6"/>
        <v>525.22800000000007</v>
      </c>
      <c r="AI23" s="213">
        <v>2.75</v>
      </c>
      <c r="AJ23" s="213">
        <v>61.32</v>
      </c>
      <c r="AK23" s="125">
        <f t="shared" si="7"/>
        <v>393.50999999999993</v>
      </c>
      <c r="AL23" s="126"/>
      <c r="AM23" s="126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6" t="s">
        <v>71</v>
      </c>
      <c r="B24" s="126" t="s">
        <v>297</v>
      </c>
      <c r="C24" s="126" t="s">
        <v>254</v>
      </c>
      <c r="D24" s="126"/>
      <c r="E24" s="126" t="s">
        <v>73</v>
      </c>
      <c r="F24" s="129">
        <v>42437</v>
      </c>
      <c r="G24" s="126"/>
      <c r="H24" s="126"/>
      <c r="I24" s="113">
        <v>513.33000000000004</v>
      </c>
      <c r="J24" s="112"/>
      <c r="K24" s="130">
        <f t="shared" si="0"/>
        <v>513.33000000000004</v>
      </c>
      <c r="L24" s="130"/>
      <c r="M24" s="130"/>
      <c r="N24" s="130"/>
      <c r="O24" s="130"/>
      <c r="P24" s="116">
        <v>45.15</v>
      </c>
      <c r="Q24" s="117">
        <f t="shared" si="1"/>
        <v>468.18000000000006</v>
      </c>
      <c r="R24" s="118"/>
      <c r="S24" s="119"/>
      <c r="T24" s="119">
        <v>0</v>
      </c>
      <c r="U24" s="119"/>
      <c r="V24" s="119"/>
      <c r="W24" s="119"/>
      <c r="X24" s="120"/>
      <c r="Y24" s="120"/>
      <c r="Z24" s="121"/>
      <c r="AA24" s="121">
        <v>0</v>
      </c>
      <c r="AB24" s="117">
        <f t="shared" si="2"/>
        <v>468.18000000000006</v>
      </c>
      <c r="AC24" s="122">
        <f t="shared" si="8"/>
        <v>0</v>
      </c>
      <c r="AD24" s="117">
        <f t="shared" si="3"/>
        <v>468.18000000000006</v>
      </c>
      <c r="AE24" s="123">
        <f t="shared" si="4"/>
        <v>46.818000000000012</v>
      </c>
      <c r="AF24" s="122">
        <v>10.23</v>
      </c>
      <c r="AG24" s="122">
        <f t="shared" si="5"/>
        <v>0</v>
      </c>
      <c r="AH24" s="124">
        <f t="shared" si="6"/>
        <v>525.22800000000007</v>
      </c>
      <c r="AI24" s="213">
        <v>482.75</v>
      </c>
      <c r="AJ24" s="213">
        <v>49.3</v>
      </c>
      <c r="AK24" s="125">
        <f t="shared" si="7"/>
        <v>63.869999999999891</v>
      </c>
      <c r="AL24" s="126"/>
      <c r="AM24" s="131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126" t="s">
        <v>92</v>
      </c>
      <c r="B25" s="111" t="s">
        <v>209</v>
      </c>
      <c r="C25" s="111"/>
      <c r="D25" s="111" t="s">
        <v>100</v>
      </c>
      <c r="E25" s="111" t="s">
        <v>161</v>
      </c>
      <c r="F25" s="111"/>
      <c r="G25" s="111"/>
      <c r="H25" s="111"/>
      <c r="I25" s="130">
        <v>739.23</v>
      </c>
      <c r="J25" s="111"/>
      <c r="K25" s="113">
        <f t="shared" si="0"/>
        <v>739.23</v>
      </c>
      <c r="L25" s="113">
        <f>2572.05+13.09</f>
        <v>2585.1400000000003</v>
      </c>
      <c r="M25" s="113"/>
      <c r="N25" s="113"/>
      <c r="O25" s="113"/>
      <c r="P25" s="116">
        <v>45.15</v>
      </c>
      <c r="Q25" s="117">
        <f t="shared" si="1"/>
        <v>3279.2200000000003</v>
      </c>
      <c r="R25" s="118"/>
      <c r="S25" s="119"/>
      <c r="T25" s="119">
        <v>0</v>
      </c>
      <c r="U25" s="119"/>
      <c r="V25" s="119"/>
      <c r="W25" s="119"/>
      <c r="X25" s="120"/>
      <c r="Y25" s="120"/>
      <c r="Z25" s="121"/>
      <c r="AA25" s="121">
        <v>0</v>
      </c>
      <c r="AB25" s="117">
        <f t="shared" si="2"/>
        <v>3279.2200000000003</v>
      </c>
      <c r="AC25" s="122">
        <f t="shared" si="8"/>
        <v>327.92200000000003</v>
      </c>
      <c r="AD25" s="117">
        <f t="shared" si="3"/>
        <v>2951.2980000000002</v>
      </c>
      <c r="AE25" s="123">
        <f t="shared" si="4"/>
        <v>327.92200000000003</v>
      </c>
      <c r="AF25" s="122">
        <v>10.23</v>
      </c>
      <c r="AG25" s="122">
        <f t="shared" si="5"/>
        <v>0</v>
      </c>
      <c r="AH25" s="124">
        <f t="shared" si="6"/>
        <v>3617.3720000000003</v>
      </c>
      <c r="AI25" s="213">
        <v>577.4</v>
      </c>
      <c r="AJ25" s="214">
        <v>2373.9</v>
      </c>
      <c r="AK25" s="125">
        <f t="shared" si="7"/>
        <v>1.9999999999527063E-3</v>
      </c>
      <c r="AL25" s="126"/>
      <c r="AM25" s="126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40" customFormat="1">
      <c r="A26" s="126" t="s">
        <v>70</v>
      </c>
      <c r="B26" s="111" t="s">
        <v>220</v>
      </c>
      <c r="C26" s="126" t="s">
        <v>303</v>
      </c>
      <c r="D26" s="111" t="s">
        <v>121</v>
      </c>
      <c r="E26" s="111" t="s">
        <v>173</v>
      </c>
      <c r="F26" s="135">
        <v>42304</v>
      </c>
      <c r="G26" s="112"/>
      <c r="H26" s="112"/>
      <c r="I26" s="113">
        <v>513.33000000000004</v>
      </c>
      <c r="J26" s="112"/>
      <c r="K26" s="113">
        <f t="shared" si="0"/>
        <v>513.33000000000004</v>
      </c>
      <c r="L26" s="130">
        <v>1026.49</v>
      </c>
      <c r="M26" s="113"/>
      <c r="N26" s="115"/>
      <c r="O26" s="115"/>
      <c r="P26" s="116">
        <v>45.15</v>
      </c>
      <c r="Q26" s="117">
        <f t="shared" si="1"/>
        <v>1494.67</v>
      </c>
      <c r="R26" s="118"/>
      <c r="S26" s="119"/>
      <c r="T26" s="119">
        <v>0</v>
      </c>
      <c r="U26" s="119"/>
      <c r="V26" s="119"/>
      <c r="W26" s="119"/>
      <c r="X26" s="120"/>
      <c r="Y26" s="120"/>
      <c r="Z26" s="121"/>
      <c r="AA26" s="121">
        <v>0</v>
      </c>
      <c r="AB26" s="117">
        <f t="shared" si="2"/>
        <v>1494.67</v>
      </c>
      <c r="AC26" s="122">
        <f t="shared" si="8"/>
        <v>0</v>
      </c>
      <c r="AD26" s="117">
        <f t="shared" si="3"/>
        <v>1494.67</v>
      </c>
      <c r="AE26" s="123">
        <f t="shared" si="4"/>
        <v>149.46700000000001</v>
      </c>
      <c r="AF26" s="122">
        <v>10.23</v>
      </c>
      <c r="AG26" s="122">
        <f t="shared" si="5"/>
        <v>0</v>
      </c>
      <c r="AH26" s="124">
        <f t="shared" si="6"/>
        <v>1654.3670000000002</v>
      </c>
      <c r="AI26" s="213">
        <v>577.4</v>
      </c>
      <c r="AJ26" s="213">
        <v>917.27</v>
      </c>
      <c r="AK26" s="125">
        <f t="shared" si="7"/>
        <v>0</v>
      </c>
      <c r="AL26" s="126"/>
      <c r="AM26" s="126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39" customFormat="1">
      <c r="A27" s="126" t="s">
        <v>92</v>
      </c>
      <c r="B27" s="111" t="s">
        <v>240</v>
      </c>
      <c r="C27" s="111"/>
      <c r="D27" s="111" t="s">
        <v>114</v>
      </c>
      <c r="E27" s="111" t="s">
        <v>167</v>
      </c>
      <c r="F27" s="111"/>
      <c r="G27" s="111"/>
      <c r="H27" s="111"/>
      <c r="I27" s="113">
        <v>1100</v>
      </c>
      <c r="J27" s="111"/>
      <c r="K27" s="113">
        <f t="shared" si="0"/>
        <v>1100</v>
      </c>
      <c r="L27" s="113">
        <f>856.06+2.59</f>
        <v>858.65</v>
      </c>
      <c r="M27" s="113"/>
      <c r="N27" s="113"/>
      <c r="O27" s="113"/>
      <c r="P27" s="116">
        <v>45.15</v>
      </c>
      <c r="Q27" s="117">
        <f t="shared" si="1"/>
        <v>1913.5</v>
      </c>
      <c r="R27" s="118"/>
      <c r="S27" s="119"/>
      <c r="T27" s="119">
        <v>0</v>
      </c>
      <c r="U27" s="119"/>
      <c r="V27" s="119"/>
      <c r="W27" s="119"/>
      <c r="X27" s="120"/>
      <c r="Y27" s="120"/>
      <c r="Z27" s="121"/>
      <c r="AA27" s="121">
        <v>0</v>
      </c>
      <c r="AB27" s="117">
        <f t="shared" si="2"/>
        <v>1913.5</v>
      </c>
      <c r="AC27" s="122">
        <f t="shared" si="8"/>
        <v>0</v>
      </c>
      <c r="AD27" s="117">
        <f t="shared" si="3"/>
        <v>1913.5</v>
      </c>
      <c r="AE27" s="123">
        <f t="shared" si="4"/>
        <v>191.35000000000002</v>
      </c>
      <c r="AF27" s="122">
        <v>10.23</v>
      </c>
      <c r="AG27" s="122">
        <f t="shared" si="5"/>
        <v>0</v>
      </c>
      <c r="AH27" s="124">
        <f t="shared" si="6"/>
        <v>2115.08</v>
      </c>
      <c r="AI27" s="213">
        <v>577.4</v>
      </c>
      <c r="AJ27" s="214">
        <v>1336.1</v>
      </c>
      <c r="AK27" s="125">
        <f t="shared" si="7"/>
        <v>0</v>
      </c>
      <c r="AL27" s="126"/>
      <c r="AM27" s="126"/>
    </row>
    <row r="28" spans="1:193">
      <c r="A28" s="126" t="s">
        <v>69</v>
      </c>
      <c r="B28" s="111" t="s">
        <v>227</v>
      </c>
      <c r="C28" s="111"/>
      <c r="D28" s="111" t="s">
        <v>112</v>
      </c>
      <c r="E28" s="111" t="s">
        <v>169</v>
      </c>
      <c r="F28" s="111"/>
      <c r="G28" s="111"/>
      <c r="H28" s="111"/>
      <c r="I28" s="113">
        <v>933.33</v>
      </c>
      <c r="J28" s="111"/>
      <c r="K28" s="113">
        <f t="shared" si="0"/>
        <v>933.33</v>
      </c>
      <c r="L28" s="113">
        <v>550</v>
      </c>
      <c r="M28" s="113"/>
      <c r="O28" s="113"/>
      <c r="P28" s="116">
        <v>45.15</v>
      </c>
      <c r="Q28" s="117">
        <f t="shared" si="1"/>
        <v>1438.1799999999998</v>
      </c>
      <c r="R28" s="118"/>
      <c r="S28" s="128">
        <v>58.91</v>
      </c>
      <c r="T28" s="119">
        <v>0</v>
      </c>
      <c r="U28" s="119"/>
      <c r="V28" s="119"/>
      <c r="W28" s="119"/>
      <c r="X28" s="120"/>
      <c r="Y28" s="120"/>
      <c r="Z28" s="121"/>
      <c r="AA28" s="121">
        <v>0</v>
      </c>
      <c r="AB28" s="117">
        <f t="shared" si="2"/>
        <v>1379.2699999999998</v>
      </c>
      <c r="AC28" s="122">
        <f t="shared" si="8"/>
        <v>0</v>
      </c>
      <c r="AD28" s="117">
        <f t="shared" si="3"/>
        <v>1379.2699999999998</v>
      </c>
      <c r="AE28" s="123">
        <f t="shared" si="4"/>
        <v>143.81799999999998</v>
      </c>
      <c r="AF28" s="122">
        <v>10.23</v>
      </c>
      <c r="AG28" s="122">
        <f t="shared" si="5"/>
        <v>0</v>
      </c>
      <c r="AH28" s="124">
        <f t="shared" si="6"/>
        <v>1592.2279999999998</v>
      </c>
      <c r="AI28" s="213">
        <v>577.4</v>
      </c>
      <c r="AJ28" s="213">
        <v>801.87</v>
      </c>
      <c r="AK28" s="125">
        <f t="shared" si="7"/>
        <v>0</v>
      </c>
      <c r="AL28" s="126"/>
      <c r="AM28" s="126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6" t="s">
        <v>253</v>
      </c>
      <c r="B29" s="111" t="s">
        <v>207</v>
      </c>
      <c r="C29" s="111"/>
      <c r="D29" s="111" t="s">
        <v>115</v>
      </c>
      <c r="E29" s="111" t="s">
        <v>171</v>
      </c>
      <c r="F29" s="111"/>
      <c r="G29" s="111"/>
      <c r="H29" s="136"/>
      <c r="I29" s="113">
        <v>577.38</v>
      </c>
      <c r="J29" s="137">
        <v>1047.6199999999999</v>
      </c>
      <c r="K29" s="113">
        <f t="shared" si="0"/>
        <v>1625</v>
      </c>
      <c r="L29" s="113"/>
      <c r="M29" s="113"/>
      <c r="N29" s="113"/>
      <c r="O29" s="113"/>
      <c r="P29" s="116">
        <v>45.15</v>
      </c>
      <c r="Q29" s="117">
        <f t="shared" si="1"/>
        <v>1579.85</v>
      </c>
      <c r="R29" s="118"/>
      <c r="S29" s="119"/>
      <c r="T29" s="128">
        <v>200</v>
      </c>
      <c r="U29" s="119"/>
      <c r="V29" s="119"/>
      <c r="W29" s="119"/>
      <c r="X29" s="120"/>
      <c r="Y29" s="133">
        <v>168.06</v>
      </c>
      <c r="Z29" s="121"/>
      <c r="AA29" s="121">
        <v>0</v>
      </c>
      <c r="AB29" s="117">
        <f t="shared" si="2"/>
        <v>1211.79</v>
      </c>
      <c r="AC29" s="122">
        <f t="shared" si="8"/>
        <v>0</v>
      </c>
      <c r="AD29" s="117">
        <f t="shared" si="3"/>
        <v>1211.79</v>
      </c>
      <c r="AE29" s="123">
        <f t="shared" si="4"/>
        <v>157.98500000000001</v>
      </c>
      <c r="AF29" s="122">
        <v>10.23</v>
      </c>
      <c r="AG29" s="122">
        <f t="shared" si="5"/>
        <v>0</v>
      </c>
      <c r="AH29" s="124">
        <f t="shared" si="6"/>
        <v>1748.0650000000001</v>
      </c>
      <c r="AI29" s="213">
        <v>409.34</v>
      </c>
      <c r="AJ29" s="213">
        <v>802.45</v>
      </c>
      <c r="AK29" s="125">
        <f t="shared" si="7"/>
        <v>0</v>
      </c>
      <c r="AL29" s="126"/>
      <c r="AM29" s="126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 s="40" customFormat="1">
      <c r="A30" s="126" t="s">
        <v>94</v>
      </c>
      <c r="B30" s="111" t="s">
        <v>231</v>
      </c>
      <c r="C30" s="111"/>
      <c r="D30" s="111" t="s">
        <v>130</v>
      </c>
      <c r="E30" s="111" t="s">
        <v>181</v>
      </c>
      <c r="F30" s="111"/>
      <c r="G30" s="112"/>
      <c r="H30" s="112"/>
      <c r="I30" s="113">
        <v>608.16</v>
      </c>
      <c r="J30" s="112"/>
      <c r="K30" s="113">
        <f t="shared" si="0"/>
        <v>608.16</v>
      </c>
      <c r="L30" s="113">
        <f>2850.12+2.59+2057.88</f>
        <v>4910.59</v>
      </c>
      <c r="M30" s="113"/>
      <c r="N30" s="115"/>
      <c r="O30" s="115"/>
      <c r="P30" s="116">
        <v>45.15</v>
      </c>
      <c r="Q30" s="117">
        <f t="shared" si="1"/>
        <v>5473.6</v>
      </c>
      <c r="R30" s="118"/>
      <c r="S30" s="119"/>
      <c r="T30" s="128">
        <v>500</v>
      </c>
      <c r="U30" s="128">
        <f>Q30*4.9%</f>
        <v>268.20640000000003</v>
      </c>
      <c r="V30" s="128">
        <f>Q30*1%</f>
        <v>54.736000000000004</v>
      </c>
      <c r="W30" s="119"/>
      <c r="X30" s="120"/>
      <c r="Y30" s="120"/>
      <c r="Z30" s="121"/>
      <c r="AA30" s="121">
        <v>0</v>
      </c>
      <c r="AB30" s="117">
        <f t="shared" si="2"/>
        <v>4650.6576000000005</v>
      </c>
      <c r="AC30" s="122">
        <f t="shared" si="8"/>
        <v>547.36</v>
      </c>
      <c r="AD30" s="117">
        <f t="shared" si="3"/>
        <v>4103.2976000000008</v>
      </c>
      <c r="AE30" s="123">
        <f t="shared" si="4"/>
        <v>0</v>
      </c>
      <c r="AF30" s="122">
        <v>10.23</v>
      </c>
      <c r="AG30" s="122">
        <f t="shared" si="5"/>
        <v>268.20640000000003</v>
      </c>
      <c r="AH30" s="124">
        <f t="shared" si="6"/>
        <v>5752.0364</v>
      </c>
      <c r="AI30" s="213">
        <v>577.4</v>
      </c>
      <c r="AJ30" s="214">
        <v>3525.9</v>
      </c>
      <c r="AK30" s="125">
        <f t="shared" si="7"/>
        <v>2.3999999993975507E-3</v>
      </c>
      <c r="AL30" s="126"/>
      <c r="AM30" s="126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6" t="s">
        <v>94</v>
      </c>
      <c r="B31" s="111" t="s">
        <v>229</v>
      </c>
      <c r="C31" s="111"/>
      <c r="D31" s="111" t="s">
        <v>131</v>
      </c>
      <c r="E31" s="111" t="s">
        <v>181</v>
      </c>
      <c r="F31" s="111"/>
      <c r="G31" s="112"/>
      <c r="H31" s="112"/>
      <c r="I31" s="113">
        <v>608.16</v>
      </c>
      <c r="J31" s="112"/>
      <c r="K31" s="113">
        <f t="shared" si="0"/>
        <v>608.16</v>
      </c>
      <c r="L31" s="113">
        <f>4287.48+2.97+2703.09</f>
        <v>6993.54</v>
      </c>
      <c r="M31" s="113"/>
      <c r="N31" s="115"/>
      <c r="O31" s="115"/>
      <c r="P31" s="116">
        <v>45.15</v>
      </c>
      <c r="Q31" s="117">
        <f t="shared" si="1"/>
        <v>7556.55</v>
      </c>
      <c r="R31" s="118"/>
      <c r="S31" s="119"/>
      <c r="T31" s="128">
        <v>1000</v>
      </c>
      <c r="U31" s="128">
        <f>Q31*4.9%</f>
        <v>370.27095000000003</v>
      </c>
      <c r="V31" s="128">
        <f>Q31*1%</f>
        <v>75.5655</v>
      </c>
      <c r="W31" s="128">
        <v>300</v>
      </c>
      <c r="X31" s="120"/>
      <c r="Y31" s="120"/>
      <c r="Z31" s="132"/>
      <c r="AA31" s="121">
        <v>0</v>
      </c>
      <c r="AB31" s="117">
        <f t="shared" si="2"/>
        <v>5810.7135500000004</v>
      </c>
      <c r="AC31" s="122">
        <f t="shared" si="8"/>
        <v>755.65500000000009</v>
      </c>
      <c r="AD31" s="117">
        <f t="shared" si="3"/>
        <v>5055.0585500000007</v>
      </c>
      <c r="AE31" s="123">
        <f t="shared" si="4"/>
        <v>0</v>
      </c>
      <c r="AF31" s="122">
        <v>10.23</v>
      </c>
      <c r="AG31" s="122">
        <f t="shared" si="5"/>
        <v>370.27095000000003</v>
      </c>
      <c r="AH31" s="124">
        <f t="shared" si="6"/>
        <v>7937.0509499999998</v>
      </c>
      <c r="AI31" s="213">
        <v>577.4</v>
      </c>
      <c r="AJ31" s="214">
        <v>4477.66</v>
      </c>
      <c r="AK31" s="125">
        <f t="shared" si="7"/>
        <v>1.4499999988402124E-3</v>
      </c>
      <c r="AL31" s="126"/>
      <c r="AM31" s="126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6" t="s">
        <v>91</v>
      </c>
      <c r="B32" s="111" t="s">
        <v>236</v>
      </c>
      <c r="C32" s="111"/>
      <c r="D32" s="111" t="s">
        <v>98</v>
      </c>
      <c r="E32" s="111" t="s">
        <v>72</v>
      </c>
      <c r="F32" s="111"/>
      <c r="G32" s="111"/>
      <c r="H32" s="111"/>
      <c r="I32" s="113">
        <v>1166.26</v>
      </c>
      <c r="J32" s="114"/>
      <c r="K32" s="113">
        <f t="shared" si="0"/>
        <v>1166.26</v>
      </c>
      <c r="L32" s="113">
        <v>1293.27</v>
      </c>
      <c r="M32" s="113"/>
      <c r="N32" s="113"/>
      <c r="O32" s="113"/>
      <c r="P32" s="116">
        <v>45.15</v>
      </c>
      <c r="Q32" s="117">
        <f t="shared" si="1"/>
        <v>2414.3799999999997</v>
      </c>
      <c r="R32" s="118"/>
      <c r="S32" s="170"/>
      <c r="T32" s="119">
        <v>0</v>
      </c>
      <c r="U32" s="119"/>
      <c r="V32" s="119"/>
      <c r="W32" s="119"/>
      <c r="X32" s="120"/>
      <c r="Y32" s="120"/>
      <c r="Z32" s="121"/>
      <c r="AA32" s="121">
        <v>0</v>
      </c>
      <c r="AB32" s="117">
        <f t="shared" si="2"/>
        <v>2414.3799999999997</v>
      </c>
      <c r="AC32" s="122">
        <f t="shared" si="8"/>
        <v>241.43799999999999</v>
      </c>
      <c r="AD32" s="117">
        <f t="shared" si="3"/>
        <v>2172.9419999999996</v>
      </c>
      <c r="AE32" s="123">
        <f t="shared" si="4"/>
        <v>241.43799999999999</v>
      </c>
      <c r="AF32" s="122">
        <v>10.23</v>
      </c>
      <c r="AG32" s="122">
        <f t="shared" si="5"/>
        <v>0</v>
      </c>
      <c r="AH32" s="124">
        <f t="shared" si="6"/>
        <v>2666.0479999999998</v>
      </c>
      <c r="AI32" s="213">
        <v>577.4</v>
      </c>
      <c r="AJ32" s="214">
        <v>1595.54</v>
      </c>
      <c r="AK32" s="125">
        <f t="shared" si="7"/>
        <v>-1.9999999994979589E-3</v>
      </c>
      <c r="AL32" s="126"/>
      <c r="AM32" s="126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39" customFormat="1">
      <c r="A33" s="126" t="s">
        <v>92</v>
      </c>
      <c r="B33" s="126" t="s">
        <v>314</v>
      </c>
      <c r="C33" s="126"/>
      <c r="D33" s="126"/>
      <c r="E33" s="126" t="s">
        <v>315</v>
      </c>
      <c r="F33" s="129">
        <v>42457</v>
      </c>
      <c r="G33" s="126"/>
      <c r="H33" s="126"/>
      <c r="I33" s="130">
        <v>1100</v>
      </c>
      <c r="J33" s="138"/>
      <c r="K33" s="113">
        <f t="shared" si="0"/>
        <v>1100</v>
      </c>
      <c r="L33" s="130"/>
      <c r="M33" s="130"/>
      <c r="N33" s="130"/>
      <c r="O33" s="130"/>
      <c r="P33" s="116">
        <v>45.15</v>
      </c>
      <c r="Q33" s="117">
        <f t="shared" si="1"/>
        <v>1054.8499999999999</v>
      </c>
      <c r="R33" s="118"/>
      <c r="S33" s="170"/>
      <c r="T33" s="170">
        <v>0</v>
      </c>
      <c r="U33" s="170"/>
      <c r="V33" s="170"/>
      <c r="W33" s="170"/>
      <c r="X33" s="171"/>
      <c r="Y33" s="171"/>
      <c r="Z33" s="156"/>
      <c r="AA33" s="156">
        <v>0</v>
      </c>
      <c r="AB33" s="117">
        <f t="shared" si="2"/>
        <v>1054.8499999999999</v>
      </c>
      <c r="AC33" s="122">
        <f t="shared" si="8"/>
        <v>0</v>
      </c>
      <c r="AD33" s="117">
        <f t="shared" si="3"/>
        <v>1054.8499999999999</v>
      </c>
      <c r="AE33" s="123">
        <f t="shared" si="4"/>
        <v>105.485</v>
      </c>
      <c r="AF33" s="122">
        <v>10.23</v>
      </c>
      <c r="AG33" s="122">
        <f t="shared" ref="AG33" si="9">+U33</f>
        <v>0</v>
      </c>
      <c r="AH33" s="124">
        <f t="shared" ref="AH33" si="10">+Q33+AE33+AF33+AG33</f>
        <v>1170.5649999999998</v>
      </c>
      <c r="AI33" s="213">
        <v>577.4</v>
      </c>
      <c r="AJ33" s="213">
        <v>477.45</v>
      </c>
      <c r="AK33" s="125">
        <f t="shared" si="7"/>
        <v>0</v>
      </c>
      <c r="AL33" s="126"/>
      <c r="AM33" s="126"/>
    </row>
    <row r="34" spans="1:193" s="39" customFormat="1">
      <c r="A34" s="126" t="s">
        <v>71</v>
      </c>
      <c r="B34" s="126" t="s">
        <v>204</v>
      </c>
      <c r="C34" s="126" t="s">
        <v>249</v>
      </c>
      <c r="D34" s="126"/>
      <c r="E34" s="126" t="s">
        <v>73</v>
      </c>
      <c r="F34" s="129">
        <v>42415</v>
      </c>
      <c r="G34" s="126"/>
      <c r="H34" s="126"/>
      <c r="I34" s="130">
        <v>513.33000000000004</v>
      </c>
      <c r="J34" s="138"/>
      <c r="K34" s="130">
        <f t="shared" si="0"/>
        <v>513.33000000000004</v>
      </c>
      <c r="L34" s="130"/>
      <c r="M34" s="130"/>
      <c r="N34" s="130"/>
      <c r="O34" s="130"/>
      <c r="P34" s="116">
        <v>45.15</v>
      </c>
      <c r="Q34" s="117">
        <f t="shared" si="1"/>
        <v>468.18000000000006</v>
      </c>
      <c r="R34" s="118"/>
      <c r="S34" s="170"/>
      <c r="T34" s="170">
        <v>0</v>
      </c>
      <c r="U34" s="170"/>
      <c r="V34" s="170"/>
      <c r="W34" s="170"/>
      <c r="X34" s="171"/>
      <c r="Y34" s="171"/>
      <c r="Z34" s="156"/>
      <c r="AA34" s="156">
        <v>0</v>
      </c>
      <c r="AB34" s="117">
        <f t="shared" si="2"/>
        <v>468.18000000000006</v>
      </c>
      <c r="AC34" s="122">
        <f t="shared" si="8"/>
        <v>0</v>
      </c>
      <c r="AD34" s="117">
        <f t="shared" si="3"/>
        <v>468.18000000000006</v>
      </c>
      <c r="AE34" s="123">
        <f t="shared" si="4"/>
        <v>46.818000000000012</v>
      </c>
      <c r="AF34" s="122">
        <v>10.23</v>
      </c>
      <c r="AG34" s="122">
        <f t="shared" si="5"/>
        <v>0</v>
      </c>
      <c r="AH34" s="124">
        <f t="shared" si="6"/>
        <v>525.22800000000007</v>
      </c>
      <c r="AI34" s="213">
        <v>482.75</v>
      </c>
      <c r="AJ34" s="213">
        <v>49.3</v>
      </c>
      <c r="AK34" s="125">
        <f t="shared" si="7"/>
        <v>63.869999999999891</v>
      </c>
      <c r="AL34" s="126"/>
      <c r="AM34" s="126"/>
    </row>
    <row r="35" spans="1:193" s="39" customFormat="1">
      <c r="A35" s="126" t="s">
        <v>71</v>
      </c>
      <c r="B35" s="126" t="s">
        <v>226</v>
      </c>
      <c r="C35" s="126" t="s">
        <v>249</v>
      </c>
      <c r="D35" s="126" t="s">
        <v>148</v>
      </c>
      <c r="E35" s="126" t="s">
        <v>73</v>
      </c>
      <c r="F35" s="129">
        <v>41906</v>
      </c>
      <c r="G35" s="126"/>
      <c r="H35" s="126"/>
      <c r="I35" s="130">
        <v>513.33000000000004</v>
      </c>
      <c r="J35" s="126"/>
      <c r="K35" s="130">
        <f t="shared" si="0"/>
        <v>513.33000000000004</v>
      </c>
      <c r="L35" s="130">
        <v>748</v>
      </c>
      <c r="M35" s="130"/>
      <c r="O35" s="130"/>
      <c r="P35" s="116">
        <v>45.15</v>
      </c>
      <c r="Q35" s="117">
        <f t="shared" si="1"/>
        <v>1216.1799999999998</v>
      </c>
      <c r="R35" s="118"/>
      <c r="S35" s="128">
        <v>58.91</v>
      </c>
      <c r="T35" s="170">
        <v>0</v>
      </c>
      <c r="U35" s="170"/>
      <c r="V35" s="170"/>
      <c r="W35" s="170"/>
      <c r="X35" s="171"/>
      <c r="Y35" s="171"/>
      <c r="Z35" s="156"/>
      <c r="AA35" s="127">
        <v>349.07</v>
      </c>
      <c r="AB35" s="117">
        <f t="shared" si="2"/>
        <v>808.19999999999982</v>
      </c>
      <c r="AC35" s="122">
        <f t="shared" si="8"/>
        <v>0</v>
      </c>
      <c r="AD35" s="117">
        <f t="shared" si="3"/>
        <v>808.19999999999982</v>
      </c>
      <c r="AE35" s="123">
        <f t="shared" si="4"/>
        <v>121.61799999999999</v>
      </c>
      <c r="AF35" s="122">
        <v>10.23</v>
      </c>
      <c r="AG35" s="122">
        <f t="shared" si="5"/>
        <v>0</v>
      </c>
      <c r="AH35" s="124">
        <f t="shared" si="6"/>
        <v>1348.0279999999998</v>
      </c>
      <c r="AI35" s="213">
        <v>228.33</v>
      </c>
      <c r="AJ35" s="213">
        <v>579.87</v>
      </c>
      <c r="AK35" s="125">
        <f t="shared" si="7"/>
        <v>0</v>
      </c>
      <c r="AL35" s="126"/>
      <c r="AM35" s="126"/>
    </row>
    <row r="36" spans="1:193" s="39" customFormat="1">
      <c r="A36" s="126" t="s">
        <v>94</v>
      </c>
      <c r="B36" s="126" t="s">
        <v>298</v>
      </c>
      <c r="C36" s="126"/>
      <c r="D36" s="126"/>
      <c r="E36" s="126" t="s">
        <v>174</v>
      </c>
      <c r="F36" s="129">
        <v>42431</v>
      </c>
      <c r="G36" s="126"/>
      <c r="H36" s="126"/>
      <c r="I36" s="130">
        <v>508.38</v>
      </c>
      <c r="J36" s="126"/>
      <c r="K36" s="130">
        <f t="shared" si="0"/>
        <v>508.38</v>
      </c>
      <c r="L36" s="130">
        <v>283.27999999999997</v>
      </c>
      <c r="M36" s="130"/>
      <c r="N36" s="130"/>
      <c r="O36" s="130"/>
      <c r="P36" s="116">
        <v>45.15</v>
      </c>
      <c r="Q36" s="117">
        <f t="shared" si="1"/>
        <v>746.51</v>
      </c>
      <c r="R36" s="118"/>
      <c r="S36" s="119"/>
      <c r="T36" s="119">
        <v>0</v>
      </c>
      <c r="U36" s="119"/>
      <c r="V36" s="119"/>
      <c r="W36" s="119"/>
      <c r="X36" s="120"/>
      <c r="Y36" s="120"/>
      <c r="Z36" s="121"/>
      <c r="AA36" s="121">
        <v>0</v>
      </c>
      <c r="AB36" s="117">
        <f t="shared" si="2"/>
        <v>746.51</v>
      </c>
      <c r="AC36" s="122">
        <f t="shared" si="8"/>
        <v>0</v>
      </c>
      <c r="AD36" s="117">
        <f t="shared" si="3"/>
        <v>746.51</v>
      </c>
      <c r="AE36" s="123">
        <f t="shared" si="4"/>
        <v>74.650999999999996</v>
      </c>
      <c r="AF36" s="122">
        <v>10.23</v>
      </c>
      <c r="AG36" s="122">
        <f t="shared" si="5"/>
        <v>0</v>
      </c>
      <c r="AH36" s="124">
        <f t="shared" si="6"/>
        <v>831.39099999999996</v>
      </c>
      <c r="AI36" s="213">
        <v>577.4</v>
      </c>
      <c r="AJ36" s="213">
        <v>169.11</v>
      </c>
      <c r="AK36" s="125">
        <f t="shared" si="7"/>
        <v>0</v>
      </c>
      <c r="AL36" s="126"/>
      <c r="AM36" s="139"/>
      <c r="AN36" s="103"/>
    </row>
    <row r="37" spans="1:193" s="39" customFormat="1">
      <c r="A37" s="126" t="s">
        <v>71</v>
      </c>
      <c r="B37" s="126" t="s">
        <v>223</v>
      </c>
      <c r="C37" s="126" t="s">
        <v>249</v>
      </c>
      <c r="D37" s="126" t="s">
        <v>149</v>
      </c>
      <c r="E37" s="126" t="s">
        <v>73</v>
      </c>
      <c r="F37" s="129">
        <v>42213</v>
      </c>
      <c r="G37" s="126"/>
      <c r="H37" s="126"/>
      <c r="I37" s="130">
        <v>513.33000000000004</v>
      </c>
      <c r="J37" s="126"/>
      <c r="K37" s="130">
        <f t="shared" si="0"/>
        <v>513.33000000000004</v>
      </c>
      <c r="L37" s="130">
        <v>2251.39</v>
      </c>
      <c r="M37" s="130"/>
      <c r="N37" s="130"/>
      <c r="O37" s="130"/>
      <c r="P37" s="116">
        <v>45.15</v>
      </c>
      <c r="Q37" s="117">
        <f t="shared" si="1"/>
        <v>2719.5699999999997</v>
      </c>
      <c r="R37" s="118"/>
      <c r="S37" s="128">
        <v>58.91</v>
      </c>
      <c r="T37" s="170">
        <v>0</v>
      </c>
      <c r="U37" s="170"/>
      <c r="V37" s="170"/>
      <c r="W37" s="170"/>
      <c r="X37" s="171"/>
      <c r="Y37" s="171"/>
      <c r="Z37" s="156"/>
      <c r="AA37" s="156">
        <v>0</v>
      </c>
      <c r="AB37" s="117">
        <f t="shared" si="2"/>
        <v>2660.66</v>
      </c>
      <c r="AC37" s="122">
        <f t="shared" si="8"/>
        <v>271.95699999999999</v>
      </c>
      <c r="AD37" s="117">
        <f t="shared" si="3"/>
        <v>2388.703</v>
      </c>
      <c r="AE37" s="123">
        <f t="shared" si="4"/>
        <v>271.95699999999999</v>
      </c>
      <c r="AF37" s="122">
        <v>10.23</v>
      </c>
      <c r="AG37" s="122">
        <f t="shared" si="5"/>
        <v>0</v>
      </c>
      <c r="AH37" s="124">
        <f t="shared" si="6"/>
        <v>3001.7569999999996</v>
      </c>
      <c r="AI37" s="213">
        <v>577.4</v>
      </c>
      <c r="AJ37" s="214">
        <v>1811.3</v>
      </c>
      <c r="AK37" s="125">
        <f t="shared" si="7"/>
        <v>-3.0000000001564331E-3</v>
      </c>
      <c r="AL37" s="126"/>
      <c r="AM37" s="126"/>
    </row>
    <row r="38" spans="1:193" s="39" customFormat="1">
      <c r="A38" s="126" t="s">
        <v>71</v>
      </c>
      <c r="B38" s="126" t="s">
        <v>250</v>
      </c>
      <c r="C38" s="126" t="s">
        <v>249</v>
      </c>
      <c r="D38" s="144"/>
      <c r="E38" s="126" t="s">
        <v>73</v>
      </c>
      <c r="F38" s="129">
        <v>42240</v>
      </c>
      <c r="G38" s="126"/>
      <c r="H38" s="126"/>
      <c r="I38" s="130"/>
      <c r="J38" s="126"/>
      <c r="K38" s="130">
        <v>586.66</v>
      </c>
      <c r="L38" s="130">
        <v>5442.14</v>
      </c>
      <c r="M38" s="130"/>
      <c r="O38" s="130"/>
      <c r="P38" s="116">
        <v>45.15</v>
      </c>
      <c r="Q38" s="117">
        <f t="shared" si="1"/>
        <v>5983.6500000000005</v>
      </c>
      <c r="R38" s="118"/>
      <c r="S38" s="128">
        <v>58.91</v>
      </c>
      <c r="T38" s="170"/>
      <c r="U38" s="170"/>
      <c r="V38" s="170"/>
      <c r="W38" s="170"/>
      <c r="X38" s="171"/>
      <c r="Y38" s="171"/>
      <c r="Z38" s="156"/>
      <c r="AA38" s="156">
        <v>0</v>
      </c>
      <c r="AB38" s="117">
        <f t="shared" si="2"/>
        <v>5924.7400000000007</v>
      </c>
      <c r="AC38" s="122">
        <f t="shared" si="8"/>
        <v>598.36500000000012</v>
      </c>
      <c r="AD38" s="117">
        <f t="shared" ref="AD38" si="11">+AB38-AC38</f>
        <v>5326.3750000000009</v>
      </c>
      <c r="AE38" s="123">
        <f t="shared" ref="AE38:AE39" si="12">IF(Q38&lt;3500,Q38*0.1,0)</f>
        <v>0</v>
      </c>
      <c r="AF38" s="122">
        <v>10.23</v>
      </c>
      <c r="AG38" s="122">
        <f t="shared" si="5"/>
        <v>0</v>
      </c>
      <c r="AH38" s="124">
        <f t="shared" si="6"/>
        <v>5993.88</v>
      </c>
      <c r="AI38" s="213">
        <v>577.4</v>
      </c>
      <c r="AJ38" s="214">
        <v>4748.9799999999996</v>
      </c>
      <c r="AK38" s="125">
        <f t="shared" si="7"/>
        <v>4.99999999829015E-3</v>
      </c>
      <c r="AL38" s="126"/>
      <c r="AM38" s="179" t="s">
        <v>329</v>
      </c>
    </row>
    <row r="39" spans="1:193" s="177" customFormat="1">
      <c r="A39" s="127" t="s">
        <v>92</v>
      </c>
      <c r="B39" s="127" t="s">
        <v>324</v>
      </c>
      <c r="C39" s="127"/>
      <c r="D39" s="178"/>
      <c r="E39" s="127" t="s">
        <v>164</v>
      </c>
      <c r="F39" s="173">
        <v>42465</v>
      </c>
      <c r="G39" s="127"/>
      <c r="H39" s="127"/>
      <c r="I39" s="128"/>
      <c r="J39" s="127"/>
      <c r="K39" s="128">
        <v>105.6</v>
      </c>
      <c r="L39" s="128"/>
      <c r="M39" s="128"/>
      <c r="N39" s="128"/>
      <c r="O39" s="128"/>
      <c r="P39" s="180">
        <v>0</v>
      </c>
      <c r="Q39" s="174">
        <f t="shared" si="1"/>
        <v>105.6</v>
      </c>
      <c r="R39" s="128"/>
      <c r="S39" s="128"/>
      <c r="T39" s="128"/>
      <c r="U39" s="128"/>
      <c r="V39" s="128"/>
      <c r="W39" s="128"/>
      <c r="X39" s="133"/>
      <c r="Y39" s="133"/>
      <c r="Z39" s="127"/>
      <c r="AA39" s="127">
        <v>71.03</v>
      </c>
      <c r="AB39" s="174">
        <f t="shared" si="2"/>
        <v>34.569999999999993</v>
      </c>
      <c r="AC39" s="133">
        <f t="shared" ref="AC39" si="13">IF(Q39&gt;2250,Q39*0.1,0)</f>
        <v>0</v>
      </c>
      <c r="AD39" s="174">
        <f t="shared" ref="AD39" si="14">+AB39-AC39</f>
        <v>34.569999999999993</v>
      </c>
      <c r="AE39" s="133">
        <f t="shared" si="12"/>
        <v>10.56</v>
      </c>
      <c r="AF39" s="133">
        <v>10.23</v>
      </c>
      <c r="AG39" s="133">
        <f t="shared" ref="AG39" si="15">+U39</f>
        <v>0</v>
      </c>
      <c r="AH39" s="174">
        <f t="shared" ref="AH39" si="16">+Q39+AE39+AF39+AG39</f>
        <v>126.39</v>
      </c>
      <c r="AI39" s="213">
        <v>34.5</v>
      </c>
      <c r="AJ39" s="213">
        <v>7.0000000000000007E-2</v>
      </c>
      <c r="AK39" s="175">
        <f t="shared" si="7"/>
        <v>0</v>
      </c>
      <c r="AL39" s="127"/>
      <c r="AM39" s="176" t="s">
        <v>321</v>
      </c>
    </row>
    <row r="40" spans="1:193">
      <c r="A40" s="126" t="s">
        <v>92</v>
      </c>
      <c r="B40" s="111" t="s">
        <v>230</v>
      </c>
      <c r="C40" s="111"/>
      <c r="D40" s="111" t="s">
        <v>101</v>
      </c>
      <c r="E40" s="111" t="s">
        <v>162</v>
      </c>
      <c r="F40" s="111"/>
      <c r="G40" s="111"/>
      <c r="H40" s="111"/>
      <c r="I40" s="113">
        <v>739.23</v>
      </c>
      <c r="J40" s="111"/>
      <c r="K40" s="113">
        <f t="shared" ref="K40:K72" si="17">+I40+J40</f>
        <v>739.23</v>
      </c>
      <c r="L40" s="113">
        <f>1556.61+7.42</f>
        <v>1564.03</v>
      </c>
      <c r="M40" s="113"/>
      <c r="N40" s="113"/>
      <c r="O40" s="113"/>
      <c r="P40" s="116">
        <v>45.15</v>
      </c>
      <c r="Q40" s="117">
        <f t="shared" ref="Q40:Q73" si="18">SUM(K40:O40)-P40</f>
        <v>2258.11</v>
      </c>
      <c r="R40" s="118"/>
      <c r="S40" s="119"/>
      <c r="T40" s="119">
        <v>0</v>
      </c>
      <c r="U40" s="119"/>
      <c r="V40" s="119"/>
      <c r="W40" s="119"/>
      <c r="X40" s="120"/>
      <c r="Y40" s="120"/>
      <c r="Z40" s="121"/>
      <c r="AA40" s="156">
        <v>0</v>
      </c>
      <c r="AB40" s="117">
        <f t="shared" ref="AB40:AB73" si="19">+Q40-SUM(R40:AA40)</f>
        <v>2258.11</v>
      </c>
      <c r="AC40" s="122">
        <f t="shared" si="8"/>
        <v>225.81100000000004</v>
      </c>
      <c r="AD40" s="117">
        <f t="shared" ref="AD40:AD73" si="20">+AB40-AC40</f>
        <v>2032.299</v>
      </c>
      <c r="AE40" s="123">
        <f t="shared" ref="AE40:AE73" si="21">IF(Q40&lt;3500,Q40*0.1,0)</f>
        <v>225.81100000000004</v>
      </c>
      <c r="AF40" s="122">
        <v>10.23</v>
      </c>
      <c r="AG40" s="122">
        <f t="shared" ref="AG40:AG72" si="22">+U40</f>
        <v>0</v>
      </c>
      <c r="AH40" s="124">
        <f t="shared" ref="AH40:AH73" si="23">+Q40+AE40+AF40+AG40</f>
        <v>2494.1510000000003</v>
      </c>
      <c r="AI40" s="213">
        <v>577.4</v>
      </c>
      <c r="AJ40" s="214">
        <v>1454.9</v>
      </c>
      <c r="AK40" s="125">
        <f t="shared" si="7"/>
        <v>1.0000000002037268E-3</v>
      </c>
      <c r="AL40" s="126"/>
      <c r="AM40" s="126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</row>
    <row r="41" spans="1:193">
      <c r="A41" s="126" t="s">
        <v>71</v>
      </c>
      <c r="B41" s="111" t="s">
        <v>224</v>
      </c>
      <c r="C41" s="111" t="s">
        <v>251</v>
      </c>
      <c r="D41" s="111" t="s">
        <v>150</v>
      </c>
      <c r="E41" s="111" t="s">
        <v>73</v>
      </c>
      <c r="F41" s="111"/>
      <c r="G41" s="112"/>
      <c r="H41" s="112"/>
      <c r="I41" s="130">
        <v>513.33000000000004</v>
      </c>
      <c r="J41" s="112"/>
      <c r="K41" s="113">
        <f t="shared" si="17"/>
        <v>513.33000000000004</v>
      </c>
      <c r="L41" s="113">
        <v>16663.330000000002</v>
      </c>
      <c r="M41" s="113"/>
      <c r="N41" s="115"/>
      <c r="O41" s="115"/>
      <c r="P41" s="116">
        <v>45.15</v>
      </c>
      <c r="Q41" s="117">
        <f t="shared" si="18"/>
        <v>17131.510000000002</v>
      </c>
      <c r="R41" s="118"/>
      <c r="S41" s="128">
        <v>58.91</v>
      </c>
      <c r="T41" s="119">
        <v>0</v>
      </c>
      <c r="U41" s="119"/>
      <c r="V41" s="119"/>
      <c r="W41" s="119"/>
      <c r="X41" s="120"/>
      <c r="Y41" s="120"/>
      <c r="Z41" s="121"/>
      <c r="AA41" s="156">
        <v>0</v>
      </c>
      <c r="AB41" s="117">
        <f t="shared" si="19"/>
        <v>17072.600000000002</v>
      </c>
      <c r="AC41" s="122">
        <f t="shared" si="8"/>
        <v>1713.1510000000003</v>
      </c>
      <c r="AD41" s="117">
        <f t="shared" si="20"/>
        <v>15359.449000000002</v>
      </c>
      <c r="AE41" s="123">
        <f t="shared" si="21"/>
        <v>0</v>
      </c>
      <c r="AF41" s="122">
        <v>10.23</v>
      </c>
      <c r="AG41" s="122">
        <f t="shared" si="22"/>
        <v>0</v>
      </c>
      <c r="AH41" s="124">
        <f t="shared" si="23"/>
        <v>17141.740000000002</v>
      </c>
      <c r="AI41" s="213">
        <v>577.4</v>
      </c>
      <c r="AJ41" s="214">
        <v>14782.05</v>
      </c>
      <c r="AK41" s="125">
        <f t="shared" si="7"/>
        <v>9.9999999656574801E-4</v>
      </c>
      <c r="AL41" s="126"/>
      <c r="AM41" s="126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126" t="s">
        <v>71</v>
      </c>
      <c r="B42" s="111" t="s">
        <v>255</v>
      </c>
      <c r="C42" s="111" t="s">
        <v>254</v>
      </c>
      <c r="D42" s="111" t="s">
        <v>151</v>
      </c>
      <c r="E42" s="111" t="s">
        <v>73</v>
      </c>
      <c r="F42" s="111"/>
      <c r="G42" s="112"/>
      <c r="H42" s="112"/>
      <c r="I42" s="113">
        <v>513.33000000000004</v>
      </c>
      <c r="J42" s="112"/>
      <c r="K42" s="113">
        <f t="shared" si="17"/>
        <v>513.33000000000004</v>
      </c>
      <c r="L42" s="113">
        <v>579.63</v>
      </c>
      <c r="M42" s="113"/>
      <c r="N42" s="115"/>
      <c r="O42" s="115"/>
      <c r="P42" s="116">
        <v>45.15</v>
      </c>
      <c r="Q42" s="117">
        <f t="shared" si="18"/>
        <v>1047.81</v>
      </c>
      <c r="R42" s="118"/>
      <c r="S42" s="119"/>
      <c r="T42" s="119">
        <v>0</v>
      </c>
      <c r="U42" s="119"/>
      <c r="V42" s="119"/>
      <c r="W42" s="119"/>
      <c r="X42" s="120"/>
      <c r="Y42" s="120"/>
      <c r="Z42" s="121"/>
      <c r="AA42" s="127">
        <v>208.6</v>
      </c>
      <c r="AB42" s="117">
        <f t="shared" si="19"/>
        <v>839.20999999999992</v>
      </c>
      <c r="AC42" s="122">
        <f t="shared" si="8"/>
        <v>0</v>
      </c>
      <c r="AD42" s="117">
        <f t="shared" si="20"/>
        <v>839.20999999999992</v>
      </c>
      <c r="AE42" s="123">
        <f t="shared" si="21"/>
        <v>104.78100000000001</v>
      </c>
      <c r="AF42" s="122">
        <v>10.23</v>
      </c>
      <c r="AG42" s="122">
        <f t="shared" si="22"/>
        <v>0</v>
      </c>
      <c r="AH42" s="124">
        <f t="shared" si="23"/>
        <v>1162.8209999999999</v>
      </c>
      <c r="AI42" s="213">
        <v>368.8</v>
      </c>
      <c r="AJ42" s="213">
        <v>470.41</v>
      </c>
      <c r="AK42" s="125">
        <f t="shared" si="7"/>
        <v>0</v>
      </c>
      <c r="AL42" s="126"/>
      <c r="AM42" s="126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126" t="s">
        <v>70</v>
      </c>
      <c r="B43" s="111" t="s">
        <v>84</v>
      </c>
      <c r="C43" s="126" t="s">
        <v>303</v>
      </c>
      <c r="D43" s="111" t="s">
        <v>123</v>
      </c>
      <c r="E43" s="111" t="s">
        <v>173</v>
      </c>
      <c r="F43" s="111"/>
      <c r="G43" s="112"/>
      <c r="H43" s="112"/>
      <c r="I43" s="113">
        <v>513.33000000000004</v>
      </c>
      <c r="J43" s="112"/>
      <c r="K43" s="113">
        <f t="shared" si="17"/>
        <v>513.33000000000004</v>
      </c>
      <c r="L43" s="115">
        <v>2502.9699999999998</v>
      </c>
      <c r="M43" s="113"/>
      <c r="O43" s="115"/>
      <c r="P43" s="116">
        <v>45.15</v>
      </c>
      <c r="Q43" s="117">
        <f t="shared" si="18"/>
        <v>2971.1499999999996</v>
      </c>
      <c r="R43" s="118"/>
      <c r="S43" s="128">
        <v>58.91</v>
      </c>
      <c r="T43" s="119">
        <v>0</v>
      </c>
      <c r="U43" s="119"/>
      <c r="V43" s="119"/>
      <c r="W43" s="119"/>
      <c r="X43" s="120"/>
      <c r="Y43" s="120"/>
      <c r="Z43" s="121"/>
      <c r="AA43" s="121">
        <v>0</v>
      </c>
      <c r="AB43" s="117">
        <f t="shared" si="19"/>
        <v>2912.24</v>
      </c>
      <c r="AC43" s="122">
        <f t="shared" si="8"/>
        <v>297.11499999999995</v>
      </c>
      <c r="AD43" s="117">
        <f t="shared" si="20"/>
        <v>2615.125</v>
      </c>
      <c r="AE43" s="123">
        <f t="shared" si="21"/>
        <v>297.11499999999995</v>
      </c>
      <c r="AF43" s="122">
        <v>10.23</v>
      </c>
      <c r="AG43" s="122">
        <f t="shared" si="22"/>
        <v>0</v>
      </c>
      <c r="AH43" s="124">
        <f t="shared" si="23"/>
        <v>3278.4949999999994</v>
      </c>
      <c r="AI43" s="213">
        <v>577.4</v>
      </c>
      <c r="AJ43" s="214">
        <v>2037.73</v>
      </c>
      <c r="AK43" s="125">
        <f t="shared" si="7"/>
        <v>5.0000000001091394E-3</v>
      </c>
      <c r="AL43" s="126"/>
      <c r="AM43" s="126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126" t="s">
        <v>71</v>
      </c>
      <c r="B44" s="111" t="s">
        <v>256</v>
      </c>
      <c r="C44" s="111" t="s">
        <v>254</v>
      </c>
      <c r="D44" s="111" t="s">
        <v>152</v>
      </c>
      <c r="E44" s="111" t="s">
        <v>73</v>
      </c>
      <c r="F44" s="111"/>
      <c r="G44" s="112"/>
      <c r="H44" s="112"/>
      <c r="I44" s="113">
        <v>513.33000000000004</v>
      </c>
      <c r="J44" s="112"/>
      <c r="K44" s="113">
        <f t="shared" si="17"/>
        <v>513.33000000000004</v>
      </c>
      <c r="L44" s="113"/>
      <c r="M44" s="113"/>
      <c r="N44" s="115"/>
      <c r="O44" s="115"/>
      <c r="P44" s="116">
        <v>45.15</v>
      </c>
      <c r="Q44" s="117">
        <f t="shared" si="18"/>
        <v>468.18000000000006</v>
      </c>
      <c r="R44" s="118"/>
      <c r="S44" s="119"/>
      <c r="T44" s="119">
        <v>0</v>
      </c>
      <c r="U44" s="119"/>
      <c r="V44" s="119"/>
      <c r="W44" s="119"/>
      <c r="X44" s="120"/>
      <c r="Y44" s="120"/>
      <c r="Z44" s="121"/>
      <c r="AA44" s="121">
        <v>0</v>
      </c>
      <c r="AB44" s="117">
        <f t="shared" si="19"/>
        <v>468.18000000000006</v>
      </c>
      <c r="AC44" s="122">
        <f t="shared" si="8"/>
        <v>0</v>
      </c>
      <c r="AD44" s="117">
        <f t="shared" si="20"/>
        <v>468.18000000000006</v>
      </c>
      <c r="AE44" s="123">
        <f t="shared" si="21"/>
        <v>46.818000000000012</v>
      </c>
      <c r="AF44" s="122">
        <v>10.23</v>
      </c>
      <c r="AG44" s="122">
        <f t="shared" si="22"/>
        <v>0</v>
      </c>
      <c r="AH44" s="124">
        <f t="shared" si="23"/>
        <v>525.22800000000007</v>
      </c>
      <c r="AI44" s="209" t="s">
        <v>317</v>
      </c>
      <c r="AJ44" s="209" t="s">
        <v>318</v>
      </c>
      <c r="AK44" s="125">
        <v>0</v>
      </c>
      <c r="AL44" s="126"/>
      <c r="AM44" s="126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 s="39" customFormat="1">
      <c r="A45" s="126" t="s">
        <v>71</v>
      </c>
      <c r="B45" s="111" t="s">
        <v>262</v>
      </c>
      <c r="C45" s="111"/>
      <c r="D45" s="111" t="s">
        <v>154</v>
      </c>
      <c r="E45" s="111" t="s">
        <v>73</v>
      </c>
      <c r="F45" s="111"/>
      <c r="G45" s="112"/>
      <c r="H45" s="112"/>
      <c r="I45" s="113">
        <v>513.33000000000004</v>
      </c>
      <c r="J45" s="112"/>
      <c r="K45" s="113">
        <f t="shared" si="17"/>
        <v>513.33000000000004</v>
      </c>
      <c r="L45" s="113"/>
      <c r="M45" s="113"/>
      <c r="N45" s="115"/>
      <c r="O45" s="115"/>
      <c r="P45" s="116">
        <v>45.15</v>
      </c>
      <c r="Q45" s="117">
        <f t="shared" si="18"/>
        <v>468.18000000000006</v>
      </c>
      <c r="R45" s="118"/>
      <c r="S45" s="119"/>
      <c r="T45" s="119">
        <v>0</v>
      </c>
      <c r="U45" s="119"/>
      <c r="V45" s="119"/>
      <c r="W45" s="119"/>
      <c r="X45" s="120"/>
      <c r="Y45" s="120"/>
      <c r="Z45" s="121"/>
      <c r="AA45" s="121">
        <v>0</v>
      </c>
      <c r="AB45" s="117">
        <f t="shared" si="19"/>
        <v>468.18000000000006</v>
      </c>
      <c r="AC45" s="122">
        <f t="shared" si="8"/>
        <v>0</v>
      </c>
      <c r="AD45" s="117">
        <f t="shared" si="20"/>
        <v>468.18000000000006</v>
      </c>
      <c r="AE45" s="123">
        <f t="shared" si="21"/>
        <v>46.818000000000012</v>
      </c>
      <c r="AF45" s="122">
        <v>10.23</v>
      </c>
      <c r="AG45" s="122">
        <f t="shared" si="22"/>
        <v>0</v>
      </c>
      <c r="AH45" s="124">
        <f t="shared" si="23"/>
        <v>525.22800000000007</v>
      </c>
      <c r="AI45" s="213">
        <v>482.75</v>
      </c>
      <c r="AJ45" s="213">
        <v>49.3</v>
      </c>
      <c r="AK45" s="125">
        <f t="shared" si="7"/>
        <v>63.869999999999891</v>
      </c>
      <c r="AL45" s="126"/>
      <c r="AM45" s="126"/>
    </row>
    <row r="46" spans="1:193">
      <c r="A46" s="126" t="s">
        <v>94</v>
      </c>
      <c r="B46" s="111" t="s">
        <v>192</v>
      </c>
      <c r="C46" s="111"/>
      <c r="D46" s="111" t="s">
        <v>132</v>
      </c>
      <c r="E46" s="111" t="s">
        <v>174</v>
      </c>
      <c r="F46" s="111"/>
      <c r="G46" s="112"/>
      <c r="H46" s="112"/>
      <c r="I46" s="113">
        <v>543.20000000000005</v>
      </c>
      <c r="J46" s="112"/>
      <c r="K46" s="113">
        <f t="shared" si="17"/>
        <v>543.20000000000005</v>
      </c>
      <c r="L46" s="113">
        <f>504.6+451.62</f>
        <v>956.22</v>
      </c>
      <c r="M46" s="113"/>
      <c r="N46" s="115"/>
      <c r="O46" s="115"/>
      <c r="P46" s="116">
        <v>45.15</v>
      </c>
      <c r="Q46" s="117">
        <f t="shared" si="18"/>
        <v>1454.27</v>
      </c>
      <c r="R46" s="118"/>
      <c r="S46" s="119"/>
      <c r="T46" s="128">
        <v>100</v>
      </c>
      <c r="U46" s="128">
        <f>Q46*4.9%</f>
        <v>71.259230000000002</v>
      </c>
      <c r="V46" s="128">
        <f>Q46*1%</f>
        <v>14.5427</v>
      </c>
      <c r="W46" s="119"/>
      <c r="X46" s="120"/>
      <c r="Y46" s="120"/>
      <c r="Z46" s="121"/>
      <c r="AA46" s="121">
        <v>0</v>
      </c>
      <c r="AB46" s="117">
        <f t="shared" si="19"/>
        <v>1268.4680699999999</v>
      </c>
      <c r="AC46" s="122">
        <f t="shared" si="8"/>
        <v>0</v>
      </c>
      <c r="AD46" s="117">
        <f t="shared" si="20"/>
        <v>1268.4680699999999</v>
      </c>
      <c r="AE46" s="123">
        <f t="shared" si="21"/>
        <v>145.42699999999999</v>
      </c>
      <c r="AF46" s="122">
        <v>10.23</v>
      </c>
      <c r="AG46" s="122">
        <f t="shared" si="22"/>
        <v>71.259230000000002</v>
      </c>
      <c r="AH46" s="124">
        <f t="shared" si="23"/>
        <v>1681.1862299999998</v>
      </c>
      <c r="AI46" s="213">
        <v>577.4</v>
      </c>
      <c r="AJ46" s="213">
        <v>691.07</v>
      </c>
      <c r="AK46" s="125">
        <f t="shared" si="7"/>
        <v>1.9300000001294393E-3</v>
      </c>
      <c r="AL46" s="126"/>
      <c r="AM46" s="126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 s="39" customFormat="1">
      <c r="A47" s="126" t="s">
        <v>94</v>
      </c>
      <c r="B47" s="126" t="s">
        <v>264</v>
      </c>
      <c r="C47" s="126"/>
      <c r="D47" s="126" t="s">
        <v>265</v>
      </c>
      <c r="E47" s="111" t="s">
        <v>181</v>
      </c>
      <c r="F47" s="126"/>
      <c r="G47" s="126"/>
      <c r="H47" s="126"/>
      <c r="I47" s="130">
        <v>608.16</v>
      </c>
      <c r="J47" s="126"/>
      <c r="K47" s="130">
        <f t="shared" si="17"/>
        <v>608.16</v>
      </c>
      <c r="L47" s="130">
        <f>3191.12+2.59+1433.8</f>
        <v>4627.51</v>
      </c>
      <c r="M47" s="130"/>
      <c r="N47" s="130"/>
      <c r="O47" s="130"/>
      <c r="P47" s="116">
        <v>45.15</v>
      </c>
      <c r="Q47" s="117">
        <f t="shared" si="18"/>
        <v>5190.5200000000004</v>
      </c>
      <c r="R47" s="118"/>
      <c r="S47" s="119"/>
      <c r="T47" s="119">
        <v>0</v>
      </c>
      <c r="U47" s="128">
        <f>Q47*4.9%</f>
        <v>254.33548000000002</v>
      </c>
      <c r="V47" s="128">
        <f>Q47*1%</f>
        <v>51.905200000000008</v>
      </c>
      <c r="W47" s="119"/>
      <c r="X47" s="120"/>
      <c r="Y47" s="120"/>
      <c r="Z47" s="121"/>
      <c r="AA47" s="121">
        <v>0</v>
      </c>
      <c r="AB47" s="117">
        <f t="shared" si="19"/>
        <v>4884.2793200000006</v>
      </c>
      <c r="AC47" s="122">
        <f t="shared" si="8"/>
        <v>519.05200000000002</v>
      </c>
      <c r="AD47" s="117">
        <f t="shared" si="20"/>
        <v>4365.2273200000009</v>
      </c>
      <c r="AE47" s="123">
        <f t="shared" si="21"/>
        <v>0</v>
      </c>
      <c r="AF47" s="122">
        <v>10.23</v>
      </c>
      <c r="AG47" s="122">
        <f t="shared" si="22"/>
        <v>254.33548000000002</v>
      </c>
      <c r="AH47" s="124">
        <f t="shared" si="23"/>
        <v>5455.0854799999997</v>
      </c>
      <c r="AI47" s="213">
        <v>577.4</v>
      </c>
      <c r="AJ47" s="214">
        <v>3787.83</v>
      </c>
      <c r="AK47" s="125">
        <f t="shared" si="7"/>
        <v>2.6799999986906187E-3</v>
      </c>
      <c r="AL47" s="126">
        <v>2948910731</v>
      </c>
      <c r="AM47" s="131"/>
    </row>
    <row r="48" spans="1:193" s="177" customFormat="1">
      <c r="A48" s="127" t="s">
        <v>71</v>
      </c>
      <c r="B48" s="127" t="s">
        <v>325</v>
      </c>
      <c r="C48" s="127" t="s">
        <v>303</v>
      </c>
      <c r="D48" s="127"/>
      <c r="E48" s="127" t="s">
        <v>73</v>
      </c>
      <c r="F48" s="173">
        <v>42459</v>
      </c>
      <c r="G48" s="127"/>
      <c r="H48" s="127"/>
      <c r="I48" s="128">
        <v>513.33000000000004</v>
      </c>
      <c r="J48" s="127"/>
      <c r="K48" s="128">
        <f t="shared" si="17"/>
        <v>513.33000000000004</v>
      </c>
      <c r="L48" s="128"/>
      <c r="M48" s="128"/>
      <c r="N48" s="128"/>
      <c r="O48" s="128"/>
      <c r="P48" s="180">
        <v>45.15</v>
      </c>
      <c r="Q48" s="174">
        <f t="shared" si="18"/>
        <v>468.18000000000006</v>
      </c>
      <c r="R48" s="128"/>
      <c r="S48" s="128"/>
      <c r="T48" s="128"/>
      <c r="U48" s="128"/>
      <c r="V48" s="128"/>
      <c r="W48" s="128"/>
      <c r="X48" s="133"/>
      <c r="Y48" s="133"/>
      <c r="Z48" s="127"/>
      <c r="AA48" s="127">
        <v>0</v>
      </c>
      <c r="AB48" s="174">
        <f t="shared" si="19"/>
        <v>468.18000000000006</v>
      </c>
      <c r="AC48" s="133">
        <f t="shared" si="8"/>
        <v>0</v>
      </c>
      <c r="AD48" s="174">
        <f t="shared" si="20"/>
        <v>468.18000000000006</v>
      </c>
      <c r="AE48" s="133">
        <f t="shared" si="21"/>
        <v>46.818000000000012</v>
      </c>
      <c r="AF48" s="133">
        <v>10.23</v>
      </c>
      <c r="AG48" s="133">
        <f t="shared" si="22"/>
        <v>0</v>
      </c>
      <c r="AH48" s="174">
        <f t="shared" si="23"/>
        <v>525.22800000000007</v>
      </c>
      <c r="AI48" s="210" t="s">
        <v>317</v>
      </c>
      <c r="AJ48" s="211" t="s">
        <v>318</v>
      </c>
      <c r="AK48" s="175">
        <v>0</v>
      </c>
      <c r="AL48" s="127"/>
      <c r="AM48" s="176" t="s">
        <v>321</v>
      </c>
    </row>
    <row r="49" spans="1:193">
      <c r="A49" s="126" t="s">
        <v>94</v>
      </c>
      <c r="B49" s="111" t="s">
        <v>194</v>
      </c>
      <c r="C49" s="111"/>
      <c r="D49" s="111" t="s">
        <v>133</v>
      </c>
      <c r="E49" s="111" t="s">
        <v>177</v>
      </c>
      <c r="F49" s="111"/>
      <c r="G49" s="112"/>
      <c r="H49" s="112"/>
      <c r="I49" s="113">
        <v>608.16</v>
      </c>
      <c r="J49" s="112"/>
      <c r="K49" s="113">
        <f t="shared" si="17"/>
        <v>608.16</v>
      </c>
      <c r="L49" s="113">
        <f>3330.55+2.97+1477.8</f>
        <v>4811.32</v>
      </c>
      <c r="M49" s="113"/>
      <c r="N49" s="115"/>
      <c r="O49" s="115"/>
      <c r="P49" s="116">
        <v>45.15</v>
      </c>
      <c r="Q49" s="117">
        <f t="shared" si="18"/>
        <v>5374.33</v>
      </c>
      <c r="R49" s="118"/>
      <c r="S49" s="119"/>
      <c r="T49" s="119"/>
      <c r="U49" s="128">
        <f>Q49*4.9%</f>
        <v>263.34217000000001</v>
      </c>
      <c r="V49" s="128">
        <f>Q49*1%</f>
        <v>53.743299999999998</v>
      </c>
      <c r="W49" s="119"/>
      <c r="X49" s="120"/>
      <c r="Y49" s="120"/>
      <c r="Z49" s="121"/>
      <c r="AA49" s="121">
        <v>0</v>
      </c>
      <c r="AB49" s="117">
        <f t="shared" si="19"/>
        <v>5057.2445299999999</v>
      </c>
      <c r="AC49" s="122">
        <f t="shared" si="8"/>
        <v>537.43299999999999</v>
      </c>
      <c r="AD49" s="117">
        <f t="shared" si="20"/>
        <v>4519.8115299999999</v>
      </c>
      <c r="AE49" s="123">
        <f t="shared" si="21"/>
        <v>0</v>
      </c>
      <c r="AF49" s="122">
        <v>10.23</v>
      </c>
      <c r="AG49" s="122">
        <f t="shared" si="22"/>
        <v>263.34217000000001</v>
      </c>
      <c r="AH49" s="124">
        <f t="shared" si="23"/>
        <v>5647.9021699999994</v>
      </c>
      <c r="AI49" s="213">
        <v>577.4</v>
      </c>
      <c r="AJ49" s="214">
        <v>3942.41</v>
      </c>
      <c r="AK49" s="125">
        <f t="shared" si="7"/>
        <v>-1.5300000004572212E-3</v>
      </c>
      <c r="AL49" s="126"/>
      <c r="AM49" s="126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>
      <c r="A50" s="126" t="s">
        <v>92</v>
      </c>
      <c r="B50" s="111" t="s">
        <v>233</v>
      </c>
      <c r="C50" s="111"/>
      <c r="D50" s="111" t="s">
        <v>102</v>
      </c>
      <c r="E50" s="111" t="s">
        <v>163</v>
      </c>
      <c r="F50" s="111"/>
      <c r="G50" s="111"/>
      <c r="H50" s="111"/>
      <c r="I50" s="113">
        <v>739.23</v>
      </c>
      <c r="J50" s="111"/>
      <c r="K50" s="113">
        <f t="shared" si="17"/>
        <v>739.23</v>
      </c>
      <c r="L50" s="113">
        <f>3583.72+13.09</f>
        <v>3596.81</v>
      </c>
      <c r="M50" s="113"/>
      <c r="N50" s="113">
        <v>703.69</v>
      </c>
      <c r="O50" s="113">
        <v>1876.52</v>
      </c>
      <c r="P50" s="116">
        <v>45.15</v>
      </c>
      <c r="Q50" s="117">
        <f t="shared" si="18"/>
        <v>6871.1</v>
      </c>
      <c r="R50" s="118"/>
      <c r="S50" s="119"/>
      <c r="T50" s="119">
        <v>0</v>
      </c>
      <c r="U50" s="119"/>
      <c r="V50" s="119"/>
      <c r="W50" s="119"/>
      <c r="X50" s="120"/>
      <c r="Y50" s="120"/>
      <c r="Z50" s="121"/>
      <c r="AA50" s="121">
        <v>0</v>
      </c>
      <c r="AB50" s="117">
        <f t="shared" si="19"/>
        <v>6871.1</v>
      </c>
      <c r="AC50" s="122">
        <f t="shared" si="8"/>
        <v>687.11000000000013</v>
      </c>
      <c r="AD50" s="117">
        <f t="shared" si="20"/>
        <v>6183.99</v>
      </c>
      <c r="AE50" s="123">
        <f t="shared" si="21"/>
        <v>0</v>
      </c>
      <c r="AF50" s="122">
        <v>10.23</v>
      </c>
      <c r="AG50" s="122">
        <f t="shared" si="22"/>
        <v>0</v>
      </c>
      <c r="AH50" s="124">
        <f t="shared" si="23"/>
        <v>6881.33</v>
      </c>
      <c r="AI50" s="213">
        <v>577.4</v>
      </c>
      <c r="AJ50" s="214">
        <v>5606.59</v>
      </c>
      <c r="AK50" s="125">
        <f t="shared" si="7"/>
        <v>0</v>
      </c>
      <c r="AL50" s="126"/>
      <c r="AM50" s="126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 s="61" customFormat="1">
      <c r="A51" s="126" t="s">
        <v>92</v>
      </c>
      <c r="B51" s="126" t="s">
        <v>202</v>
      </c>
      <c r="C51" s="126"/>
      <c r="D51" s="126"/>
      <c r="E51" s="126" t="s">
        <v>163</v>
      </c>
      <c r="F51" s="129">
        <v>42416</v>
      </c>
      <c r="G51" s="126"/>
      <c r="H51" s="126"/>
      <c r="I51" s="130">
        <v>739.23</v>
      </c>
      <c r="J51" s="126"/>
      <c r="K51" s="130">
        <f t="shared" si="17"/>
        <v>739.23</v>
      </c>
      <c r="L51" s="130">
        <f>1495.56+7.42</f>
        <v>1502.98</v>
      </c>
      <c r="M51" s="130"/>
      <c r="N51" s="130"/>
      <c r="O51" s="130"/>
      <c r="P51" s="116">
        <v>45.15</v>
      </c>
      <c r="Q51" s="117">
        <f t="shared" si="18"/>
        <v>2197.06</v>
      </c>
      <c r="R51" s="118"/>
      <c r="S51" s="119"/>
      <c r="T51" s="119">
        <v>0</v>
      </c>
      <c r="U51" s="119"/>
      <c r="V51" s="128">
        <f>Q51*1%</f>
        <v>21.970600000000001</v>
      </c>
      <c r="W51" s="119"/>
      <c r="X51" s="120"/>
      <c r="Y51" s="120"/>
      <c r="Z51" s="121"/>
      <c r="AA51" s="121">
        <v>0</v>
      </c>
      <c r="AB51" s="140">
        <f t="shared" si="19"/>
        <v>2175.0893999999998</v>
      </c>
      <c r="AC51" s="122">
        <f t="shared" si="8"/>
        <v>0</v>
      </c>
      <c r="AD51" s="117">
        <f t="shared" si="20"/>
        <v>2175.0893999999998</v>
      </c>
      <c r="AE51" s="123">
        <f t="shared" si="21"/>
        <v>219.70600000000002</v>
      </c>
      <c r="AF51" s="122">
        <v>10.23</v>
      </c>
      <c r="AG51" s="122">
        <f t="shared" si="22"/>
        <v>0</v>
      </c>
      <c r="AH51" s="124">
        <f t="shared" si="23"/>
        <v>2426.9960000000001</v>
      </c>
      <c r="AI51" s="213">
        <v>577.4</v>
      </c>
      <c r="AJ51" s="214">
        <v>1597.69</v>
      </c>
      <c r="AK51" s="125">
        <f t="shared" si="7"/>
        <v>6.0000000030413503E-4</v>
      </c>
      <c r="AL51" s="126">
        <v>1296641458</v>
      </c>
      <c r="AM51" s="126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126" t="s">
        <v>93</v>
      </c>
      <c r="B52" s="126" t="s">
        <v>200</v>
      </c>
      <c r="C52" s="126"/>
      <c r="D52" s="126"/>
      <c r="E52" s="126" t="s">
        <v>171</v>
      </c>
      <c r="F52" s="129">
        <v>42413</v>
      </c>
      <c r="G52" s="126"/>
      <c r="H52" s="126"/>
      <c r="I52" s="113">
        <v>577.38</v>
      </c>
      <c r="J52" s="137">
        <v>922.62</v>
      </c>
      <c r="K52" s="130">
        <f t="shared" si="17"/>
        <v>1500</v>
      </c>
      <c r="L52" s="130"/>
      <c r="M52" s="130"/>
      <c r="N52" s="130"/>
      <c r="O52" s="130"/>
      <c r="P52" s="116">
        <v>45.15</v>
      </c>
      <c r="Q52" s="117">
        <f t="shared" si="18"/>
        <v>1454.85</v>
      </c>
      <c r="R52" s="118"/>
      <c r="S52" s="119"/>
      <c r="T52" s="119">
        <v>0</v>
      </c>
      <c r="U52" s="119"/>
      <c r="V52" s="119"/>
      <c r="W52" s="119"/>
      <c r="X52" s="120"/>
      <c r="Y52" s="120"/>
      <c r="Z52" s="121"/>
      <c r="AA52" s="121">
        <v>0</v>
      </c>
      <c r="AB52" s="117">
        <f t="shared" si="19"/>
        <v>1454.85</v>
      </c>
      <c r="AC52" s="122">
        <f t="shared" si="8"/>
        <v>0</v>
      </c>
      <c r="AD52" s="117">
        <f t="shared" si="20"/>
        <v>1454.85</v>
      </c>
      <c r="AE52" s="123">
        <f t="shared" si="21"/>
        <v>145.48499999999999</v>
      </c>
      <c r="AF52" s="122">
        <v>10.23</v>
      </c>
      <c r="AG52" s="122">
        <f t="shared" si="22"/>
        <v>0</v>
      </c>
      <c r="AH52" s="124">
        <f t="shared" si="23"/>
        <v>1610.5649999999998</v>
      </c>
      <c r="AI52" s="213">
        <v>577.4</v>
      </c>
      <c r="AJ52" s="213">
        <v>877.45</v>
      </c>
      <c r="AK52" s="125">
        <f t="shared" si="7"/>
        <v>0</v>
      </c>
      <c r="AL52" s="126"/>
      <c r="AM52" s="179" t="s">
        <v>330</v>
      </c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126" t="s">
        <v>71</v>
      </c>
      <c r="B53" s="111" t="s">
        <v>88</v>
      </c>
      <c r="C53" s="111" t="s">
        <v>254</v>
      </c>
      <c r="D53" s="111" t="s">
        <v>153</v>
      </c>
      <c r="E53" s="111" t="s">
        <v>73</v>
      </c>
      <c r="F53" s="111"/>
      <c r="G53" s="112"/>
      <c r="H53" s="112"/>
      <c r="I53" s="113">
        <v>513.33000000000004</v>
      </c>
      <c r="J53" s="112"/>
      <c r="K53" s="113">
        <f t="shared" si="17"/>
        <v>513.33000000000004</v>
      </c>
      <c r="L53" s="113">
        <v>1299.1600000000001</v>
      </c>
      <c r="M53" s="113"/>
      <c r="N53" s="115"/>
      <c r="O53" s="115"/>
      <c r="P53" s="116">
        <v>45.15</v>
      </c>
      <c r="Q53" s="117">
        <f t="shared" si="18"/>
        <v>1767.3400000000001</v>
      </c>
      <c r="R53" s="118"/>
      <c r="S53" s="128">
        <v>58.91</v>
      </c>
      <c r="T53" s="119">
        <v>0</v>
      </c>
      <c r="U53" s="119"/>
      <c r="V53" s="119"/>
      <c r="W53" s="119"/>
      <c r="X53" s="120"/>
      <c r="Y53" s="120"/>
      <c r="Z53" s="121"/>
      <c r="AA53" s="121">
        <v>0</v>
      </c>
      <c r="AB53" s="117">
        <f t="shared" si="19"/>
        <v>1708.43</v>
      </c>
      <c r="AC53" s="122">
        <f t="shared" si="8"/>
        <v>0</v>
      </c>
      <c r="AD53" s="117">
        <f t="shared" si="20"/>
        <v>1708.43</v>
      </c>
      <c r="AE53" s="123">
        <f t="shared" si="21"/>
        <v>176.73400000000004</v>
      </c>
      <c r="AF53" s="122">
        <v>10.23</v>
      </c>
      <c r="AG53" s="122">
        <f t="shared" si="22"/>
        <v>0</v>
      </c>
      <c r="AH53" s="124">
        <f t="shared" si="23"/>
        <v>1954.3040000000001</v>
      </c>
      <c r="AI53" s="213">
        <v>577.4</v>
      </c>
      <c r="AJ53" s="214">
        <v>1131.03</v>
      </c>
      <c r="AK53" s="125">
        <f t="shared" si="7"/>
        <v>0</v>
      </c>
      <c r="AL53" s="126"/>
      <c r="AM53" s="126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>
      <c r="A54" s="126" t="s">
        <v>71</v>
      </c>
      <c r="B54" s="111" t="s">
        <v>221</v>
      </c>
      <c r="C54" s="111" t="s">
        <v>251</v>
      </c>
      <c r="D54" s="111">
        <v>30</v>
      </c>
      <c r="E54" s="111" t="s">
        <v>73</v>
      </c>
      <c r="F54" s="111"/>
      <c r="G54" s="112"/>
      <c r="H54" s="112"/>
      <c r="I54" s="130">
        <v>513.33000000000004</v>
      </c>
      <c r="J54" s="112"/>
      <c r="K54" s="113">
        <f t="shared" si="17"/>
        <v>513.33000000000004</v>
      </c>
      <c r="L54" s="113">
        <v>1216.1199999999999</v>
      </c>
      <c r="M54" s="113"/>
      <c r="N54" s="115"/>
      <c r="O54" s="115"/>
      <c r="P54" s="116">
        <v>45.15</v>
      </c>
      <c r="Q54" s="117">
        <f t="shared" si="18"/>
        <v>1684.2999999999997</v>
      </c>
      <c r="R54" s="118"/>
      <c r="S54" s="119"/>
      <c r="T54" s="119">
        <v>0</v>
      </c>
      <c r="U54" s="119"/>
      <c r="V54" s="119"/>
      <c r="W54" s="119"/>
      <c r="X54" s="120"/>
      <c r="Y54" s="120"/>
      <c r="Z54" s="121"/>
      <c r="AA54" s="121">
        <v>0</v>
      </c>
      <c r="AB54" s="117">
        <f t="shared" si="19"/>
        <v>1684.2999999999997</v>
      </c>
      <c r="AC54" s="122">
        <f t="shared" si="8"/>
        <v>0</v>
      </c>
      <c r="AD54" s="117">
        <f t="shared" si="20"/>
        <v>1684.2999999999997</v>
      </c>
      <c r="AE54" s="123">
        <f t="shared" si="21"/>
        <v>168.42999999999998</v>
      </c>
      <c r="AF54" s="122">
        <v>10.23</v>
      </c>
      <c r="AG54" s="122">
        <f t="shared" si="22"/>
        <v>0</v>
      </c>
      <c r="AH54" s="124">
        <f t="shared" si="23"/>
        <v>1862.9599999999998</v>
      </c>
      <c r="AI54" s="213">
        <v>577.4</v>
      </c>
      <c r="AJ54" s="214">
        <v>1106.9000000000001</v>
      </c>
      <c r="AK54" s="125">
        <f t="shared" si="7"/>
        <v>0</v>
      </c>
      <c r="AL54" s="126"/>
      <c r="AM54" s="126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>
      <c r="A55" s="126" t="s">
        <v>71</v>
      </c>
      <c r="B55" s="111" t="s">
        <v>216</v>
      </c>
      <c r="C55" s="111" t="s">
        <v>249</v>
      </c>
      <c r="D55" s="111" t="s">
        <v>155</v>
      </c>
      <c r="E55" s="111" t="s">
        <v>73</v>
      </c>
      <c r="F55" s="135">
        <v>42408</v>
      </c>
      <c r="G55" s="112"/>
      <c r="H55" s="112"/>
      <c r="I55" s="113">
        <v>513.33000000000004</v>
      </c>
      <c r="J55" s="112"/>
      <c r="K55" s="113">
        <f t="shared" si="17"/>
        <v>513.33000000000004</v>
      </c>
      <c r="L55" s="115">
        <v>830.72</v>
      </c>
      <c r="M55" s="113"/>
      <c r="O55" s="115"/>
      <c r="P55" s="116">
        <v>45.15</v>
      </c>
      <c r="Q55" s="117">
        <f t="shared" si="18"/>
        <v>1298.9000000000001</v>
      </c>
      <c r="R55" s="118"/>
      <c r="S55" s="119"/>
      <c r="T55" s="119">
        <v>0</v>
      </c>
      <c r="U55" s="119"/>
      <c r="V55" s="119"/>
      <c r="W55" s="119"/>
      <c r="X55" s="120"/>
      <c r="Y55" s="120"/>
      <c r="Z55" s="132"/>
      <c r="AA55" s="155">
        <v>875.69</v>
      </c>
      <c r="AB55" s="117">
        <f t="shared" si="19"/>
        <v>423.21000000000004</v>
      </c>
      <c r="AC55" s="122">
        <f t="shared" si="8"/>
        <v>0</v>
      </c>
      <c r="AD55" s="117">
        <f t="shared" si="20"/>
        <v>423.21000000000004</v>
      </c>
      <c r="AE55" s="123">
        <f t="shared" si="21"/>
        <v>129.89000000000001</v>
      </c>
      <c r="AF55" s="122">
        <v>10.23</v>
      </c>
      <c r="AG55" s="122">
        <f t="shared" si="22"/>
        <v>0</v>
      </c>
      <c r="AH55" s="124">
        <f t="shared" si="23"/>
        <v>1439.0200000000002</v>
      </c>
      <c r="AI55" s="213">
        <v>393.31</v>
      </c>
      <c r="AJ55" s="213">
        <v>29.9</v>
      </c>
      <c r="AK55" s="125">
        <f t="shared" si="7"/>
        <v>0</v>
      </c>
      <c r="AL55" s="126"/>
      <c r="AM55" s="126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 s="84" customFormat="1">
      <c r="A56" s="126" t="s">
        <v>70</v>
      </c>
      <c r="B56" s="111" t="s">
        <v>225</v>
      </c>
      <c r="C56" s="126" t="s">
        <v>303</v>
      </c>
      <c r="D56" s="111" t="s">
        <v>124</v>
      </c>
      <c r="E56" s="111" t="s">
        <v>173</v>
      </c>
      <c r="F56" s="135">
        <v>42352</v>
      </c>
      <c r="G56" s="112"/>
      <c r="H56" s="112"/>
      <c r="I56" s="113">
        <v>513.33000000000004</v>
      </c>
      <c r="J56" s="112"/>
      <c r="K56" s="113">
        <f t="shared" si="17"/>
        <v>513.33000000000004</v>
      </c>
      <c r="L56" s="113">
        <v>175.1</v>
      </c>
      <c r="M56" s="113"/>
      <c r="N56" s="115"/>
      <c r="O56" s="115"/>
      <c r="P56" s="116">
        <v>45.15</v>
      </c>
      <c r="Q56" s="117">
        <f t="shared" si="18"/>
        <v>643.28000000000009</v>
      </c>
      <c r="R56" s="118"/>
      <c r="S56" s="119"/>
      <c r="T56" s="119">
        <v>0</v>
      </c>
      <c r="U56" s="119"/>
      <c r="V56" s="119"/>
      <c r="W56" s="119"/>
      <c r="X56" s="133">
        <v>532.29999999999995</v>
      </c>
      <c r="Y56" s="120"/>
      <c r="Z56" s="121"/>
      <c r="AA56" s="121">
        <v>0</v>
      </c>
      <c r="AB56" s="117">
        <f t="shared" si="19"/>
        <v>110.98000000000013</v>
      </c>
      <c r="AC56" s="122">
        <f t="shared" si="8"/>
        <v>0</v>
      </c>
      <c r="AD56" s="117">
        <f t="shared" si="20"/>
        <v>110.98000000000013</v>
      </c>
      <c r="AE56" s="123">
        <f t="shared" si="21"/>
        <v>64.328000000000017</v>
      </c>
      <c r="AF56" s="122">
        <v>10.23</v>
      </c>
      <c r="AG56" s="122">
        <f t="shared" si="22"/>
        <v>0</v>
      </c>
      <c r="AH56" s="124">
        <f t="shared" si="23"/>
        <v>717.83800000000008</v>
      </c>
      <c r="AI56" s="213">
        <v>45.1</v>
      </c>
      <c r="AJ56" s="213">
        <v>65.88</v>
      </c>
      <c r="AK56" s="125">
        <f t="shared" si="7"/>
        <v>-1.4210854715202004E-13</v>
      </c>
      <c r="AL56" s="126"/>
      <c r="AM56" s="126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 s="84" customFormat="1">
      <c r="A57" s="126" t="s">
        <v>94</v>
      </c>
      <c r="B57" s="126" t="s">
        <v>300</v>
      </c>
      <c r="C57" s="126"/>
      <c r="D57" s="144"/>
      <c r="E57" s="126" t="s">
        <v>174</v>
      </c>
      <c r="F57" s="129">
        <v>42430</v>
      </c>
      <c r="G57" s="126"/>
      <c r="H57" s="126"/>
      <c r="I57" s="130">
        <v>608.16</v>
      </c>
      <c r="J57" s="126"/>
      <c r="K57" s="130">
        <f t="shared" si="17"/>
        <v>608.16</v>
      </c>
      <c r="L57" s="130">
        <f>605.8+423.92</f>
        <v>1029.72</v>
      </c>
      <c r="M57" s="130"/>
      <c r="N57" s="130"/>
      <c r="O57" s="130"/>
      <c r="P57" s="116">
        <v>45.15</v>
      </c>
      <c r="Q57" s="117">
        <f t="shared" si="18"/>
        <v>1592.73</v>
      </c>
      <c r="R57" s="118"/>
      <c r="S57" s="119"/>
      <c r="T57" s="119"/>
      <c r="U57" s="119"/>
      <c r="V57" s="119"/>
      <c r="W57" s="119"/>
      <c r="X57" s="120"/>
      <c r="Y57" s="120"/>
      <c r="Z57" s="121"/>
      <c r="AA57" s="121">
        <v>0</v>
      </c>
      <c r="AB57" s="117">
        <f t="shared" si="19"/>
        <v>1592.73</v>
      </c>
      <c r="AC57" s="122">
        <f t="shared" si="8"/>
        <v>0</v>
      </c>
      <c r="AD57" s="117">
        <f t="shared" si="20"/>
        <v>1592.73</v>
      </c>
      <c r="AE57" s="123">
        <f t="shared" si="21"/>
        <v>159.27300000000002</v>
      </c>
      <c r="AF57" s="122">
        <v>10.23</v>
      </c>
      <c r="AG57" s="122">
        <f t="shared" si="22"/>
        <v>0</v>
      </c>
      <c r="AH57" s="124">
        <f t="shared" si="23"/>
        <v>1762.2330000000002</v>
      </c>
      <c r="AI57" s="213">
        <v>577.4</v>
      </c>
      <c r="AJ57" s="214">
        <v>1015.33</v>
      </c>
      <c r="AK57" s="125">
        <f t="shared" si="7"/>
        <v>0</v>
      </c>
      <c r="AL57" s="126"/>
      <c r="AM57" s="145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6" t="s">
        <v>94</v>
      </c>
      <c r="B58" s="126" t="s">
        <v>307</v>
      </c>
      <c r="C58" s="126"/>
      <c r="D58" s="126"/>
      <c r="E58" s="126" t="s">
        <v>174</v>
      </c>
      <c r="F58" s="129">
        <v>42444</v>
      </c>
      <c r="G58" s="126"/>
      <c r="H58" s="126"/>
      <c r="I58" s="130">
        <v>608.16</v>
      </c>
      <c r="J58" s="112"/>
      <c r="K58" s="130">
        <f t="shared" si="17"/>
        <v>608.16</v>
      </c>
      <c r="L58" s="130">
        <v>883.4</v>
      </c>
      <c r="M58" s="130"/>
      <c r="N58" s="130"/>
      <c r="O58" s="130"/>
      <c r="P58" s="116">
        <v>45.15</v>
      </c>
      <c r="Q58" s="117">
        <f t="shared" si="18"/>
        <v>1446.4099999999999</v>
      </c>
      <c r="R58" s="118"/>
      <c r="S58" s="119"/>
      <c r="T58" s="119"/>
      <c r="U58" s="119"/>
      <c r="V58" s="119"/>
      <c r="W58" s="119"/>
      <c r="X58" s="120"/>
      <c r="Y58" s="120"/>
      <c r="Z58" s="121"/>
      <c r="AA58" s="121"/>
      <c r="AB58" s="117">
        <f t="shared" si="19"/>
        <v>1446.4099999999999</v>
      </c>
      <c r="AC58" s="122">
        <f t="shared" si="8"/>
        <v>0</v>
      </c>
      <c r="AD58" s="117">
        <f t="shared" si="20"/>
        <v>1446.4099999999999</v>
      </c>
      <c r="AE58" s="123">
        <f t="shared" si="21"/>
        <v>144.64099999999999</v>
      </c>
      <c r="AF58" s="122">
        <v>10.23</v>
      </c>
      <c r="AG58" s="122">
        <f t="shared" si="22"/>
        <v>0</v>
      </c>
      <c r="AH58" s="124">
        <f t="shared" si="23"/>
        <v>1601.2809999999999</v>
      </c>
      <c r="AI58" s="213">
        <v>577.4</v>
      </c>
      <c r="AJ58" s="213">
        <v>869.01</v>
      </c>
      <c r="AK58" s="125">
        <f t="shared" si="7"/>
        <v>0</v>
      </c>
      <c r="AL58" s="154">
        <v>1159718206</v>
      </c>
      <c r="AM58" s="154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126" t="s">
        <v>93</v>
      </c>
      <c r="B59" s="126" t="s">
        <v>301</v>
      </c>
      <c r="C59" s="126"/>
      <c r="D59" s="126" t="s">
        <v>302</v>
      </c>
      <c r="E59" s="126" t="s">
        <v>171</v>
      </c>
      <c r="F59" s="129"/>
      <c r="G59" s="126"/>
      <c r="H59" s="126"/>
      <c r="I59" s="130"/>
      <c r="J59" s="137"/>
      <c r="K59" s="130">
        <v>928.57</v>
      </c>
      <c r="L59" s="130"/>
      <c r="M59" s="130"/>
      <c r="N59" s="130"/>
      <c r="O59" s="130"/>
      <c r="P59" s="116">
        <v>45.15</v>
      </c>
      <c r="Q59" s="117">
        <f t="shared" si="18"/>
        <v>883.42000000000007</v>
      </c>
      <c r="R59" s="118"/>
      <c r="S59" s="119"/>
      <c r="T59" s="119"/>
      <c r="U59" s="119"/>
      <c r="V59" s="119"/>
      <c r="W59" s="119"/>
      <c r="X59" s="120"/>
      <c r="Y59" s="120"/>
      <c r="Z59" s="121"/>
      <c r="AA59" s="121"/>
      <c r="AB59" s="117">
        <f t="shared" si="19"/>
        <v>883.42000000000007</v>
      </c>
      <c r="AC59" s="122">
        <f t="shared" si="8"/>
        <v>0</v>
      </c>
      <c r="AD59" s="117">
        <f t="shared" si="20"/>
        <v>883.42000000000007</v>
      </c>
      <c r="AE59" s="123">
        <f t="shared" si="21"/>
        <v>88.342000000000013</v>
      </c>
      <c r="AF59" s="122">
        <v>10.23</v>
      </c>
      <c r="AG59" s="122">
        <f t="shared" si="22"/>
        <v>0</v>
      </c>
      <c r="AH59" s="124">
        <f t="shared" si="23"/>
        <v>981.99200000000008</v>
      </c>
      <c r="AI59" s="213">
        <v>577.4</v>
      </c>
      <c r="AJ59" s="213">
        <v>306.02</v>
      </c>
      <c r="AK59" s="125">
        <f t="shared" si="7"/>
        <v>0</v>
      </c>
      <c r="AL59" s="126"/>
      <c r="AM59" s="179" t="s">
        <v>326</v>
      </c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54" t="s">
        <v>71</v>
      </c>
      <c r="B60" s="145" t="s">
        <v>310</v>
      </c>
      <c r="C60" s="126" t="s">
        <v>303</v>
      </c>
      <c r="D60" s="145" t="s">
        <v>291</v>
      </c>
      <c r="E60" s="126" t="s">
        <v>173</v>
      </c>
      <c r="F60" s="111"/>
      <c r="G60" s="111"/>
      <c r="H60" s="111"/>
      <c r="I60" s="113">
        <v>1250</v>
      </c>
      <c r="J60" s="111"/>
      <c r="K60" s="113">
        <f t="shared" si="17"/>
        <v>1250</v>
      </c>
      <c r="L60" s="130">
        <v>1500</v>
      </c>
      <c r="M60" s="113"/>
      <c r="N60" s="113"/>
      <c r="O60" s="113"/>
      <c r="P60" s="116">
        <v>45.15</v>
      </c>
      <c r="Q60" s="117">
        <f t="shared" si="18"/>
        <v>2704.85</v>
      </c>
      <c r="R60" s="118"/>
      <c r="S60" s="119"/>
      <c r="T60" s="119"/>
      <c r="U60" s="119"/>
      <c r="V60" s="119"/>
      <c r="W60" s="119"/>
      <c r="X60" s="120"/>
      <c r="Y60" s="120"/>
      <c r="Z60" s="121"/>
      <c r="AA60" s="121">
        <v>0</v>
      </c>
      <c r="AB60" s="117">
        <f t="shared" si="19"/>
        <v>2704.85</v>
      </c>
      <c r="AC60" s="122">
        <f t="shared" si="8"/>
        <v>270.48500000000001</v>
      </c>
      <c r="AD60" s="117">
        <f t="shared" si="20"/>
        <v>2434.3649999999998</v>
      </c>
      <c r="AE60" s="123">
        <f t="shared" si="21"/>
        <v>270.48500000000001</v>
      </c>
      <c r="AF60" s="122">
        <v>10.23</v>
      </c>
      <c r="AG60" s="122">
        <f t="shared" si="22"/>
        <v>0</v>
      </c>
      <c r="AH60" s="124">
        <f t="shared" si="23"/>
        <v>2985.5650000000001</v>
      </c>
      <c r="AI60" s="213">
        <v>577.4</v>
      </c>
      <c r="AJ60" s="214">
        <v>1856.97</v>
      </c>
      <c r="AK60" s="125">
        <f t="shared" si="7"/>
        <v>5.0000000001091394E-3</v>
      </c>
      <c r="AL60" s="126"/>
      <c r="AM60" s="126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6" t="s">
        <v>71</v>
      </c>
      <c r="B61" s="111" t="s">
        <v>263</v>
      </c>
      <c r="C61" s="111" t="s">
        <v>251</v>
      </c>
      <c r="D61" s="111" t="s">
        <v>156</v>
      </c>
      <c r="E61" s="111" t="s">
        <v>73</v>
      </c>
      <c r="F61" s="111"/>
      <c r="G61" s="112"/>
      <c r="H61" s="112"/>
      <c r="I61" s="113">
        <v>513.33000000000004</v>
      </c>
      <c r="J61" s="112"/>
      <c r="K61" s="113">
        <f t="shared" si="17"/>
        <v>513.33000000000004</v>
      </c>
      <c r="L61" s="113"/>
      <c r="M61" s="113"/>
      <c r="N61" s="115"/>
      <c r="O61" s="115"/>
      <c r="P61" s="116">
        <v>45.15</v>
      </c>
      <c r="Q61" s="117">
        <f t="shared" si="18"/>
        <v>468.18000000000006</v>
      </c>
      <c r="R61" s="118"/>
      <c r="S61" s="119"/>
      <c r="T61" s="119">
        <v>0</v>
      </c>
      <c r="U61" s="119"/>
      <c r="V61" s="119"/>
      <c r="W61" s="119"/>
      <c r="X61" s="133">
        <v>460.45</v>
      </c>
      <c r="Y61" s="120"/>
      <c r="Z61" s="121"/>
      <c r="AA61" s="127">
        <v>86.56</v>
      </c>
      <c r="AB61" s="117">
        <f t="shared" si="19"/>
        <v>-78.829999999999927</v>
      </c>
      <c r="AC61" s="122">
        <f t="shared" si="8"/>
        <v>0</v>
      </c>
      <c r="AD61" s="117">
        <f t="shared" si="20"/>
        <v>-78.829999999999927</v>
      </c>
      <c r="AE61" s="123">
        <f t="shared" si="21"/>
        <v>46.818000000000012</v>
      </c>
      <c r="AF61" s="122">
        <v>10.23</v>
      </c>
      <c r="AG61" s="122">
        <f t="shared" si="22"/>
        <v>0</v>
      </c>
      <c r="AH61" s="124">
        <f t="shared" si="23"/>
        <v>525.22800000000007</v>
      </c>
      <c r="AI61" s="213">
        <v>1.17</v>
      </c>
      <c r="AJ61" s="213">
        <v>0.43</v>
      </c>
      <c r="AK61" s="125">
        <f t="shared" si="7"/>
        <v>80.429999999999922</v>
      </c>
      <c r="AL61" s="126"/>
      <c r="AM61" s="126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6" t="s">
        <v>94</v>
      </c>
      <c r="B62" s="111" t="s">
        <v>243</v>
      </c>
      <c r="C62" s="111"/>
      <c r="D62" s="111" t="s">
        <v>134</v>
      </c>
      <c r="E62" s="111" t="s">
        <v>178</v>
      </c>
      <c r="F62" s="111"/>
      <c r="G62" s="112"/>
      <c r="H62" s="112"/>
      <c r="I62" s="113">
        <v>1100</v>
      </c>
      <c r="J62" s="112"/>
      <c r="K62" s="113">
        <f t="shared" si="17"/>
        <v>1100</v>
      </c>
      <c r="L62" s="113">
        <f>517.3+685.42</f>
        <v>1202.7199999999998</v>
      </c>
      <c r="M62" s="113"/>
      <c r="N62" s="115"/>
      <c r="O62" s="115"/>
      <c r="P62" s="116">
        <v>45.15</v>
      </c>
      <c r="Q62" s="117">
        <f t="shared" si="18"/>
        <v>2257.5699999999997</v>
      </c>
      <c r="R62" s="118"/>
      <c r="S62" s="119"/>
      <c r="T62" s="128">
        <f>+Q62*1%</f>
        <v>22.575699999999998</v>
      </c>
      <c r="U62" s="128">
        <f>+Q62*4.9%</f>
        <v>110.62092999999999</v>
      </c>
      <c r="V62" s="119"/>
      <c r="W62" s="119"/>
      <c r="X62" s="120"/>
      <c r="Y62" s="120"/>
      <c r="Z62" s="121"/>
      <c r="AA62" s="121">
        <v>0</v>
      </c>
      <c r="AB62" s="117">
        <f t="shared" si="19"/>
        <v>2124.3733699999998</v>
      </c>
      <c r="AC62" s="122">
        <f t="shared" si="8"/>
        <v>225.75699999999998</v>
      </c>
      <c r="AD62" s="117">
        <f t="shared" si="20"/>
        <v>1898.6163699999997</v>
      </c>
      <c r="AE62" s="123">
        <f t="shared" si="21"/>
        <v>225.75699999999998</v>
      </c>
      <c r="AF62" s="122">
        <v>10.23</v>
      </c>
      <c r="AG62" s="122">
        <f t="shared" si="22"/>
        <v>110.62092999999999</v>
      </c>
      <c r="AH62" s="124">
        <f t="shared" si="23"/>
        <v>2604.1779299999998</v>
      </c>
      <c r="AI62" s="213">
        <v>577.4</v>
      </c>
      <c r="AJ62" s="214">
        <v>1321.22</v>
      </c>
      <c r="AK62" s="125">
        <f t="shared" si="7"/>
        <v>3.6300000001574517E-3</v>
      </c>
      <c r="AL62" s="126"/>
      <c r="AM62" s="126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6" t="s">
        <v>92</v>
      </c>
      <c r="B63" s="111" t="s">
        <v>333</v>
      </c>
      <c r="C63" s="111"/>
      <c r="D63" s="111" t="s">
        <v>103</v>
      </c>
      <c r="E63" s="111" t="s">
        <v>163</v>
      </c>
      <c r="F63" s="111"/>
      <c r="G63" s="111"/>
      <c r="H63" s="111"/>
      <c r="I63" s="113">
        <v>739.23</v>
      </c>
      <c r="J63" s="111"/>
      <c r="K63" s="113">
        <f t="shared" si="17"/>
        <v>739.23</v>
      </c>
      <c r="L63" s="113">
        <f>2917.13+13.09</f>
        <v>2930.2200000000003</v>
      </c>
      <c r="M63" s="113"/>
      <c r="N63" s="113"/>
      <c r="O63" s="113"/>
      <c r="P63" s="116">
        <v>45.15</v>
      </c>
      <c r="Q63" s="117">
        <f t="shared" si="18"/>
        <v>3624.3</v>
      </c>
      <c r="R63" s="118"/>
      <c r="S63" s="119"/>
      <c r="T63" s="119">
        <v>0</v>
      </c>
      <c r="U63" s="119"/>
      <c r="V63" s="119"/>
      <c r="W63" s="119"/>
      <c r="X63" s="120"/>
      <c r="Y63" s="120"/>
      <c r="Z63" s="121"/>
      <c r="AA63" s="121">
        <v>0</v>
      </c>
      <c r="AB63" s="117">
        <f t="shared" si="19"/>
        <v>3624.3</v>
      </c>
      <c r="AC63" s="122">
        <f t="shared" si="8"/>
        <v>362.43000000000006</v>
      </c>
      <c r="AD63" s="117">
        <f t="shared" si="20"/>
        <v>3261.87</v>
      </c>
      <c r="AE63" s="123">
        <f t="shared" si="21"/>
        <v>0</v>
      </c>
      <c r="AF63" s="122">
        <v>10.23</v>
      </c>
      <c r="AG63" s="122">
        <f t="shared" si="22"/>
        <v>0</v>
      </c>
      <c r="AH63" s="124">
        <f t="shared" si="23"/>
        <v>3634.53</v>
      </c>
      <c r="AI63" s="213">
        <v>577.4</v>
      </c>
      <c r="AJ63" s="214">
        <v>2684.47</v>
      </c>
      <c r="AK63" s="125">
        <f t="shared" si="7"/>
        <v>0</v>
      </c>
      <c r="AL63" s="126"/>
      <c r="AM63" s="126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26" t="s">
        <v>94</v>
      </c>
      <c r="B64" s="111" t="s">
        <v>208</v>
      </c>
      <c r="C64" s="111"/>
      <c r="D64" s="111" t="s">
        <v>135</v>
      </c>
      <c r="E64" s="111" t="s">
        <v>179</v>
      </c>
      <c r="F64" s="111"/>
      <c r="G64" s="112"/>
      <c r="H64" s="112"/>
      <c r="I64" s="113">
        <v>608.16</v>
      </c>
      <c r="J64" s="112"/>
      <c r="K64" s="113">
        <f t="shared" si="17"/>
        <v>608.16</v>
      </c>
      <c r="L64" s="113">
        <f>4515.5+3.71+2260.74</f>
        <v>6779.95</v>
      </c>
      <c r="M64" s="113"/>
      <c r="N64" s="115"/>
      <c r="O64" s="115"/>
      <c r="P64" s="116">
        <v>45.15</v>
      </c>
      <c r="Q64" s="117">
        <f t="shared" si="18"/>
        <v>7342.96</v>
      </c>
      <c r="R64" s="118"/>
      <c r="S64" s="119"/>
      <c r="T64" s="119"/>
      <c r="U64" s="128">
        <f>Q64*4.9%</f>
        <v>359.80504000000002</v>
      </c>
      <c r="V64" s="128">
        <f>Q64*1%</f>
        <v>73.429600000000008</v>
      </c>
      <c r="W64" s="119"/>
      <c r="X64" s="120"/>
      <c r="Y64" s="120"/>
      <c r="Z64" s="121"/>
      <c r="AA64" s="121">
        <v>0</v>
      </c>
      <c r="AB64" s="117">
        <f t="shared" si="19"/>
        <v>6909.7253600000004</v>
      </c>
      <c r="AC64" s="122">
        <f t="shared" si="8"/>
        <v>734.29600000000005</v>
      </c>
      <c r="AD64" s="117">
        <f t="shared" si="20"/>
        <v>6175.4293600000001</v>
      </c>
      <c r="AE64" s="123">
        <f t="shared" si="21"/>
        <v>0</v>
      </c>
      <c r="AF64" s="122">
        <v>10.23</v>
      </c>
      <c r="AG64" s="122">
        <f t="shared" si="22"/>
        <v>359.80504000000002</v>
      </c>
      <c r="AH64" s="124">
        <f t="shared" si="23"/>
        <v>7712.9950399999998</v>
      </c>
      <c r="AI64" s="213">
        <v>577.4</v>
      </c>
      <c r="AJ64" s="214">
        <v>5598.03</v>
      </c>
      <c r="AK64" s="125">
        <f t="shared" si="7"/>
        <v>6.3999999929365003E-4</v>
      </c>
      <c r="AL64" s="126"/>
      <c r="AM64" s="126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 s="39" customFormat="1">
      <c r="A65" s="126" t="s">
        <v>94</v>
      </c>
      <c r="B65" s="111" t="s">
        <v>199</v>
      </c>
      <c r="C65" s="111"/>
      <c r="D65" s="111" t="s">
        <v>136</v>
      </c>
      <c r="E65" s="111" t="s">
        <v>270</v>
      </c>
      <c r="F65" s="111"/>
      <c r="G65" s="112"/>
      <c r="H65" s="112"/>
      <c r="I65" s="113">
        <v>511.28</v>
      </c>
      <c r="J65" s="112"/>
      <c r="K65" s="113">
        <f t="shared" si="17"/>
        <v>511.28</v>
      </c>
      <c r="L65" s="113">
        <f>3738+7.42+1223.77</f>
        <v>4969.1900000000005</v>
      </c>
      <c r="M65" s="113"/>
      <c r="N65" s="115"/>
      <c r="O65" s="115"/>
      <c r="P65" s="116">
        <v>45.15</v>
      </c>
      <c r="Q65" s="117">
        <f t="shared" si="18"/>
        <v>5435.3200000000006</v>
      </c>
      <c r="R65" s="118"/>
      <c r="S65" s="119"/>
      <c r="T65" s="128">
        <v>100</v>
      </c>
      <c r="U65" s="128">
        <f>Q65*4.9%</f>
        <v>266.33068000000003</v>
      </c>
      <c r="V65" s="128">
        <f>Q65*1%</f>
        <v>54.353200000000008</v>
      </c>
      <c r="W65" s="119"/>
      <c r="X65" s="120"/>
      <c r="Y65" s="120"/>
      <c r="Z65" s="121"/>
      <c r="AA65" s="121">
        <v>0</v>
      </c>
      <c r="AB65" s="117">
        <f t="shared" si="19"/>
        <v>5014.636120000001</v>
      </c>
      <c r="AC65" s="122">
        <f t="shared" si="8"/>
        <v>543.53200000000004</v>
      </c>
      <c r="AD65" s="117">
        <f t="shared" si="20"/>
        <v>4471.1041200000009</v>
      </c>
      <c r="AE65" s="123">
        <f t="shared" si="21"/>
        <v>0</v>
      </c>
      <c r="AF65" s="122">
        <v>10.23</v>
      </c>
      <c r="AG65" s="122">
        <f t="shared" si="22"/>
        <v>266.33068000000003</v>
      </c>
      <c r="AH65" s="124">
        <f t="shared" si="23"/>
        <v>5711.8806800000002</v>
      </c>
      <c r="AI65" s="213">
        <v>577.4</v>
      </c>
      <c r="AJ65" s="214">
        <v>3893.7</v>
      </c>
      <c r="AK65" s="125">
        <f t="shared" si="7"/>
        <v>-4.1200000014214311E-3</v>
      </c>
      <c r="AL65" s="126"/>
      <c r="AM65" s="126"/>
    </row>
    <row r="66" spans="1:193">
      <c r="A66" s="126" t="s">
        <v>71</v>
      </c>
      <c r="B66" s="111" t="s">
        <v>287</v>
      </c>
      <c r="C66" s="111" t="s">
        <v>254</v>
      </c>
      <c r="D66" s="111" t="s">
        <v>157</v>
      </c>
      <c r="E66" s="111" t="s">
        <v>73</v>
      </c>
      <c r="F66" s="111"/>
      <c r="G66" s="112"/>
      <c r="H66" s="112"/>
      <c r="I66" s="113">
        <v>513.33000000000004</v>
      </c>
      <c r="J66" s="112"/>
      <c r="K66" s="113">
        <f t="shared" si="17"/>
        <v>513.33000000000004</v>
      </c>
      <c r="L66" s="113"/>
      <c r="M66" s="113"/>
      <c r="N66" s="115"/>
      <c r="O66" s="115"/>
      <c r="P66" s="116">
        <v>45.15</v>
      </c>
      <c r="Q66" s="117">
        <f t="shared" si="18"/>
        <v>468.18000000000006</v>
      </c>
      <c r="R66" s="118"/>
      <c r="S66" s="119"/>
      <c r="T66" s="119">
        <v>0</v>
      </c>
      <c r="U66" s="119"/>
      <c r="V66" s="119"/>
      <c r="W66" s="119"/>
      <c r="X66" s="120"/>
      <c r="Y66" s="120"/>
      <c r="Z66" s="121"/>
      <c r="AA66" s="121">
        <v>0</v>
      </c>
      <c r="AB66" s="117">
        <f t="shared" si="19"/>
        <v>468.18000000000006</v>
      </c>
      <c r="AC66" s="122">
        <f t="shared" si="8"/>
        <v>0</v>
      </c>
      <c r="AD66" s="117">
        <f t="shared" si="20"/>
        <v>468.18000000000006</v>
      </c>
      <c r="AE66" s="123">
        <f t="shared" si="21"/>
        <v>46.818000000000012</v>
      </c>
      <c r="AF66" s="122">
        <v>10.23</v>
      </c>
      <c r="AG66" s="122">
        <f t="shared" si="22"/>
        <v>0</v>
      </c>
      <c r="AH66" s="124">
        <f t="shared" si="23"/>
        <v>525.22800000000007</v>
      </c>
      <c r="AI66" s="213">
        <v>482.75</v>
      </c>
      <c r="AJ66" s="213">
        <v>49.3</v>
      </c>
      <c r="AK66" s="125">
        <f t="shared" si="7"/>
        <v>63.869999999999891</v>
      </c>
      <c r="AL66" s="126"/>
      <c r="AM66" s="126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 s="84" customFormat="1">
      <c r="A67" s="126" t="s">
        <v>92</v>
      </c>
      <c r="B67" s="111" t="s">
        <v>78</v>
      </c>
      <c r="C67" s="111"/>
      <c r="D67" s="111" t="s">
        <v>104</v>
      </c>
      <c r="E67" s="111" t="s">
        <v>164</v>
      </c>
      <c r="F67" s="111"/>
      <c r="G67" s="111"/>
      <c r="H67" s="112"/>
      <c r="I67" s="113">
        <v>739.23</v>
      </c>
      <c r="J67" s="112"/>
      <c r="K67" s="113">
        <f t="shared" si="17"/>
        <v>739.23</v>
      </c>
      <c r="L67" s="113">
        <f>4016.54+13.09</f>
        <v>4029.63</v>
      </c>
      <c r="M67" s="113"/>
      <c r="N67" s="141"/>
      <c r="O67" s="115"/>
      <c r="P67" s="116">
        <v>45.15</v>
      </c>
      <c r="Q67" s="117">
        <f t="shared" si="18"/>
        <v>4723.7100000000009</v>
      </c>
      <c r="R67" s="118"/>
      <c r="S67" s="119"/>
      <c r="T67" s="119">
        <v>0</v>
      </c>
      <c r="U67" s="119"/>
      <c r="V67" s="119"/>
      <c r="W67" s="119"/>
      <c r="X67" s="120"/>
      <c r="Y67" s="120"/>
      <c r="Z67" s="121"/>
      <c r="AA67" s="121">
        <v>0</v>
      </c>
      <c r="AB67" s="117">
        <f t="shared" si="19"/>
        <v>4723.7100000000009</v>
      </c>
      <c r="AC67" s="122">
        <f t="shared" si="8"/>
        <v>472.37100000000009</v>
      </c>
      <c r="AD67" s="117">
        <f t="shared" si="20"/>
        <v>4251.3390000000009</v>
      </c>
      <c r="AE67" s="123">
        <f t="shared" si="21"/>
        <v>0</v>
      </c>
      <c r="AF67" s="122">
        <v>10.23</v>
      </c>
      <c r="AG67" s="122">
        <f t="shared" si="22"/>
        <v>0</v>
      </c>
      <c r="AH67" s="124">
        <f t="shared" si="23"/>
        <v>4733.9400000000005</v>
      </c>
      <c r="AI67" s="213">
        <v>577.4</v>
      </c>
      <c r="AJ67" s="214">
        <v>3673.94</v>
      </c>
      <c r="AK67" s="125">
        <f t="shared" si="7"/>
        <v>9.9999999929423211E-4</v>
      </c>
      <c r="AL67" s="126"/>
      <c r="AM67" s="126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>
      <c r="A68" s="126" t="s">
        <v>71</v>
      </c>
      <c r="B68" s="126" t="s">
        <v>299</v>
      </c>
      <c r="C68" s="126" t="s">
        <v>303</v>
      </c>
      <c r="D68" s="126"/>
      <c r="E68" s="126" t="s">
        <v>173</v>
      </c>
      <c r="F68" s="129">
        <v>42430</v>
      </c>
      <c r="G68" s="126"/>
      <c r="H68" s="126"/>
      <c r="I68" s="130">
        <v>513.33000000000004</v>
      </c>
      <c r="J68" s="126"/>
      <c r="K68" s="130">
        <f t="shared" si="17"/>
        <v>513.33000000000004</v>
      </c>
      <c r="L68" s="130"/>
      <c r="M68" s="130"/>
      <c r="N68" s="142"/>
      <c r="O68" s="130"/>
      <c r="P68" s="116">
        <v>45.15</v>
      </c>
      <c r="Q68" s="117">
        <f t="shared" si="18"/>
        <v>468.18000000000006</v>
      </c>
      <c r="R68" s="118"/>
      <c r="S68" s="119"/>
      <c r="T68" s="119">
        <v>0</v>
      </c>
      <c r="U68" s="119"/>
      <c r="V68" s="119"/>
      <c r="W68" s="119"/>
      <c r="X68" s="120"/>
      <c r="Y68" s="120"/>
      <c r="Z68" s="121"/>
      <c r="AA68" s="121">
        <v>0</v>
      </c>
      <c r="AB68" s="117">
        <f t="shared" si="19"/>
        <v>468.18000000000006</v>
      </c>
      <c r="AC68" s="122">
        <f t="shared" si="8"/>
        <v>0</v>
      </c>
      <c r="AD68" s="117">
        <f t="shared" si="20"/>
        <v>468.18000000000006</v>
      </c>
      <c r="AE68" s="123">
        <f t="shared" si="21"/>
        <v>46.818000000000012</v>
      </c>
      <c r="AF68" s="122">
        <v>10.23</v>
      </c>
      <c r="AG68" s="122">
        <f t="shared" si="22"/>
        <v>0</v>
      </c>
      <c r="AH68" s="124">
        <f t="shared" si="23"/>
        <v>525.22800000000007</v>
      </c>
      <c r="AI68" s="213">
        <v>482.75</v>
      </c>
      <c r="AJ68" s="213">
        <v>49.3</v>
      </c>
      <c r="AK68" s="125">
        <f t="shared" si="7"/>
        <v>63.869999999999891</v>
      </c>
      <c r="AL68" s="126"/>
      <c r="AM68" s="131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>
      <c r="A69" s="126" t="s">
        <v>92</v>
      </c>
      <c r="B69" s="111" t="s">
        <v>232</v>
      </c>
      <c r="C69" s="111"/>
      <c r="D69" s="111" t="s">
        <v>105</v>
      </c>
      <c r="E69" s="111" t="s">
        <v>163</v>
      </c>
      <c r="F69" s="111"/>
      <c r="G69" s="111"/>
      <c r="H69" s="112"/>
      <c r="I69" s="113">
        <v>739.23</v>
      </c>
      <c r="J69" s="112"/>
      <c r="K69" s="113">
        <f t="shared" si="17"/>
        <v>739.23</v>
      </c>
      <c r="L69" s="113">
        <f>3034.72+7.42</f>
        <v>3042.14</v>
      </c>
      <c r="M69" s="113"/>
      <c r="N69" s="115"/>
      <c r="O69" s="115"/>
      <c r="P69" s="116">
        <v>45.15</v>
      </c>
      <c r="Q69" s="117">
        <f t="shared" si="18"/>
        <v>3736.22</v>
      </c>
      <c r="R69" s="118"/>
      <c r="S69" s="119"/>
      <c r="T69" s="119">
        <v>0</v>
      </c>
      <c r="U69" s="119"/>
      <c r="V69" s="119"/>
      <c r="W69" s="119"/>
      <c r="X69" s="120"/>
      <c r="Y69" s="120"/>
      <c r="Z69" s="121"/>
      <c r="AA69" s="121">
        <v>0</v>
      </c>
      <c r="AB69" s="117">
        <f t="shared" si="19"/>
        <v>3736.22</v>
      </c>
      <c r="AC69" s="122">
        <f t="shared" si="8"/>
        <v>373.62200000000001</v>
      </c>
      <c r="AD69" s="117">
        <f t="shared" si="20"/>
        <v>3362.598</v>
      </c>
      <c r="AE69" s="123">
        <f t="shared" si="21"/>
        <v>0</v>
      </c>
      <c r="AF69" s="122">
        <v>10.23</v>
      </c>
      <c r="AG69" s="122">
        <f t="shared" si="22"/>
        <v>0</v>
      </c>
      <c r="AH69" s="124">
        <f t="shared" si="23"/>
        <v>3746.45</v>
      </c>
      <c r="AI69" s="213">
        <v>577.4</v>
      </c>
      <c r="AJ69" s="214">
        <v>2785.2</v>
      </c>
      <c r="AK69" s="125">
        <f t="shared" si="7"/>
        <v>1.9999999999527063E-3</v>
      </c>
      <c r="AL69" s="126"/>
      <c r="AM69" s="126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>
      <c r="A70" s="126" t="s">
        <v>92</v>
      </c>
      <c r="B70" s="126" t="s">
        <v>272</v>
      </c>
      <c r="C70" s="126"/>
      <c r="D70" s="126"/>
      <c r="E70" s="126" t="s">
        <v>163</v>
      </c>
      <c r="F70" s="129">
        <v>42422</v>
      </c>
      <c r="G70" s="126"/>
      <c r="H70" s="126"/>
      <c r="I70" s="113">
        <v>739.23</v>
      </c>
      <c r="J70" s="112"/>
      <c r="K70" s="113">
        <f t="shared" si="17"/>
        <v>739.23</v>
      </c>
      <c r="L70" s="113">
        <f>2344.83+13.09</f>
        <v>2357.92</v>
      </c>
      <c r="M70" s="113"/>
      <c r="N70" s="115"/>
      <c r="O70" s="115"/>
      <c r="P70" s="116">
        <v>45.15</v>
      </c>
      <c r="Q70" s="117">
        <f t="shared" si="18"/>
        <v>3052</v>
      </c>
      <c r="R70" s="118"/>
      <c r="S70" s="119"/>
      <c r="T70" s="119">
        <v>0</v>
      </c>
      <c r="U70" s="119"/>
      <c r="V70" s="119"/>
      <c r="W70" s="119"/>
      <c r="X70" s="120"/>
      <c r="Y70" s="120"/>
      <c r="Z70" s="121"/>
      <c r="AA70" s="121">
        <v>0</v>
      </c>
      <c r="AB70" s="117">
        <f t="shared" si="19"/>
        <v>3052</v>
      </c>
      <c r="AC70" s="122">
        <f t="shared" si="8"/>
        <v>305.2</v>
      </c>
      <c r="AD70" s="117">
        <f t="shared" si="20"/>
        <v>2746.8</v>
      </c>
      <c r="AE70" s="123">
        <f t="shared" si="21"/>
        <v>305.2</v>
      </c>
      <c r="AF70" s="122">
        <v>10.23</v>
      </c>
      <c r="AG70" s="122">
        <f t="shared" si="22"/>
        <v>0</v>
      </c>
      <c r="AH70" s="124">
        <f t="shared" si="23"/>
        <v>3367.43</v>
      </c>
      <c r="AI70" s="213">
        <v>577.4</v>
      </c>
      <c r="AJ70" s="214">
        <v>2169.4</v>
      </c>
      <c r="AK70" s="125">
        <f t="shared" si="7"/>
        <v>0</v>
      </c>
      <c r="AL70" s="126"/>
      <c r="AM70" s="131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>
      <c r="A71" s="126" t="s">
        <v>94</v>
      </c>
      <c r="B71" s="111" t="s">
        <v>327</v>
      </c>
      <c r="C71" s="111"/>
      <c r="D71" s="111" t="s">
        <v>137</v>
      </c>
      <c r="E71" s="111" t="s">
        <v>181</v>
      </c>
      <c r="F71" s="111"/>
      <c r="G71" s="112"/>
      <c r="H71" s="112"/>
      <c r="I71" s="113"/>
      <c r="J71" s="112"/>
      <c r="K71" s="113">
        <v>521.28</v>
      </c>
      <c r="L71" s="113">
        <f>1359.95+5.57+875.47</f>
        <v>2240.9899999999998</v>
      </c>
      <c r="M71" s="113"/>
      <c r="N71" s="115"/>
      <c r="O71" s="115"/>
      <c r="P71" s="116">
        <v>45.15</v>
      </c>
      <c r="Q71" s="117">
        <f t="shared" si="18"/>
        <v>2717.1199999999994</v>
      </c>
      <c r="R71" s="118"/>
      <c r="S71" s="119"/>
      <c r="T71" s="119"/>
      <c r="U71" s="128">
        <f>Q71*4.9%</f>
        <v>133.13887999999997</v>
      </c>
      <c r="V71" s="128">
        <f>Q71*1%</f>
        <v>27.171199999999995</v>
      </c>
      <c r="W71" s="119"/>
      <c r="X71" s="120"/>
      <c r="Y71" s="120"/>
      <c r="Z71" s="121"/>
      <c r="AA71" s="121">
        <v>0</v>
      </c>
      <c r="AB71" s="117">
        <f t="shared" si="19"/>
        <v>2556.8099199999997</v>
      </c>
      <c r="AC71" s="122">
        <f t="shared" si="8"/>
        <v>271.71199999999993</v>
      </c>
      <c r="AD71" s="117">
        <f t="shared" si="20"/>
        <v>2285.0979199999997</v>
      </c>
      <c r="AE71" s="123">
        <f t="shared" si="21"/>
        <v>271.71199999999993</v>
      </c>
      <c r="AF71" s="122">
        <v>10.23</v>
      </c>
      <c r="AG71" s="122">
        <f t="shared" si="22"/>
        <v>133.13887999999997</v>
      </c>
      <c r="AH71" s="124">
        <f t="shared" si="23"/>
        <v>3132.2008799999994</v>
      </c>
      <c r="AI71" s="213">
        <v>577.4</v>
      </c>
      <c r="AJ71" s="214">
        <v>1707.7</v>
      </c>
      <c r="AK71" s="125">
        <f t="shared" si="7"/>
        <v>2.080000000205473E-3</v>
      </c>
      <c r="AL71" s="126"/>
      <c r="AM71" s="179" t="s">
        <v>328</v>
      </c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6" t="s">
        <v>94</v>
      </c>
      <c r="B72" s="111" t="s">
        <v>215</v>
      </c>
      <c r="C72" s="111"/>
      <c r="D72" s="111" t="s">
        <v>138</v>
      </c>
      <c r="E72" s="111" t="s">
        <v>181</v>
      </c>
      <c r="F72" s="111"/>
      <c r="G72" s="112"/>
      <c r="H72" s="112"/>
      <c r="I72" s="113">
        <v>608.16</v>
      </c>
      <c r="J72" s="112"/>
      <c r="K72" s="113">
        <f t="shared" si="17"/>
        <v>608.16</v>
      </c>
      <c r="L72" s="113">
        <f>5322.56+5.57+2155.12</f>
        <v>7483.25</v>
      </c>
      <c r="M72" s="113"/>
      <c r="N72" s="115"/>
      <c r="O72" s="115"/>
      <c r="P72" s="116">
        <v>45.15</v>
      </c>
      <c r="Q72" s="117">
        <f t="shared" si="18"/>
        <v>8046.26</v>
      </c>
      <c r="R72" s="118"/>
      <c r="S72" s="119"/>
      <c r="T72" s="128">
        <v>200</v>
      </c>
      <c r="U72" s="128">
        <f>Q72*4.9%</f>
        <v>394.26674000000003</v>
      </c>
      <c r="V72" s="128">
        <f>Q72*1%</f>
        <v>80.462600000000009</v>
      </c>
      <c r="W72" s="128">
        <v>321.74</v>
      </c>
      <c r="X72" s="120"/>
      <c r="Y72" s="120"/>
      <c r="Z72" s="121"/>
      <c r="AA72" s="121">
        <v>0</v>
      </c>
      <c r="AB72" s="117">
        <f t="shared" si="19"/>
        <v>7049.7906600000006</v>
      </c>
      <c r="AC72" s="122">
        <f t="shared" si="8"/>
        <v>804.62600000000009</v>
      </c>
      <c r="AD72" s="117">
        <f t="shared" si="20"/>
        <v>6245.1646600000004</v>
      </c>
      <c r="AE72" s="123">
        <f t="shared" si="21"/>
        <v>0</v>
      </c>
      <c r="AF72" s="122">
        <v>10.23</v>
      </c>
      <c r="AG72" s="122">
        <f t="shared" si="22"/>
        <v>394.26674000000003</v>
      </c>
      <c r="AH72" s="124">
        <f t="shared" si="23"/>
        <v>8450.7567400000007</v>
      </c>
      <c r="AI72" s="213">
        <v>577.4</v>
      </c>
      <c r="AJ72" s="214">
        <v>5667.76</v>
      </c>
      <c r="AK72" s="125">
        <f t="shared" ref="AK72:AK96" si="24">+AI72+AJ72-AD72</f>
        <v>-4.6600000005128095E-3</v>
      </c>
      <c r="AL72" s="126"/>
      <c r="AM72" s="126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39" customFormat="1">
      <c r="A73" s="126" t="s">
        <v>71</v>
      </c>
      <c r="B73" s="126" t="s">
        <v>217</v>
      </c>
      <c r="C73" s="126" t="s">
        <v>251</v>
      </c>
      <c r="D73" s="144" t="s">
        <v>218</v>
      </c>
      <c r="E73" s="126" t="s">
        <v>73</v>
      </c>
      <c r="F73" s="129">
        <v>42396</v>
      </c>
      <c r="G73" s="126"/>
      <c r="H73" s="126"/>
      <c r="I73" s="130">
        <v>513.33000000000004</v>
      </c>
      <c r="J73" s="126"/>
      <c r="K73" s="130">
        <f t="shared" ref="K73:K95" si="25">+I73+J73</f>
        <v>513.33000000000004</v>
      </c>
      <c r="L73" s="130">
        <v>3294.5</v>
      </c>
      <c r="M73" s="130"/>
      <c r="N73" s="130"/>
      <c r="O73" s="130"/>
      <c r="P73" s="116">
        <v>45.15</v>
      </c>
      <c r="Q73" s="117">
        <f t="shared" si="18"/>
        <v>3762.68</v>
      </c>
      <c r="R73" s="118"/>
      <c r="S73" s="170"/>
      <c r="T73" s="170"/>
      <c r="U73" s="170"/>
      <c r="V73" s="170"/>
      <c r="W73" s="170"/>
      <c r="X73" s="133">
        <v>1035.49</v>
      </c>
      <c r="Y73" s="171"/>
      <c r="Z73" s="156"/>
      <c r="AA73" s="127">
        <v>291.5</v>
      </c>
      <c r="AB73" s="117">
        <f t="shared" si="19"/>
        <v>2435.6899999999996</v>
      </c>
      <c r="AC73" s="122">
        <f t="shared" si="8"/>
        <v>376.26800000000003</v>
      </c>
      <c r="AD73" s="117">
        <f t="shared" si="20"/>
        <v>2059.4219999999996</v>
      </c>
      <c r="AE73" s="123">
        <f t="shared" si="21"/>
        <v>0</v>
      </c>
      <c r="AF73" s="122">
        <v>10.23</v>
      </c>
      <c r="AG73" s="122">
        <f t="shared" ref="AG73:AG96" si="26">+U73</f>
        <v>0</v>
      </c>
      <c r="AH73" s="124">
        <f t="shared" si="23"/>
        <v>3772.91</v>
      </c>
      <c r="AI73" s="213">
        <v>285.89999999999998</v>
      </c>
      <c r="AJ73" s="214">
        <v>1773.52</v>
      </c>
      <c r="AK73" s="125">
        <f t="shared" si="24"/>
        <v>-1.9999999994979589E-3</v>
      </c>
      <c r="AL73" s="126"/>
      <c r="AM73" s="126"/>
    </row>
    <row r="74" spans="1:193">
      <c r="A74" s="126" t="s">
        <v>94</v>
      </c>
      <c r="B74" s="111" t="s">
        <v>195</v>
      </c>
      <c r="C74" s="111"/>
      <c r="D74" s="111" t="s">
        <v>140</v>
      </c>
      <c r="E74" s="111" t="s">
        <v>174</v>
      </c>
      <c r="F74" s="111"/>
      <c r="G74" s="112"/>
      <c r="H74" s="112"/>
      <c r="I74" s="113">
        <v>608.16</v>
      </c>
      <c r="J74" s="112"/>
      <c r="K74" s="113">
        <f t="shared" si="25"/>
        <v>608.16</v>
      </c>
      <c r="L74" s="113">
        <f>438.2+502.65</f>
        <v>940.84999999999991</v>
      </c>
      <c r="M74" s="113"/>
      <c r="N74" s="115"/>
      <c r="O74" s="115">
        <v>532.54</v>
      </c>
      <c r="P74" s="116">
        <v>45.15</v>
      </c>
      <c r="Q74" s="117">
        <f t="shared" ref="Q74:Q96" si="27">SUM(K74:O74)-P74</f>
        <v>2036.3999999999996</v>
      </c>
      <c r="R74" s="118"/>
      <c r="S74" s="119"/>
      <c r="T74" s="119">
        <v>0</v>
      </c>
      <c r="U74" s="128">
        <f>Q74*4.9%</f>
        <v>99.783599999999993</v>
      </c>
      <c r="V74" s="128">
        <f>Q74*1%</f>
        <v>20.363999999999997</v>
      </c>
      <c r="W74" s="119"/>
      <c r="X74" s="120"/>
      <c r="Y74" s="120"/>
      <c r="Z74" s="121"/>
      <c r="AA74" s="121">
        <v>0</v>
      </c>
      <c r="AB74" s="117">
        <f t="shared" ref="AB74:AB95" si="28">+Q74-SUM(R74:AA74)</f>
        <v>1916.2523999999996</v>
      </c>
      <c r="AC74" s="122">
        <f t="shared" ref="AC74:AC96" si="29">IF(Q74&gt;2250,Q74*0.1,0)</f>
        <v>0</v>
      </c>
      <c r="AD74" s="117">
        <f t="shared" ref="AD74:AD95" si="30">+AB74-AC74</f>
        <v>1916.2523999999996</v>
      </c>
      <c r="AE74" s="123">
        <f t="shared" ref="AE74:AE96" si="31">IF(Q74&lt;3500,Q74*0.1,0)</f>
        <v>203.64</v>
      </c>
      <c r="AF74" s="122">
        <v>10.23</v>
      </c>
      <c r="AG74" s="122">
        <f t="shared" si="26"/>
        <v>99.783599999999993</v>
      </c>
      <c r="AH74" s="124">
        <f t="shared" ref="AH74:AH96" si="32">+Q74+AE74+AF74+AG74</f>
        <v>2350.0535999999997</v>
      </c>
      <c r="AI74" s="213">
        <v>577.4</v>
      </c>
      <c r="AJ74" s="214">
        <v>1338.85</v>
      </c>
      <c r="AK74" s="125">
        <f t="shared" si="24"/>
        <v>-2.3999999996249244E-3</v>
      </c>
      <c r="AL74" s="126"/>
      <c r="AM74" s="126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126" t="s">
        <v>71</v>
      </c>
      <c r="B75" s="111" t="s">
        <v>306</v>
      </c>
      <c r="C75" s="111"/>
      <c r="D75" s="111"/>
      <c r="E75" s="111" t="s">
        <v>73</v>
      </c>
      <c r="F75" s="135">
        <v>42443</v>
      </c>
      <c r="G75" s="112"/>
      <c r="H75" s="112"/>
      <c r="I75" s="113">
        <v>513.33000000000004</v>
      </c>
      <c r="J75" s="112"/>
      <c r="K75" s="113">
        <f t="shared" si="25"/>
        <v>513.33000000000004</v>
      </c>
      <c r="L75" s="115">
        <v>2902.87</v>
      </c>
      <c r="M75" s="113"/>
      <c r="O75" s="115"/>
      <c r="P75" s="116">
        <v>45.15</v>
      </c>
      <c r="Q75" s="117">
        <f t="shared" si="27"/>
        <v>3371.0499999999997</v>
      </c>
      <c r="R75" s="118"/>
      <c r="S75" s="119"/>
      <c r="T75" s="119"/>
      <c r="U75" s="128"/>
      <c r="V75" s="128"/>
      <c r="W75" s="119"/>
      <c r="X75" s="120"/>
      <c r="Y75" s="120"/>
      <c r="Z75" s="121"/>
      <c r="AA75" s="127">
        <v>1395.24</v>
      </c>
      <c r="AB75" s="117">
        <f t="shared" si="28"/>
        <v>1975.8099999999997</v>
      </c>
      <c r="AC75" s="122">
        <f t="shared" si="29"/>
        <v>337.10500000000002</v>
      </c>
      <c r="AD75" s="117">
        <f t="shared" si="30"/>
        <v>1638.7049999999997</v>
      </c>
      <c r="AE75" s="123">
        <f t="shared" si="31"/>
        <v>337.10500000000002</v>
      </c>
      <c r="AF75" s="122">
        <v>10.23</v>
      </c>
      <c r="AG75" s="122">
        <f t="shared" si="26"/>
        <v>0</v>
      </c>
      <c r="AH75" s="124">
        <f t="shared" si="32"/>
        <v>3718.3849999999998</v>
      </c>
      <c r="AI75" s="213">
        <v>577.4</v>
      </c>
      <c r="AJ75" s="214">
        <v>1061.31</v>
      </c>
      <c r="AK75" s="125">
        <f t="shared" si="24"/>
        <v>5.000000000336513E-3</v>
      </c>
      <c r="AL75" s="154">
        <v>2713019144</v>
      </c>
      <c r="AM75" s="154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6" t="s">
        <v>91</v>
      </c>
      <c r="B76" s="111" t="s">
        <v>244</v>
      </c>
      <c r="C76" s="111"/>
      <c r="D76" s="111" t="s">
        <v>117</v>
      </c>
      <c r="E76" s="111" t="s">
        <v>171</v>
      </c>
      <c r="F76" s="111"/>
      <c r="G76" s="111"/>
      <c r="H76" s="111"/>
      <c r="I76" s="113">
        <v>577.38</v>
      </c>
      <c r="J76" s="137">
        <v>1047.6199999999999</v>
      </c>
      <c r="K76" s="113">
        <f t="shared" si="25"/>
        <v>1625</v>
      </c>
      <c r="L76" s="113"/>
      <c r="M76" s="113"/>
      <c r="N76" s="113"/>
      <c r="O76" s="113"/>
      <c r="P76" s="116">
        <v>45.15</v>
      </c>
      <c r="Q76" s="117">
        <f t="shared" si="27"/>
        <v>1579.85</v>
      </c>
      <c r="R76" s="118"/>
      <c r="S76" s="119"/>
      <c r="T76" s="119">
        <v>0</v>
      </c>
      <c r="U76" s="119"/>
      <c r="V76" s="119"/>
      <c r="W76" s="119"/>
      <c r="X76" s="120"/>
      <c r="Y76" s="120"/>
      <c r="Z76" s="121"/>
      <c r="AA76" s="121">
        <v>0</v>
      </c>
      <c r="AB76" s="117">
        <f t="shared" si="28"/>
        <v>1579.85</v>
      </c>
      <c r="AC76" s="122">
        <f t="shared" si="29"/>
        <v>0</v>
      </c>
      <c r="AD76" s="117">
        <f t="shared" si="30"/>
        <v>1579.85</v>
      </c>
      <c r="AE76" s="123">
        <f t="shared" si="31"/>
        <v>157.98500000000001</v>
      </c>
      <c r="AF76" s="122">
        <v>10.23</v>
      </c>
      <c r="AG76" s="122">
        <f t="shared" si="26"/>
        <v>0</v>
      </c>
      <c r="AH76" s="124">
        <f t="shared" si="32"/>
        <v>1748.0650000000001</v>
      </c>
      <c r="AI76" s="213">
        <v>577.4</v>
      </c>
      <c r="AJ76" s="214">
        <v>1002.45</v>
      </c>
      <c r="AK76" s="125">
        <f t="shared" si="24"/>
        <v>0</v>
      </c>
      <c r="AL76" s="126"/>
      <c r="AM76" s="126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6" t="s">
        <v>92</v>
      </c>
      <c r="B77" s="126" t="s">
        <v>332</v>
      </c>
      <c r="C77" s="126"/>
      <c r="D77" s="126"/>
      <c r="E77" s="126" t="s">
        <v>163</v>
      </c>
      <c r="F77" s="129">
        <v>42416</v>
      </c>
      <c r="G77" s="126"/>
      <c r="H77" s="126"/>
      <c r="I77" s="130">
        <v>739.23</v>
      </c>
      <c r="J77" s="126"/>
      <c r="K77" s="130">
        <f t="shared" si="25"/>
        <v>739.23</v>
      </c>
      <c r="L77" s="130">
        <f>1496.26+7.42</f>
        <v>1503.68</v>
      </c>
      <c r="M77" s="130"/>
      <c r="N77" s="130"/>
      <c r="O77" s="130"/>
      <c r="P77" s="116">
        <v>45.15</v>
      </c>
      <c r="Q77" s="117">
        <f t="shared" si="27"/>
        <v>2197.7599999999998</v>
      </c>
      <c r="R77" s="118"/>
      <c r="S77" s="119"/>
      <c r="T77" s="119">
        <v>0</v>
      </c>
      <c r="U77" s="119"/>
      <c r="V77" s="119"/>
      <c r="W77" s="119"/>
      <c r="X77" s="120"/>
      <c r="Y77" s="120"/>
      <c r="Z77" s="121"/>
      <c r="AA77" s="121">
        <v>0</v>
      </c>
      <c r="AB77" s="117">
        <f t="shared" si="28"/>
        <v>2197.7599999999998</v>
      </c>
      <c r="AC77" s="122">
        <f t="shared" si="29"/>
        <v>0</v>
      </c>
      <c r="AD77" s="117">
        <f t="shared" si="30"/>
        <v>2197.7599999999998</v>
      </c>
      <c r="AE77" s="123">
        <f t="shared" si="31"/>
        <v>219.77599999999998</v>
      </c>
      <c r="AF77" s="122">
        <v>10.23</v>
      </c>
      <c r="AG77" s="122">
        <f t="shared" si="26"/>
        <v>0</v>
      </c>
      <c r="AH77" s="124">
        <f t="shared" si="32"/>
        <v>2427.7659999999996</v>
      </c>
      <c r="AI77" s="213">
        <v>577.4</v>
      </c>
      <c r="AJ77" s="214">
        <v>1620.36</v>
      </c>
      <c r="AK77" s="125">
        <f t="shared" si="24"/>
        <v>0</v>
      </c>
      <c r="AL77" s="126"/>
      <c r="AM77" s="126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126" t="s">
        <v>94</v>
      </c>
      <c r="B78" s="111" t="s">
        <v>214</v>
      </c>
      <c r="C78" s="111"/>
      <c r="D78" s="111" t="s">
        <v>139</v>
      </c>
      <c r="E78" s="111" t="s">
        <v>182</v>
      </c>
      <c r="F78" s="111"/>
      <c r="G78" s="112"/>
      <c r="H78" s="112"/>
      <c r="I78" s="113">
        <v>511.28</v>
      </c>
      <c r="J78" s="112"/>
      <c r="K78" s="113">
        <f t="shared" si="25"/>
        <v>511.28</v>
      </c>
      <c r="L78" s="113">
        <f>2360.28+7.42+1675.16</f>
        <v>4042.8600000000006</v>
      </c>
      <c r="M78" s="113"/>
      <c r="N78" s="115"/>
      <c r="O78" s="115"/>
      <c r="P78" s="116">
        <v>45.15</v>
      </c>
      <c r="Q78" s="117">
        <f t="shared" si="27"/>
        <v>4508.9900000000007</v>
      </c>
      <c r="R78" s="118"/>
      <c r="S78" s="119"/>
      <c r="T78" s="128">
        <v>300</v>
      </c>
      <c r="U78" s="119"/>
      <c r="V78" s="119"/>
      <c r="W78" s="119"/>
      <c r="X78" s="120"/>
      <c r="Y78" s="120"/>
      <c r="Z78" s="121"/>
      <c r="AA78" s="127">
        <v>845</v>
      </c>
      <c r="AB78" s="117">
        <f t="shared" si="28"/>
        <v>3363.9900000000007</v>
      </c>
      <c r="AC78" s="122">
        <f t="shared" si="29"/>
        <v>450.89900000000011</v>
      </c>
      <c r="AD78" s="117">
        <f t="shared" si="30"/>
        <v>2913.0910000000003</v>
      </c>
      <c r="AE78" s="123">
        <f t="shared" si="31"/>
        <v>0</v>
      </c>
      <c r="AF78" s="122">
        <v>10.23</v>
      </c>
      <c r="AG78" s="122">
        <f t="shared" si="26"/>
        <v>0</v>
      </c>
      <c r="AH78" s="124">
        <f t="shared" si="32"/>
        <v>4519.22</v>
      </c>
      <c r="AI78" s="213">
        <v>577.4</v>
      </c>
      <c r="AJ78" s="214">
        <v>2335.69</v>
      </c>
      <c r="AK78" s="125">
        <f t="shared" si="24"/>
        <v>-1.0000000002037268E-3</v>
      </c>
      <c r="AL78" s="126"/>
      <c r="AM78" s="126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126" t="s">
        <v>91</v>
      </c>
      <c r="B79" s="111" t="s">
        <v>239</v>
      </c>
      <c r="C79" s="111"/>
      <c r="D79" s="111" t="s">
        <v>99</v>
      </c>
      <c r="E79" s="111" t="s">
        <v>72</v>
      </c>
      <c r="F79" s="111"/>
      <c r="G79" s="111"/>
      <c r="H79" s="111"/>
      <c r="I79" s="113">
        <v>1166.26</v>
      </c>
      <c r="J79" s="114"/>
      <c r="K79" s="113">
        <f t="shared" si="25"/>
        <v>1166.26</v>
      </c>
      <c r="L79" s="113">
        <v>2905.31</v>
      </c>
      <c r="M79" s="113"/>
      <c r="N79" s="113"/>
      <c r="O79" s="113"/>
      <c r="P79" s="116">
        <v>45.15</v>
      </c>
      <c r="Q79" s="117">
        <f t="shared" si="27"/>
        <v>4026.4199999999996</v>
      </c>
      <c r="R79" s="118"/>
      <c r="S79" s="119"/>
      <c r="T79" s="119">
        <v>0</v>
      </c>
      <c r="U79" s="119"/>
      <c r="V79" s="119"/>
      <c r="W79" s="119"/>
      <c r="X79" s="120"/>
      <c r="Y79" s="120"/>
      <c r="Z79" s="121"/>
      <c r="AA79" s="121">
        <v>0</v>
      </c>
      <c r="AB79" s="117">
        <f t="shared" si="28"/>
        <v>4026.4199999999996</v>
      </c>
      <c r="AC79" s="122">
        <f t="shared" si="29"/>
        <v>402.642</v>
      </c>
      <c r="AD79" s="117">
        <f t="shared" si="30"/>
        <v>3623.7779999999998</v>
      </c>
      <c r="AE79" s="123">
        <f t="shared" si="31"/>
        <v>0</v>
      </c>
      <c r="AF79" s="122">
        <v>10.23</v>
      </c>
      <c r="AG79" s="122">
        <f t="shared" si="26"/>
        <v>0</v>
      </c>
      <c r="AH79" s="124">
        <f t="shared" si="32"/>
        <v>4036.6499999999996</v>
      </c>
      <c r="AI79" s="213">
        <v>577.4</v>
      </c>
      <c r="AJ79" s="214">
        <v>3046.38</v>
      </c>
      <c r="AK79" s="125">
        <f t="shared" si="24"/>
        <v>2.0000000004074536E-3</v>
      </c>
      <c r="AL79" s="126"/>
      <c r="AM79" s="126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6" t="s">
        <v>93</v>
      </c>
      <c r="B80" s="111" t="s">
        <v>295</v>
      </c>
      <c r="C80" s="111"/>
      <c r="D80" s="111" t="s">
        <v>119</v>
      </c>
      <c r="E80" s="111" t="s">
        <v>168</v>
      </c>
      <c r="F80" s="111"/>
      <c r="G80" s="111"/>
      <c r="H80" s="111"/>
      <c r="I80" s="113">
        <v>1100</v>
      </c>
      <c r="J80" s="111"/>
      <c r="K80" s="113">
        <f t="shared" si="25"/>
        <v>1100</v>
      </c>
      <c r="L80" s="113"/>
      <c r="M80" s="113"/>
      <c r="N80" s="113"/>
      <c r="O80" s="113"/>
      <c r="P80" s="116">
        <v>45.15</v>
      </c>
      <c r="Q80" s="117">
        <f t="shared" si="27"/>
        <v>1054.8499999999999</v>
      </c>
      <c r="R80" s="118"/>
      <c r="S80" s="119"/>
      <c r="T80" s="119">
        <v>0</v>
      </c>
      <c r="U80" s="119"/>
      <c r="V80" s="119"/>
      <c r="W80" s="119"/>
      <c r="X80" s="120"/>
      <c r="Y80" s="120"/>
      <c r="Z80" s="121"/>
      <c r="AA80" s="121">
        <v>0</v>
      </c>
      <c r="AB80" s="117">
        <f t="shared" si="28"/>
        <v>1054.8499999999999</v>
      </c>
      <c r="AC80" s="122">
        <f t="shared" si="29"/>
        <v>0</v>
      </c>
      <c r="AD80" s="117">
        <f t="shared" si="30"/>
        <v>1054.8499999999999</v>
      </c>
      <c r="AE80" s="123">
        <f t="shared" si="31"/>
        <v>105.485</v>
      </c>
      <c r="AF80" s="122">
        <v>10.23</v>
      </c>
      <c r="AG80" s="122">
        <f t="shared" si="26"/>
        <v>0</v>
      </c>
      <c r="AH80" s="124">
        <f t="shared" si="32"/>
        <v>1170.5649999999998</v>
      </c>
      <c r="AI80" s="213">
        <v>577.4</v>
      </c>
      <c r="AJ80" s="213">
        <v>477.45</v>
      </c>
      <c r="AK80" s="125">
        <f t="shared" si="24"/>
        <v>0</v>
      </c>
      <c r="AL80" s="126"/>
      <c r="AM80" s="126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6" t="s">
        <v>71</v>
      </c>
      <c r="B81" s="111" t="s">
        <v>89</v>
      </c>
      <c r="C81" s="111" t="s">
        <v>249</v>
      </c>
      <c r="D81" s="111" t="s">
        <v>158</v>
      </c>
      <c r="E81" s="111" t="s">
        <v>73</v>
      </c>
      <c r="F81" s="111"/>
      <c r="G81" s="112"/>
      <c r="H81" s="112"/>
      <c r="I81" s="113">
        <v>513.33000000000004</v>
      </c>
      <c r="J81" s="112"/>
      <c r="K81" s="113">
        <f t="shared" si="25"/>
        <v>513.33000000000004</v>
      </c>
      <c r="L81" s="113"/>
      <c r="M81" s="113"/>
      <c r="N81" s="115"/>
      <c r="O81" s="115"/>
      <c r="P81" s="116">
        <v>45.15</v>
      </c>
      <c r="Q81" s="117">
        <f t="shared" si="27"/>
        <v>468.18000000000006</v>
      </c>
      <c r="R81" s="118"/>
      <c r="S81" s="128">
        <v>58.91</v>
      </c>
      <c r="T81" s="119">
        <v>0</v>
      </c>
      <c r="U81" s="119"/>
      <c r="V81" s="119"/>
      <c r="W81" s="119"/>
      <c r="X81" s="120"/>
      <c r="Y81" s="120"/>
      <c r="Z81" s="121"/>
      <c r="AA81" s="121">
        <v>0</v>
      </c>
      <c r="AB81" s="117">
        <f t="shared" si="28"/>
        <v>409.2700000000001</v>
      </c>
      <c r="AC81" s="122">
        <f t="shared" si="29"/>
        <v>0</v>
      </c>
      <c r="AD81" s="117">
        <f t="shared" si="30"/>
        <v>409.2700000000001</v>
      </c>
      <c r="AE81" s="123">
        <f t="shared" si="31"/>
        <v>46.818000000000012</v>
      </c>
      <c r="AF81" s="122">
        <v>10.23</v>
      </c>
      <c r="AG81" s="122">
        <f t="shared" si="26"/>
        <v>0</v>
      </c>
      <c r="AH81" s="124">
        <f t="shared" si="32"/>
        <v>525.22800000000007</v>
      </c>
      <c r="AI81" s="213">
        <v>403.75</v>
      </c>
      <c r="AJ81" s="213">
        <v>69.39</v>
      </c>
      <c r="AK81" s="125">
        <f t="shared" si="24"/>
        <v>63.869999999999891</v>
      </c>
      <c r="AL81" s="126"/>
      <c r="AM81" s="126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 s="61" customFormat="1">
      <c r="A82" s="126" t="s">
        <v>94</v>
      </c>
      <c r="B82" s="111" t="s">
        <v>86</v>
      </c>
      <c r="C82" s="111"/>
      <c r="D82" s="111" t="s">
        <v>141</v>
      </c>
      <c r="E82" s="111" t="s">
        <v>183</v>
      </c>
      <c r="F82" s="111"/>
      <c r="G82" s="112"/>
      <c r="H82" s="112"/>
      <c r="I82" s="113">
        <v>543.20000000000005</v>
      </c>
      <c r="J82" s="112"/>
      <c r="K82" s="113">
        <f t="shared" si="25"/>
        <v>543.20000000000005</v>
      </c>
      <c r="L82" s="113">
        <f>1185.5+775.41</f>
        <v>1960.9099999999999</v>
      </c>
      <c r="M82" s="113"/>
      <c r="N82" s="115"/>
      <c r="O82" s="115"/>
      <c r="P82" s="116">
        <v>45.15</v>
      </c>
      <c r="Q82" s="117">
        <f t="shared" si="27"/>
        <v>2458.9599999999996</v>
      </c>
      <c r="R82" s="118"/>
      <c r="S82" s="119"/>
      <c r="T82" s="119">
        <v>0</v>
      </c>
      <c r="U82" s="128">
        <f>Q82*4.9%</f>
        <v>120.48903999999999</v>
      </c>
      <c r="V82" s="128">
        <f>Q82*1%</f>
        <v>24.589599999999997</v>
      </c>
      <c r="W82" s="119"/>
      <c r="X82" s="120"/>
      <c r="Y82" s="120"/>
      <c r="Z82" s="121"/>
      <c r="AA82" s="121">
        <v>0</v>
      </c>
      <c r="AB82" s="117">
        <f t="shared" si="28"/>
        <v>2313.8813599999994</v>
      </c>
      <c r="AC82" s="122">
        <f t="shared" si="29"/>
        <v>245.89599999999996</v>
      </c>
      <c r="AD82" s="117">
        <f t="shared" si="30"/>
        <v>2067.9853599999997</v>
      </c>
      <c r="AE82" s="123">
        <f t="shared" si="31"/>
        <v>245.89599999999996</v>
      </c>
      <c r="AF82" s="122">
        <v>10.23</v>
      </c>
      <c r="AG82" s="122">
        <f t="shared" si="26"/>
        <v>120.48903999999999</v>
      </c>
      <c r="AH82" s="124">
        <f t="shared" si="32"/>
        <v>2835.5750399999997</v>
      </c>
      <c r="AI82" s="213">
        <v>577.4</v>
      </c>
      <c r="AJ82" s="214">
        <v>1490.59</v>
      </c>
      <c r="AK82" s="125">
        <f t="shared" si="24"/>
        <v>4.6400000001085573E-3</v>
      </c>
      <c r="AL82" s="126"/>
      <c r="AM82" s="126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>
      <c r="A83" s="126" t="s">
        <v>94</v>
      </c>
      <c r="B83" s="111" t="s">
        <v>193</v>
      </c>
      <c r="C83" s="111"/>
      <c r="D83" s="111" t="s">
        <v>142</v>
      </c>
      <c r="E83" s="111" t="s">
        <v>181</v>
      </c>
      <c r="F83" s="111"/>
      <c r="G83" s="112"/>
      <c r="H83" s="112"/>
      <c r="I83" s="113"/>
      <c r="J83" s="112"/>
      <c r="K83" s="113">
        <v>521.28</v>
      </c>
      <c r="L83" s="113">
        <f>3529.43+3.73+1379.61</f>
        <v>4912.7699999999995</v>
      </c>
      <c r="M83" s="113"/>
      <c r="N83" s="115"/>
      <c r="O83" s="115"/>
      <c r="P83" s="116">
        <v>45.15</v>
      </c>
      <c r="Q83" s="117">
        <f t="shared" si="27"/>
        <v>5388.9</v>
      </c>
      <c r="R83" s="118"/>
      <c r="S83" s="119"/>
      <c r="T83" s="128">
        <v>200</v>
      </c>
      <c r="U83" s="128">
        <f>Q83*4.9%</f>
        <v>264.05610000000001</v>
      </c>
      <c r="V83" s="128">
        <f>Q83*1%</f>
        <v>53.888999999999996</v>
      </c>
      <c r="W83" s="128">
        <v>257.64</v>
      </c>
      <c r="X83" s="120"/>
      <c r="Y83" s="120"/>
      <c r="Z83" s="127">
        <v>201.24</v>
      </c>
      <c r="AA83" s="121">
        <v>0</v>
      </c>
      <c r="AB83" s="117">
        <f t="shared" si="28"/>
        <v>4412.0748999999996</v>
      </c>
      <c r="AC83" s="122">
        <f t="shared" si="29"/>
        <v>538.89</v>
      </c>
      <c r="AD83" s="117">
        <f t="shared" si="30"/>
        <v>3873.1848999999997</v>
      </c>
      <c r="AE83" s="123">
        <f t="shared" si="31"/>
        <v>0</v>
      </c>
      <c r="AF83" s="122">
        <v>10.23</v>
      </c>
      <c r="AG83" s="122">
        <f t="shared" si="26"/>
        <v>264.05610000000001</v>
      </c>
      <c r="AH83" s="124">
        <f t="shared" si="32"/>
        <v>5663.186099999999</v>
      </c>
      <c r="AI83" s="213">
        <v>577.4</v>
      </c>
      <c r="AJ83" s="214">
        <v>3295.78</v>
      </c>
      <c r="AK83" s="125">
        <f t="shared" si="24"/>
        <v>-4.8999999994521204E-3</v>
      </c>
      <c r="AL83" s="126"/>
      <c r="AM83" s="179" t="s">
        <v>328</v>
      </c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6" t="s">
        <v>92</v>
      </c>
      <c r="B84" s="111" t="s">
        <v>211</v>
      </c>
      <c r="C84" s="111"/>
      <c r="D84" s="111" t="s">
        <v>107</v>
      </c>
      <c r="E84" s="111" t="s">
        <v>165</v>
      </c>
      <c r="F84" s="111"/>
      <c r="G84" s="111"/>
      <c r="H84" s="111"/>
      <c r="I84" s="113">
        <v>739.23</v>
      </c>
      <c r="J84" s="111"/>
      <c r="K84" s="113">
        <f t="shared" si="25"/>
        <v>739.23</v>
      </c>
      <c r="L84" s="113">
        <f>2170.71+7.42</f>
        <v>2178.13</v>
      </c>
      <c r="M84" s="113"/>
      <c r="N84" s="115"/>
      <c r="O84" s="115"/>
      <c r="P84" s="116">
        <v>45.15</v>
      </c>
      <c r="Q84" s="117">
        <f t="shared" si="27"/>
        <v>2872.21</v>
      </c>
      <c r="R84" s="118"/>
      <c r="S84" s="119"/>
      <c r="T84" s="128">
        <v>150</v>
      </c>
      <c r="U84" s="119"/>
      <c r="V84" s="119"/>
      <c r="W84" s="119"/>
      <c r="X84" s="120"/>
      <c r="Y84" s="120"/>
      <c r="Z84" s="121"/>
      <c r="AA84" s="121">
        <v>0</v>
      </c>
      <c r="AB84" s="117">
        <f t="shared" si="28"/>
        <v>2722.21</v>
      </c>
      <c r="AC84" s="122">
        <f t="shared" si="29"/>
        <v>287.221</v>
      </c>
      <c r="AD84" s="117">
        <f t="shared" si="30"/>
        <v>2434.989</v>
      </c>
      <c r="AE84" s="123">
        <f t="shared" si="31"/>
        <v>287.221</v>
      </c>
      <c r="AF84" s="122">
        <v>10.23</v>
      </c>
      <c r="AG84" s="122">
        <f t="shared" si="26"/>
        <v>0</v>
      </c>
      <c r="AH84" s="124">
        <f t="shared" si="32"/>
        <v>3169.6610000000001</v>
      </c>
      <c r="AI84" s="213">
        <v>577.4</v>
      </c>
      <c r="AJ84" s="214">
        <v>1857.59</v>
      </c>
      <c r="AK84" s="125">
        <f t="shared" si="24"/>
        <v>9.9999999974897946E-4</v>
      </c>
      <c r="AL84" s="126"/>
      <c r="AM84" s="126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6" t="s">
        <v>93</v>
      </c>
      <c r="B85" s="111" t="s">
        <v>305</v>
      </c>
      <c r="C85" s="111"/>
      <c r="D85" s="111" t="s">
        <v>120</v>
      </c>
      <c r="E85" s="111" t="s">
        <v>171</v>
      </c>
      <c r="F85" s="111"/>
      <c r="G85" s="112"/>
      <c r="H85" s="112"/>
      <c r="I85" s="113">
        <v>577.38</v>
      </c>
      <c r="J85" s="137">
        <v>1047.6199999999999</v>
      </c>
      <c r="K85" s="113">
        <f t="shared" si="25"/>
        <v>1625</v>
      </c>
      <c r="L85" s="113"/>
      <c r="M85" s="113"/>
      <c r="N85" s="115"/>
      <c r="O85" s="115"/>
      <c r="P85" s="116">
        <v>45.15</v>
      </c>
      <c r="Q85" s="117">
        <f t="shared" si="27"/>
        <v>1579.85</v>
      </c>
      <c r="R85" s="118"/>
      <c r="S85" s="119"/>
      <c r="T85" s="119">
        <v>0</v>
      </c>
      <c r="U85" s="119"/>
      <c r="V85" s="119"/>
      <c r="W85" s="119"/>
      <c r="X85" s="120"/>
      <c r="Y85" s="120"/>
      <c r="Z85" s="121"/>
      <c r="AA85" s="127">
        <f>355.65</f>
        <v>355.65</v>
      </c>
      <c r="AB85" s="117">
        <f t="shared" si="28"/>
        <v>1224.1999999999998</v>
      </c>
      <c r="AC85" s="122">
        <f t="shared" si="29"/>
        <v>0</v>
      </c>
      <c r="AD85" s="117">
        <f t="shared" si="30"/>
        <v>1224.1999999999998</v>
      </c>
      <c r="AE85" s="123">
        <f t="shared" si="31"/>
        <v>157.98500000000001</v>
      </c>
      <c r="AF85" s="122">
        <v>10.23</v>
      </c>
      <c r="AG85" s="122">
        <f t="shared" si="26"/>
        <v>0</v>
      </c>
      <c r="AH85" s="124">
        <f t="shared" si="32"/>
        <v>1748.0650000000001</v>
      </c>
      <c r="AI85" s="213">
        <v>221.75</v>
      </c>
      <c r="AJ85" s="214">
        <v>1002.45</v>
      </c>
      <c r="AK85" s="125">
        <f t="shared" si="24"/>
        <v>0</v>
      </c>
      <c r="AL85" s="126"/>
      <c r="AM85" s="126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 s="177" customFormat="1">
      <c r="A86" s="127" t="s">
        <v>71</v>
      </c>
      <c r="B86" s="127" t="s">
        <v>322</v>
      </c>
      <c r="C86" s="127"/>
      <c r="D86" s="127"/>
      <c r="E86" s="127" t="s">
        <v>73</v>
      </c>
      <c r="F86" s="173">
        <v>42459</v>
      </c>
      <c r="G86" s="127"/>
      <c r="H86" s="127"/>
      <c r="I86" s="128">
        <v>513.33000000000004</v>
      </c>
      <c r="J86" s="127"/>
      <c r="K86" s="128">
        <f t="shared" si="25"/>
        <v>513.33000000000004</v>
      </c>
      <c r="L86" s="128"/>
      <c r="M86" s="128"/>
      <c r="N86" s="128"/>
      <c r="O86" s="128"/>
      <c r="P86" s="180">
        <v>45.15</v>
      </c>
      <c r="Q86" s="174">
        <f t="shared" si="27"/>
        <v>468.18000000000006</v>
      </c>
      <c r="R86" s="128"/>
      <c r="S86" s="128"/>
      <c r="T86" s="128"/>
      <c r="U86" s="128"/>
      <c r="V86" s="128"/>
      <c r="W86" s="128"/>
      <c r="X86" s="133"/>
      <c r="Y86" s="133"/>
      <c r="Z86" s="127"/>
      <c r="AA86" s="127"/>
      <c r="AB86" s="174">
        <f t="shared" ref="AB86" si="33">+Q86-SUM(R86:AA86)</f>
        <v>468.18000000000006</v>
      </c>
      <c r="AC86" s="133">
        <f t="shared" ref="AC86" si="34">IF(Q86&gt;2250,Q86*0.1,0)</f>
        <v>0</v>
      </c>
      <c r="AD86" s="174">
        <f t="shared" ref="AD86" si="35">+AB86-AC86</f>
        <v>468.18000000000006</v>
      </c>
      <c r="AE86" s="133">
        <f t="shared" si="31"/>
        <v>46.818000000000012</v>
      </c>
      <c r="AF86" s="133">
        <v>10.23</v>
      </c>
      <c r="AG86" s="133">
        <f t="shared" ref="AG86" si="36">+U86</f>
        <v>0</v>
      </c>
      <c r="AH86" s="174">
        <f t="shared" ref="AH86" si="37">+Q86+AE86+AF86+AG86</f>
        <v>525.22800000000007</v>
      </c>
      <c r="AI86" s="213">
        <v>482.75</v>
      </c>
      <c r="AJ86" s="213">
        <v>49.3</v>
      </c>
      <c r="AK86" s="175">
        <f t="shared" si="24"/>
        <v>63.869999999999891</v>
      </c>
      <c r="AL86" s="127"/>
      <c r="AM86" s="176" t="s">
        <v>323</v>
      </c>
    </row>
    <row r="87" spans="1:193">
      <c r="A87" s="126" t="s">
        <v>92</v>
      </c>
      <c r="B87" s="111" t="s">
        <v>271</v>
      </c>
      <c r="C87" s="111"/>
      <c r="D87" s="111" t="s">
        <v>106</v>
      </c>
      <c r="E87" s="111" t="s">
        <v>163</v>
      </c>
      <c r="F87" s="111"/>
      <c r="G87" s="111"/>
      <c r="H87" s="111"/>
      <c r="I87" s="113">
        <v>739.23</v>
      </c>
      <c r="J87" s="111"/>
      <c r="K87" s="113">
        <f t="shared" si="25"/>
        <v>739.23</v>
      </c>
      <c r="L87" s="113">
        <f>1200.96+5.57</f>
        <v>1206.53</v>
      </c>
      <c r="M87" s="113"/>
      <c r="N87" s="115"/>
      <c r="O87" s="115"/>
      <c r="P87" s="116">
        <v>45.15</v>
      </c>
      <c r="Q87" s="117">
        <f t="shared" si="27"/>
        <v>1900.61</v>
      </c>
      <c r="R87" s="118"/>
      <c r="S87" s="119"/>
      <c r="T87" s="119">
        <v>0</v>
      </c>
      <c r="U87" s="119"/>
      <c r="V87" s="119"/>
      <c r="W87" s="119"/>
      <c r="X87" s="120"/>
      <c r="Y87" s="120"/>
      <c r="Z87" s="121"/>
      <c r="AA87" s="121">
        <v>0</v>
      </c>
      <c r="AB87" s="117">
        <f t="shared" si="28"/>
        <v>1900.61</v>
      </c>
      <c r="AC87" s="122">
        <f t="shared" si="29"/>
        <v>0</v>
      </c>
      <c r="AD87" s="117">
        <f t="shared" si="30"/>
        <v>1900.61</v>
      </c>
      <c r="AE87" s="123">
        <f t="shared" si="31"/>
        <v>190.06100000000001</v>
      </c>
      <c r="AF87" s="122">
        <v>10.23</v>
      </c>
      <c r="AG87" s="122">
        <f t="shared" si="26"/>
        <v>0</v>
      </c>
      <c r="AH87" s="124">
        <f t="shared" si="32"/>
        <v>2100.9009999999998</v>
      </c>
      <c r="AI87" s="213">
        <v>577.4</v>
      </c>
      <c r="AJ87" s="214">
        <v>1323.21</v>
      </c>
      <c r="AK87" s="125">
        <f t="shared" si="24"/>
        <v>0</v>
      </c>
      <c r="AL87" s="126"/>
      <c r="AM87" s="126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126" t="s">
        <v>92</v>
      </c>
      <c r="B88" s="111" t="s">
        <v>79</v>
      </c>
      <c r="C88" s="111"/>
      <c r="D88" s="111" t="s">
        <v>108</v>
      </c>
      <c r="E88" s="111" t="s">
        <v>166</v>
      </c>
      <c r="F88" s="111"/>
      <c r="G88" s="111"/>
      <c r="H88" s="111"/>
      <c r="I88" s="113">
        <v>739.23</v>
      </c>
      <c r="J88" s="111"/>
      <c r="K88" s="113">
        <f t="shared" si="25"/>
        <v>739.23</v>
      </c>
      <c r="L88" s="113">
        <f>1485.08+7.42</f>
        <v>1492.5</v>
      </c>
      <c r="M88" s="113"/>
      <c r="N88" s="113">
        <v>516.16</v>
      </c>
      <c r="O88" s="113"/>
      <c r="P88" s="116">
        <v>45.15</v>
      </c>
      <c r="Q88" s="117">
        <f t="shared" si="27"/>
        <v>2702.74</v>
      </c>
      <c r="R88" s="118"/>
      <c r="S88" s="119"/>
      <c r="T88" s="119">
        <v>0</v>
      </c>
      <c r="U88" s="119"/>
      <c r="V88" s="119"/>
      <c r="W88" s="119"/>
      <c r="X88" s="120"/>
      <c r="Y88" s="120"/>
      <c r="Z88" s="121"/>
      <c r="AA88" s="121">
        <v>0</v>
      </c>
      <c r="AB88" s="117">
        <f t="shared" si="28"/>
        <v>2702.74</v>
      </c>
      <c r="AC88" s="122">
        <f t="shared" si="29"/>
        <v>270.274</v>
      </c>
      <c r="AD88" s="117">
        <f t="shared" si="30"/>
        <v>2432.4659999999999</v>
      </c>
      <c r="AE88" s="123">
        <f t="shared" si="31"/>
        <v>270.274</v>
      </c>
      <c r="AF88" s="122">
        <v>10.23</v>
      </c>
      <c r="AG88" s="122">
        <f t="shared" si="26"/>
        <v>0</v>
      </c>
      <c r="AH88" s="124">
        <f t="shared" si="32"/>
        <v>2983.2439999999997</v>
      </c>
      <c r="AI88" s="213">
        <v>577.4</v>
      </c>
      <c r="AJ88" s="214">
        <v>1855.07</v>
      </c>
      <c r="AK88" s="125">
        <f t="shared" si="24"/>
        <v>3.9999999999054126E-3</v>
      </c>
      <c r="AL88" s="126"/>
      <c r="AM88" s="126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6" t="s">
        <v>91</v>
      </c>
      <c r="B89" s="126" t="s">
        <v>241</v>
      </c>
      <c r="C89" s="126"/>
      <c r="D89" s="143"/>
      <c r="E89" s="111" t="s">
        <v>242</v>
      </c>
      <c r="F89" s="111"/>
      <c r="G89" s="112"/>
      <c r="H89" s="112"/>
      <c r="I89" s="130">
        <v>1166.26</v>
      </c>
      <c r="J89" s="112"/>
      <c r="K89" s="113">
        <f t="shared" si="25"/>
        <v>1166.26</v>
      </c>
      <c r="L89" s="113">
        <v>2747.63</v>
      </c>
      <c r="M89" s="113"/>
      <c r="N89" s="115"/>
      <c r="O89" s="115"/>
      <c r="P89" s="116">
        <v>45.15</v>
      </c>
      <c r="Q89" s="117">
        <f t="shared" si="27"/>
        <v>3868.7400000000002</v>
      </c>
      <c r="R89" s="118"/>
      <c r="S89" s="119"/>
      <c r="T89" s="119"/>
      <c r="U89" s="119"/>
      <c r="V89" s="119"/>
      <c r="W89" s="119"/>
      <c r="X89" s="120"/>
      <c r="Y89" s="120"/>
      <c r="Z89" s="121"/>
      <c r="AA89" s="121">
        <v>0</v>
      </c>
      <c r="AB89" s="117">
        <f t="shared" si="28"/>
        <v>3868.7400000000002</v>
      </c>
      <c r="AC89" s="122">
        <f t="shared" si="29"/>
        <v>386.87400000000002</v>
      </c>
      <c r="AD89" s="117">
        <f t="shared" si="30"/>
        <v>3481.866</v>
      </c>
      <c r="AE89" s="123">
        <f t="shared" si="31"/>
        <v>0</v>
      </c>
      <c r="AF89" s="122">
        <v>10.23</v>
      </c>
      <c r="AG89" s="122">
        <f t="shared" si="26"/>
        <v>0</v>
      </c>
      <c r="AH89" s="124">
        <f t="shared" si="32"/>
        <v>3878.9700000000003</v>
      </c>
      <c r="AI89" s="213">
        <v>577.4</v>
      </c>
      <c r="AJ89" s="214">
        <v>2904.47</v>
      </c>
      <c r="AK89" s="125">
        <f t="shared" si="24"/>
        <v>3.9999999999054126E-3</v>
      </c>
      <c r="AL89" s="126"/>
      <c r="AM89" s="126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 s="39" customFormat="1">
      <c r="A90" s="126" t="s">
        <v>71</v>
      </c>
      <c r="B90" s="126" t="s">
        <v>274</v>
      </c>
      <c r="C90" s="126" t="s">
        <v>251</v>
      </c>
      <c r="D90" s="126" t="s">
        <v>159</v>
      </c>
      <c r="E90" s="126" t="s">
        <v>73</v>
      </c>
      <c r="F90" s="129">
        <v>42327</v>
      </c>
      <c r="G90" s="126"/>
      <c r="H90" s="126"/>
      <c r="I90" s="130">
        <v>513.33000000000004</v>
      </c>
      <c r="J90" s="126"/>
      <c r="K90" s="130">
        <f t="shared" si="25"/>
        <v>513.33000000000004</v>
      </c>
      <c r="L90" s="130">
        <v>5408.66</v>
      </c>
      <c r="M90" s="130"/>
      <c r="N90" s="130"/>
      <c r="O90" s="130"/>
      <c r="P90" s="116">
        <v>45.15</v>
      </c>
      <c r="Q90" s="117">
        <f t="shared" si="27"/>
        <v>5876.84</v>
      </c>
      <c r="R90" s="118"/>
      <c r="S90" s="170"/>
      <c r="T90" s="170">
        <v>0</v>
      </c>
      <c r="U90" s="170"/>
      <c r="V90" s="170"/>
      <c r="W90" s="170"/>
      <c r="X90" s="133">
        <v>537.87</v>
      </c>
      <c r="Y90" s="171"/>
      <c r="Z90" s="156"/>
      <c r="AA90" s="182">
        <f>Q90*0.25</f>
        <v>1469.21</v>
      </c>
      <c r="AB90" s="117">
        <f t="shared" si="28"/>
        <v>3869.76</v>
      </c>
      <c r="AC90" s="122">
        <f t="shared" si="29"/>
        <v>587.68400000000008</v>
      </c>
      <c r="AD90" s="117">
        <f t="shared" si="30"/>
        <v>3282.076</v>
      </c>
      <c r="AE90" s="123">
        <f t="shared" si="31"/>
        <v>0</v>
      </c>
      <c r="AF90" s="122">
        <v>10.23</v>
      </c>
      <c r="AG90" s="122">
        <f t="shared" si="26"/>
        <v>0</v>
      </c>
      <c r="AH90" s="124">
        <f t="shared" si="32"/>
        <v>5887.07</v>
      </c>
      <c r="AI90" s="213">
        <v>39.5</v>
      </c>
      <c r="AJ90" s="214">
        <v>3242.55</v>
      </c>
      <c r="AK90" s="125">
        <f t="shared" si="24"/>
        <v>-2.5999999999839929E-2</v>
      </c>
      <c r="AL90" s="126"/>
      <c r="AM90" s="126"/>
    </row>
    <row r="91" spans="1:193">
      <c r="A91" s="126" t="s">
        <v>70</v>
      </c>
      <c r="B91" s="111" t="s">
        <v>275</v>
      </c>
      <c r="C91" s="111" t="s">
        <v>252</v>
      </c>
      <c r="D91" s="111" t="s">
        <v>125</v>
      </c>
      <c r="E91" s="111" t="s">
        <v>304</v>
      </c>
      <c r="F91" s="111"/>
      <c r="G91" s="112"/>
      <c r="H91" s="112"/>
      <c r="I91" s="113">
        <v>1633.33</v>
      </c>
      <c r="J91" s="112"/>
      <c r="K91" s="113">
        <f t="shared" si="25"/>
        <v>1633.33</v>
      </c>
      <c r="L91" s="113">
        <v>5776.2</v>
      </c>
      <c r="M91" s="113"/>
      <c r="N91" s="115"/>
      <c r="O91" s="115"/>
      <c r="P91" s="116">
        <v>45.15</v>
      </c>
      <c r="Q91" s="117">
        <f t="shared" si="27"/>
        <v>7364.38</v>
      </c>
      <c r="R91" s="118"/>
      <c r="S91" s="128">
        <v>58.91</v>
      </c>
      <c r="T91" s="119">
        <v>0</v>
      </c>
      <c r="U91" s="119"/>
      <c r="V91" s="119"/>
      <c r="W91" s="119"/>
      <c r="X91" s="120"/>
      <c r="Y91" s="120"/>
      <c r="Z91" s="121"/>
      <c r="AA91" s="121">
        <v>0</v>
      </c>
      <c r="AB91" s="117">
        <f t="shared" si="28"/>
        <v>7305.47</v>
      </c>
      <c r="AC91" s="122">
        <f t="shared" si="29"/>
        <v>736.4380000000001</v>
      </c>
      <c r="AD91" s="117">
        <f t="shared" si="30"/>
        <v>6569.0320000000002</v>
      </c>
      <c r="AE91" s="123">
        <f t="shared" si="31"/>
        <v>0</v>
      </c>
      <c r="AF91" s="122">
        <v>10.23</v>
      </c>
      <c r="AG91" s="122">
        <f t="shared" si="26"/>
        <v>0</v>
      </c>
      <c r="AH91" s="124">
        <f t="shared" si="32"/>
        <v>7374.61</v>
      </c>
      <c r="AI91" s="213">
        <v>577.4</v>
      </c>
      <c r="AJ91" s="214">
        <v>5991.63</v>
      </c>
      <c r="AK91" s="125">
        <f t="shared" si="24"/>
        <v>-2.0000000004074536E-3</v>
      </c>
      <c r="AL91" s="126"/>
      <c r="AM91" s="126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126" t="s">
        <v>94</v>
      </c>
      <c r="B92" s="111" t="s">
        <v>197</v>
      </c>
      <c r="C92" s="111"/>
      <c r="D92" s="111" t="s">
        <v>143</v>
      </c>
      <c r="E92" s="111" t="s">
        <v>179</v>
      </c>
      <c r="F92" s="111"/>
      <c r="G92" s="112"/>
      <c r="H92" s="112"/>
      <c r="I92" s="113">
        <v>608.16</v>
      </c>
      <c r="J92" s="112"/>
      <c r="K92" s="113">
        <f t="shared" si="25"/>
        <v>608.16</v>
      </c>
      <c r="L92" s="113">
        <f>3441.62+3.71+1604.76</f>
        <v>5050.09</v>
      </c>
      <c r="M92" s="113"/>
      <c r="N92" s="115"/>
      <c r="O92" s="115"/>
      <c r="P92" s="116">
        <v>45.15</v>
      </c>
      <c r="Q92" s="117">
        <f t="shared" si="27"/>
        <v>5613.1</v>
      </c>
      <c r="R92" s="118"/>
      <c r="S92" s="119"/>
      <c r="T92" s="128">
        <v>200</v>
      </c>
      <c r="U92" s="128">
        <f>Q92*4.9%</f>
        <v>275.04190000000006</v>
      </c>
      <c r="V92" s="128">
        <f>Q92*1%</f>
        <v>56.131000000000007</v>
      </c>
      <c r="W92" s="119"/>
      <c r="X92" s="120"/>
      <c r="Y92" s="120"/>
      <c r="Z92" s="121"/>
      <c r="AA92" s="121">
        <v>0</v>
      </c>
      <c r="AB92" s="117">
        <f t="shared" si="28"/>
        <v>5081.9271000000008</v>
      </c>
      <c r="AC92" s="122">
        <f t="shared" si="29"/>
        <v>561.31000000000006</v>
      </c>
      <c r="AD92" s="117">
        <f t="shared" si="30"/>
        <v>4520.6171000000004</v>
      </c>
      <c r="AE92" s="123">
        <f t="shared" si="31"/>
        <v>0</v>
      </c>
      <c r="AF92" s="122">
        <v>10.23</v>
      </c>
      <c r="AG92" s="122">
        <f t="shared" si="26"/>
        <v>275.04190000000006</v>
      </c>
      <c r="AH92" s="124">
        <f t="shared" si="32"/>
        <v>5898.3719000000001</v>
      </c>
      <c r="AI92" s="213">
        <v>577.4</v>
      </c>
      <c r="AJ92" s="214">
        <v>3943.22</v>
      </c>
      <c r="AK92" s="125">
        <f t="shared" si="24"/>
        <v>2.8999999994994141E-3</v>
      </c>
      <c r="AL92" s="126"/>
      <c r="AM92" s="126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 s="39" customFormat="1">
      <c r="A93" s="126" t="s">
        <v>71</v>
      </c>
      <c r="B93" s="126" t="s">
        <v>308</v>
      </c>
      <c r="C93" s="126" t="s">
        <v>254</v>
      </c>
      <c r="D93" s="126" t="s">
        <v>160</v>
      </c>
      <c r="E93" s="126" t="s">
        <v>73</v>
      </c>
      <c r="F93" s="129">
        <v>42333</v>
      </c>
      <c r="G93" s="126"/>
      <c r="H93" s="126"/>
      <c r="I93" s="130">
        <v>513.33000000000004</v>
      </c>
      <c r="J93" s="126"/>
      <c r="K93" s="130">
        <f t="shared" si="25"/>
        <v>513.33000000000004</v>
      </c>
      <c r="L93" s="130"/>
      <c r="M93" s="130"/>
      <c r="N93" s="130"/>
      <c r="O93" s="130"/>
      <c r="P93" s="116">
        <v>45.15</v>
      </c>
      <c r="Q93" s="117">
        <f t="shared" si="27"/>
        <v>468.18000000000006</v>
      </c>
      <c r="R93" s="118"/>
      <c r="S93" s="170"/>
      <c r="T93" s="170">
        <v>0</v>
      </c>
      <c r="U93" s="170"/>
      <c r="V93" s="170"/>
      <c r="W93" s="170"/>
      <c r="X93" s="171"/>
      <c r="Y93" s="171"/>
      <c r="Z93" s="156"/>
      <c r="AA93" s="156">
        <v>0</v>
      </c>
      <c r="AB93" s="117">
        <f t="shared" si="28"/>
        <v>468.18000000000006</v>
      </c>
      <c r="AC93" s="122">
        <f t="shared" si="29"/>
        <v>0</v>
      </c>
      <c r="AD93" s="117">
        <f t="shared" si="30"/>
        <v>468.18000000000006</v>
      </c>
      <c r="AE93" s="123">
        <f t="shared" si="31"/>
        <v>46.818000000000012</v>
      </c>
      <c r="AF93" s="122">
        <v>10.23</v>
      </c>
      <c r="AG93" s="122">
        <f t="shared" si="26"/>
        <v>0</v>
      </c>
      <c r="AH93" s="124">
        <f t="shared" si="32"/>
        <v>525.22800000000007</v>
      </c>
      <c r="AI93" s="213">
        <v>482.75</v>
      </c>
      <c r="AJ93" s="213">
        <v>49.3</v>
      </c>
      <c r="AK93" s="125">
        <f t="shared" si="24"/>
        <v>63.869999999999891</v>
      </c>
      <c r="AL93" s="126"/>
      <c r="AM93" s="126"/>
    </row>
    <row r="94" spans="1:193" s="39" customFormat="1">
      <c r="A94" s="126" t="s">
        <v>91</v>
      </c>
      <c r="B94" s="111" t="s">
        <v>80</v>
      </c>
      <c r="C94" s="111"/>
      <c r="D94" s="111" t="s">
        <v>110</v>
      </c>
      <c r="E94" s="111" t="s">
        <v>168</v>
      </c>
      <c r="F94" s="111"/>
      <c r="G94" s="111"/>
      <c r="H94" s="111"/>
      <c r="I94" s="113">
        <v>1100</v>
      </c>
      <c r="J94" s="111"/>
      <c r="K94" s="113">
        <f t="shared" si="25"/>
        <v>1100</v>
      </c>
      <c r="L94" s="113"/>
      <c r="M94" s="113"/>
      <c r="N94" s="113"/>
      <c r="O94" s="113"/>
      <c r="P94" s="116">
        <v>45.15</v>
      </c>
      <c r="Q94" s="117">
        <f t="shared" si="27"/>
        <v>1054.8499999999999</v>
      </c>
      <c r="R94" s="118"/>
      <c r="S94" s="119"/>
      <c r="T94" s="119">
        <v>0</v>
      </c>
      <c r="U94" s="119"/>
      <c r="V94" s="119"/>
      <c r="W94" s="119"/>
      <c r="X94" s="120"/>
      <c r="Y94" s="120"/>
      <c r="Z94" s="121"/>
      <c r="AA94" s="121">
        <v>0</v>
      </c>
      <c r="AB94" s="117">
        <f t="shared" si="28"/>
        <v>1054.8499999999999</v>
      </c>
      <c r="AC94" s="122">
        <f t="shared" si="29"/>
        <v>0</v>
      </c>
      <c r="AD94" s="117">
        <f t="shared" si="30"/>
        <v>1054.8499999999999</v>
      </c>
      <c r="AE94" s="123">
        <f t="shared" si="31"/>
        <v>105.485</v>
      </c>
      <c r="AF94" s="122">
        <v>10.23</v>
      </c>
      <c r="AG94" s="122">
        <f t="shared" si="26"/>
        <v>0</v>
      </c>
      <c r="AH94" s="124">
        <f t="shared" si="32"/>
        <v>1170.5649999999998</v>
      </c>
      <c r="AI94" s="213">
        <v>577.4</v>
      </c>
      <c r="AJ94" s="213">
        <v>477.45</v>
      </c>
      <c r="AK94" s="125">
        <f t="shared" si="24"/>
        <v>0</v>
      </c>
      <c r="AL94" s="126"/>
      <c r="AM94" s="126"/>
    </row>
    <row r="95" spans="1:193">
      <c r="A95" s="126" t="s">
        <v>92</v>
      </c>
      <c r="B95" s="111" t="s">
        <v>210</v>
      </c>
      <c r="C95" s="111"/>
      <c r="D95" s="111" t="s">
        <v>109</v>
      </c>
      <c r="E95" s="111" t="s">
        <v>166</v>
      </c>
      <c r="F95" s="111"/>
      <c r="G95" s="111"/>
      <c r="H95" s="111"/>
      <c r="I95" s="113">
        <v>739.23</v>
      </c>
      <c r="J95" s="111"/>
      <c r="K95" s="113">
        <f t="shared" si="25"/>
        <v>739.23</v>
      </c>
      <c r="L95" s="113">
        <f>2875.22+13.09</f>
        <v>2888.31</v>
      </c>
      <c r="M95" s="113"/>
      <c r="N95" s="113"/>
      <c r="O95" s="113"/>
      <c r="P95" s="116">
        <v>45.15</v>
      </c>
      <c r="Q95" s="117">
        <f t="shared" si="27"/>
        <v>3582.39</v>
      </c>
      <c r="R95" s="118"/>
      <c r="S95" s="119"/>
      <c r="T95" s="170"/>
      <c r="U95" s="119"/>
      <c r="V95" s="119"/>
      <c r="W95" s="119"/>
      <c r="X95" s="120"/>
      <c r="Y95" s="120"/>
      <c r="Z95" s="121"/>
      <c r="AA95" s="121">
        <v>0</v>
      </c>
      <c r="AB95" s="117">
        <f t="shared" si="28"/>
        <v>3582.39</v>
      </c>
      <c r="AC95" s="122">
        <f t="shared" si="29"/>
        <v>358.23900000000003</v>
      </c>
      <c r="AD95" s="117">
        <f t="shared" si="30"/>
        <v>3224.1509999999998</v>
      </c>
      <c r="AE95" s="123">
        <f t="shared" si="31"/>
        <v>0</v>
      </c>
      <c r="AF95" s="122">
        <v>10.23</v>
      </c>
      <c r="AG95" s="122">
        <f t="shared" si="26"/>
        <v>0</v>
      </c>
      <c r="AH95" s="124">
        <f t="shared" si="32"/>
        <v>3592.62</v>
      </c>
      <c r="AI95" s="213">
        <v>577.4</v>
      </c>
      <c r="AJ95" s="214">
        <v>2646.75</v>
      </c>
      <c r="AK95" s="125">
        <f t="shared" si="24"/>
        <v>-9.9999999974897946E-4</v>
      </c>
      <c r="AL95" s="126"/>
      <c r="AM95" s="126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131"/>
      <c r="B96" s="111"/>
      <c r="C96" s="111"/>
      <c r="D96" s="112"/>
      <c r="E96" s="111"/>
      <c r="F96" s="111"/>
      <c r="G96" s="111"/>
      <c r="H96" s="111"/>
      <c r="I96" s="113"/>
      <c r="J96" s="111"/>
      <c r="K96" s="113"/>
      <c r="L96" s="113"/>
      <c r="M96" s="113"/>
      <c r="N96" s="113"/>
      <c r="O96" s="113"/>
      <c r="P96" s="116"/>
      <c r="Q96" s="117">
        <f t="shared" si="27"/>
        <v>0</v>
      </c>
      <c r="R96" s="118"/>
      <c r="S96" s="119"/>
      <c r="T96" s="119"/>
      <c r="U96" s="119"/>
      <c r="V96" s="119"/>
      <c r="W96" s="119"/>
      <c r="X96" s="120"/>
      <c r="Y96" s="120"/>
      <c r="Z96" s="120"/>
      <c r="AA96" s="120"/>
      <c r="AB96" s="117"/>
      <c r="AC96" s="122">
        <f t="shared" si="29"/>
        <v>0</v>
      </c>
      <c r="AD96" s="117"/>
      <c r="AE96" s="123">
        <f t="shared" si="31"/>
        <v>0</v>
      </c>
      <c r="AF96" s="122"/>
      <c r="AG96" s="122">
        <f t="shared" si="26"/>
        <v>0</v>
      </c>
      <c r="AH96" s="124">
        <f t="shared" si="32"/>
        <v>0</v>
      </c>
      <c r="AI96" s="212"/>
      <c r="AJ96" s="212"/>
      <c r="AK96" s="125">
        <f t="shared" si="24"/>
        <v>0</v>
      </c>
      <c r="AL96" s="126"/>
      <c r="AM96" s="126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107"/>
      <c r="B97" s="108"/>
      <c r="C97" s="108"/>
      <c r="D97" s="108"/>
      <c r="E97" s="108"/>
      <c r="F97" s="108"/>
      <c r="G97" s="108"/>
      <c r="H97" s="108"/>
      <c r="I97" s="109"/>
      <c r="J97" s="108"/>
      <c r="K97" s="109"/>
      <c r="L97" s="109"/>
      <c r="M97" s="109"/>
      <c r="N97" s="109"/>
      <c r="O97" s="109"/>
      <c r="P97" s="109"/>
      <c r="Q97" s="110"/>
      <c r="R97" s="109"/>
      <c r="S97" s="109"/>
      <c r="T97" s="109"/>
      <c r="U97" s="109"/>
      <c r="V97" s="109"/>
      <c r="W97" s="109"/>
      <c r="X97" s="146"/>
      <c r="Y97" s="146"/>
      <c r="Z97" s="146"/>
      <c r="AA97" s="146"/>
      <c r="AB97" s="110"/>
      <c r="AC97" s="146"/>
      <c r="AD97" s="110"/>
      <c r="AE97" s="146"/>
      <c r="AF97" s="146"/>
      <c r="AG97" s="146"/>
      <c r="AH97" s="110"/>
      <c r="AI97" s="167"/>
      <c r="AJ97" s="167"/>
      <c r="AK97" s="101"/>
    </row>
    <row r="98" spans="1:193">
      <c r="B98" s="147" t="s">
        <v>17</v>
      </c>
      <c r="C98" s="147"/>
      <c r="D98" s="147"/>
      <c r="E98" s="147"/>
      <c r="F98" s="147"/>
      <c r="G98" s="147"/>
      <c r="H98" s="147"/>
      <c r="I98" s="113"/>
      <c r="J98" s="147"/>
      <c r="K98" s="148">
        <f>SUM(K7:K97)</f>
        <v>67390.160000000076</v>
      </c>
      <c r="L98" s="148">
        <f>SUM(L7:L97)</f>
        <v>192205.79</v>
      </c>
      <c r="M98" s="148"/>
      <c r="N98" s="148">
        <f>SUM(N7:N97)</f>
        <v>10517.28</v>
      </c>
      <c r="O98" s="148">
        <f>SUM(O7:O97)</f>
        <v>18347.52</v>
      </c>
      <c r="P98" s="148">
        <f>SUM(P7:P97)</f>
        <v>3973.2000000000053</v>
      </c>
      <c r="Q98" s="148">
        <f>SUM(Q7:Q97)</f>
        <v>284487.54999999981</v>
      </c>
      <c r="R98" s="148">
        <f>SUM(R7:R97)</f>
        <v>0</v>
      </c>
      <c r="S98" s="148"/>
      <c r="T98" s="149">
        <f t="shared" ref="T98:AK98" si="38">SUM(T7:T97)</f>
        <v>4547.4279999999999</v>
      </c>
      <c r="U98" s="149">
        <f t="shared" si="38"/>
        <v>4257.6021600000013</v>
      </c>
      <c r="V98" s="149">
        <f t="shared" si="38"/>
        <v>843.44100000000003</v>
      </c>
      <c r="W98" s="149">
        <f t="shared" si="38"/>
        <v>879.38</v>
      </c>
      <c r="X98" s="148">
        <f t="shared" si="38"/>
        <v>2566.11</v>
      </c>
      <c r="Y98" s="148">
        <f t="shared" si="38"/>
        <v>335.5</v>
      </c>
      <c r="Z98" s="148">
        <f t="shared" si="38"/>
        <v>406.94</v>
      </c>
      <c r="AA98" s="148">
        <f t="shared" si="38"/>
        <v>7230.5649999999996</v>
      </c>
      <c r="AB98" s="148">
        <f t="shared" si="38"/>
        <v>262772.57383999997</v>
      </c>
      <c r="AC98" s="148">
        <f t="shared" si="38"/>
        <v>23194.399000000009</v>
      </c>
      <c r="AD98" s="148">
        <f t="shared" si="38"/>
        <v>239578.17483999999</v>
      </c>
      <c r="AE98" s="148">
        <f t="shared" si="38"/>
        <v>9556.9749999999985</v>
      </c>
      <c r="AF98" s="148">
        <f t="shared" si="38"/>
        <v>910.47000000000105</v>
      </c>
      <c r="AG98" s="148">
        <f t="shared" si="38"/>
        <v>4257.6021600000013</v>
      </c>
      <c r="AH98" s="148">
        <f t="shared" si="38"/>
        <v>299212.59716000006</v>
      </c>
      <c r="AI98" s="168">
        <f t="shared" si="38"/>
        <v>44023.760000000053</v>
      </c>
      <c r="AJ98" s="168">
        <f t="shared" si="38"/>
        <v>195858.44000000003</v>
      </c>
      <c r="AK98" s="150">
        <f t="shared" si="38"/>
        <v>1240.3851599999916</v>
      </c>
      <c r="AL98" s="111"/>
      <c r="AM98" s="111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</row>
    <row r="99" spans="1:193">
      <c r="AH99" s="24">
        <f>AH98*0.16</f>
        <v>47874.015545600014</v>
      </c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196" t="s">
        <v>292</v>
      </c>
      <c r="B100" s="196"/>
      <c r="C100" s="151"/>
      <c r="D100" s="111"/>
      <c r="E100" s="111"/>
      <c r="F100" s="111"/>
      <c r="G100" s="111"/>
      <c r="H100" s="111"/>
      <c r="I100" s="113"/>
      <c r="J100" s="111"/>
      <c r="K100" s="113"/>
      <c r="L100" s="113"/>
      <c r="M100" s="113"/>
      <c r="N100" s="113"/>
      <c r="O100" s="113"/>
      <c r="P100" s="113"/>
      <c r="Q100" s="148"/>
      <c r="R100" s="113"/>
      <c r="S100" s="113"/>
      <c r="T100" s="130"/>
      <c r="U100" s="130"/>
      <c r="V100" s="130"/>
      <c r="W100" s="130"/>
      <c r="X100" s="113"/>
      <c r="Y100" s="113"/>
      <c r="Z100" s="113"/>
      <c r="AA100" s="113"/>
      <c r="AB100" s="148"/>
      <c r="AC100" s="113"/>
      <c r="AD100" s="148"/>
      <c r="AE100" s="113"/>
      <c r="AF100" s="113"/>
      <c r="AG100" s="113"/>
      <c r="AH100" s="148">
        <f>+AH98+AH99</f>
        <v>347086.6127056001</v>
      </c>
      <c r="AI100" s="168"/>
      <c r="AJ100" s="168"/>
      <c r="AK100" s="150"/>
      <c r="AL100" s="111"/>
      <c r="AM100" s="111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>
      <c r="A101" s="131"/>
      <c r="B101" s="111" t="s">
        <v>293</v>
      </c>
      <c r="C101" s="111"/>
      <c r="D101" s="112"/>
      <c r="E101" s="111"/>
      <c r="F101" s="111"/>
      <c r="G101" s="111"/>
      <c r="H101" s="111"/>
      <c r="I101" s="113"/>
      <c r="J101" s="111"/>
      <c r="K101" s="113">
        <v>543.20000000000005</v>
      </c>
      <c r="L101" s="113">
        <f>615.8+437.15</f>
        <v>1052.9499999999998</v>
      </c>
      <c r="M101" s="113"/>
      <c r="N101" s="113"/>
      <c r="O101" s="113"/>
      <c r="P101" s="113"/>
      <c r="Q101" s="117">
        <f>SUM(K101:P101)</f>
        <v>1596.1499999999999</v>
      </c>
      <c r="R101" s="118"/>
      <c r="S101" s="118"/>
      <c r="T101" s="130"/>
      <c r="U101" s="128">
        <f>Q101*4.9%</f>
        <v>78.211349999999996</v>
      </c>
      <c r="V101" s="128">
        <f>Q101*1%</f>
        <v>15.961499999999999</v>
      </c>
      <c r="W101" s="130"/>
      <c r="X101" s="152"/>
      <c r="Y101" s="152"/>
      <c r="Z101" s="152"/>
      <c r="AA101" s="152"/>
      <c r="AB101" s="117">
        <f>+Q101-R101</f>
        <v>1596.1499999999999</v>
      </c>
      <c r="AC101" s="122">
        <f>+AB101*0.05</f>
        <v>79.807500000000005</v>
      </c>
      <c r="AD101" s="117">
        <f>+AB101-X101-AA101</f>
        <v>1596.1499999999999</v>
      </c>
      <c r="AE101" s="123">
        <f>IF(AB101&lt;3000,AB101*0.1,0)</f>
        <v>159.61500000000001</v>
      </c>
      <c r="AF101" s="122">
        <v>0</v>
      </c>
      <c r="AG101" s="122"/>
      <c r="AH101" s="117">
        <f>+AB101+AE101+AF101</f>
        <v>1755.7649999999999</v>
      </c>
      <c r="AI101" s="169"/>
      <c r="AJ101" s="169"/>
      <c r="AK101" s="153"/>
      <c r="AL101" s="111"/>
      <c r="AM101" s="111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>
      <c r="A102" s="131"/>
      <c r="B102" s="112" t="s">
        <v>294</v>
      </c>
      <c r="C102" s="112"/>
      <c r="D102" s="112"/>
      <c r="E102" s="112"/>
      <c r="F102" s="112"/>
      <c r="G102" s="112"/>
      <c r="H102" s="112"/>
      <c r="I102" s="115"/>
      <c r="J102" s="112"/>
      <c r="K102" s="115">
        <v>1166.6600000000001</v>
      </c>
      <c r="L102" s="115">
        <f>2663.24+1676</f>
        <v>4339.24</v>
      </c>
      <c r="M102" s="115"/>
      <c r="N102" s="115"/>
      <c r="O102" s="115"/>
      <c r="P102" s="115"/>
      <c r="Q102" s="117">
        <f>SUM(K102:P102)</f>
        <v>5505.9</v>
      </c>
      <c r="R102" s="118"/>
      <c r="S102" s="118"/>
      <c r="T102" s="130"/>
      <c r="U102" s="130"/>
      <c r="V102" s="130"/>
      <c r="W102" s="130"/>
      <c r="X102" s="152"/>
      <c r="Y102" s="152"/>
      <c r="Z102" s="152"/>
      <c r="AA102" s="152"/>
      <c r="AB102" s="117">
        <f>+Q102-R102</f>
        <v>5505.9</v>
      </c>
      <c r="AC102" s="122">
        <f>+AB102*0.05</f>
        <v>275.29500000000002</v>
      </c>
      <c r="AD102" s="117">
        <f>+AB102-X102-AA102</f>
        <v>5505.9</v>
      </c>
      <c r="AE102" s="123">
        <f>IF(AB102&lt;3000,AB102*0.1,0)</f>
        <v>0</v>
      </c>
      <c r="AF102" s="122">
        <v>0</v>
      </c>
      <c r="AG102" s="122"/>
      <c r="AH102" s="117">
        <f>+AB102+AE102+AF102</f>
        <v>5505.9</v>
      </c>
      <c r="AI102" s="169"/>
      <c r="AJ102" s="169"/>
      <c r="AK102" s="153"/>
      <c r="AL102" s="111"/>
      <c r="AM102" s="111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H103" s="24">
        <f>SUM(AH101:AH102)</f>
        <v>7261.6649999999991</v>
      </c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B104" s="55"/>
      <c r="C104" s="55"/>
      <c r="D104" s="55"/>
      <c r="AH104" s="24">
        <f>+AH103*0.16</f>
        <v>1161.8663999999999</v>
      </c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B105" s="55"/>
      <c r="C105" s="55"/>
      <c r="D105" s="55"/>
      <c r="AH105" s="24">
        <f>+AH103+AH104</f>
        <v>8423.5313999999998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B106" s="55"/>
      <c r="C106" s="55"/>
      <c r="D106" s="55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B107" s="55"/>
      <c r="C107" s="55"/>
      <c r="D107" s="55"/>
      <c r="AH107" s="24">
        <f>+AH100+AH105</f>
        <v>355510.14410560008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A114" s="41" t="s">
        <v>57</v>
      </c>
      <c r="B114" s="23"/>
      <c r="C114" s="23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A115" s="41" t="s">
        <v>58</v>
      </c>
      <c r="B115" s="23"/>
      <c r="C115" s="23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A116" s="41" t="s">
        <v>59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A117" s="41" t="s">
        <v>60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61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62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3" spans="1:193">
      <c r="B123" s="27"/>
      <c r="C123" s="70"/>
    </row>
    <row r="124" spans="1:193">
      <c r="B124" s="27"/>
      <c r="C124" s="70"/>
    </row>
    <row r="125" spans="1:193">
      <c r="B125" s="27"/>
      <c r="C125" s="70"/>
    </row>
  </sheetData>
  <sheetProtection selectLockedCells="1" selectUnlockedCells="1"/>
  <autoFilter ref="A5:AM96">
    <filterColumn colId="34" showButton="0"/>
    <sortState ref="A8:AN94">
      <sortCondition ref="B5:B94"/>
    </sortState>
  </autoFilter>
  <mergeCells count="36">
    <mergeCell ref="AM5:AM6"/>
    <mergeCell ref="A100:B100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85" t="s">
        <v>39</v>
      </c>
      <c r="B5" s="187" t="s">
        <v>40</v>
      </c>
      <c r="C5" s="185"/>
      <c r="D5" s="187" t="s">
        <v>41</v>
      </c>
      <c r="E5" s="187" t="s">
        <v>0</v>
      </c>
      <c r="F5" s="185" t="s">
        <v>246</v>
      </c>
      <c r="G5" s="189" t="s">
        <v>67</v>
      </c>
      <c r="H5" s="189" t="s">
        <v>65</v>
      </c>
      <c r="I5" s="191" t="s">
        <v>66</v>
      </c>
      <c r="J5" s="183" t="s">
        <v>68</v>
      </c>
      <c r="K5" s="189" t="s">
        <v>34</v>
      </c>
      <c r="L5" s="183" t="s">
        <v>75</v>
      </c>
      <c r="M5" s="95"/>
      <c r="N5" s="189" t="s">
        <v>35</v>
      </c>
      <c r="O5" s="189" t="s">
        <v>36</v>
      </c>
      <c r="P5" s="189" t="s">
        <v>63</v>
      </c>
      <c r="Q5" s="189" t="s">
        <v>37</v>
      </c>
      <c r="R5" s="189" t="s">
        <v>38</v>
      </c>
      <c r="S5" s="88"/>
      <c r="T5" s="193" t="s">
        <v>186</v>
      </c>
      <c r="U5" s="193" t="s">
        <v>213</v>
      </c>
      <c r="V5" s="193" t="s">
        <v>212</v>
      </c>
      <c r="W5" s="193" t="s">
        <v>187</v>
      </c>
      <c r="X5" s="189" t="s">
        <v>30</v>
      </c>
      <c r="Y5" s="189" t="s">
        <v>56</v>
      </c>
      <c r="Z5" s="189" t="s">
        <v>55</v>
      </c>
      <c r="AA5" s="189" t="s">
        <v>32</v>
      </c>
      <c r="AB5" s="189" t="s">
        <v>64</v>
      </c>
      <c r="AC5" s="189" t="s">
        <v>27</v>
      </c>
      <c r="AD5" s="189" t="s">
        <v>31</v>
      </c>
      <c r="AE5" s="189" t="s">
        <v>26</v>
      </c>
      <c r="AF5" s="189" t="s">
        <v>28</v>
      </c>
      <c r="AG5" s="189" t="s">
        <v>29</v>
      </c>
      <c r="AH5" s="189" t="s">
        <v>188</v>
      </c>
      <c r="AI5" s="189" t="s">
        <v>189</v>
      </c>
      <c r="AJ5" s="201" t="s">
        <v>190</v>
      </c>
      <c r="AK5" s="202"/>
      <c r="AL5" s="195" t="s">
        <v>191</v>
      </c>
      <c r="AM5" s="195" t="s">
        <v>257</v>
      </c>
      <c r="AN5" s="19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00"/>
      <c r="B6" s="187"/>
      <c r="C6" s="200"/>
      <c r="D6" s="187"/>
      <c r="E6" s="187"/>
      <c r="F6" s="200"/>
      <c r="G6" s="189"/>
      <c r="H6" s="189"/>
      <c r="I6" s="205"/>
      <c r="J6" s="206"/>
      <c r="K6" s="189"/>
      <c r="L6" s="206"/>
      <c r="M6" s="96" t="s">
        <v>288</v>
      </c>
      <c r="N6" s="189"/>
      <c r="O6" s="189"/>
      <c r="P6" s="189"/>
      <c r="Q6" s="189"/>
      <c r="R6" s="189"/>
      <c r="S6" s="89" t="s">
        <v>276</v>
      </c>
      <c r="T6" s="203"/>
      <c r="U6" s="203"/>
      <c r="V6" s="203"/>
      <c r="W6" s="203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64" t="s">
        <v>66</v>
      </c>
      <c r="AK6" s="64" t="s">
        <v>68</v>
      </c>
      <c r="AL6" s="195"/>
      <c r="AM6" s="195"/>
      <c r="AN6" s="19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 t="shared" ref="AB14" si="7">+Q14-SUM(R14:AA14)</f>
        <v>1330.66</v>
      </c>
      <c r="AC14" s="37">
        <f t="shared" ref="AC14" si="8">IF(Q14&gt;4500,Q14*0.1,0)</f>
        <v>0</v>
      </c>
      <c r="AD14" s="33">
        <f t="shared" ref="AD14" si="9">+AB14-AC14</f>
        <v>1330.66</v>
      </c>
      <c r="AE14" s="38">
        <f t="shared" ref="AE14" si="10">IF(Q14&lt;4500,Q14*0.1,0)</f>
        <v>133.066</v>
      </c>
      <c r="AF14" s="37">
        <v>10.23</v>
      </c>
      <c r="AG14" s="67">
        <f t="shared" ref="AG14" si="11"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12">+Q15-SUM(R15:AA15)</f>
        <v>2306.8000000000002</v>
      </c>
      <c r="AC15" s="37">
        <f t="shared" si="6"/>
        <v>0</v>
      </c>
      <c r="AD15" s="33">
        <f t="shared" ref="AD15:AD44" si="13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12"/>
        <v>422.27855999999997</v>
      </c>
      <c r="AC16" s="37">
        <f t="shared" si="6"/>
        <v>0</v>
      </c>
      <c r="AD16" s="33">
        <f t="shared" si="13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12"/>
        <v>694.54750000000001</v>
      </c>
      <c r="AC17" s="37">
        <f t="shared" si="6"/>
        <v>0</v>
      </c>
      <c r="AD17" s="33">
        <f t="shared" si="13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12"/>
        <v>1424.4199999999998</v>
      </c>
      <c r="AC18" s="37">
        <f t="shared" si="6"/>
        <v>0</v>
      </c>
      <c r="AD18" s="33">
        <f t="shared" si="13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12"/>
        <v>9028.74</v>
      </c>
      <c r="AC19" s="37">
        <f t="shared" si="6"/>
        <v>1145.2149999999999</v>
      </c>
      <c r="AD19" s="33">
        <f t="shared" si="13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2"/>
        <v>1166.26</v>
      </c>
      <c r="AC20" s="37">
        <f t="shared" si="6"/>
        <v>0</v>
      </c>
      <c r="AD20" s="33">
        <f t="shared" si="13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12"/>
        <v>2592.0880099999995</v>
      </c>
      <c r="AC21" s="37">
        <f t="shared" si="6"/>
        <v>0</v>
      </c>
      <c r="AD21" s="33">
        <f t="shared" si="13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2"/>
        <v>14698.65</v>
      </c>
      <c r="AC22" s="37">
        <f t="shared" si="6"/>
        <v>1560.4350000000002</v>
      </c>
      <c r="AD22" s="33">
        <f t="shared" si="13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12"/>
        <v>1330.8562999999999</v>
      </c>
      <c r="AC23" s="37">
        <f t="shared" si="6"/>
        <v>0</v>
      </c>
      <c r="AD23" s="33">
        <f t="shared" si="13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12"/>
        <v>938.84999999999991</v>
      </c>
      <c r="AC24" s="37">
        <f t="shared" si="6"/>
        <v>0</v>
      </c>
      <c r="AD24" s="33">
        <f t="shared" si="13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12"/>
        <v>4661.4800000000005</v>
      </c>
      <c r="AC25" s="37">
        <f t="shared" si="6"/>
        <v>545.91000000000008</v>
      </c>
      <c r="AD25" s="33">
        <f t="shared" si="13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2"/>
        <v>3247.11</v>
      </c>
      <c r="AC26" s="37">
        <f t="shared" si="6"/>
        <v>0</v>
      </c>
      <c r="AD26" s="33">
        <f t="shared" si="13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2"/>
        <v>1092.73</v>
      </c>
      <c r="AC27" s="37">
        <f t="shared" si="6"/>
        <v>0</v>
      </c>
      <c r="AD27" s="33">
        <f t="shared" si="13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12"/>
        <v>2152.9700000000003</v>
      </c>
      <c r="AC28" s="37">
        <f t="shared" si="6"/>
        <v>0</v>
      </c>
      <c r="AD28" s="33">
        <f t="shared" si="13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2"/>
        <v>1424.4199999999998</v>
      </c>
      <c r="AC29" s="37">
        <f t="shared" si="6"/>
        <v>0</v>
      </c>
      <c r="AD29" s="33">
        <f t="shared" si="13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12"/>
        <v>1316.67</v>
      </c>
      <c r="AC30" s="37">
        <f t="shared" si="6"/>
        <v>0</v>
      </c>
      <c r="AD30" s="33">
        <f t="shared" si="13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12"/>
        <v>3455.38058</v>
      </c>
      <c r="AC31" s="37">
        <f t="shared" si="6"/>
        <v>0</v>
      </c>
      <c r="AD31" s="33">
        <f t="shared" si="13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12"/>
        <v>2094.2811000000002</v>
      </c>
      <c r="AC32" s="37">
        <f t="shared" si="6"/>
        <v>0</v>
      </c>
      <c r="AD32" s="33">
        <f t="shared" si="13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2"/>
        <v>2384.29</v>
      </c>
      <c r="AC33" s="37">
        <f t="shared" si="6"/>
        <v>0</v>
      </c>
      <c r="AD33" s="33">
        <f t="shared" si="13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12"/>
        <v>475.39</v>
      </c>
      <c r="AC34" s="83">
        <f t="shared" si="6"/>
        <v>0</v>
      </c>
      <c r="AD34" s="82">
        <f t="shared" si="13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 t="shared" ref="Q35" si="14"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 t="shared" ref="AB35" si="15">+Q35-SUM(R35:AA35)</f>
        <v>1166.6600000000001</v>
      </c>
      <c r="AC35" s="37">
        <f t="shared" ref="AC35" si="16">IF(Q35&gt;4500,Q35*0.1,0)</f>
        <v>0</v>
      </c>
      <c r="AD35" s="33">
        <f t="shared" ref="AD35" si="17">+AB35-AC35</f>
        <v>1166.6600000000001</v>
      </c>
      <c r="AE35" s="38">
        <f t="shared" ref="AE35" si="18">IF(Q35&lt;4500,Q35*0.1,0)</f>
        <v>116.66600000000001</v>
      </c>
      <c r="AF35" s="37">
        <v>10.23</v>
      </c>
      <c r="AG35" s="67">
        <f t="shared" ref="AG35" si="19"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12"/>
        <v>11505.36</v>
      </c>
      <c r="AC36" s="37">
        <f t="shared" si="6"/>
        <v>1191.3340000000001</v>
      </c>
      <c r="AD36" s="33">
        <f t="shared" si="13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12"/>
        <v>1237.05</v>
      </c>
      <c r="AC37" s="37">
        <f t="shared" si="6"/>
        <v>0</v>
      </c>
      <c r="AD37" s="33">
        <f t="shared" si="13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12"/>
        <v>2632.79</v>
      </c>
      <c r="AC38" s="37">
        <f t="shared" si="6"/>
        <v>0</v>
      </c>
      <c r="AD38" s="33">
        <f t="shared" si="13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20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21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2"/>
        <v>6218.05</v>
      </c>
      <c r="AC39" s="37">
        <f t="shared" si="6"/>
        <v>627.69600000000003</v>
      </c>
      <c r="AD39" s="33">
        <f t="shared" si="13"/>
        <v>5590.3540000000003</v>
      </c>
      <c r="AE39" s="38">
        <f t="shared" ref="AE39:AE72" si="22">IF(Q39&lt;4500,Q39*0.1,0)</f>
        <v>0</v>
      </c>
      <c r="AF39" s="37">
        <v>10.23</v>
      </c>
      <c r="AG39" s="67">
        <f t="shared" ref="AG39:AG72" si="23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20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21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12"/>
        <v>9032.619999999999</v>
      </c>
      <c r="AC40" s="37">
        <f t="shared" si="6"/>
        <v>924.12199999999996</v>
      </c>
      <c r="AD40" s="33">
        <f t="shared" si="13"/>
        <v>8108.4979999999987</v>
      </c>
      <c r="AE40" s="38">
        <f t="shared" si="22"/>
        <v>0</v>
      </c>
      <c r="AF40" s="37">
        <v>10.23</v>
      </c>
      <c r="AG40" s="67">
        <f t="shared" si="23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20"/>
        <v>513.33000000000004</v>
      </c>
      <c r="L41" s="30"/>
      <c r="M41" s="30">
        <v>56.63</v>
      </c>
      <c r="N41" s="31"/>
      <c r="O41" s="31"/>
      <c r="P41" s="32"/>
      <c r="Q41" s="33">
        <f t="shared" si="21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12"/>
        <v>511.05000000000007</v>
      </c>
      <c r="AC41" s="37">
        <f t="shared" si="6"/>
        <v>0</v>
      </c>
      <c r="AD41" s="33">
        <f t="shared" si="13"/>
        <v>511.05000000000007</v>
      </c>
      <c r="AE41" s="38">
        <f t="shared" si="22"/>
        <v>56.996000000000009</v>
      </c>
      <c r="AF41" s="37">
        <v>10.23</v>
      </c>
      <c r="AG41" s="67">
        <f t="shared" si="23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20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21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12"/>
        <v>5486.17</v>
      </c>
      <c r="AC42" s="37">
        <f t="shared" si="6"/>
        <v>548.61700000000008</v>
      </c>
      <c r="AD42" s="33">
        <f t="shared" si="13"/>
        <v>4937.5529999999999</v>
      </c>
      <c r="AE42" s="38">
        <f t="shared" si="22"/>
        <v>0</v>
      </c>
      <c r="AF42" s="37">
        <v>10.23</v>
      </c>
      <c r="AG42" s="67">
        <f t="shared" si="23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20"/>
        <v>1633.33</v>
      </c>
      <c r="L43" s="30"/>
      <c r="M43" s="30"/>
      <c r="N43" s="30"/>
      <c r="O43" s="30"/>
      <c r="P43" s="32"/>
      <c r="Q43" s="33">
        <f t="shared" si="21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2"/>
        <v>1633.33</v>
      </c>
      <c r="AC43" s="37">
        <f t="shared" ref="AC43:AC75" si="24">IF(Q43&gt;4500,Q43*0.1,0)</f>
        <v>0</v>
      </c>
      <c r="AD43" s="33">
        <f t="shared" si="13"/>
        <v>1633.33</v>
      </c>
      <c r="AE43" s="38">
        <f t="shared" si="22"/>
        <v>163.333</v>
      </c>
      <c r="AF43" s="37">
        <v>10.23</v>
      </c>
      <c r="AG43" s="67">
        <f t="shared" si="23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20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21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12"/>
        <v>15346.4</v>
      </c>
      <c r="AC44" s="37">
        <f t="shared" si="24"/>
        <v>1534.64</v>
      </c>
      <c r="AD44" s="33">
        <f t="shared" si="13"/>
        <v>13811.76</v>
      </c>
      <c r="AE44" s="38">
        <f t="shared" si="22"/>
        <v>0</v>
      </c>
      <c r="AF44" s="37">
        <v>10.23</v>
      </c>
      <c r="AG44" s="67">
        <f t="shared" si="23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20"/>
        <v>1400</v>
      </c>
      <c r="L45" s="58"/>
      <c r="M45" s="58"/>
      <c r="N45" s="58"/>
      <c r="O45" s="58"/>
      <c r="P45" s="92"/>
      <c r="Q45" s="59">
        <f t="shared" si="21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12"/>
        <v>1400</v>
      </c>
      <c r="AC45" s="60">
        <f t="shared" si="24"/>
        <v>0</v>
      </c>
      <c r="AD45" s="59">
        <f t="shared" ref="AD45:AD76" si="25">+AB45-AC45</f>
        <v>1400</v>
      </c>
      <c r="AE45" s="60">
        <f t="shared" si="22"/>
        <v>140</v>
      </c>
      <c r="AF45" s="60">
        <v>10.23</v>
      </c>
      <c r="AG45" s="59">
        <f t="shared" si="23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20"/>
        <v>608.16</v>
      </c>
      <c r="L46" s="30">
        <v>309.60000000000002</v>
      </c>
      <c r="M46" s="30"/>
      <c r="N46" s="31"/>
      <c r="O46" s="31"/>
      <c r="P46" s="32"/>
      <c r="Q46" s="33">
        <f t="shared" si="21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26">+Q46-SUM(R46:AA46)</f>
        <v>763.61216000000002</v>
      </c>
      <c r="AC46" s="37">
        <f t="shared" si="24"/>
        <v>0</v>
      </c>
      <c r="AD46" s="33">
        <f t="shared" si="25"/>
        <v>763.61216000000002</v>
      </c>
      <c r="AE46" s="38">
        <f t="shared" si="22"/>
        <v>91.77600000000001</v>
      </c>
      <c r="AF46" s="37">
        <v>10.23</v>
      </c>
      <c r="AG46" s="67">
        <f t="shared" si="23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20"/>
        <v>608.16</v>
      </c>
      <c r="L47" s="58">
        <v>801.03</v>
      </c>
      <c r="M47" s="58"/>
      <c r="N47" s="58"/>
      <c r="O47" s="58"/>
      <c r="P47" s="92"/>
      <c r="Q47" s="59">
        <f t="shared" si="21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26"/>
        <v>1409.19</v>
      </c>
      <c r="AC47" s="60">
        <f t="shared" si="24"/>
        <v>0</v>
      </c>
      <c r="AD47" s="59">
        <f t="shared" si="25"/>
        <v>1409.19</v>
      </c>
      <c r="AE47" s="60">
        <f t="shared" si="22"/>
        <v>140.91900000000001</v>
      </c>
      <c r="AF47" s="60">
        <v>10.23</v>
      </c>
      <c r="AG47" s="59">
        <f t="shared" si="23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20"/>
        <v>608.16</v>
      </c>
      <c r="L48" s="30">
        <v>1886.62</v>
      </c>
      <c r="M48" s="30"/>
      <c r="N48" s="31"/>
      <c r="O48" s="31"/>
      <c r="P48" s="32"/>
      <c r="Q48" s="33">
        <f t="shared" si="21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26"/>
        <v>2347.5879799999998</v>
      </c>
      <c r="AC48" s="37">
        <f t="shared" si="24"/>
        <v>0</v>
      </c>
      <c r="AD48" s="33">
        <f t="shared" si="25"/>
        <v>2347.5879799999998</v>
      </c>
      <c r="AE48" s="38">
        <f t="shared" si="22"/>
        <v>249.47799999999998</v>
      </c>
      <c r="AF48" s="37">
        <v>10.23</v>
      </c>
      <c r="AG48" s="67">
        <f t="shared" si="23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20"/>
        <v>739.23</v>
      </c>
      <c r="L49" s="30">
        <v>2866.06</v>
      </c>
      <c r="M49" s="30"/>
      <c r="N49" s="30"/>
      <c r="O49" s="30"/>
      <c r="P49" s="32"/>
      <c r="Q49" s="33">
        <f t="shared" si="21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26"/>
        <v>3605.29</v>
      </c>
      <c r="AC49" s="37">
        <f t="shared" si="24"/>
        <v>0</v>
      </c>
      <c r="AD49" s="33">
        <f t="shared" si="25"/>
        <v>3605.29</v>
      </c>
      <c r="AE49" s="38">
        <f t="shared" si="22"/>
        <v>360.529</v>
      </c>
      <c r="AF49" s="37">
        <v>10.23</v>
      </c>
      <c r="AG49" s="67">
        <f t="shared" si="23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20"/>
        <v>739.23</v>
      </c>
      <c r="L50" s="53">
        <v>2438.48</v>
      </c>
      <c r="M50" s="53"/>
      <c r="N50" s="53"/>
      <c r="O50" s="53"/>
      <c r="P50" s="73"/>
      <c r="Q50" s="59">
        <f t="shared" si="21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26"/>
        <v>3145.9329000000002</v>
      </c>
      <c r="AC50" s="60">
        <f t="shared" si="24"/>
        <v>0</v>
      </c>
      <c r="AD50" s="59">
        <f t="shared" si="25"/>
        <v>3145.9329000000002</v>
      </c>
      <c r="AE50" s="60">
        <f t="shared" si="22"/>
        <v>317.77100000000002</v>
      </c>
      <c r="AF50" s="37">
        <v>10.23</v>
      </c>
      <c r="AG50" s="67">
        <f t="shared" si="23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20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21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26"/>
        <v>21055.430000000004</v>
      </c>
      <c r="AC51" s="37">
        <f t="shared" si="24"/>
        <v>2111.4340000000007</v>
      </c>
      <c r="AD51" s="33">
        <f t="shared" si="25"/>
        <v>18943.996000000003</v>
      </c>
      <c r="AE51" s="38">
        <f t="shared" si="22"/>
        <v>0</v>
      </c>
      <c r="AF51" s="37">
        <v>10.23</v>
      </c>
      <c r="AG51" s="67">
        <f t="shared" si="23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20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21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26"/>
        <v>9788.619999999999</v>
      </c>
      <c r="AC52" s="37">
        <f t="shared" si="24"/>
        <v>978.86199999999997</v>
      </c>
      <c r="AD52" s="33">
        <f t="shared" si="25"/>
        <v>8809.7579999999998</v>
      </c>
      <c r="AE52" s="38">
        <f t="shared" si="22"/>
        <v>0</v>
      </c>
      <c r="AF52" s="37">
        <v>10.23</v>
      </c>
      <c r="AG52" s="67">
        <f t="shared" si="23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20"/>
        <v>1166.6600000000001</v>
      </c>
      <c r="L53" s="30">
        <v>-653.33000000000004</v>
      </c>
      <c r="M53" s="30"/>
      <c r="N53" s="31"/>
      <c r="O53" s="31"/>
      <c r="P53" s="32"/>
      <c r="Q53" s="33">
        <f t="shared" si="21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26"/>
        <v>384.99750000000006</v>
      </c>
      <c r="AC53" s="37">
        <f t="shared" si="24"/>
        <v>0</v>
      </c>
      <c r="AD53" s="33">
        <f t="shared" si="25"/>
        <v>384.99750000000006</v>
      </c>
      <c r="AE53" s="38">
        <f t="shared" si="22"/>
        <v>51.333000000000006</v>
      </c>
      <c r="AF53" s="37">
        <v>10.23</v>
      </c>
      <c r="AG53" s="67">
        <f t="shared" si="23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20"/>
        <v>1166.6600000000001</v>
      </c>
      <c r="L54" s="30"/>
      <c r="M54" s="30"/>
      <c r="N54" s="31"/>
      <c r="O54" s="31"/>
      <c r="P54" s="32"/>
      <c r="Q54" s="33">
        <f t="shared" si="21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26"/>
        <v>1166.6600000000001</v>
      </c>
      <c r="AC54" s="37">
        <f t="shared" si="24"/>
        <v>0</v>
      </c>
      <c r="AD54" s="33">
        <f t="shared" si="25"/>
        <v>1166.6600000000001</v>
      </c>
      <c r="AE54" s="38">
        <f t="shared" si="22"/>
        <v>116.66600000000001</v>
      </c>
      <c r="AF54" s="37">
        <v>10.23</v>
      </c>
      <c r="AG54" s="67">
        <f t="shared" si="23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20"/>
        <v>1166.6600000000001</v>
      </c>
      <c r="L55" s="80"/>
      <c r="M55" s="80"/>
      <c r="N55" s="80"/>
      <c r="O55" s="80"/>
      <c r="P55" s="81"/>
      <c r="Q55" s="82">
        <f t="shared" si="21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26"/>
        <v>1166.6600000000001</v>
      </c>
      <c r="AC55" s="83">
        <f t="shared" si="24"/>
        <v>0</v>
      </c>
      <c r="AD55" s="82">
        <f t="shared" si="25"/>
        <v>1166.6600000000001</v>
      </c>
      <c r="AE55" s="83">
        <f t="shared" si="22"/>
        <v>116.66600000000001</v>
      </c>
      <c r="AF55" s="83">
        <v>10.23</v>
      </c>
      <c r="AG55" s="82">
        <f t="shared" si="23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20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21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26"/>
        <v>1006.1100000000001</v>
      </c>
      <c r="AC56" s="37">
        <f t="shared" si="24"/>
        <v>0</v>
      </c>
      <c r="AD56" s="33">
        <f t="shared" si="25"/>
        <v>1006.1100000000001</v>
      </c>
      <c r="AE56" s="38">
        <f t="shared" si="22"/>
        <v>109.26700000000001</v>
      </c>
      <c r="AF56" s="37">
        <v>10.23</v>
      </c>
      <c r="AG56" s="67">
        <f t="shared" si="23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20"/>
        <v>1100</v>
      </c>
      <c r="L57" s="30">
        <v>307.39999999999998</v>
      </c>
      <c r="M57" s="30"/>
      <c r="N57" s="31"/>
      <c r="O57" s="31"/>
      <c r="P57" s="32"/>
      <c r="Q57" s="33">
        <f t="shared" si="21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26"/>
        <v>1324.3634000000002</v>
      </c>
      <c r="AC57" s="37">
        <f t="shared" si="24"/>
        <v>0</v>
      </c>
      <c r="AD57" s="33">
        <f t="shared" si="25"/>
        <v>1324.3634000000002</v>
      </c>
      <c r="AE57" s="38">
        <f t="shared" si="22"/>
        <v>140.74</v>
      </c>
      <c r="AF57" s="37">
        <v>10.23</v>
      </c>
      <c r="AG57" s="67">
        <f t="shared" si="23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20"/>
        <v>739.23</v>
      </c>
      <c r="L58" s="30"/>
      <c r="M58" s="30"/>
      <c r="N58" s="30"/>
      <c r="O58" s="30"/>
      <c r="P58" s="32"/>
      <c r="Q58" s="33">
        <f t="shared" si="21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26"/>
        <v>739.23</v>
      </c>
      <c r="AC58" s="37">
        <f t="shared" si="24"/>
        <v>0</v>
      </c>
      <c r="AD58" s="33">
        <f t="shared" si="25"/>
        <v>739.23</v>
      </c>
      <c r="AE58" s="38">
        <f t="shared" si="22"/>
        <v>73.923000000000002</v>
      </c>
      <c r="AF58" s="37">
        <v>10.23</v>
      </c>
      <c r="AG58" s="67">
        <f t="shared" si="23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20"/>
        <v>608.16</v>
      </c>
      <c r="L59" s="30"/>
      <c r="M59" s="30"/>
      <c r="N59" s="31"/>
      <c r="O59" s="31"/>
      <c r="P59" s="32"/>
      <c r="Q59" s="33">
        <f t="shared" si="21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26"/>
        <v>572.27855999999997</v>
      </c>
      <c r="AC59" s="37">
        <f t="shared" si="24"/>
        <v>0</v>
      </c>
      <c r="AD59" s="33">
        <f t="shared" si="25"/>
        <v>572.27855999999997</v>
      </c>
      <c r="AE59" s="38">
        <f t="shared" si="22"/>
        <v>60.816000000000003</v>
      </c>
      <c r="AF59" s="37">
        <v>10.23</v>
      </c>
      <c r="AG59" s="67">
        <f t="shared" si="23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20"/>
        <v>511.28</v>
      </c>
      <c r="L60" s="30">
        <v>1441.8</v>
      </c>
      <c r="M60" s="30"/>
      <c r="N60" s="31"/>
      <c r="O60" s="31"/>
      <c r="P60" s="32"/>
      <c r="Q60" s="33">
        <f t="shared" si="21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26"/>
        <v>1737.8482799999999</v>
      </c>
      <c r="AC60" s="37">
        <f t="shared" si="24"/>
        <v>0</v>
      </c>
      <c r="AD60" s="33">
        <f t="shared" si="25"/>
        <v>1737.8482799999999</v>
      </c>
      <c r="AE60" s="38">
        <f t="shared" si="22"/>
        <v>195.30799999999999</v>
      </c>
      <c r="AF60" s="37">
        <v>10.23</v>
      </c>
      <c r="AG60" s="67">
        <f t="shared" si="23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20"/>
        <v>513.33000000000004</v>
      </c>
      <c r="L61" s="30"/>
      <c r="M61" s="30">
        <v>66.069999999999993</v>
      </c>
      <c r="N61" s="31"/>
      <c r="O61" s="31"/>
      <c r="P61" s="32"/>
      <c r="Q61" s="33">
        <f t="shared" si="21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26"/>
        <v>579.40000000000009</v>
      </c>
      <c r="AC61" s="37">
        <f t="shared" si="24"/>
        <v>0</v>
      </c>
      <c r="AD61" s="33">
        <f t="shared" si="25"/>
        <v>579.40000000000009</v>
      </c>
      <c r="AE61" s="38">
        <f t="shared" si="22"/>
        <v>57.940000000000012</v>
      </c>
      <c r="AF61" s="37">
        <v>10.23</v>
      </c>
      <c r="AG61" s="67">
        <f t="shared" si="23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20"/>
        <v>739.23</v>
      </c>
      <c r="L62" s="30">
        <v>4006.07</v>
      </c>
      <c r="M62" s="30"/>
      <c r="N62" s="42"/>
      <c r="O62" s="31"/>
      <c r="P62" s="32"/>
      <c r="Q62" s="33">
        <f t="shared" si="21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26"/>
        <v>4745.3</v>
      </c>
      <c r="AC62" s="37">
        <f t="shared" si="24"/>
        <v>474.53000000000003</v>
      </c>
      <c r="AD62" s="33">
        <f t="shared" si="25"/>
        <v>4270.7700000000004</v>
      </c>
      <c r="AE62" s="38">
        <f t="shared" si="22"/>
        <v>0</v>
      </c>
      <c r="AF62" s="37">
        <v>10.23</v>
      </c>
      <c r="AG62" s="67">
        <f t="shared" si="23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20"/>
        <v>739.23</v>
      </c>
      <c r="L63" s="30">
        <v>3036.32</v>
      </c>
      <c r="M63" s="30"/>
      <c r="N63" s="31"/>
      <c r="O63" s="31"/>
      <c r="P63" s="32"/>
      <c r="Q63" s="33">
        <f t="shared" si="21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26"/>
        <v>3775.55</v>
      </c>
      <c r="AC63" s="37">
        <f t="shared" si="24"/>
        <v>0</v>
      </c>
      <c r="AD63" s="33">
        <f t="shared" si="25"/>
        <v>3775.55</v>
      </c>
      <c r="AE63" s="38">
        <f t="shared" si="22"/>
        <v>377.55500000000006</v>
      </c>
      <c r="AF63" s="37">
        <v>10.23</v>
      </c>
      <c r="AG63" s="67">
        <f t="shared" si="23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20"/>
        <v>1136.73</v>
      </c>
      <c r="L64" s="80">
        <v>0</v>
      </c>
      <c r="M64" s="80"/>
      <c r="N64" s="80"/>
      <c r="O64" s="80"/>
      <c r="P64" s="80"/>
      <c r="Q64" s="82">
        <f t="shared" si="21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26"/>
        <v>1136.73</v>
      </c>
      <c r="AC64" s="83">
        <f t="shared" si="24"/>
        <v>0</v>
      </c>
      <c r="AD64" s="82">
        <f t="shared" si="25"/>
        <v>1136.73</v>
      </c>
      <c r="AE64" s="83">
        <f t="shared" si="22"/>
        <v>113.673</v>
      </c>
      <c r="AF64" s="83">
        <v>10.23</v>
      </c>
      <c r="AG64" s="82">
        <f t="shared" si="23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20"/>
        <v>608.16</v>
      </c>
      <c r="L65" s="30">
        <v>1276.27</v>
      </c>
      <c r="M65" s="30"/>
      <c r="N65" s="31"/>
      <c r="O65" s="31"/>
      <c r="P65" s="32"/>
      <c r="Q65" s="33">
        <f t="shared" si="21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26"/>
        <v>1773.2486299999998</v>
      </c>
      <c r="AC65" s="37">
        <f t="shared" si="24"/>
        <v>0</v>
      </c>
      <c r="AD65" s="33">
        <f t="shared" si="25"/>
        <v>1773.2486299999998</v>
      </c>
      <c r="AE65" s="38">
        <f t="shared" si="22"/>
        <v>188.44299999999998</v>
      </c>
      <c r="AF65" s="37">
        <v>10.23</v>
      </c>
      <c r="AG65" s="67">
        <f t="shared" si="23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20"/>
        <v>608.16</v>
      </c>
      <c r="L66" s="30">
        <v>3235.87</v>
      </c>
      <c r="M66" s="30"/>
      <c r="N66" s="31"/>
      <c r="O66" s="31"/>
      <c r="P66" s="32"/>
      <c r="Q66" s="33">
        <f t="shared" si="21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26"/>
        <v>3095.4922299999998</v>
      </c>
      <c r="AC66" s="37">
        <f t="shared" si="24"/>
        <v>0</v>
      </c>
      <c r="AD66" s="33">
        <f t="shared" si="25"/>
        <v>3095.4922299999998</v>
      </c>
      <c r="AE66" s="38">
        <f t="shared" si="22"/>
        <v>384.40300000000002</v>
      </c>
      <c r="AF66" s="37">
        <v>10.23</v>
      </c>
      <c r="AG66" s="67">
        <f t="shared" si="23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20"/>
        <v>1400</v>
      </c>
      <c r="L67" s="30">
        <f>355.65+140</f>
        <v>495.65</v>
      </c>
      <c r="M67" s="30"/>
      <c r="N67" s="31"/>
      <c r="O67" s="31"/>
      <c r="P67" s="32"/>
      <c r="Q67" s="33">
        <f t="shared" si="21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26"/>
        <v>1895.65</v>
      </c>
      <c r="AC67" s="37">
        <f t="shared" si="24"/>
        <v>0</v>
      </c>
      <c r="AD67" s="33">
        <f t="shared" si="25"/>
        <v>1895.65</v>
      </c>
      <c r="AE67" s="38">
        <f t="shared" si="22"/>
        <v>189.56500000000003</v>
      </c>
      <c r="AF67" s="37">
        <v>10.23</v>
      </c>
      <c r="AG67" s="67">
        <f t="shared" si="23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20"/>
        <v>608.16</v>
      </c>
      <c r="L68" s="30">
        <v>527.79999999999995</v>
      </c>
      <c r="M68" s="30"/>
      <c r="N68" s="31"/>
      <c r="O68" s="31"/>
      <c r="P68" s="32"/>
      <c r="Q68" s="33">
        <f t="shared" si="21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26"/>
        <v>1068.9383600000001</v>
      </c>
      <c r="AC68" s="37">
        <f t="shared" si="24"/>
        <v>0</v>
      </c>
      <c r="AD68" s="33">
        <f t="shared" si="25"/>
        <v>1068.9383600000001</v>
      </c>
      <c r="AE68" s="38">
        <f t="shared" si="22"/>
        <v>113.596</v>
      </c>
      <c r="AF68" s="37">
        <v>10.23</v>
      </c>
      <c r="AG68" s="67">
        <f t="shared" si="23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20"/>
        <v>1400</v>
      </c>
      <c r="L69" s="30"/>
      <c r="M69" s="30"/>
      <c r="N69" s="30"/>
      <c r="O69" s="30"/>
      <c r="P69" s="32"/>
      <c r="Q69" s="33">
        <f t="shared" si="21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26"/>
        <v>1400</v>
      </c>
      <c r="AC69" s="37">
        <f t="shared" si="24"/>
        <v>0</v>
      </c>
      <c r="AD69" s="33">
        <f t="shared" si="25"/>
        <v>1400</v>
      </c>
      <c r="AE69" s="38">
        <f t="shared" si="22"/>
        <v>140</v>
      </c>
      <c r="AF69" s="37">
        <v>10.23</v>
      </c>
      <c r="AG69" s="67">
        <f t="shared" si="23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20"/>
        <v>739.23</v>
      </c>
      <c r="L70" s="53">
        <v>1692.78</v>
      </c>
      <c r="M70" s="53"/>
      <c r="N70" s="53"/>
      <c r="O70" s="53"/>
      <c r="P70" s="73"/>
      <c r="Q70" s="59">
        <f t="shared" si="21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26"/>
        <v>2432.0100000000002</v>
      </c>
      <c r="AC70" s="60">
        <f t="shared" si="24"/>
        <v>0</v>
      </c>
      <c r="AD70" s="59">
        <f t="shared" si="25"/>
        <v>2432.0100000000002</v>
      </c>
      <c r="AE70" s="60">
        <f t="shared" si="22"/>
        <v>243.20100000000002</v>
      </c>
      <c r="AF70" s="37">
        <v>10.23</v>
      </c>
      <c r="AG70" s="67">
        <f t="shared" si="23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20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21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26"/>
        <v>1515.8799999999997</v>
      </c>
      <c r="AC71" s="37">
        <f t="shared" si="24"/>
        <v>0</v>
      </c>
      <c r="AD71" s="33">
        <f t="shared" si="25"/>
        <v>1515.8799999999997</v>
      </c>
      <c r="AE71" s="38">
        <f t="shared" si="22"/>
        <v>278.75599999999997</v>
      </c>
      <c r="AF71" s="37">
        <v>10.23</v>
      </c>
      <c r="AG71" s="67">
        <f t="shared" si="23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27">+I72+J72</f>
        <v>1166.26</v>
      </c>
      <c r="L72" s="30">
        <v>784.32</v>
      </c>
      <c r="M72" s="30"/>
      <c r="N72" s="30"/>
      <c r="O72" s="30"/>
      <c r="P72" s="32"/>
      <c r="Q72" s="33">
        <f t="shared" ref="Q72:Q87" si="28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26"/>
        <v>1950.58</v>
      </c>
      <c r="AC72" s="37">
        <f t="shared" si="24"/>
        <v>0</v>
      </c>
      <c r="AD72" s="33">
        <f t="shared" si="25"/>
        <v>1950.58</v>
      </c>
      <c r="AE72" s="38">
        <f t="shared" si="22"/>
        <v>195.05799999999999</v>
      </c>
      <c r="AF72" s="37">
        <v>10.23</v>
      </c>
      <c r="AG72" s="67">
        <f t="shared" si="23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27"/>
        <v>1100</v>
      </c>
      <c r="L73" s="30"/>
      <c r="M73" s="30"/>
      <c r="N73" s="30"/>
      <c r="O73" s="30"/>
      <c r="P73" s="32"/>
      <c r="Q73" s="33">
        <f t="shared" si="28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26"/>
        <v>1100</v>
      </c>
      <c r="AC73" s="37">
        <f t="shared" si="24"/>
        <v>0</v>
      </c>
      <c r="AD73" s="33">
        <f t="shared" si="25"/>
        <v>1100</v>
      </c>
      <c r="AE73" s="38">
        <f t="shared" ref="AE73:AE87" si="29">IF(Q73&lt;4500,Q73*0.1,0)</f>
        <v>110</v>
      </c>
      <c r="AF73" s="37">
        <v>10.23</v>
      </c>
      <c r="AG73" s="67">
        <f t="shared" ref="AG73:AG87" si="30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27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28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26"/>
        <v>5022.8500000000004</v>
      </c>
      <c r="AC74" s="37">
        <f t="shared" si="24"/>
        <v>508.17600000000004</v>
      </c>
      <c r="AD74" s="33">
        <f t="shared" si="25"/>
        <v>4514.674</v>
      </c>
      <c r="AE74" s="38">
        <f t="shared" si="29"/>
        <v>0</v>
      </c>
      <c r="AF74" s="37">
        <v>10.23</v>
      </c>
      <c r="AG74" s="67">
        <f t="shared" si="30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27"/>
        <v>543.20000000000005</v>
      </c>
      <c r="L75" s="30">
        <v>1059.4000000000001</v>
      </c>
      <c r="M75" s="30"/>
      <c r="N75" s="31"/>
      <c r="O75" s="31"/>
      <c r="P75" s="32"/>
      <c r="Q75" s="33">
        <f t="shared" si="28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26"/>
        <v>1508.0466000000001</v>
      </c>
      <c r="AC75" s="37">
        <f t="shared" si="24"/>
        <v>0</v>
      </c>
      <c r="AD75" s="33">
        <f t="shared" si="25"/>
        <v>1508.0466000000001</v>
      </c>
      <c r="AE75" s="38">
        <f t="shared" si="29"/>
        <v>160.26000000000002</v>
      </c>
      <c r="AF75" s="37">
        <v>10.23</v>
      </c>
      <c r="AG75" s="67">
        <f t="shared" si="30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27"/>
        <v>608.16</v>
      </c>
      <c r="L76" s="30">
        <v>1325.5</v>
      </c>
      <c r="M76" s="30"/>
      <c r="N76" s="31"/>
      <c r="O76" s="31"/>
      <c r="P76" s="32"/>
      <c r="Q76" s="33">
        <f t="shared" si="28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26"/>
        <v>1160.6940599999998</v>
      </c>
      <c r="AC76" s="37">
        <f t="shared" ref="AC76:AC87" si="31">IF(Q76&gt;4500,Q76*0.1,0)</f>
        <v>0</v>
      </c>
      <c r="AD76" s="33">
        <f t="shared" si="25"/>
        <v>1160.6940599999998</v>
      </c>
      <c r="AE76" s="38">
        <f t="shared" si="29"/>
        <v>193.36599999999999</v>
      </c>
      <c r="AF76" s="37">
        <v>10.23</v>
      </c>
      <c r="AG76" s="67">
        <f t="shared" si="30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27"/>
        <v>739.23</v>
      </c>
      <c r="L77" s="30">
        <v>1998.23</v>
      </c>
      <c r="M77" s="30"/>
      <c r="N77" s="31"/>
      <c r="O77" s="31"/>
      <c r="P77" s="32"/>
      <c r="Q77" s="33">
        <f t="shared" si="28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26"/>
        <v>2587.46</v>
      </c>
      <c r="AC77" s="37">
        <f t="shared" si="31"/>
        <v>0</v>
      </c>
      <c r="AD77" s="33">
        <f t="shared" ref="AD77:AD87" si="32">+AB77-AC77</f>
        <v>2587.46</v>
      </c>
      <c r="AE77" s="38">
        <f t="shared" si="29"/>
        <v>273.74600000000004</v>
      </c>
      <c r="AF77" s="37">
        <v>10.23</v>
      </c>
      <c r="AG77" s="67">
        <f t="shared" si="30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27"/>
        <v>1400</v>
      </c>
      <c r="L78" s="30"/>
      <c r="M78" s="30"/>
      <c r="N78" s="31"/>
      <c r="O78" s="31"/>
      <c r="P78" s="32"/>
      <c r="Q78" s="33">
        <f t="shared" si="28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26"/>
        <v>972.97</v>
      </c>
      <c r="AC78" s="37">
        <f t="shared" si="31"/>
        <v>0</v>
      </c>
      <c r="AD78" s="33">
        <f t="shared" si="32"/>
        <v>972.97</v>
      </c>
      <c r="AE78" s="38">
        <f t="shared" si="29"/>
        <v>140</v>
      </c>
      <c r="AF78" s="37">
        <v>10.23</v>
      </c>
      <c r="AG78" s="67">
        <f t="shared" si="30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27"/>
        <v>1400</v>
      </c>
      <c r="L79" s="53"/>
      <c r="M79" s="53"/>
      <c r="N79" s="53"/>
      <c r="O79" s="53"/>
      <c r="P79" s="73"/>
      <c r="Q79" s="59">
        <f t="shared" si="28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33">+Q79-SUM(R79:AA79)</f>
        <v>1400</v>
      </c>
      <c r="AC79" s="60">
        <f t="shared" si="31"/>
        <v>0</v>
      </c>
      <c r="AD79" s="59">
        <f t="shared" si="32"/>
        <v>1400</v>
      </c>
      <c r="AE79" s="60">
        <f t="shared" si="29"/>
        <v>140</v>
      </c>
      <c r="AF79" s="37">
        <v>10.23</v>
      </c>
      <c r="AG79" s="67">
        <f t="shared" si="30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27"/>
        <v>739.23</v>
      </c>
      <c r="L80" s="30">
        <v>774.3</v>
      </c>
      <c r="M80" s="30"/>
      <c r="N80" s="31"/>
      <c r="O80" s="31"/>
      <c r="P80" s="32"/>
      <c r="Q80" s="33">
        <f t="shared" si="28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33"/>
        <v>1513.53</v>
      </c>
      <c r="AC80" s="37">
        <f t="shared" si="31"/>
        <v>0</v>
      </c>
      <c r="AD80" s="33">
        <f t="shared" si="32"/>
        <v>1513.53</v>
      </c>
      <c r="AE80" s="38">
        <f t="shared" si="29"/>
        <v>151.35300000000001</v>
      </c>
      <c r="AF80" s="37">
        <v>10.23</v>
      </c>
      <c r="AG80" s="67">
        <f t="shared" si="30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27"/>
        <v>739.23</v>
      </c>
      <c r="L81" s="30">
        <v>1939.52</v>
      </c>
      <c r="M81" s="30"/>
      <c r="N81" s="30"/>
      <c r="O81" s="30"/>
      <c r="P81" s="32"/>
      <c r="Q81" s="33">
        <f t="shared" si="28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33"/>
        <v>2678.75</v>
      </c>
      <c r="AC81" s="37">
        <f t="shared" si="31"/>
        <v>0</v>
      </c>
      <c r="AD81" s="33">
        <f t="shared" si="32"/>
        <v>2678.75</v>
      </c>
      <c r="AE81" s="38">
        <f t="shared" si="29"/>
        <v>267.875</v>
      </c>
      <c r="AF81" s="37">
        <v>10.23</v>
      </c>
      <c r="AG81" s="67">
        <f t="shared" si="30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27"/>
        <v>1166.6600000000001</v>
      </c>
      <c r="L82" s="30">
        <v>639.69000000000005</v>
      </c>
      <c r="M82" s="30"/>
      <c r="N82" s="31"/>
      <c r="O82" s="31"/>
      <c r="P82" s="32"/>
      <c r="Q82" s="33">
        <f t="shared" si="28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33"/>
        <v>757.18000000000006</v>
      </c>
      <c r="AC82" s="37">
        <f t="shared" si="31"/>
        <v>0</v>
      </c>
      <c r="AD82" s="33">
        <f t="shared" si="32"/>
        <v>757.18000000000006</v>
      </c>
      <c r="AE82" s="38">
        <f t="shared" si="29"/>
        <v>180.63500000000002</v>
      </c>
      <c r="AF82" s="37">
        <v>10.23</v>
      </c>
      <c r="AG82" s="67">
        <f t="shared" si="30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27"/>
        <v>1166.67</v>
      </c>
      <c r="L83" s="30">
        <v>2500</v>
      </c>
      <c r="M83" s="30"/>
      <c r="N83" s="31"/>
      <c r="O83" s="31"/>
      <c r="P83" s="32"/>
      <c r="Q83" s="33">
        <f t="shared" si="28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33"/>
        <v>3607.76</v>
      </c>
      <c r="AC83" s="37">
        <f t="shared" si="31"/>
        <v>0</v>
      </c>
      <c r="AD83" s="33">
        <f t="shared" si="32"/>
        <v>3607.76</v>
      </c>
      <c r="AE83" s="38">
        <f t="shared" si="29"/>
        <v>366.66700000000003</v>
      </c>
      <c r="AF83" s="37">
        <v>10.23</v>
      </c>
      <c r="AG83" s="67">
        <f t="shared" si="30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27"/>
        <v>608.16</v>
      </c>
      <c r="L84" s="30">
        <v>3752</v>
      </c>
      <c r="M84" s="30"/>
      <c r="N84" s="31"/>
      <c r="O84" s="31"/>
      <c r="P84" s="32"/>
      <c r="Q84" s="33">
        <f t="shared" si="28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33"/>
        <v>3902.9105599999998</v>
      </c>
      <c r="AC84" s="37">
        <f t="shared" si="31"/>
        <v>0</v>
      </c>
      <c r="AD84" s="33">
        <f t="shared" si="32"/>
        <v>3902.9105599999998</v>
      </c>
      <c r="AE84" s="38">
        <f t="shared" si="29"/>
        <v>436.01600000000002</v>
      </c>
      <c r="AF84" s="37">
        <v>10.23</v>
      </c>
      <c r="AG84" s="67">
        <f t="shared" si="30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27"/>
        <v>1100</v>
      </c>
      <c r="L85" s="30"/>
      <c r="M85" s="30"/>
      <c r="N85" s="30"/>
      <c r="O85" s="30"/>
      <c r="P85" s="32"/>
      <c r="Q85" s="33">
        <f t="shared" si="28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33"/>
        <v>1100</v>
      </c>
      <c r="AC85" s="37">
        <f t="shared" si="31"/>
        <v>0</v>
      </c>
      <c r="AD85" s="33">
        <f t="shared" si="32"/>
        <v>1100</v>
      </c>
      <c r="AE85" s="38">
        <f t="shared" si="29"/>
        <v>110</v>
      </c>
      <c r="AF85" s="37">
        <v>10.23</v>
      </c>
      <c r="AG85" s="67">
        <f t="shared" si="30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27"/>
        <v>1166.6600000000001</v>
      </c>
      <c r="L86" s="30"/>
      <c r="M86" s="30"/>
      <c r="N86" s="31"/>
      <c r="O86" s="31"/>
      <c r="P86" s="32"/>
      <c r="Q86" s="33">
        <f t="shared" si="28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33"/>
        <v>1166.6600000000001</v>
      </c>
      <c r="AC86" s="37">
        <f t="shared" si="31"/>
        <v>0</v>
      </c>
      <c r="AD86" s="33">
        <f t="shared" si="32"/>
        <v>1166.6600000000001</v>
      </c>
      <c r="AE86" s="38">
        <f t="shared" si="29"/>
        <v>116.66600000000001</v>
      </c>
      <c r="AF86" s="37">
        <v>10.23</v>
      </c>
      <c r="AG86" s="67">
        <f t="shared" si="30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27"/>
        <v>739.23</v>
      </c>
      <c r="L87" s="30">
        <v>2851</v>
      </c>
      <c r="M87" s="30"/>
      <c r="N87" s="30"/>
      <c r="O87" s="30"/>
      <c r="P87" s="32"/>
      <c r="Q87" s="33">
        <f t="shared" si="28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33"/>
        <v>3090.23</v>
      </c>
      <c r="AC87" s="37">
        <f t="shared" si="31"/>
        <v>0</v>
      </c>
      <c r="AD87" s="33">
        <f t="shared" si="32"/>
        <v>3090.23</v>
      </c>
      <c r="AE87" s="38">
        <f t="shared" si="29"/>
        <v>359.02300000000002</v>
      </c>
      <c r="AF87" s="37">
        <v>10.23</v>
      </c>
      <c r="AG87" s="67">
        <f t="shared" si="30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27"/>
        <v>1166.6600000000001</v>
      </c>
      <c r="L88" s="30"/>
      <c r="M88" s="30"/>
      <c r="N88" s="30"/>
      <c r="O88" s="30"/>
      <c r="P88" s="32"/>
      <c r="Q88" s="33">
        <f t="shared" ref="Q88" si="34"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 t="shared" ref="AB88" si="35">+Q88-SUM(R88:AA88)</f>
        <v>875.16000000000008</v>
      </c>
      <c r="AC88" s="37">
        <f t="shared" ref="AC88" si="36">IF(Q88&gt;4500,Q88*0.1,0)</f>
        <v>0</v>
      </c>
      <c r="AD88" s="33">
        <f t="shared" ref="AD88" si="37">+AB88-AC88</f>
        <v>875.16000000000008</v>
      </c>
      <c r="AE88" s="38">
        <f t="shared" ref="AE88" si="38">IF(Q88&lt;4500,Q88*0.1,0)</f>
        <v>116.66600000000001</v>
      </c>
      <c r="AF88" s="37">
        <v>10.23</v>
      </c>
      <c r="AG88" s="67">
        <f t="shared" ref="AG88" si="39"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27"/>
        <v>1166.26</v>
      </c>
      <c r="L89" s="30">
        <v>2280.46</v>
      </c>
      <c r="M89" s="30"/>
      <c r="N89" s="31"/>
      <c r="O89" s="31"/>
      <c r="P89" s="32"/>
      <c r="Q89" s="33">
        <f t="shared" ref="Q89" si="40"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 t="shared" ref="AB89" si="41">+Q89-SUM(R89:AA89)</f>
        <v>3446.7200000000003</v>
      </c>
      <c r="AC89" s="37">
        <f t="shared" ref="AC89" si="42">IF(Q89&gt;4500,Q89*0.1,0)</f>
        <v>0</v>
      </c>
      <c r="AD89" s="33">
        <f t="shared" ref="AD89" si="43">+AB89-AC89</f>
        <v>3446.7200000000003</v>
      </c>
      <c r="AE89" s="38">
        <f t="shared" ref="AE89" si="44">IF(Q89&lt;4500,Q89*0.1,0)</f>
        <v>344.67200000000003</v>
      </c>
      <c r="AF89" s="37">
        <v>10.23</v>
      </c>
      <c r="AG89" s="67">
        <f t="shared" ref="AG89" si="45"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27"/>
        <v>1166.26</v>
      </c>
      <c r="L90" s="30"/>
      <c r="M90" s="30"/>
      <c r="N90" s="31"/>
      <c r="O90" s="31"/>
      <c r="P90" s="32"/>
      <c r="Q90" s="33">
        <f t="shared" ref="Q90" si="46"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 t="shared" ref="AB90" si="47">+Q90-SUM(R90:AA90)</f>
        <v>1107.3499999999999</v>
      </c>
      <c r="AC90" s="37">
        <f t="shared" ref="AC90" si="48">IF(Q90&gt;4500,Q90*0.1,0)</f>
        <v>0</v>
      </c>
      <c r="AD90" s="33">
        <f t="shared" ref="AD90" si="49">+AB90-AC90</f>
        <v>1107.3499999999999</v>
      </c>
      <c r="AE90" s="38">
        <f t="shared" ref="AE90" si="50">IF(Q90&lt;4500,Q90*0.1,0)</f>
        <v>116.626</v>
      </c>
      <c r="AF90" s="37">
        <v>10.23</v>
      </c>
      <c r="AG90" s="67">
        <f t="shared" ref="AG90" si="51"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 t="shared" ref="AI92:AI94" si="52"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 t="shared" si="52"/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 t="shared" si="52"/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53">SUM(K7:K95)</f>
        <v>73736.400000000081</v>
      </c>
      <c r="L96" s="52">
        <f t="shared" si="53"/>
        <v>261382.26</v>
      </c>
      <c r="M96" s="52"/>
      <c r="N96" s="52">
        <f t="shared" si="53"/>
        <v>0</v>
      </c>
      <c r="O96" s="52">
        <f t="shared" si="53"/>
        <v>0</v>
      </c>
      <c r="P96" s="52">
        <f t="shared" si="53"/>
        <v>0</v>
      </c>
      <c r="Q96" s="52">
        <f t="shared" si="53"/>
        <v>335439.50999999989</v>
      </c>
      <c r="R96" s="52">
        <f t="shared" si="53"/>
        <v>0</v>
      </c>
      <c r="S96" s="52"/>
      <c r="T96" s="71">
        <f t="shared" ref="T96:AL96" si="54">SUM(T7:T95)</f>
        <v>4828.2170000000006</v>
      </c>
      <c r="U96" s="71">
        <f t="shared" si="54"/>
        <v>1976.21606</v>
      </c>
      <c r="V96" s="71">
        <f t="shared" si="54"/>
        <v>406.86950000000002</v>
      </c>
      <c r="W96" s="71">
        <f t="shared" si="54"/>
        <v>879.38</v>
      </c>
      <c r="X96" s="52">
        <f t="shared" si="54"/>
        <v>0</v>
      </c>
      <c r="Y96" s="52">
        <f t="shared" si="54"/>
        <v>167.44</v>
      </c>
      <c r="Z96" s="52">
        <f t="shared" si="54"/>
        <v>406.94</v>
      </c>
      <c r="AA96" s="52">
        <f t="shared" si="54"/>
        <v>7279.3550000000005</v>
      </c>
      <c r="AB96" s="52">
        <f t="shared" si="54"/>
        <v>318808.80243999982</v>
      </c>
      <c r="AC96" s="52">
        <f t="shared" si="54"/>
        <v>20983.65</v>
      </c>
      <c r="AD96" s="52">
        <f t="shared" si="54"/>
        <v>297825.15243999998</v>
      </c>
      <c r="AE96" s="52">
        <f t="shared" si="54"/>
        <v>12560.300999999996</v>
      </c>
      <c r="AF96" s="52">
        <f t="shared" si="54"/>
        <v>859.32000000000096</v>
      </c>
      <c r="AG96" s="52">
        <f t="shared" si="54"/>
        <v>348859.13099999994</v>
      </c>
      <c r="AH96" s="52">
        <f t="shared" si="54"/>
        <v>0</v>
      </c>
      <c r="AI96" s="52">
        <f t="shared" si="54"/>
        <v>0</v>
      </c>
      <c r="AJ96" s="52">
        <f t="shared" si="54"/>
        <v>0</v>
      </c>
      <c r="AK96" s="52">
        <f t="shared" si="54"/>
        <v>0</v>
      </c>
      <c r="AL96" s="52">
        <f t="shared" si="5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04" t="s">
        <v>33</v>
      </c>
      <c r="B98" s="204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>+AB99+AE99+AF99</f>
        <v>0</v>
      </c>
      <c r="AH99" s="33">
        <f t="shared" ref="AH99:AL99" si="55">+AC99+AF99+AG99</f>
        <v>0</v>
      </c>
      <c r="AI99" s="33">
        <f t="shared" si="55"/>
        <v>0</v>
      </c>
      <c r="AJ99" s="33">
        <f t="shared" si="55"/>
        <v>0</v>
      </c>
      <c r="AK99" s="33">
        <f t="shared" si="55"/>
        <v>0</v>
      </c>
      <c r="AL99" s="33">
        <f t="shared" si="5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>+AB100+AE100+AF100</f>
        <v>0</v>
      </c>
      <c r="AH100" s="33">
        <f t="shared" ref="AH100:AL100" si="56">+AC100+AF100+AG100</f>
        <v>0</v>
      </c>
      <c r="AI100" s="33">
        <f t="shared" si="56"/>
        <v>0</v>
      </c>
      <c r="AJ100" s="33">
        <f t="shared" si="56"/>
        <v>0</v>
      </c>
      <c r="AK100" s="33">
        <f t="shared" si="56"/>
        <v>0</v>
      </c>
      <c r="AL100" s="33">
        <f t="shared" si="56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312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311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85" t="s">
        <v>39</v>
      </c>
      <c r="B5" s="187" t="s">
        <v>40</v>
      </c>
      <c r="C5" s="185"/>
      <c r="D5" s="187" t="s">
        <v>41</v>
      </c>
      <c r="E5" s="187" t="s">
        <v>0</v>
      </c>
      <c r="F5" s="185" t="s">
        <v>246</v>
      </c>
      <c r="G5" s="189" t="s">
        <v>67</v>
      </c>
      <c r="H5" s="189" t="s">
        <v>65</v>
      </c>
      <c r="I5" s="191" t="s">
        <v>66</v>
      </c>
      <c r="J5" s="183" t="s">
        <v>68</v>
      </c>
      <c r="K5" s="189" t="s">
        <v>34</v>
      </c>
      <c r="L5" s="183" t="s">
        <v>75</v>
      </c>
      <c r="M5" s="161"/>
      <c r="N5" s="189" t="s">
        <v>35</v>
      </c>
      <c r="O5" s="189" t="s">
        <v>36</v>
      </c>
      <c r="P5" s="189" t="s">
        <v>63</v>
      </c>
      <c r="Q5" s="189" t="s">
        <v>37</v>
      </c>
      <c r="R5" s="189" t="s">
        <v>38</v>
      </c>
      <c r="S5" s="160"/>
      <c r="T5" s="193" t="s">
        <v>186</v>
      </c>
      <c r="U5" s="193" t="s">
        <v>213</v>
      </c>
      <c r="V5" s="193" t="s">
        <v>212</v>
      </c>
      <c r="W5" s="193" t="s">
        <v>187</v>
      </c>
      <c r="X5" s="189" t="s">
        <v>30</v>
      </c>
      <c r="Y5" s="189" t="s">
        <v>56</v>
      </c>
      <c r="Z5" s="189" t="s">
        <v>55</v>
      </c>
      <c r="AA5" s="189" t="s">
        <v>32</v>
      </c>
      <c r="AB5" s="189" t="s">
        <v>64</v>
      </c>
      <c r="AC5" s="189" t="s">
        <v>27</v>
      </c>
      <c r="AD5" s="189" t="s">
        <v>31</v>
      </c>
      <c r="AE5" s="189" t="s">
        <v>26</v>
      </c>
      <c r="AF5" s="189" t="s">
        <v>28</v>
      </c>
      <c r="AG5" s="159"/>
      <c r="AH5" s="189" t="s">
        <v>29</v>
      </c>
      <c r="AI5" s="207" t="s">
        <v>190</v>
      </c>
      <c r="AJ5" s="208"/>
      <c r="AK5" s="199" t="s">
        <v>191</v>
      </c>
      <c r="AL5" s="195" t="s">
        <v>257</v>
      </c>
      <c r="AM5" s="157"/>
      <c r="AN5" s="195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186"/>
      <c r="B6" s="188"/>
      <c r="C6" s="186"/>
      <c r="D6" s="188"/>
      <c r="E6" s="188"/>
      <c r="F6" s="186"/>
      <c r="G6" s="190"/>
      <c r="H6" s="190"/>
      <c r="I6" s="192"/>
      <c r="J6" s="184"/>
      <c r="K6" s="190"/>
      <c r="L6" s="184"/>
      <c r="M6" s="162" t="s">
        <v>288</v>
      </c>
      <c r="N6" s="190"/>
      <c r="O6" s="190"/>
      <c r="P6" s="190"/>
      <c r="Q6" s="190"/>
      <c r="R6" s="190"/>
      <c r="S6" s="105" t="s">
        <v>276</v>
      </c>
      <c r="T6" s="194"/>
      <c r="U6" s="194"/>
      <c r="V6" s="194"/>
      <c r="W6" s="194"/>
      <c r="X6" s="190"/>
      <c r="Y6" s="190"/>
      <c r="Z6" s="190"/>
      <c r="AA6" s="190"/>
      <c r="AB6" s="190"/>
      <c r="AC6" s="190"/>
      <c r="AD6" s="190"/>
      <c r="AE6" s="190"/>
      <c r="AF6" s="190"/>
      <c r="AG6" s="160"/>
      <c r="AH6" s="190"/>
      <c r="AI6" s="106" t="s">
        <v>66</v>
      </c>
      <c r="AJ6" s="106" t="s">
        <v>68</v>
      </c>
      <c r="AK6" s="199"/>
      <c r="AL6" s="195"/>
      <c r="AM6" s="157" t="s">
        <v>313</v>
      </c>
      <c r="AN6" s="19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196" t="s">
        <v>292</v>
      </c>
      <c r="B8" s="196"/>
      <c r="C8" s="158"/>
      <c r="D8" s="111"/>
      <c r="E8" s="111"/>
      <c r="F8" s="111"/>
      <c r="G8" s="111"/>
      <c r="H8" s="111"/>
      <c r="I8" s="113"/>
      <c r="J8" s="111"/>
      <c r="K8" s="113"/>
      <c r="L8" s="113"/>
      <c r="M8" s="113"/>
      <c r="N8" s="113"/>
      <c r="O8" s="113"/>
      <c r="P8" s="113"/>
      <c r="Q8" s="148"/>
      <c r="R8" s="113"/>
      <c r="S8" s="113"/>
      <c r="T8" s="130"/>
      <c r="U8" s="130"/>
      <c r="V8" s="130"/>
      <c r="W8" s="130"/>
      <c r="X8" s="113"/>
      <c r="Y8" s="113"/>
      <c r="Z8" s="113"/>
      <c r="AA8" s="113"/>
      <c r="AB8" s="148"/>
      <c r="AC8" s="113"/>
      <c r="AD8" s="148"/>
      <c r="AE8" s="113"/>
      <c r="AF8" s="113"/>
      <c r="AG8" s="113"/>
      <c r="AH8" s="148" t="e">
        <f>+#REF!+AH7</f>
        <v>#REF!</v>
      </c>
      <c r="AI8" s="150"/>
      <c r="AJ8" s="150"/>
      <c r="AK8" s="150"/>
      <c r="AL8" s="111"/>
      <c r="AM8" s="111"/>
      <c r="AN8" s="111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31"/>
      <c r="B9" s="111" t="s">
        <v>293</v>
      </c>
      <c r="C9" s="111"/>
      <c r="D9" s="112"/>
      <c r="E9" s="111"/>
      <c r="F9" s="111"/>
      <c r="G9" s="111"/>
      <c r="H9" s="111"/>
      <c r="I9" s="113"/>
      <c r="J9" s="111"/>
      <c r="K9" s="113"/>
      <c r="L9" s="163">
        <v>533.29999999999995</v>
      </c>
      <c r="M9" s="113"/>
      <c r="N9" s="113"/>
      <c r="O9" s="113"/>
      <c r="P9" s="113"/>
      <c r="Q9" s="117">
        <f>SUM(K9:P9)</f>
        <v>533.29999999999995</v>
      </c>
      <c r="R9" s="118"/>
      <c r="S9" s="118"/>
      <c r="T9" s="130"/>
      <c r="U9" s="128">
        <f>Q9*4.9%</f>
        <v>26.131699999999999</v>
      </c>
      <c r="V9" s="128">
        <f>Q9*1%</f>
        <v>5.3329999999999993</v>
      </c>
      <c r="W9" s="130"/>
      <c r="X9" s="152"/>
      <c r="Y9" s="152"/>
      <c r="Z9" s="152"/>
      <c r="AA9" s="152"/>
      <c r="AB9" s="117">
        <f>+Q9-R9</f>
        <v>533.29999999999995</v>
      </c>
      <c r="AC9" s="122">
        <f>+AB9*0.05</f>
        <v>26.664999999999999</v>
      </c>
      <c r="AD9" s="117">
        <f>+AB9-X9-AA9</f>
        <v>533.29999999999995</v>
      </c>
      <c r="AE9" s="123">
        <f>IF(AB9&lt;3000,AB9*0.1,0)</f>
        <v>53.33</v>
      </c>
      <c r="AF9" s="122">
        <v>0</v>
      </c>
      <c r="AG9" s="122"/>
      <c r="AH9" s="117">
        <f>+AB9+AE9+AF9</f>
        <v>586.63</v>
      </c>
      <c r="AI9" s="153"/>
      <c r="AJ9" s="153"/>
      <c r="AK9" s="153"/>
      <c r="AL9" s="111"/>
      <c r="AM9" s="111"/>
      <c r="AN9" s="111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filterColumn colId="38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2016-04-12T00:02:12Z</dcterms:modified>
</cp:coreProperties>
</file>