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</sheets>
  <definedNames>
    <definedName name="_xlnm._FilterDatabase" localSheetId="1" hidden="1">'FORMATO NOMINA'!$A$5:$AL$94</definedName>
    <definedName name="_xlnm._FilterDatabase" localSheetId="0" hidden="1">'FORMATO NOMINA COM'!$A$5:$AM$96</definedName>
  </definedNames>
  <calcPr calcId="124519"/>
</workbook>
</file>

<file path=xl/calcChain.xml><?xml version="1.0" encoding="utf-8"?>
<calcChain xmlns="http://schemas.openxmlformats.org/spreadsheetml/2006/main">
  <c r="AK8" i="4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7"/>
  <c r="L15"/>
  <c r="L63"/>
  <c r="L67"/>
  <c r="L70"/>
  <c r="L28"/>
  <c r="L49"/>
  <c r="L71"/>
  <c r="L95"/>
  <c r="L26"/>
  <c r="L87"/>
  <c r="L84"/>
  <c r="L88"/>
  <c r="L69"/>
  <c r="L31"/>
  <c r="L10"/>
  <c r="L40"/>
  <c r="L12"/>
  <c r="L72"/>
  <c r="L77"/>
  <c r="L50"/>
  <c r="L32"/>
  <c r="L65"/>
  <c r="L78"/>
  <c r="L21"/>
  <c r="L92"/>
  <c r="L56"/>
  <c r="L64"/>
  <c r="L23"/>
  <c r="L82"/>
  <c r="L9"/>
  <c r="L74"/>
  <c r="L48"/>
  <c r="L46"/>
  <c r="L47"/>
  <c r="L101"/>
  <c r="L54"/>
  <c r="L102"/>
  <c r="L62" l="1"/>
  <c r="L20"/>
  <c r="L33"/>
  <c r="L79"/>
  <c r="L89"/>
  <c r="L7"/>
  <c r="L85" l="1"/>
  <c r="L30"/>
  <c r="Q96" l="1"/>
  <c r="K58"/>
  <c r="Q58" s="1"/>
  <c r="AB58" s="1"/>
  <c r="AD58" s="1"/>
  <c r="K75"/>
  <c r="Q75" s="1"/>
  <c r="AG75"/>
  <c r="AG58"/>
  <c r="AE58" l="1"/>
  <c r="AH58"/>
  <c r="AE75"/>
  <c r="AH75" s="1"/>
  <c r="AC75"/>
  <c r="AB75"/>
  <c r="AD75" l="1"/>
  <c r="I59"/>
  <c r="AG68"/>
  <c r="AG37"/>
  <c r="AG34"/>
  <c r="AG25"/>
  <c r="AG19"/>
  <c r="AG56" l="1"/>
  <c r="AA85"/>
  <c r="AG59" l="1"/>
  <c r="K59"/>
  <c r="Q59" s="1"/>
  <c r="I34"/>
  <c r="AE59" l="1"/>
  <c r="AH59" s="1"/>
  <c r="AC59"/>
  <c r="AB59"/>
  <c r="K72"/>
  <c r="Q72" s="1"/>
  <c r="K68"/>
  <c r="Q68" s="1"/>
  <c r="K34"/>
  <c r="Q34" s="1"/>
  <c r="K37"/>
  <c r="Q37" s="1"/>
  <c r="AD59" l="1"/>
  <c r="AC68"/>
  <c r="AB68"/>
  <c r="AE68"/>
  <c r="AH68" s="1"/>
  <c r="AC37"/>
  <c r="AB37"/>
  <c r="AD37" s="1"/>
  <c r="AE37"/>
  <c r="AH37" s="1"/>
  <c r="AC34"/>
  <c r="AB34"/>
  <c r="AE34"/>
  <c r="AH34" s="1"/>
  <c r="AC72"/>
  <c r="K25"/>
  <c r="Q25" s="1"/>
  <c r="K19"/>
  <c r="Q19" s="1"/>
  <c r="AG96"/>
  <c r="AG60"/>
  <c r="AG39"/>
  <c r="AG89"/>
  <c r="AG73"/>
  <c r="AG95"/>
  <c r="AG93"/>
  <c r="AG94"/>
  <c r="AG91"/>
  <c r="AG90"/>
  <c r="AG88"/>
  <c r="AG87"/>
  <c r="AG86"/>
  <c r="AG85"/>
  <c r="AG84"/>
  <c r="AG81"/>
  <c r="AG80"/>
  <c r="AG79"/>
  <c r="AG78"/>
  <c r="AG77"/>
  <c r="AG76"/>
  <c r="AG70"/>
  <c r="AG69"/>
  <c r="AG67"/>
  <c r="AG66"/>
  <c r="AG63"/>
  <c r="AG61"/>
  <c r="AG57"/>
  <c r="AG55"/>
  <c r="AG54"/>
  <c r="AG53"/>
  <c r="AG52"/>
  <c r="AG50"/>
  <c r="AG49"/>
  <c r="AG51"/>
  <c r="AG45"/>
  <c r="AG44"/>
  <c r="AG43"/>
  <c r="AG42"/>
  <c r="AG41"/>
  <c r="AG40"/>
  <c r="AG38"/>
  <c r="AG36"/>
  <c r="AG35"/>
  <c r="AG33"/>
  <c r="AG30"/>
  <c r="AG29"/>
  <c r="AG28"/>
  <c r="AG27"/>
  <c r="AG26"/>
  <c r="AG24"/>
  <c r="AG22"/>
  <c r="AG20"/>
  <c r="AG18"/>
  <c r="AG17"/>
  <c r="AG16"/>
  <c r="AG13"/>
  <c r="AG14"/>
  <c r="AG12"/>
  <c r="AG11"/>
  <c r="AG10"/>
  <c r="AG8"/>
  <c r="AG7"/>
  <c r="AD34" l="1"/>
  <c r="AD68"/>
  <c r="AE19"/>
  <c r="AH19" s="1"/>
  <c r="AC19"/>
  <c r="AB19"/>
  <c r="AE25"/>
  <c r="AH25" s="1"/>
  <c r="AC25"/>
  <c r="AB25"/>
  <c r="U72"/>
  <c r="AG72" s="1"/>
  <c r="AE72"/>
  <c r="V72"/>
  <c r="K60"/>
  <c r="Q60" s="1"/>
  <c r="AD25" l="1"/>
  <c r="AD19"/>
  <c r="AH72"/>
  <c r="AB72"/>
  <c r="AD72" s="1"/>
  <c r="AC60"/>
  <c r="AE60"/>
  <c r="AH60" s="1"/>
  <c r="AB60"/>
  <c r="AE96"/>
  <c r="AH96" s="1"/>
  <c r="AC96"/>
  <c r="K56"/>
  <c r="Q56" s="1"/>
  <c r="K70"/>
  <c r="Q70" s="1"/>
  <c r="AD60" l="1"/>
  <c r="AE56"/>
  <c r="AH56" s="1"/>
  <c r="AB56"/>
  <c r="AC56"/>
  <c r="AE70"/>
  <c r="AH70" s="1"/>
  <c r="AC70"/>
  <c r="AF98"/>
  <c r="AB70"/>
  <c r="Q102"/>
  <c r="AB102" s="1"/>
  <c r="AD102" s="1"/>
  <c r="Q101"/>
  <c r="AB101" s="1"/>
  <c r="AJ98"/>
  <c r="AI98"/>
  <c r="X98"/>
  <c r="W98"/>
  <c r="R98"/>
  <c r="P98"/>
  <c r="O98"/>
  <c r="N98"/>
  <c r="K39"/>
  <c r="Q39" s="1"/>
  <c r="K89"/>
  <c r="Q89" s="1"/>
  <c r="K73"/>
  <c r="Q73" s="1"/>
  <c r="K95"/>
  <c r="Q95" s="1"/>
  <c r="K93"/>
  <c r="Q93" s="1"/>
  <c r="K94"/>
  <c r="Q94" s="1"/>
  <c r="K92"/>
  <c r="Q92" s="1"/>
  <c r="K91"/>
  <c r="Q91" s="1"/>
  <c r="K90"/>
  <c r="Q90" s="1"/>
  <c r="K88"/>
  <c r="Q88" s="1"/>
  <c r="K87"/>
  <c r="Q87" s="1"/>
  <c r="K86"/>
  <c r="Q86" s="1"/>
  <c r="K85"/>
  <c r="Q85" s="1"/>
  <c r="K84"/>
  <c r="Q84" s="1"/>
  <c r="K83"/>
  <c r="Q83" s="1"/>
  <c r="K82"/>
  <c r="Q82" s="1"/>
  <c r="K81"/>
  <c r="Q81" s="1"/>
  <c r="K80"/>
  <c r="Q80" s="1"/>
  <c r="K79"/>
  <c r="Q79" s="1"/>
  <c r="AA78"/>
  <c r="K78"/>
  <c r="Q78" s="1"/>
  <c r="K77"/>
  <c r="Q77" s="1"/>
  <c r="K76"/>
  <c r="Q76" s="1"/>
  <c r="K74"/>
  <c r="Q74" s="1"/>
  <c r="K71"/>
  <c r="Q71" s="1"/>
  <c r="K69"/>
  <c r="Q69" s="1"/>
  <c r="K67"/>
  <c r="Q67" s="1"/>
  <c r="K66"/>
  <c r="Q66" s="1"/>
  <c r="K65"/>
  <c r="Q65" s="1"/>
  <c r="K64"/>
  <c r="Q64" s="1"/>
  <c r="K63"/>
  <c r="Q63" s="1"/>
  <c r="K62"/>
  <c r="Q62" s="1"/>
  <c r="K61"/>
  <c r="Q61" s="1"/>
  <c r="K57"/>
  <c r="Q57" s="1"/>
  <c r="K55"/>
  <c r="Q55" s="1"/>
  <c r="K54"/>
  <c r="Q54" s="1"/>
  <c r="K53"/>
  <c r="Q53" s="1"/>
  <c r="K52"/>
  <c r="Q52" s="1"/>
  <c r="K50"/>
  <c r="Q50" s="1"/>
  <c r="K49"/>
  <c r="Q49" s="1"/>
  <c r="K48"/>
  <c r="Q48" s="1"/>
  <c r="K47"/>
  <c r="Q47" s="1"/>
  <c r="K46"/>
  <c r="Q46" s="1"/>
  <c r="K51"/>
  <c r="Q51" s="1"/>
  <c r="K45"/>
  <c r="Q45" s="1"/>
  <c r="K44"/>
  <c r="Q44" s="1"/>
  <c r="K43"/>
  <c r="Q43" s="1"/>
  <c r="K42"/>
  <c r="Q42" s="1"/>
  <c r="K41"/>
  <c r="Q41" s="1"/>
  <c r="K40"/>
  <c r="Q40" s="1"/>
  <c r="K38"/>
  <c r="Q38" s="1"/>
  <c r="K36"/>
  <c r="Q36" s="1"/>
  <c r="K35"/>
  <c r="Q35" s="1"/>
  <c r="K33"/>
  <c r="Q33" s="1"/>
  <c r="K32"/>
  <c r="Q32" s="1"/>
  <c r="K31"/>
  <c r="Q31" s="1"/>
  <c r="K30"/>
  <c r="K29"/>
  <c r="Q29" s="1"/>
  <c r="K28"/>
  <c r="Q28" s="1"/>
  <c r="K27"/>
  <c r="Q27" s="1"/>
  <c r="K26"/>
  <c r="Q26" s="1"/>
  <c r="AA24"/>
  <c r="K24"/>
  <c r="Q24" s="1"/>
  <c r="K23"/>
  <c r="Q23" s="1"/>
  <c r="K22"/>
  <c r="Q22" s="1"/>
  <c r="K21"/>
  <c r="Q21" s="1"/>
  <c r="K20"/>
  <c r="Q20" s="1"/>
  <c r="K18"/>
  <c r="Q18" s="1"/>
  <c r="K17"/>
  <c r="Q17" s="1"/>
  <c r="Q16"/>
  <c r="K15"/>
  <c r="Q15" s="1"/>
  <c r="K13"/>
  <c r="Q13" s="1"/>
  <c r="K14"/>
  <c r="Q14" s="1"/>
  <c r="K12"/>
  <c r="Q12" s="1"/>
  <c r="K11"/>
  <c r="Q11" s="1"/>
  <c r="K10"/>
  <c r="Q10" s="1"/>
  <c r="K9"/>
  <c r="Q9" s="1"/>
  <c r="K8"/>
  <c r="Q8" s="1"/>
  <c r="K7"/>
  <c r="Y98" l="1"/>
  <c r="Q30"/>
  <c r="AC30" s="1"/>
  <c r="AD56"/>
  <c r="AD70"/>
  <c r="V47"/>
  <c r="U47"/>
  <c r="AG47" s="1"/>
  <c r="AE10"/>
  <c r="AH10" s="1"/>
  <c r="AC10"/>
  <c r="AE14"/>
  <c r="AH14" s="1"/>
  <c r="AC14"/>
  <c r="AE17"/>
  <c r="AH17" s="1"/>
  <c r="AC17"/>
  <c r="AE22"/>
  <c r="AH22" s="1"/>
  <c r="AC22"/>
  <c r="AE29"/>
  <c r="AH29" s="1"/>
  <c r="AC29"/>
  <c r="AC33"/>
  <c r="AE33"/>
  <c r="AH33" s="1"/>
  <c r="AE38"/>
  <c r="AH38" s="1"/>
  <c r="AC38"/>
  <c r="AC43"/>
  <c r="AE43"/>
  <c r="AH43" s="1"/>
  <c r="AE51"/>
  <c r="AH51" s="1"/>
  <c r="AC51"/>
  <c r="AC49"/>
  <c r="AE49"/>
  <c r="AH49" s="1"/>
  <c r="AE54"/>
  <c r="AH54" s="1"/>
  <c r="AC54"/>
  <c r="AC62"/>
  <c r="AE62"/>
  <c r="AE66"/>
  <c r="AH66" s="1"/>
  <c r="AC66"/>
  <c r="AE85"/>
  <c r="AH85" s="1"/>
  <c r="AC85"/>
  <c r="AE88"/>
  <c r="AH88" s="1"/>
  <c r="AC88"/>
  <c r="AE94"/>
  <c r="AH94" s="1"/>
  <c r="AC94"/>
  <c r="AE89"/>
  <c r="AH89" s="1"/>
  <c r="AC89"/>
  <c r="AE13"/>
  <c r="AH13" s="1"/>
  <c r="AC13"/>
  <c r="AE23"/>
  <c r="AC23"/>
  <c r="AC26"/>
  <c r="AE26"/>
  <c r="AH26" s="1"/>
  <c r="AC40"/>
  <c r="AE40"/>
  <c r="AH40" s="1"/>
  <c r="AC46"/>
  <c r="AE46"/>
  <c r="AC50"/>
  <c r="AE50"/>
  <c r="AH50" s="1"/>
  <c r="AC55"/>
  <c r="AE55"/>
  <c r="AH55" s="1"/>
  <c r="AC63"/>
  <c r="AE63"/>
  <c r="AH63" s="1"/>
  <c r="AB67"/>
  <c r="AC67"/>
  <c r="AE67"/>
  <c r="AH67" s="1"/>
  <c r="AC74"/>
  <c r="AE74"/>
  <c r="AC82"/>
  <c r="AE82"/>
  <c r="AC90"/>
  <c r="AE90"/>
  <c r="AH90" s="1"/>
  <c r="AB93"/>
  <c r="AE93"/>
  <c r="AH93" s="1"/>
  <c r="AC93"/>
  <c r="AC39"/>
  <c r="AE39"/>
  <c r="AH39" s="1"/>
  <c r="AE8"/>
  <c r="AH8" s="1"/>
  <c r="AC8"/>
  <c r="AE11"/>
  <c r="AH11" s="1"/>
  <c r="AC11"/>
  <c r="AC15"/>
  <c r="AE15"/>
  <c r="AB20"/>
  <c r="AD20" s="1"/>
  <c r="AE20"/>
  <c r="AH20" s="1"/>
  <c r="AC20"/>
  <c r="AC27"/>
  <c r="AE27"/>
  <c r="AH27" s="1"/>
  <c r="U31"/>
  <c r="AG31" s="1"/>
  <c r="AC31"/>
  <c r="AE31"/>
  <c r="AC35"/>
  <c r="AE35"/>
  <c r="AH35" s="1"/>
  <c r="AC47"/>
  <c r="AE47"/>
  <c r="AC52"/>
  <c r="AE52"/>
  <c r="AH52" s="1"/>
  <c r="AB57"/>
  <c r="AC57"/>
  <c r="AE57"/>
  <c r="AH57" s="1"/>
  <c r="AC64"/>
  <c r="AE64"/>
  <c r="AC69"/>
  <c r="AE69"/>
  <c r="AH69" s="1"/>
  <c r="AE76"/>
  <c r="AH76" s="1"/>
  <c r="AC76"/>
  <c r="AC79"/>
  <c r="AE79"/>
  <c r="AH79" s="1"/>
  <c r="V83"/>
  <c r="AC83"/>
  <c r="AE83"/>
  <c r="AC86"/>
  <c r="AE86"/>
  <c r="AH86" s="1"/>
  <c r="AC91"/>
  <c r="AE91"/>
  <c r="AH91" s="1"/>
  <c r="AC95"/>
  <c r="AE95"/>
  <c r="AH95" s="1"/>
  <c r="AE9"/>
  <c r="AC9"/>
  <c r="AC12"/>
  <c r="AE12"/>
  <c r="AH12" s="1"/>
  <c r="AC16"/>
  <c r="AE16"/>
  <c r="AH16" s="1"/>
  <c r="AC21"/>
  <c r="AE21"/>
  <c r="AE28"/>
  <c r="AH28" s="1"/>
  <c r="AC28"/>
  <c r="AE32"/>
  <c r="AC32"/>
  <c r="V48"/>
  <c r="AE48"/>
  <c r="AC48"/>
  <c r="AE61"/>
  <c r="AH61" s="1"/>
  <c r="AC61"/>
  <c r="AE65"/>
  <c r="AC65"/>
  <c r="AC71"/>
  <c r="AE71"/>
  <c r="AE77"/>
  <c r="AH77" s="1"/>
  <c r="AC77"/>
  <c r="AE80"/>
  <c r="AH80" s="1"/>
  <c r="AC80"/>
  <c r="AE84"/>
  <c r="AH84" s="1"/>
  <c r="AC84"/>
  <c r="AC87"/>
  <c r="AE87"/>
  <c r="AH87" s="1"/>
  <c r="AC92"/>
  <c r="AE92"/>
  <c r="AC73"/>
  <c r="AE73"/>
  <c r="AH73" s="1"/>
  <c r="Z98"/>
  <c r="AA90"/>
  <c r="AB90" s="1"/>
  <c r="AB12"/>
  <c r="AB86"/>
  <c r="AD86" s="1"/>
  <c r="AB51"/>
  <c r="AB77"/>
  <c r="U21"/>
  <c r="AG21" s="1"/>
  <c r="AB54"/>
  <c r="V21"/>
  <c r="AB63"/>
  <c r="AD63" s="1"/>
  <c r="AB39"/>
  <c r="AB11"/>
  <c r="V46"/>
  <c r="AB55"/>
  <c r="AD55" s="1"/>
  <c r="AB84"/>
  <c r="AB91"/>
  <c r="AD91" s="1"/>
  <c r="AB22"/>
  <c r="AD22" s="1"/>
  <c r="U48"/>
  <c r="AG48" s="1"/>
  <c r="AB94"/>
  <c r="AD94" s="1"/>
  <c r="L98"/>
  <c r="AB36"/>
  <c r="U46"/>
  <c r="AG46" s="1"/>
  <c r="AB10"/>
  <c r="AD10" s="1"/>
  <c r="AB8"/>
  <c r="AB17"/>
  <c r="AD17" s="1"/>
  <c r="AB40"/>
  <c r="AD40" s="1"/>
  <c r="AB49"/>
  <c r="AD49" s="1"/>
  <c r="K98"/>
  <c r="Q7"/>
  <c r="V9"/>
  <c r="V15"/>
  <c r="U15"/>
  <c r="AG15" s="1"/>
  <c r="AB27"/>
  <c r="U32"/>
  <c r="AG32" s="1"/>
  <c r="V32"/>
  <c r="T62"/>
  <c r="U62"/>
  <c r="AG62" s="1"/>
  <c r="U71"/>
  <c r="AG71" s="1"/>
  <c r="V71"/>
  <c r="U74"/>
  <c r="AG74" s="1"/>
  <c r="V74"/>
  <c r="AB87"/>
  <c r="AB89"/>
  <c r="AD89" s="1"/>
  <c r="U9"/>
  <c r="AG9" s="1"/>
  <c r="AB14"/>
  <c r="AD14" s="1"/>
  <c r="AB26"/>
  <c r="AD26" s="1"/>
  <c r="AB88"/>
  <c r="AD101"/>
  <c r="AE101"/>
  <c r="AH101" s="1"/>
  <c r="AC101"/>
  <c r="AB13"/>
  <c r="U23"/>
  <c r="AG23" s="1"/>
  <c r="T23"/>
  <c r="AB38"/>
  <c r="AD38" s="1"/>
  <c r="AB61"/>
  <c r="AB76"/>
  <c r="AD76" s="1"/>
  <c r="AB73"/>
  <c r="AD73" s="1"/>
  <c r="V64"/>
  <c r="AB28"/>
  <c r="AB30"/>
  <c r="AB33"/>
  <c r="AB52"/>
  <c r="AD52" s="1"/>
  <c r="U64"/>
  <c r="AG64" s="1"/>
  <c r="V65"/>
  <c r="U65"/>
  <c r="AG65" s="1"/>
  <c r="AB80"/>
  <c r="AD80" s="1"/>
  <c r="U92"/>
  <c r="AG92" s="1"/>
  <c r="AB29"/>
  <c r="AD29" s="1"/>
  <c r="V31"/>
  <c r="AB35"/>
  <c r="AD35" s="1"/>
  <c r="AB43"/>
  <c r="AD43" s="1"/>
  <c r="V50"/>
  <c r="AB50" s="1"/>
  <c r="AD50" s="1"/>
  <c r="AB69"/>
  <c r="AD69" s="1"/>
  <c r="AB79"/>
  <c r="U82"/>
  <c r="AG82" s="1"/>
  <c r="V82"/>
  <c r="U83"/>
  <c r="AG83" s="1"/>
  <c r="V92"/>
  <c r="AE102"/>
  <c r="AC102"/>
  <c r="AB66"/>
  <c r="AD66" s="1"/>
  <c r="AB85"/>
  <c r="AB95"/>
  <c r="AD51" l="1"/>
  <c r="AD95"/>
  <c r="AD61"/>
  <c r="AD39"/>
  <c r="AE30"/>
  <c r="AH30" s="1"/>
  <c r="AD30"/>
  <c r="AD8"/>
  <c r="AD90"/>
  <c r="AD67"/>
  <c r="AD27"/>
  <c r="AD87"/>
  <c r="AD57"/>
  <c r="AD54"/>
  <c r="AD28"/>
  <c r="AD84"/>
  <c r="AD88"/>
  <c r="AD77"/>
  <c r="AD79"/>
  <c r="AD93"/>
  <c r="AD13"/>
  <c r="AD11"/>
  <c r="AD33"/>
  <c r="AD12"/>
  <c r="AD85"/>
  <c r="AH32"/>
  <c r="AH92"/>
  <c r="AH71"/>
  <c r="AH83"/>
  <c r="AH47"/>
  <c r="AH46"/>
  <c r="AH62"/>
  <c r="AH48"/>
  <c r="AH74"/>
  <c r="AH21"/>
  <c r="AH9"/>
  <c r="AH64"/>
  <c r="AH23"/>
  <c r="AH31"/>
  <c r="AH15"/>
  <c r="AH65"/>
  <c r="AH82"/>
  <c r="AG98"/>
  <c r="AB47"/>
  <c r="AD47" s="1"/>
  <c r="AB48"/>
  <c r="AD48" s="1"/>
  <c r="AB83"/>
  <c r="AD83" s="1"/>
  <c r="AC41"/>
  <c r="AE41"/>
  <c r="AH41" s="1"/>
  <c r="AE18"/>
  <c r="AH18" s="1"/>
  <c r="AC18"/>
  <c r="AA18"/>
  <c r="AB18" s="1"/>
  <c r="AB31"/>
  <c r="AD31" s="1"/>
  <c r="AB42"/>
  <c r="AE42"/>
  <c r="AH42" s="1"/>
  <c r="AC42"/>
  <c r="AC24"/>
  <c r="AE24"/>
  <c r="AH24" s="1"/>
  <c r="AC81"/>
  <c r="AE81"/>
  <c r="AH81" s="1"/>
  <c r="AE36"/>
  <c r="AH36" s="1"/>
  <c r="AC36"/>
  <c r="AD36" s="1"/>
  <c r="AB45"/>
  <c r="AE45"/>
  <c r="AH45" s="1"/>
  <c r="AC45"/>
  <c r="AB44"/>
  <c r="AC44"/>
  <c r="AE44"/>
  <c r="AH44" s="1"/>
  <c r="AC7"/>
  <c r="AE7"/>
  <c r="AH7" s="1"/>
  <c r="AB53"/>
  <c r="AE53"/>
  <c r="AH53" s="1"/>
  <c r="AC53"/>
  <c r="AB78"/>
  <c r="AC78"/>
  <c r="AE78"/>
  <c r="AH78" s="1"/>
  <c r="AB21"/>
  <c r="AD21" s="1"/>
  <c r="AB24"/>
  <c r="AB64"/>
  <c r="AD64" s="1"/>
  <c r="AB65"/>
  <c r="AD65" s="1"/>
  <c r="AB46"/>
  <c r="AD46" s="1"/>
  <c r="AB32"/>
  <c r="AD32" s="1"/>
  <c r="AB15"/>
  <c r="AD15" s="1"/>
  <c r="T98"/>
  <c r="AB62"/>
  <c r="AD62" s="1"/>
  <c r="AB74"/>
  <c r="AD74" s="1"/>
  <c r="AB16"/>
  <c r="AD16" s="1"/>
  <c r="AB92"/>
  <c r="AD92" s="1"/>
  <c r="AB71"/>
  <c r="AD71" s="1"/>
  <c r="U98"/>
  <c r="V98"/>
  <c r="AB7"/>
  <c r="Q98"/>
  <c r="AB81"/>
  <c r="AB41"/>
  <c r="AB23"/>
  <c r="AD23" s="1"/>
  <c r="AB9"/>
  <c r="AD9" s="1"/>
  <c r="AH102"/>
  <c r="AH103" s="1"/>
  <c r="AB82"/>
  <c r="AD82" s="1"/>
  <c r="AD41" l="1"/>
  <c r="AD18"/>
  <c r="AD24"/>
  <c r="AD44"/>
  <c r="AD42"/>
  <c r="AD81"/>
  <c r="AD45"/>
  <c r="AD53"/>
  <c r="AD78"/>
  <c r="AA98"/>
  <c r="AB98"/>
  <c r="AD7"/>
  <c r="AC98"/>
  <c r="AH98"/>
  <c r="AH104"/>
  <c r="AH105" s="1"/>
  <c r="AE98"/>
  <c r="AK98" l="1"/>
  <c r="AH99"/>
  <c r="AH100" s="1"/>
  <c r="AH107" s="1"/>
  <c r="AD98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<sst xmlns="http://schemas.openxmlformats.org/spreadsheetml/2006/main" count="891" uniqueCount="318">
  <si>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</si>
  <si>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</si>
  <si>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</si>
  <si>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</si>
  <si>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</si>
  <si>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</si>
  <si>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</si>
  <si>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</si>
  <si>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</si>
  <si>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</si>
  <si>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</si>
  <si>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</si>
  <si>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</si>
  <si>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</si>
  <si>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</si>
  <si>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</si>
  <si>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</si>
  <si>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</si>
  <si>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</si>
  <si>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</si>
  <si>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</si>
  <si>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</si>
  <si>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</si>
  <si>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</si>
  <si>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</si>
  <si>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</si>
  <si>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</si>
  <si>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</si>
  <si>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</si>
  <si>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</si>
  <si>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</si>
  <si>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</si>
  <si>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</si>
  <si>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</si>
  <si>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</si>
  <si>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</si>
  <si>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</si>
  <si>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</si>
  <si>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</si>
  <si>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</si>
  <si>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</si>
  <si>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</si>
  <si>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</si>
  <si>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</si>
  <si>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</si>
  <si>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</si>
  <si>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</si>
  <si>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</si>
  <si>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</si>
  <si>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</si>
  <si>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</si>
  <si>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</si>
  <si>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</si>
  <si>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</si>
  <si>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</si>
  <si>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</si>
  <si>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</si>
  <si>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</si>
  <si>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</si>
  <si>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</si>
  <si>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</si>
  <si>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</si>
  <si>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</si>
  <si>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</si>
  <si>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</si>
  <si>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</si>
  <si>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</si>
  <si>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</si>
  <si>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</si>
  <si>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</si>
  <si>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</si>
  <si>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</si>
  <si>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</si>
  <si>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</si>
  <si>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</si>
  <si>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</si>
  <si>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</si>
  <si>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</si>
  <si>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</si>
  <si>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</si>
  <si>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</si>
  <si>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</si>
  <si>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</si>
  <si>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</si>
  <si>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</si>
  <si>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</si>
  <si>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</si>
  <si>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</si>
  <si>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</si>
  <si>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</si>
  <si>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</si>
  <si>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</si>
  <si>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</si>
  <si>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</si>
  <si>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</si>
  <si>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</si>
  <si>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</si>
  <si>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</si>
  <si>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</si>
  <si>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</si>
  <si>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</si>
  <si>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</si>
  <si>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</si>
  <si>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</si>
  <si>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</si>
  <si>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</si>
  <si>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</si>
  <si>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</si>
  <si>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</si>
  <si>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</si>
  <si>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</si>
  <si>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</si>
  <si>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</si>
  <si>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</si>
  <si>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</si>
  <si>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</si>
  <si>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</si>
  <si>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</si>
  <si>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</si>
  <si>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</si>
  <si>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</si>
  <si>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</si>
  <si>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</si>
  <si>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</si>
  <si>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</si>
  <si>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</si>
  <si>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</si>
  <si>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</si>
  <si>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</si>
  <si>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</si>
  <si>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</si>
  <si>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</si>
  <si>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</si>
  <si>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</si>
  <si>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</si>
  <si>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</si>
  <si>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</si>
  <si>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</si>
  <si>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</si>
  <si>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</si>
  <si>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</si>
  <si>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</si>
  <si>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</si>
  <si>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</si>
  <si>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</si>
  <si>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</si>
  <si>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</si>
  <si>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</si>
  <si>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</si>
  <si>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</si>
  <si>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</si>
  <si>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</si>
  <si>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</si>
  <si>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</si>
  <si>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</si>
  <si>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</si>
  <si>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</si>
  <si>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</si>
  <si>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</si>
  <si>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</si>
  <si>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</si>
  <si>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</si>
  <si>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</si>
  <si>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</si>
  <si>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</si>
  <si>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</si>
  <si>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</si>
  <si>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</si>
  <si>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</si>
  <si>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</si>
  <si>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</si>
  <si>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</si>
  <si>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</si>
  <si>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</si>
  <si>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</si>
  <si>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</si>
  <si>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</si>
  <si>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</si>
  <si>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</si>
  <si>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</si>
  <si>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</si>
  <si>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</si>
  <si>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</si>
  <si>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</si>
  <si>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</si>
  <si>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</si>
  <si>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</si>
  <si>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</si>
  <si>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</si>
  <si>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</si>
  <si>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</si>
  <si>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</si>
  <si>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</si>
  <si>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</si>
  <si>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</si>
  <si>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</si>
  <si>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</si>
  <si>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</si>
  <si>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</si>
  <si>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</si>
  <si>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</si>
  <si>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</si>
  <si>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</si>
  <si>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</si>
  <si>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</si>
  <si>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</si>
  <si>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</si>
  <si>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</si>
  <si>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</si>
  <si>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</si>
  <si>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</si>
  <si>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</si>
  <si>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</si>
  <si>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</si>
  <si>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</si>
  <si>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</si>
  <si>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</si>
  <si>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</si>
  <si>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</si>
  <si>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</si>
  <si>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</si>
  <si>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</si>
  <si>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</si>
  <si>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</si>
  <si>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</si>
  <si>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</si>
  <si>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</si>
  <si>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</si>
  <si>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</si>
  <si>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</si>
  <si>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</si>
  <si>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</si>
  <si>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</si>
  <si>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</si>
  <si>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</si>
  <si>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</si>
  <si>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</si>
  <si>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</si>
  <si>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</si>
  <si>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</si>
  <si>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</si>
  <si>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</si>
  <si>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</si>
  <si>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</si>
  <si>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</si>
  <si>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</si>
  <si>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</si>
  <si>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</si>
  <si>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</si>
  <si>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</si>
  <si>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</si>
  <si>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</si>
  <si>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</si>
  <si>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</si>
  <si>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</si>
  <si>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</si>
  <si>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</si>
  <si>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</si>
  <si>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</si>
  <si>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</si>
  <si>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</si>
  <si>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</si>
  <si>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</si>
  <si>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</si>
  <si>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</si>
  <si>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</si>
  <si>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</si>
  <si>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</si>
  <si>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</si>
  <si>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</si>
  <si>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</si>
  <si>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</si>
  <si>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</si>
  <si>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</si>
  <si>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</si>
  <si>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</si>
  <si>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</si>
  <si>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</si>
  <si>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</si>
  <si>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</si>
  <si>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</si>
  <si>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</si>
  <si>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</si>
  <si>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</si>
  <si>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</si>
  <si>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</si>
  <si>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</si>
  <si>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</si>
  <si>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</si>
  <si>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</si>
  <si>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</si>
  <si>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YA SE PIDIO DIFERENCIA A CONSULTORES</t>
  </si>
  <si>
    <t>NM01</t>
  </si>
  <si>
    <t>ESPECIALES</t>
  </si>
  <si>
    <t xml:space="preserve">AGUILAR PEREZ MARCOS ARTEMIO </t>
  </si>
  <si>
    <t>HUGO ZUÑIGA</t>
  </si>
  <si>
    <t>RODRIGUEZ VENTURA CARLOS</t>
  </si>
  <si>
    <t>BRAVO QUINTERO RICARDO ALBERTO</t>
  </si>
  <si>
    <t>CORONEL DE LEON JONATHAN</t>
  </si>
  <si>
    <t>GARCIA RATIA SALVADOR</t>
  </si>
  <si>
    <t>HERNANDEZ BARCENAS JOSE DIEGO</t>
  </si>
  <si>
    <t>QUINTANILLA VAZQUEZ JEOVANY</t>
  </si>
  <si>
    <t>MOJICA RODRIGUEZ JOSUE NEFTALI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</si>
  <si>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</si>
  <si>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</si>
  <si>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</si>
  <si>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</si>
  <si>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</si>
  <si>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</si>
  <si>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</si>
  <si>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16/03/2016 AL 22/03/2016</t>
  </si>
  <si>
    <t>Periodo Semana 12</t>
  </si>
  <si>
    <t>VEGA GARCIA GERARDO</t>
  </si>
  <si>
    <t>BARCENAS COLMENERO JORGE</t>
  </si>
  <si>
    <t>Se le descuentan dos dìas, ya que tuvo dos faltas</t>
  </si>
  <si>
    <t>NUMERO DE CUENTA 2713019144</t>
  </si>
  <si>
    <t>NUMERO DE CUENTA 1159718206</t>
  </si>
  <si>
    <t>NIETO MEDINA PEDRO EMMANUEL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</si>
</sst>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148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8" borderId="1" xfId="2" applyFill="1" applyBorder="1" applyAlignment="1">
      <alignment horizontal="center" vertical="center" wrapText="1"/>
    </xf>
    <xf numFmtId="43" fontId="1" fillId="0" borderId="0" xfId="2" applyFill="1"/>
    <xf numFmtId="43" fontId="1" fillId="0" borderId="3" xfId="2" applyBorder="1"/>
    <xf numFmtId="43" fontId="1" fillId="3" borderId="1" xfId="2" applyFill="1" applyBorder="1"/>
    <xf numFmtId="43" fontId="11" fillId="0" borderId="1" xfId="0" applyNumberFormat="1" applyFont="1" applyBorder="1"/>
    <xf numFmtId="2" fontId="11" fillId="0" borderId="1" xfId="0" applyNumberFormat="1" applyFont="1" applyBorder="1"/>
    <xf numFmtId="43" fontId="11" fillId="10" borderId="1" xfId="0" applyNumberFormat="1" applyFont="1" applyFill="1" applyBorder="1"/>
    <xf numFmtId="0" fontId="0" fillId="0" borderId="1" xfId="0" applyBorder="1"/>
    <xf numFmtId="43" fontId="12" fillId="8" borderId="1" xfId="2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/>
    </xf>
    <xf numFmtId="43" fontId="11" fillId="12" borderId="1" xfId="2" applyFont="1" applyFill="1" applyBorder="1" applyAlignment="1">
      <alignment horizontal="center"/>
    </xf>
    <xf numFmtId="2" fontId="11" fillId="0" borderId="1" xfId="0" applyNumberFormat="1" applyFont="1" applyFill="1" applyBorder="1"/>
    <xf numFmtId="0" fontId="16" fillId="0" borderId="0" xfId="0" applyFont="1" applyFill="1"/>
    <xf numFmtId="0" fontId="0" fillId="0" borderId="0" xfId="0" applyFill="1"/>
    <xf numFmtId="12" fontId="11" fillId="0" borderId="1" xfId="2" applyNumberFormat="1" applyFont="1" applyFill="1" applyBorder="1"/>
    <xf numFmtId="0" fontId="18" fillId="13" borderId="1" xfId="0" applyFont="1" applyFill="1" applyBorder="1"/>
    <xf numFmtId="43" fontId="18" fillId="13" borderId="1" xfId="2" applyFont="1" applyFill="1" applyBorder="1"/>
    <xf numFmtId="43" fontId="17" fillId="13" borderId="1" xfId="2" applyFont="1" applyFill="1" applyBorder="1"/>
    <xf numFmtId="43" fontId="18" fillId="13" borderId="1" xfId="2" applyFont="1" applyFill="1" applyBorder="1" applyAlignment="1">
      <alignment horizontal="center"/>
    </xf>
    <xf numFmtId="43" fontId="15" fillId="13" borderId="0" xfId="2" applyFont="1" applyFill="1"/>
    <xf numFmtId="0" fontId="18" fillId="13" borderId="0" xfId="0" applyFont="1" applyFill="1"/>
    <xf numFmtId="0" fontId="0" fillId="11" borderId="0" xfId="0" applyFill="1"/>
    <xf numFmtId="14" fontId="18" fillId="13" borderId="1" xfId="0" applyNumberFormat="1" applyFont="1" applyFill="1" applyBorder="1"/>
    <xf numFmtId="2" fontId="18" fillId="13" borderId="1" xfId="0" applyNumberFormat="1" applyFont="1" applyFill="1" applyBorder="1"/>
    <xf numFmtId="0" fontId="17" fillId="0" borderId="0" xfId="0" applyFont="1" applyFill="1"/>
    <xf numFmtId="0" fontId="18" fillId="0" borderId="0" xfId="0" applyFont="1" applyFill="1"/>
    <xf numFmtId="0" fontId="12" fillId="7" borderId="7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9" fillId="0" borderId="0" xfId="0" applyFont="1"/>
    <xf numFmtId="43" fontId="11" fillId="0" borderId="5" xfId="2" applyFont="1" applyBorder="1"/>
    <xf numFmtId="4" fontId="19" fillId="0" borderId="0" xfId="0" applyNumberFormat="1" applyFont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00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5"/>
  <sheetViews>
    <sheetView tabSelected="1" workbookViewId="0">
      <pane xSplit="2" ySplit="6" topLeftCell="AD64" activePane="bottomRight" state="frozen"/>
      <selection pane="topRight" activeCell="C1" sqref="C1"/>
      <selection pane="bottomLeft" activeCell="A7" sqref="A7"/>
      <selection pane="bottomRight" activeCell="AI83" sqref="AI8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customWidth="1"/>
    <col min="36" max="37" width="11.5703125" style="4" customWidth="1"/>
    <col min="38" max="38" width="13.85546875" style="41" customWidth="1"/>
    <col min="39" max="39" width="34.85546875" style="4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1"/>
      <c r="AJ1" s="101"/>
      <c r="AK1" s="101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1"/>
      <c r="AJ2" s="101"/>
      <c r="AK2" s="10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311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1"/>
      <c r="AJ3" s="101"/>
      <c r="AK3" s="101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310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38" t="s">
        <v>39</v>
      </c>
      <c r="B5" s="140" t="s">
        <v>40</v>
      </c>
      <c r="C5" s="138"/>
      <c r="D5" s="140" t="s">
        <v>41</v>
      </c>
      <c r="E5" s="140" t="s">
        <v>0</v>
      </c>
      <c r="F5" s="138" t="s">
        <v>246</v>
      </c>
      <c r="G5" s="130" t="s">
        <v>67</v>
      </c>
      <c r="H5" s="130" t="s">
        <v>65</v>
      </c>
      <c r="I5" s="141" t="s">
        <v>66</v>
      </c>
      <c r="J5" s="136" t="s">
        <v>68</v>
      </c>
      <c r="K5" s="130" t="s">
        <v>34</v>
      </c>
      <c r="L5" s="136" t="s">
        <v>75</v>
      </c>
      <c r="M5" s="99"/>
      <c r="N5" s="130" t="s">
        <v>35</v>
      </c>
      <c r="O5" s="130" t="s">
        <v>36</v>
      </c>
      <c r="P5" s="130" t="s">
        <v>63</v>
      </c>
      <c r="Q5" s="130" t="s">
        <v>37</v>
      </c>
      <c r="R5" s="130" t="s">
        <v>38</v>
      </c>
      <c r="S5" s="88"/>
      <c r="T5" s="134" t="s">
        <v>186</v>
      </c>
      <c r="U5" s="134" t="s">
        <v>213</v>
      </c>
      <c r="V5" s="134" t="s">
        <v>212</v>
      </c>
      <c r="W5" s="134" t="s">
        <v>187</v>
      </c>
      <c r="X5" s="130" t="s">
        <v>30</v>
      </c>
      <c r="Y5" s="130" t="s">
        <v>56</v>
      </c>
      <c r="Z5" s="130" t="s">
        <v>55</v>
      </c>
      <c r="AA5" s="130" t="s">
        <v>32</v>
      </c>
      <c r="AB5" s="130" t="s">
        <v>64</v>
      </c>
      <c r="AC5" s="130" t="s">
        <v>27</v>
      </c>
      <c r="AD5" s="130" t="s">
        <v>31</v>
      </c>
      <c r="AE5" s="130" t="s">
        <v>26</v>
      </c>
      <c r="AF5" s="130" t="s">
        <v>28</v>
      </c>
      <c r="AG5" s="110"/>
      <c r="AH5" s="130" t="s">
        <v>29</v>
      </c>
      <c r="AI5" s="131" t="s">
        <v>190</v>
      </c>
      <c r="AJ5" s="132"/>
      <c r="AK5" s="133" t="s">
        <v>191</v>
      </c>
      <c r="AL5" s="128" t="s">
        <v>257</v>
      </c>
      <c r="AM5" s="128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139"/>
      <c r="B6" s="140"/>
      <c r="C6" s="139"/>
      <c r="D6" s="140"/>
      <c r="E6" s="140"/>
      <c r="F6" s="139"/>
      <c r="G6" s="130"/>
      <c r="H6" s="130"/>
      <c r="I6" s="142"/>
      <c r="J6" s="137"/>
      <c r="K6" s="130"/>
      <c r="L6" s="137"/>
      <c r="M6" s="100" t="s">
        <v>288</v>
      </c>
      <c r="N6" s="130"/>
      <c r="O6" s="130"/>
      <c r="P6" s="130"/>
      <c r="Q6" s="130"/>
      <c r="R6" s="130"/>
      <c r="S6" s="89" t="s">
        <v>276</v>
      </c>
      <c r="T6" s="135"/>
      <c r="U6" s="135"/>
      <c r="V6" s="135"/>
      <c r="W6" s="135"/>
      <c r="X6" s="130"/>
      <c r="Y6" s="130"/>
      <c r="Z6" s="130"/>
      <c r="AA6" s="130"/>
      <c r="AB6" s="130"/>
      <c r="AC6" s="130"/>
      <c r="AD6" s="130"/>
      <c r="AE6" s="130"/>
      <c r="AF6" s="130"/>
      <c r="AG6" s="110"/>
      <c r="AH6" s="130"/>
      <c r="AI6" s="102" t="s">
        <v>66</v>
      </c>
      <c r="AJ6" s="102" t="s">
        <v>68</v>
      </c>
      <c r="AK6" s="133"/>
      <c r="AL6" s="128"/>
      <c r="AM6" s="128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>+I7+J7</f>
        <v>1166.26</v>
      </c>
      <c r="L7" s="30">
        <f>1595.39+96.9</f>
        <v>1692.2900000000002</v>
      </c>
      <c r="M7" s="30"/>
      <c r="N7" s="31"/>
      <c r="O7" s="31"/>
      <c r="P7" s="32"/>
      <c r="Q7" s="33">
        <f>SUM(K7:O7)-P7</f>
        <v>2858.55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>+Q7-SUM(R7:AA7)</f>
        <v>2858.55</v>
      </c>
      <c r="AC7" s="37">
        <f>IF(Q7&gt;3500,Q7*0.1,0)</f>
        <v>0</v>
      </c>
      <c r="AD7" s="33">
        <f>+AB7-AC7</f>
        <v>2858.55</v>
      </c>
      <c r="AE7" s="38">
        <f>IF(Q7&lt;3500,Q7*0.1,0)</f>
        <v>285.85500000000002</v>
      </c>
      <c r="AF7" s="37">
        <v>10.23</v>
      </c>
      <c r="AG7" s="37">
        <f>+U7</f>
        <v>0</v>
      </c>
      <c r="AH7" s="67">
        <f>+Q7+AE7+AF7+AG7</f>
        <v>3154.6350000000002</v>
      </c>
      <c r="AI7" s="145">
        <v>577.4</v>
      </c>
      <c r="AJ7" s="147">
        <v>2281.15</v>
      </c>
      <c r="AK7" s="103">
        <f>+AI7+AJ7-AD7</f>
        <v>0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>+I8+J8</f>
        <v>1633.33</v>
      </c>
      <c r="L8" s="30">
        <v>14670.6</v>
      </c>
      <c r="M8" s="30"/>
      <c r="N8" s="31"/>
      <c r="O8" s="31"/>
      <c r="P8" s="32"/>
      <c r="Q8" s="33">
        <f>SUM(K8:O8)-P8</f>
        <v>16303.93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>+Q8-SUM(R8:AA8)</f>
        <v>16303.93</v>
      </c>
      <c r="AC8" s="37">
        <f>IF(Q8&gt;3500,Q8*0.1,0)</f>
        <v>1630.393</v>
      </c>
      <c r="AD8" s="33">
        <f>+AB8-AC8</f>
        <v>14673.537</v>
      </c>
      <c r="AE8" s="38">
        <f>IF(Q8&lt;3500,Q8*0.1,0)</f>
        <v>0</v>
      </c>
      <c r="AF8" s="37">
        <v>10.23</v>
      </c>
      <c r="AG8" s="37">
        <f>+U8</f>
        <v>0</v>
      </c>
      <c r="AH8" s="67">
        <f>+Q8+AE8+AF8+AG8</f>
        <v>16314.16</v>
      </c>
      <c r="AI8" s="145">
        <v>577.4</v>
      </c>
      <c r="AJ8" s="147">
        <v>14096.14</v>
      </c>
      <c r="AK8" s="103">
        <f t="shared" ref="AK8:AK71" si="0">+AI8+AJ8-AD8</f>
        <v>2.999999998792191E-3</v>
      </c>
      <c r="AL8" s="39"/>
      <c r="AM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62" t="s">
        <v>94</v>
      </c>
      <c r="B9" s="27" t="s">
        <v>196</v>
      </c>
      <c r="C9" s="27"/>
      <c r="D9" s="27" t="s">
        <v>126</v>
      </c>
      <c r="E9" s="27" t="s">
        <v>181</v>
      </c>
      <c r="F9" s="27"/>
      <c r="G9" s="28"/>
      <c r="H9" s="28"/>
      <c r="I9" s="30">
        <v>608.16</v>
      </c>
      <c r="J9" s="28"/>
      <c r="K9" s="30">
        <f>+I9+J9</f>
        <v>608.16</v>
      </c>
      <c r="L9" s="30">
        <f>3044.79+2.59+151.39</f>
        <v>3198.77</v>
      </c>
      <c r="M9" s="30"/>
      <c r="N9" s="31"/>
      <c r="O9" s="31"/>
      <c r="P9" s="32"/>
      <c r="Q9" s="33">
        <f>SUM(K9:O9)-P9</f>
        <v>3806.93</v>
      </c>
      <c r="R9" s="34"/>
      <c r="S9" s="45"/>
      <c r="T9" s="45"/>
      <c r="U9" s="75">
        <f>Q9*4.9%</f>
        <v>186.53957</v>
      </c>
      <c r="V9" s="75">
        <f>Q9*1%</f>
        <v>38.069299999999998</v>
      </c>
      <c r="W9" s="45"/>
      <c r="X9" s="36"/>
      <c r="Y9" s="36"/>
      <c r="Z9" s="35"/>
      <c r="AA9" s="35">
        <v>0</v>
      </c>
      <c r="AB9" s="33">
        <f>+Q9-SUM(R9:AA9)</f>
        <v>3582.3211299999998</v>
      </c>
      <c r="AC9" s="37">
        <f>IF(Q9&gt;3500,Q9*0.1,0)</f>
        <v>380.69299999999998</v>
      </c>
      <c r="AD9" s="33">
        <f>+AB9-AC9</f>
        <v>3201.6281300000001</v>
      </c>
      <c r="AE9" s="38">
        <f>IF(Q9&lt;3500,Q9*0.1,0)</f>
        <v>0</v>
      </c>
      <c r="AF9" s="37">
        <v>10.23</v>
      </c>
      <c r="AG9" s="37">
        <f>+U9</f>
        <v>186.53957</v>
      </c>
      <c r="AH9" s="67">
        <f>+Q9+AE9+AF9+AG9</f>
        <v>4003.6995699999998</v>
      </c>
      <c r="AI9" s="145">
        <v>577.4</v>
      </c>
      <c r="AJ9" s="147">
        <v>2624.23</v>
      </c>
      <c r="AK9" s="103">
        <f t="shared" si="0"/>
        <v>1.870000000053551E-3</v>
      </c>
      <c r="AL9" s="39"/>
      <c r="AM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>+I10+J10</f>
        <v>739.23</v>
      </c>
      <c r="L10" s="30">
        <f>851.24+3.71</f>
        <v>854.95</v>
      </c>
      <c r="M10" s="30"/>
      <c r="N10" s="31"/>
      <c r="O10" s="31"/>
      <c r="P10" s="32"/>
      <c r="Q10" s="33">
        <f>SUM(K10:O10)-P10</f>
        <v>1594.18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>+Q10-SUM(R10:AA10)</f>
        <v>1594.18</v>
      </c>
      <c r="AC10" s="37">
        <f>IF(Q10&gt;3500,Q10*0.1,0)</f>
        <v>0</v>
      </c>
      <c r="AD10" s="33">
        <f>+AB10-AC10</f>
        <v>1594.18</v>
      </c>
      <c r="AE10" s="38">
        <f>IF(Q10&lt;3500,Q10*0.1,0)</f>
        <v>159.41800000000001</v>
      </c>
      <c r="AF10" s="37">
        <v>10.23</v>
      </c>
      <c r="AG10" s="37">
        <f>+U10</f>
        <v>0</v>
      </c>
      <c r="AH10" s="67">
        <f>+Q10+AE10+AF10+AG10</f>
        <v>1763.828</v>
      </c>
      <c r="AI10" s="145">
        <v>577.20000000000005</v>
      </c>
      <c r="AJ10" s="147">
        <v>1016.98</v>
      </c>
      <c r="AK10" s="103">
        <f t="shared" si="0"/>
        <v>0</v>
      </c>
      <c r="AL10" s="39"/>
      <c r="AM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27" t="s">
        <v>71</v>
      </c>
      <c r="B11" s="27" t="s">
        <v>87</v>
      </c>
      <c r="C11" s="27" t="s">
        <v>252</v>
      </c>
      <c r="D11" s="27">
        <v>16</v>
      </c>
      <c r="E11" s="27" t="s">
        <v>74</v>
      </c>
      <c r="F11" s="27"/>
      <c r="G11" s="28"/>
      <c r="H11" s="28"/>
      <c r="I11" s="30">
        <v>1633.33</v>
      </c>
      <c r="J11" s="28"/>
      <c r="K11" s="30">
        <f>+I11+J11</f>
        <v>1633.33</v>
      </c>
      <c r="L11" s="30">
        <v>13193.26</v>
      </c>
      <c r="M11" s="30"/>
      <c r="N11" s="31"/>
      <c r="O11" s="31"/>
      <c r="P11" s="32"/>
      <c r="Q11" s="33">
        <f>SUM(K11:O11)-P11</f>
        <v>14826.59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>+Q11-SUM(R11:AA11)</f>
        <v>14826.59</v>
      </c>
      <c r="AC11" s="37">
        <f>IF(Q11&gt;3500,Q11*0.1,0)</f>
        <v>1482.6590000000001</v>
      </c>
      <c r="AD11" s="33">
        <f>+AB11-AC11</f>
        <v>13343.931</v>
      </c>
      <c r="AE11" s="38">
        <f>IF(Q11&lt;3500,Q11*0.1,0)</f>
        <v>0</v>
      </c>
      <c r="AF11" s="37">
        <v>10.23</v>
      </c>
      <c r="AG11" s="37">
        <f>+U11</f>
        <v>0</v>
      </c>
      <c r="AH11" s="67">
        <f>+Q11+AE11+AF11+AG11</f>
        <v>14836.82</v>
      </c>
      <c r="AI11" s="145">
        <v>577.4</v>
      </c>
      <c r="AJ11" s="147">
        <v>12766.53</v>
      </c>
      <c r="AK11" s="103">
        <f t="shared" si="0"/>
        <v>-1.0000000002037268E-3</v>
      </c>
      <c r="AL11" s="39"/>
      <c r="AM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63" t="s">
        <v>91</v>
      </c>
      <c r="B12" s="63" t="s">
        <v>269</v>
      </c>
      <c r="C12" s="63"/>
      <c r="D12" s="63"/>
      <c r="E12" s="63" t="s">
        <v>270</v>
      </c>
      <c r="F12" s="72">
        <v>42422</v>
      </c>
      <c r="G12" s="63"/>
      <c r="H12" s="63"/>
      <c r="I12" s="53">
        <v>608.16</v>
      </c>
      <c r="J12" s="63"/>
      <c r="K12" s="53">
        <f>+I12+J12</f>
        <v>608.16</v>
      </c>
      <c r="L12" s="53">
        <f>784.46+2.59+50.03</f>
        <v>837.08</v>
      </c>
      <c r="M12" s="53"/>
      <c r="N12" s="53"/>
      <c r="O12" s="53"/>
      <c r="P12" s="32"/>
      <c r="Q12" s="33">
        <f>SUM(K12:O12)-P12</f>
        <v>1445.24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>+Q12-SUM(R12:AA12)</f>
        <v>1445.24</v>
      </c>
      <c r="AC12" s="37">
        <f>IF(Q12&gt;3500,Q12*0.1,0)</f>
        <v>0</v>
      </c>
      <c r="AD12" s="33">
        <f>+AB12-AC12</f>
        <v>1445.24</v>
      </c>
      <c r="AE12" s="38">
        <f>IF(Q12&lt;3500,Q12*0.1,0)</f>
        <v>144.524</v>
      </c>
      <c r="AF12" s="37">
        <v>10.23</v>
      </c>
      <c r="AG12" s="37">
        <f>+U12</f>
        <v>0</v>
      </c>
      <c r="AH12" s="67">
        <f>+Q12+AE12+AF12+AG12</f>
        <v>1599.9940000000001</v>
      </c>
      <c r="AI12" s="145">
        <v>577.26</v>
      </c>
      <c r="AJ12" s="145">
        <v>868.04</v>
      </c>
      <c r="AK12" s="103">
        <f t="shared" si="0"/>
        <v>5.999999999994543E-2</v>
      </c>
      <c r="AL12" s="84">
        <v>1456104819</v>
      </c>
      <c r="AM12" s="26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27" t="s">
        <v>71</v>
      </c>
      <c r="B13" s="27" t="s">
        <v>222</v>
      </c>
      <c r="C13" s="27" t="s">
        <v>249</v>
      </c>
      <c r="D13" s="27" t="s">
        <v>146</v>
      </c>
      <c r="E13" s="27" t="s">
        <v>73</v>
      </c>
      <c r="F13" s="63"/>
      <c r="G13" s="28"/>
      <c r="H13" s="28"/>
      <c r="I13" s="30">
        <v>513.33000000000004</v>
      </c>
      <c r="J13" s="28">
        <v>653.33000000000004</v>
      </c>
      <c r="K13" s="30">
        <f>+I13+J13</f>
        <v>1166.6600000000001</v>
      </c>
      <c r="L13" s="30">
        <v>11404.78</v>
      </c>
      <c r="M13" s="30"/>
      <c r="N13" s="31"/>
      <c r="O13" s="31"/>
      <c r="P13" s="32"/>
      <c r="Q13" s="33">
        <f>SUM(K13:O13)-P13</f>
        <v>12571.44</v>
      </c>
      <c r="R13" s="34"/>
      <c r="S13" s="45"/>
      <c r="T13" s="45">
        <v>0</v>
      </c>
      <c r="U13" s="45"/>
      <c r="V13" s="45"/>
      <c r="W13" s="45"/>
      <c r="X13" s="36"/>
      <c r="Y13" s="36"/>
      <c r="Z13" s="35"/>
      <c r="AA13" s="35">
        <v>368.35</v>
      </c>
      <c r="AB13" s="33">
        <f>+Q13-SUM(R13:AA13)</f>
        <v>12203.09</v>
      </c>
      <c r="AC13" s="37">
        <f>IF(Q13&gt;3500,Q13*0.1,0)</f>
        <v>1257.1440000000002</v>
      </c>
      <c r="AD13" s="33">
        <f>+AB13-AC13</f>
        <v>10945.946</v>
      </c>
      <c r="AE13" s="38">
        <f>IF(Q13&lt;3500,Q13*0.1,0)</f>
        <v>0</v>
      </c>
      <c r="AF13" s="37">
        <v>10.23</v>
      </c>
      <c r="AG13" s="37">
        <f>+U13</f>
        <v>0</v>
      </c>
      <c r="AH13" s="67">
        <f>+Q13+AE13+AF13+AG13</f>
        <v>12581.67</v>
      </c>
      <c r="AI13" s="145">
        <v>577.4</v>
      </c>
      <c r="AJ13" s="147">
        <v>10368.549999999999</v>
      </c>
      <c r="AK13" s="103">
        <f t="shared" si="0"/>
        <v>3.9999999989959178E-3</v>
      </c>
    </row>
    <row r="14" spans="1:193">
      <c r="A14" s="63" t="s">
        <v>70</v>
      </c>
      <c r="B14" s="63" t="s">
        <v>203</v>
      </c>
      <c r="C14" s="63" t="s">
        <v>305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>+I14+J14</f>
        <v>1166.6600000000001</v>
      </c>
      <c r="L14" s="53"/>
      <c r="M14" s="53"/>
      <c r="N14" s="53"/>
      <c r="O14" s="53"/>
      <c r="P14" s="32"/>
      <c r="Q14" s="33">
        <f>SUM(K14:O14)-P14</f>
        <v>1166.6600000000001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1166.6600000000001</v>
      </c>
      <c r="AC14" s="37">
        <f>IF(Q14&gt;3500,Q14*0.1,0)</f>
        <v>0</v>
      </c>
      <c r="AD14" s="33">
        <f>+AB14-AC14</f>
        <v>1166.6600000000001</v>
      </c>
      <c r="AE14" s="38">
        <f>IF(Q14&lt;3500,Q14*0.1,0)</f>
        <v>116.66600000000001</v>
      </c>
      <c r="AF14" s="37">
        <v>10.23</v>
      </c>
      <c r="AG14" s="37">
        <f>+U14</f>
        <v>0</v>
      </c>
      <c r="AH14" s="67">
        <f>+Q14+AE14+AF14+AG14</f>
        <v>1293.556</v>
      </c>
      <c r="AI14" s="145">
        <v>577.20000000000005</v>
      </c>
      <c r="AJ14" s="145">
        <v>589.46</v>
      </c>
      <c r="AK14" s="103">
        <f t="shared" si="0"/>
        <v>0</v>
      </c>
      <c r="AL14" s="39"/>
      <c r="AM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62" t="s">
        <v>94</v>
      </c>
      <c r="B15" s="63" t="s">
        <v>234</v>
      </c>
      <c r="C15" s="63"/>
      <c r="D15" s="27" t="s">
        <v>127</v>
      </c>
      <c r="E15" s="27" t="s">
        <v>174</v>
      </c>
      <c r="F15" s="27"/>
      <c r="G15" s="28"/>
      <c r="H15" s="28"/>
      <c r="I15" s="30">
        <v>608.16</v>
      </c>
      <c r="J15" s="28"/>
      <c r="K15" s="30">
        <f>+I15+J15</f>
        <v>608.16</v>
      </c>
      <c r="L15" s="30">
        <f>693.6+671.3+40.87</f>
        <v>1405.77</v>
      </c>
      <c r="M15" s="30"/>
      <c r="N15" s="31"/>
      <c r="O15" s="31"/>
      <c r="P15" s="32"/>
      <c r="Q15" s="33">
        <f>SUM(K15:O15)-P15</f>
        <v>2013.9299999999998</v>
      </c>
      <c r="R15" s="34"/>
      <c r="S15" s="45"/>
      <c r="T15" s="75">
        <v>150</v>
      </c>
      <c r="U15" s="75">
        <f>Q15*4.9%</f>
        <v>98.682569999999998</v>
      </c>
      <c r="V15" s="75">
        <f>Q15*1%</f>
        <v>20.139299999999999</v>
      </c>
      <c r="W15" s="45"/>
      <c r="X15" s="36"/>
      <c r="Y15" s="36"/>
      <c r="Z15" s="35"/>
      <c r="AA15" s="35">
        <v>0</v>
      </c>
      <c r="AB15" s="33">
        <f>+Q15-SUM(R15:AA15)</f>
        <v>1745.1081299999998</v>
      </c>
      <c r="AC15" s="37">
        <f>IF(Q15&gt;3500,Q15*0.1,0)</f>
        <v>0</v>
      </c>
      <c r="AD15" s="33">
        <f>+AB15-AC15</f>
        <v>1745.1081299999998</v>
      </c>
      <c r="AE15" s="38">
        <f>IF(Q15&lt;3500,Q15*0.1,0)</f>
        <v>201.393</v>
      </c>
      <c r="AF15" s="37">
        <v>10.23</v>
      </c>
      <c r="AG15" s="37">
        <f>+U15</f>
        <v>98.682569999999998</v>
      </c>
      <c r="AH15" s="67">
        <f>+Q15+AE15+AF15+AG15</f>
        <v>2324.2355699999998</v>
      </c>
      <c r="AI15" s="145">
        <v>577.25</v>
      </c>
      <c r="AJ15" s="147">
        <v>1167.8599999999999</v>
      </c>
      <c r="AK15" s="103">
        <f t="shared" si="0"/>
        <v>1.870000000053551E-3</v>
      </c>
      <c r="AL15" s="39"/>
      <c r="AM15" s="26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>
      <c r="A16" s="117" t="s">
        <v>70</v>
      </c>
      <c r="B16" s="117" t="s">
        <v>247</v>
      </c>
      <c r="C16" s="117" t="s">
        <v>305</v>
      </c>
      <c r="D16" s="117" t="s">
        <v>144</v>
      </c>
      <c r="E16" s="117" t="s">
        <v>173</v>
      </c>
      <c r="F16" s="124">
        <v>42326</v>
      </c>
      <c r="G16" s="117"/>
      <c r="H16" s="117"/>
      <c r="I16" s="118"/>
      <c r="J16" s="117"/>
      <c r="K16" s="118">
        <v>0</v>
      </c>
      <c r="L16" s="118"/>
      <c r="M16" s="118"/>
      <c r="N16" s="118"/>
      <c r="O16" s="118"/>
      <c r="P16" s="118"/>
      <c r="Q16" s="119">
        <f>SUM(K16:O16)-P16</f>
        <v>0</v>
      </c>
      <c r="R16" s="118"/>
      <c r="S16" s="118"/>
      <c r="T16" s="118">
        <v>0</v>
      </c>
      <c r="U16" s="118"/>
      <c r="V16" s="118"/>
      <c r="W16" s="118"/>
      <c r="X16" s="120"/>
      <c r="Y16" s="120"/>
      <c r="Z16" s="117"/>
      <c r="AA16" s="125"/>
      <c r="AB16" s="119">
        <f>+Q16-SUM(R16:AA16)</f>
        <v>0</v>
      </c>
      <c r="AC16" s="120">
        <f>IF(Q16&gt;3500,Q16*0.1,0)</f>
        <v>0</v>
      </c>
      <c r="AD16" s="119">
        <f>+AB16-AC16</f>
        <v>0</v>
      </c>
      <c r="AE16" s="120">
        <f>IF(Q16&lt;3500,Q16*0.1,0)</f>
        <v>0</v>
      </c>
      <c r="AF16" s="120">
        <v>0</v>
      </c>
      <c r="AG16" s="120">
        <f>+U16</f>
        <v>0</v>
      </c>
      <c r="AH16" s="119">
        <f>+Q16+AE16+AF16+AG16</f>
        <v>0</v>
      </c>
      <c r="AI16" s="121"/>
      <c r="AJ16" s="121"/>
      <c r="AK16" s="103">
        <f t="shared" si="0"/>
        <v>0</v>
      </c>
      <c r="AL16" s="122"/>
      <c r="AM16" s="122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>
      <c r="A17" s="27" t="s">
        <v>69</v>
      </c>
      <c r="B17" s="27" t="s">
        <v>313</v>
      </c>
      <c r="C17" s="27"/>
      <c r="D17" s="27" t="s">
        <v>111</v>
      </c>
      <c r="E17" s="27" t="s">
        <v>169</v>
      </c>
      <c r="F17" s="27"/>
      <c r="G17" s="28"/>
      <c r="H17" s="28"/>
      <c r="I17" s="30">
        <v>933.33</v>
      </c>
      <c r="J17" s="28"/>
      <c r="K17" s="30">
        <f>+I17+J17</f>
        <v>933.33</v>
      </c>
      <c r="L17" s="30">
        <v>550</v>
      </c>
      <c r="M17" s="30"/>
      <c r="N17" s="31"/>
      <c r="O17" s="31"/>
      <c r="P17" s="32"/>
      <c r="Q17" s="33">
        <f>SUM(K17:O17)-P17</f>
        <v>1483.33</v>
      </c>
      <c r="R17" s="34"/>
      <c r="S17" s="45">
        <v>58.91</v>
      </c>
      <c r="T17" s="45">
        <v>0</v>
      </c>
      <c r="U17" s="45"/>
      <c r="V17" s="45"/>
      <c r="W17" s="45"/>
      <c r="X17" s="36"/>
      <c r="Y17" s="36"/>
      <c r="Z17" s="90"/>
      <c r="AA17" s="35">
        <v>0</v>
      </c>
      <c r="AB17" s="33">
        <f>+Q17-SUM(R17:AA17)</f>
        <v>1424.4199999999998</v>
      </c>
      <c r="AC17" s="37">
        <f>IF(Q17&gt;3500,Q17*0.1,0)</f>
        <v>0</v>
      </c>
      <c r="AD17" s="33">
        <f>+AB17-AC17</f>
        <v>1424.4199999999998</v>
      </c>
      <c r="AE17" s="38">
        <f>IF(Q17&lt;3500,Q17*0.1,0)</f>
        <v>148.333</v>
      </c>
      <c r="AF17" s="37">
        <v>10.23</v>
      </c>
      <c r="AG17" s="37">
        <f>+U17</f>
        <v>0</v>
      </c>
      <c r="AH17" s="67">
        <f>+Q17+AE17+AF17+AG17</f>
        <v>1641.893</v>
      </c>
      <c r="AI17" s="145">
        <v>577.4</v>
      </c>
      <c r="AJ17" s="145">
        <v>847.02</v>
      </c>
      <c r="AK17" s="103">
        <f t="shared" si="0"/>
        <v>0</v>
      </c>
      <c r="AL17" s="39"/>
      <c r="AM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>
      <c r="A18" s="27" t="s">
        <v>71</v>
      </c>
      <c r="B18" s="27" t="s">
        <v>261</v>
      </c>
      <c r="C18" s="27" t="s">
        <v>251</v>
      </c>
      <c r="D18" s="27" t="s">
        <v>147</v>
      </c>
      <c r="E18" s="27" t="s">
        <v>73</v>
      </c>
      <c r="F18" s="27"/>
      <c r="G18" s="28"/>
      <c r="H18" s="28"/>
      <c r="I18" s="30">
        <v>513.33000000000004</v>
      </c>
      <c r="J18" s="28">
        <v>513.33000000000004</v>
      </c>
      <c r="K18" s="30">
        <f>+I18+J18</f>
        <v>1026.6600000000001</v>
      </c>
      <c r="L18" s="30"/>
      <c r="M18" s="30"/>
      <c r="N18" s="31"/>
      <c r="O18" s="31"/>
      <c r="P18" s="32"/>
      <c r="Q18" s="33">
        <f>SUM(K18:O18)-P18</f>
        <v>1026.6600000000001</v>
      </c>
      <c r="R18" s="34"/>
      <c r="S18" s="45">
        <v>58.91</v>
      </c>
      <c r="T18" s="75"/>
      <c r="U18" s="45"/>
      <c r="V18" s="45"/>
      <c r="W18" s="45"/>
      <c r="X18" s="36"/>
      <c r="Y18" s="112">
        <v>167.44</v>
      </c>
      <c r="Z18" s="35"/>
      <c r="AA18" s="43">
        <f>Q18*0.25</f>
        <v>256.66500000000002</v>
      </c>
      <c r="AB18" s="33">
        <f>+Q18-SUM(R18:AA18)</f>
        <v>543.6450000000001</v>
      </c>
      <c r="AC18" s="37">
        <f>IF(Q18&gt;3500,Q18*0.1,0)</f>
        <v>0</v>
      </c>
      <c r="AD18" s="33">
        <f>+AB18-AC18</f>
        <v>543.6450000000001</v>
      </c>
      <c r="AE18" s="38">
        <f>IF(Q18&lt;3500,Q18*0.1,0)</f>
        <v>102.66600000000001</v>
      </c>
      <c r="AF18" s="37">
        <v>10.23</v>
      </c>
      <c r="AG18" s="37">
        <f>+U18</f>
        <v>0</v>
      </c>
      <c r="AH18" s="67">
        <f>+Q18+AE18+AF18+AG18</f>
        <v>1139.556</v>
      </c>
      <c r="AI18" s="145">
        <v>409.96</v>
      </c>
      <c r="AJ18" s="145">
        <v>133.69</v>
      </c>
      <c r="AK18" s="103">
        <f t="shared" si="0"/>
        <v>4.9999999998817657E-3</v>
      </c>
      <c r="AL18" s="39"/>
      <c r="AM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</row>
    <row r="19" spans="1:193" s="39" customFormat="1">
      <c r="A19" s="63" t="s">
        <v>71</v>
      </c>
      <c r="B19" s="63" t="s">
        <v>297</v>
      </c>
      <c r="C19" s="63" t="s">
        <v>254</v>
      </c>
      <c r="D19" s="63"/>
      <c r="E19" s="63" t="s">
        <v>73</v>
      </c>
      <c r="F19" s="72">
        <v>42436</v>
      </c>
      <c r="G19" s="63"/>
      <c r="H19" s="63"/>
      <c r="I19" s="53">
        <v>513.33000000000004</v>
      </c>
      <c r="J19" s="113">
        <v>653.33000000000004</v>
      </c>
      <c r="K19" s="53">
        <f>+I19+J19</f>
        <v>1166.6600000000001</v>
      </c>
      <c r="L19" s="53"/>
      <c r="M19" s="53"/>
      <c r="N19" s="53"/>
      <c r="O19" s="53"/>
      <c r="P19" s="73"/>
      <c r="Q19" s="33">
        <f>SUM(K19:O19)-P19</f>
        <v>1166.6600000000001</v>
      </c>
      <c r="R19" s="34"/>
      <c r="S19" s="45"/>
      <c r="T19" s="45">
        <v>0</v>
      </c>
      <c r="U19" s="45"/>
      <c r="V19" s="45"/>
      <c r="W19" s="45"/>
      <c r="X19" s="36"/>
      <c r="Y19" s="36"/>
      <c r="Z19" s="35"/>
      <c r="AA19" s="35">
        <v>0</v>
      </c>
      <c r="AB19" s="33">
        <f>+Q19-SUM(R19:AA19)</f>
        <v>1166.6600000000001</v>
      </c>
      <c r="AC19" s="37">
        <f>IF(Q19&gt;3500,Q19*0.1,0)</f>
        <v>0</v>
      </c>
      <c r="AD19" s="33">
        <f>+AB19-AC19</f>
        <v>1166.6600000000001</v>
      </c>
      <c r="AE19" s="38">
        <f>IF(Q19&lt;3500,Q19*0.1,0)</f>
        <v>116.66600000000001</v>
      </c>
      <c r="AF19" s="37">
        <v>10.23</v>
      </c>
      <c r="AG19" s="37">
        <f>+U19</f>
        <v>0</v>
      </c>
      <c r="AH19" s="67">
        <f>+Q19+AE19+AF19+AG19</f>
        <v>1293.556</v>
      </c>
      <c r="AI19" s="145">
        <v>577.4</v>
      </c>
      <c r="AJ19" s="145">
        <v>589.26</v>
      </c>
      <c r="AK19" s="103">
        <f t="shared" si="0"/>
        <v>0</v>
      </c>
      <c r="AM19" s="26"/>
      <c r="AP19" s="26"/>
    </row>
    <row r="20" spans="1:193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>+I20+J20</f>
        <v>1166.26</v>
      </c>
      <c r="L20" s="30">
        <f>884.41+54.83</f>
        <v>939.24</v>
      </c>
      <c r="M20" s="30"/>
      <c r="N20" s="30"/>
      <c r="O20" s="30"/>
      <c r="P20" s="32"/>
      <c r="Q20" s="33">
        <f>SUM(K20:O20)-P20</f>
        <v>2105.5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>+Q20-SUM(R20:AA20)</f>
        <v>2105.5</v>
      </c>
      <c r="AC20" s="37">
        <f>IF(Q20&gt;3500,Q20*0.1,0)</f>
        <v>0</v>
      </c>
      <c r="AD20" s="33">
        <f>+AB20-AC20</f>
        <v>2105.5</v>
      </c>
      <c r="AE20" s="38">
        <f>IF(Q20&lt;3500,Q20*0.1,0)</f>
        <v>210.55</v>
      </c>
      <c r="AF20" s="37">
        <v>10.23</v>
      </c>
      <c r="AG20" s="37">
        <f>+U20</f>
        <v>0</v>
      </c>
      <c r="AH20" s="67">
        <f>+Q20+AE20+AF20+AG20</f>
        <v>2326.2800000000002</v>
      </c>
      <c r="AI20" s="145">
        <v>577.4</v>
      </c>
      <c r="AJ20" s="147">
        <v>1528.1</v>
      </c>
      <c r="AK20" s="103">
        <f t="shared" si="0"/>
        <v>0</v>
      </c>
      <c r="AL20" s="39"/>
      <c r="AM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>+I21+J21</f>
        <v>511.28</v>
      </c>
      <c r="L21" s="30">
        <f>3940.92+7.42+57.67</f>
        <v>4006.01</v>
      </c>
      <c r="M21" s="30"/>
      <c r="N21" s="31"/>
      <c r="O21" s="31"/>
      <c r="P21" s="32"/>
      <c r="Q21" s="33">
        <f>SUM(K21:O21)-P21</f>
        <v>4517.29</v>
      </c>
      <c r="R21" s="34"/>
      <c r="S21" s="45"/>
      <c r="T21" s="75">
        <v>700</v>
      </c>
      <c r="U21" s="75">
        <f>Q21*4.9%</f>
        <v>221.34721000000002</v>
      </c>
      <c r="V21" s="75">
        <f>Q21*1%</f>
        <v>45.172899999999998</v>
      </c>
      <c r="W21" s="45"/>
      <c r="X21" s="36"/>
      <c r="Y21" s="36"/>
      <c r="Z21" s="35"/>
      <c r="AA21" s="35">
        <v>0</v>
      </c>
      <c r="AB21" s="33">
        <f>+Q21-SUM(R21:AA21)</f>
        <v>3550.76989</v>
      </c>
      <c r="AC21" s="37">
        <f>IF(Q21&gt;3500,Q21*0.1,0)</f>
        <v>451.72900000000004</v>
      </c>
      <c r="AD21" s="33">
        <f>+AB21-AC21</f>
        <v>3099.0408900000002</v>
      </c>
      <c r="AE21" s="38">
        <f>IF(Q21&lt;3500,Q21*0.1,0)</f>
        <v>0</v>
      </c>
      <c r="AF21" s="37">
        <v>10.23</v>
      </c>
      <c r="AG21" s="37">
        <f>+U21</f>
        <v>221.34721000000002</v>
      </c>
      <c r="AH21" s="67">
        <f>+Q21+AE21+AF21+AG21</f>
        <v>4748.8672099999994</v>
      </c>
      <c r="AI21" s="145">
        <v>577.4</v>
      </c>
      <c r="AJ21" s="147">
        <v>2521.64</v>
      </c>
      <c r="AK21" s="103">
        <f t="shared" si="0"/>
        <v>-8.9000000025407644E-4</v>
      </c>
      <c r="AL21" s="39"/>
      <c r="AM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74</v>
      </c>
      <c r="F22" s="27"/>
      <c r="G22" s="28"/>
      <c r="H22" s="28"/>
      <c r="I22" s="30">
        <v>1633.33</v>
      </c>
      <c r="J22" s="28"/>
      <c r="K22" s="30">
        <f>+I22+J22</f>
        <v>1633.33</v>
      </c>
      <c r="L22" s="30">
        <v>7740.02</v>
      </c>
      <c r="M22" s="30"/>
      <c r="N22" s="31"/>
      <c r="O22" s="31"/>
      <c r="P22" s="32"/>
      <c r="Q22" s="33">
        <f>SUM(K22:O22)-P22</f>
        <v>9373.35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>+Q22-SUM(R22:AA22)</f>
        <v>8467.65</v>
      </c>
      <c r="AC22" s="37">
        <f>IF(Q22&gt;3500,Q22*0.1,0)</f>
        <v>937.33500000000004</v>
      </c>
      <c r="AD22" s="33">
        <f>+AB22-AC22</f>
        <v>7530.3149999999996</v>
      </c>
      <c r="AE22" s="38">
        <f>IF(Q22&lt;3500,Q22*0.1,0)</f>
        <v>0</v>
      </c>
      <c r="AF22" s="37">
        <v>10.23</v>
      </c>
      <c r="AG22" s="37">
        <f>+U22</f>
        <v>0</v>
      </c>
      <c r="AH22" s="67">
        <f>+Q22+AE22+AF22+AG22</f>
        <v>9383.58</v>
      </c>
      <c r="AI22" s="145">
        <v>577.4</v>
      </c>
      <c r="AJ22" s="147">
        <v>6952.92</v>
      </c>
      <c r="AK22" s="103">
        <f t="shared" si="0"/>
        <v>5.0000000001091394E-3</v>
      </c>
      <c r="AL22" s="39"/>
      <c r="AM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>+I23+J23</f>
        <v>1100</v>
      </c>
      <c r="L23" s="30">
        <f>601.1+41.62</f>
        <v>642.72</v>
      </c>
      <c r="M23" s="30"/>
      <c r="N23" s="31"/>
      <c r="O23" s="31"/>
      <c r="P23" s="32"/>
      <c r="Q23" s="33">
        <f>SUM(K23:O23)-P23</f>
        <v>1742.72</v>
      </c>
      <c r="R23" s="34"/>
      <c r="S23" s="45"/>
      <c r="T23" s="75">
        <f>+Q23*1%</f>
        <v>17.427199999999999</v>
      </c>
      <c r="U23" s="75">
        <f>+Q23*4.9%</f>
        <v>85.393280000000004</v>
      </c>
      <c r="V23" s="45"/>
      <c r="W23" s="45"/>
      <c r="X23" s="36"/>
      <c r="Y23" s="36"/>
      <c r="Z23" s="35"/>
      <c r="AA23" s="35">
        <v>0</v>
      </c>
      <c r="AB23" s="33">
        <f>+Q23-SUM(R23:AA23)</f>
        <v>1639.8995199999999</v>
      </c>
      <c r="AC23" s="37">
        <f>IF(Q23&gt;3500,Q23*0.1,0)</f>
        <v>0</v>
      </c>
      <c r="AD23" s="33">
        <f>+AB23-AC23</f>
        <v>1639.8995199999999</v>
      </c>
      <c r="AE23" s="38">
        <f>IF(Q23&lt;3500,Q23*0.1,0)</f>
        <v>174.27200000000002</v>
      </c>
      <c r="AF23" s="37">
        <v>10.23</v>
      </c>
      <c r="AG23" s="37">
        <f>+U23</f>
        <v>85.393280000000004</v>
      </c>
      <c r="AH23" s="67">
        <f>+Q23+AE23+AF23+AG23</f>
        <v>2012.61528</v>
      </c>
      <c r="AI23" s="145">
        <v>577.4</v>
      </c>
      <c r="AJ23" s="147">
        <v>1062.5</v>
      </c>
      <c r="AK23" s="103">
        <f t="shared" si="0"/>
        <v>4.8000000015235855E-4</v>
      </c>
      <c r="AL23" s="39"/>
      <c r="AM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27" t="s">
        <v>70</v>
      </c>
      <c r="B24" s="27" t="s">
        <v>245</v>
      </c>
      <c r="C24" s="63" t="s">
        <v>305</v>
      </c>
      <c r="D24" s="27" t="s">
        <v>122</v>
      </c>
      <c r="E24" s="63" t="s">
        <v>173</v>
      </c>
      <c r="F24" s="68">
        <v>42432</v>
      </c>
      <c r="G24" s="28"/>
      <c r="H24" s="28"/>
      <c r="I24" s="30">
        <v>513.33000000000004</v>
      </c>
      <c r="J24" s="28">
        <v>513.33000000000004</v>
      </c>
      <c r="K24" s="30">
        <f>+I24+J24</f>
        <v>1026.6600000000001</v>
      </c>
      <c r="L24" s="30">
        <v>2378.8200000000002</v>
      </c>
      <c r="M24" s="30"/>
      <c r="N24" s="31"/>
      <c r="O24" s="31"/>
      <c r="P24" s="32"/>
      <c r="Q24" s="33">
        <f>SUM(K24:O24)-P24</f>
        <v>3405.4800000000005</v>
      </c>
      <c r="R24" s="34"/>
      <c r="S24" s="45"/>
      <c r="T24" s="45">
        <v>0</v>
      </c>
      <c r="U24" s="45"/>
      <c r="V24" s="45"/>
      <c r="W24" s="45"/>
      <c r="X24" s="36"/>
      <c r="Y24" s="36"/>
      <c r="Z24" s="35"/>
      <c r="AA24" s="35">
        <f>797.62</f>
        <v>797.62</v>
      </c>
      <c r="AB24" s="33">
        <f>+Q24-SUM(R24:AA24)</f>
        <v>2607.8600000000006</v>
      </c>
      <c r="AC24" s="37">
        <f>IF(Q24&gt;3500,Q24*0.1,0)</f>
        <v>0</v>
      </c>
      <c r="AD24" s="33">
        <f>+AB24-AC24</f>
        <v>2607.8600000000006</v>
      </c>
      <c r="AE24" s="38">
        <f>IF(Q24&lt;3500,Q24*0.1,0)</f>
        <v>340.54800000000006</v>
      </c>
      <c r="AF24" s="37">
        <v>10.23</v>
      </c>
      <c r="AG24" s="37">
        <f>+U24</f>
        <v>0</v>
      </c>
      <c r="AH24" s="67">
        <f>+Q24+AE24+AF24+AG24</f>
        <v>3756.2580000000007</v>
      </c>
      <c r="AI24" s="145">
        <v>577.4</v>
      </c>
      <c r="AJ24" s="147">
        <v>2030.46</v>
      </c>
      <c r="AK24" s="103">
        <f t="shared" si="0"/>
        <v>0</v>
      </c>
      <c r="AL24" s="39"/>
      <c r="AM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>
      <c r="A25" s="63" t="s">
        <v>71</v>
      </c>
      <c r="B25" s="63" t="s">
        <v>298</v>
      </c>
      <c r="C25" s="63" t="s">
        <v>254</v>
      </c>
      <c r="D25" s="63"/>
      <c r="E25" s="63" t="s">
        <v>73</v>
      </c>
      <c r="F25" s="72">
        <v>42437</v>
      </c>
      <c r="G25" s="63"/>
      <c r="H25" s="63"/>
      <c r="I25" s="146">
        <v>513.33000000000004</v>
      </c>
      <c r="J25" s="28">
        <v>653.33000000000004</v>
      </c>
      <c r="K25" s="53">
        <f>+I25+J25</f>
        <v>1166.6600000000001</v>
      </c>
      <c r="L25" s="53"/>
      <c r="M25" s="53"/>
      <c r="N25" s="53"/>
      <c r="O25" s="53"/>
      <c r="P25" s="73"/>
      <c r="Q25" s="33">
        <f>SUM(K25:O25)-P25</f>
        <v>1166.6600000000001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v>0</v>
      </c>
      <c r="AB25" s="33">
        <f>+Q25-SUM(R25:AA25)</f>
        <v>1166.6600000000001</v>
      </c>
      <c r="AC25" s="37">
        <f>IF(Q25&gt;3500,Q25*0.1,0)</f>
        <v>0</v>
      </c>
      <c r="AD25" s="33">
        <f>+AB25-AC25</f>
        <v>1166.6600000000001</v>
      </c>
      <c r="AE25" s="38">
        <f>IF(Q25&lt;3500,Q25*0.1,0)</f>
        <v>116.66600000000001</v>
      </c>
      <c r="AF25" s="37">
        <v>10.23</v>
      </c>
      <c r="AG25" s="37">
        <f>+U25</f>
        <v>0</v>
      </c>
      <c r="AH25" s="67">
        <f>+Q25+AE25+AF25+AG25</f>
        <v>1293.556</v>
      </c>
      <c r="AI25" s="145">
        <v>577.26</v>
      </c>
      <c r="AJ25" s="145">
        <v>589.4</v>
      </c>
      <c r="AK25" s="103">
        <f t="shared" si="0"/>
        <v>0</v>
      </c>
      <c r="AL25" s="39"/>
      <c r="AM25" s="26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53">
        <v>739.23</v>
      </c>
      <c r="J26" s="27"/>
      <c r="K26" s="30">
        <f>+I26+J26</f>
        <v>739.23</v>
      </c>
      <c r="L26" s="30">
        <f>2178.52+13.09</f>
        <v>2191.61</v>
      </c>
      <c r="M26" s="30"/>
      <c r="N26" s="30"/>
      <c r="O26" s="30"/>
      <c r="P26" s="32"/>
      <c r="Q26" s="33">
        <f>SUM(K26:O26)-P26</f>
        <v>2930.84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>+Q26-SUM(R26:AA26)</f>
        <v>2930.84</v>
      </c>
      <c r="AC26" s="37">
        <f>IF(Q26&gt;3500,Q26*0.1,0)</f>
        <v>0</v>
      </c>
      <c r="AD26" s="33">
        <f>+AB26-AC26</f>
        <v>2930.84</v>
      </c>
      <c r="AE26" s="38">
        <f>IF(Q26&lt;3500,Q26*0.1,0)</f>
        <v>293.084</v>
      </c>
      <c r="AF26" s="37">
        <v>10.23</v>
      </c>
      <c r="AG26" s="37">
        <f>+U26</f>
        <v>0</v>
      </c>
      <c r="AH26" s="67">
        <f>+Q26+AE26+AF26+AG26</f>
        <v>3234.154</v>
      </c>
      <c r="AI26" s="145">
        <v>577.20000000000005</v>
      </c>
      <c r="AJ26" s="147">
        <v>2353.64</v>
      </c>
      <c r="AK26" s="103">
        <f t="shared" si="0"/>
        <v>0</v>
      </c>
      <c r="AL26" s="39"/>
      <c r="AM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40" customFormat="1">
      <c r="A27" s="27" t="s">
        <v>70</v>
      </c>
      <c r="B27" s="27" t="s">
        <v>220</v>
      </c>
      <c r="C27" s="63" t="s">
        <v>305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>
        <v>653.33000000000004</v>
      </c>
      <c r="K27" s="30">
        <f>+I27+J27</f>
        <v>1166.6600000000001</v>
      </c>
      <c r="L27" s="80">
        <v>2500</v>
      </c>
      <c r="M27" s="30"/>
      <c r="N27" s="31"/>
      <c r="O27" s="31"/>
      <c r="P27" s="32"/>
      <c r="Q27" s="33">
        <f>SUM(K27:O27)-P27</f>
        <v>3666.66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>+Q27-SUM(R27:AA27)</f>
        <v>3666.66</v>
      </c>
      <c r="AC27" s="37">
        <f>IF(Q27&gt;3500,Q27*0.1,0)</f>
        <v>366.666</v>
      </c>
      <c r="AD27" s="33">
        <f>+AB27-AC27</f>
        <v>3299.9939999999997</v>
      </c>
      <c r="AE27" s="38">
        <f>IF(Q27&lt;3500,Q27*0.1,0)</f>
        <v>0</v>
      </c>
      <c r="AF27" s="37">
        <v>10.23</v>
      </c>
      <c r="AG27" s="37">
        <f>+U27</f>
        <v>0</v>
      </c>
      <c r="AH27" s="67">
        <f>+Q27+AE27+AF27+AG27</f>
        <v>3676.89</v>
      </c>
      <c r="AI27" s="145">
        <v>577.20000000000005</v>
      </c>
      <c r="AJ27" s="147">
        <v>2722.79</v>
      </c>
      <c r="AK27" s="103">
        <f t="shared" si="0"/>
        <v>-3.9999999999054126E-3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39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>+I28+J28</f>
        <v>1100</v>
      </c>
      <c r="L28" s="30">
        <f>788.04+2.59+51.56</f>
        <v>842.19</v>
      </c>
      <c r="M28" s="30"/>
      <c r="N28" s="30"/>
      <c r="O28" s="30"/>
      <c r="P28" s="32"/>
      <c r="Q28" s="33">
        <f>SUM(K28:O28)-P28</f>
        <v>1942.19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>+Q28-SUM(R28:AA28)</f>
        <v>1942.19</v>
      </c>
      <c r="AC28" s="37">
        <f>IF(Q28&gt;3500,Q28*0.1,0)</f>
        <v>0</v>
      </c>
      <c r="AD28" s="33">
        <f>+AB28-AC28</f>
        <v>1942.19</v>
      </c>
      <c r="AE28" s="38">
        <f>IF(Q28&lt;3500,Q28*0.1,0)</f>
        <v>194.21900000000002</v>
      </c>
      <c r="AF28" s="37">
        <v>10.23</v>
      </c>
      <c r="AG28" s="37">
        <f>+U28</f>
        <v>0</v>
      </c>
      <c r="AH28" s="67">
        <f>+Q28+AE28+AF28+AG28</f>
        <v>2146.6390000000001</v>
      </c>
      <c r="AI28" s="145">
        <v>577.4</v>
      </c>
      <c r="AJ28" s="147">
        <v>1364.79</v>
      </c>
      <c r="AK28" s="103">
        <f t="shared" si="0"/>
        <v>0</v>
      </c>
    </row>
    <row r="29" spans="1:193">
      <c r="A29" s="27" t="s">
        <v>69</v>
      </c>
      <c r="B29" s="27" t="s">
        <v>227</v>
      </c>
      <c r="C29" s="27"/>
      <c r="D29" s="27" t="s">
        <v>112</v>
      </c>
      <c r="E29" s="27" t="s">
        <v>169</v>
      </c>
      <c r="F29" s="27"/>
      <c r="G29" s="27"/>
      <c r="H29" s="27"/>
      <c r="I29" s="30">
        <v>933.33</v>
      </c>
      <c r="J29" s="27"/>
      <c r="K29" s="30">
        <f>+I29+J29</f>
        <v>933.33</v>
      </c>
      <c r="L29" s="30">
        <v>550</v>
      </c>
      <c r="M29" s="30"/>
      <c r="N29" s="30"/>
      <c r="O29" s="30"/>
      <c r="P29" s="32"/>
      <c r="Q29" s="33">
        <f>SUM(K29:O29)-P29</f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>+Q29-SUM(R29:AA29)</f>
        <v>1424.4199999999998</v>
      </c>
      <c r="AC29" s="37">
        <f>IF(Q29&gt;3500,Q29*0.1,0)</f>
        <v>0</v>
      </c>
      <c r="AD29" s="33">
        <f>+AB29-AC29</f>
        <v>1424.4199999999998</v>
      </c>
      <c r="AE29" s="38">
        <f>IF(Q29&lt;3500,Q29*0.1,0)</f>
        <v>148.333</v>
      </c>
      <c r="AF29" s="37">
        <v>10.23</v>
      </c>
      <c r="AG29" s="37">
        <f>+U29</f>
        <v>0</v>
      </c>
      <c r="AH29" s="67">
        <f>+Q29+AE29+AF29+AG29</f>
        <v>1641.893</v>
      </c>
      <c r="AI29" s="145">
        <v>577.4</v>
      </c>
      <c r="AJ29" s="145">
        <v>847.02</v>
      </c>
      <c r="AK29" s="103">
        <f t="shared" si="0"/>
        <v>0</v>
      </c>
      <c r="AL29" s="39"/>
      <c r="AM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107"/>
      <c r="I30" s="30">
        <v>577.38</v>
      </c>
      <c r="J30" s="106">
        <v>1047.6199999999999</v>
      </c>
      <c r="K30" s="30">
        <f>+I30+J30</f>
        <v>1625</v>
      </c>
      <c r="L30" s="30">
        <f>250+433.14</f>
        <v>683.14</v>
      </c>
      <c r="M30" s="30"/>
      <c r="N30" s="30"/>
      <c r="O30" s="30"/>
      <c r="P30" s="32"/>
      <c r="Q30" s="33">
        <f>SUM(K30:O30)-P30</f>
        <v>2308.14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>+Q30-SUM(R30:AA30)</f>
        <v>2108.14</v>
      </c>
      <c r="AC30" s="37">
        <f>IF(Q30&gt;3500,Q30*0.1,0)</f>
        <v>0</v>
      </c>
      <c r="AD30" s="33">
        <f>+AB30-AC30</f>
        <v>2108.14</v>
      </c>
      <c r="AE30" s="38">
        <f>IF(Q30&lt;3500,Q30*0.1,0)</f>
        <v>230.81399999999999</v>
      </c>
      <c r="AF30" s="37">
        <v>10.23</v>
      </c>
      <c r="AG30" s="37">
        <f>+U30</f>
        <v>0</v>
      </c>
      <c r="AH30" s="67">
        <f>+Q30+AE30+AF30+AG30</f>
        <v>2549.1839999999997</v>
      </c>
      <c r="AI30" s="145">
        <v>577.26</v>
      </c>
      <c r="AJ30" s="147">
        <v>1530.88</v>
      </c>
      <c r="AK30" s="103">
        <f t="shared" si="0"/>
        <v>0</v>
      </c>
      <c r="AL30" s="39"/>
      <c r="AM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62" t="s">
        <v>94</v>
      </c>
      <c r="B31" s="27" t="s">
        <v>231</v>
      </c>
      <c r="C31" s="27"/>
      <c r="D31" s="27" t="s">
        <v>130</v>
      </c>
      <c r="E31" s="27" t="s">
        <v>181</v>
      </c>
      <c r="F31" s="27"/>
      <c r="G31" s="28"/>
      <c r="H31" s="28"/>
      <c r="I31" s="30">
        <v>608.16</v>
      </c>
      <c r="J31" s="28"/>
      <c r="K31" s="30">
        <f>+I31+J31</f>
        <v>608.16</v>
      </c>
      <c r="L31" s="30">
        <f>3159.79+2.59+125.44</f>
        <v>3287.82</v>
      </c>
      <c r="M31" s="30"/>
      <c r="N31" s="31"/>
      <c r="O31" s="31"/>
      <c r="P31" s="32"/>
      <c r="Q31" s="33">
        <f>SUM(K31:O31)-P31</f>
        <v>3895.98</v>
      </c>
      <c r="R31" s="34"/>
      <c r="S31" s="45"/>
      <c r="T31" s="75">
        <v>500</v>
      </c>
      <c r="U31" s="75">
        <f>Q31*4.9%</f>
        <v>190.90302</v>
      </c>
      <c r="V31" s="75">
        <f>Q31*1%</f>
        <v>38.959800000000001</v>
      </c>
      <c r="W31" s="45"/>
      <c r="X31" s="36"/>
      <c r="Y31" s="36"/>
      <c r="Z31" s="35"/>
      <c r="AA31" s="35">
        <v>0</v>
      </c>
      <c r="AB31" s="33">
        <f>+Q31-SUM(R31:AA31)</f>
        <v>3166.1171800000002</v>
      </c>
      <c r="AC31" s="37">
        <f>IF(Q31&gt;3500,Q31*0.1,0)</f>
        <v>389.59800000000001</v>
      </c>
      <c r="AD31" s="33">
        <f>+AB31-AC31</f>
        <v>2776.5191800000002</v>
      </c>
      <c r="AE31" s="38">
        <f>IF(Q31&lt;3500,Q31*0.1,0)</f>
        <v>0</v>
      </c>
      <c r="AF31" s="37">
        <v>10.23</v>
      </c>
      <c r="AG31" s="37">
        <f>+U31</f>
        <v>190.90302</v>
      </c>
      <c r="AH31" s="67">
        <f>+Q31+AE31+AF31+AG31</f>
        <v>4097.1130199999998</v>
      </c>
      <c r="AI31" s="145">
        <v>577.4</v>
      </c>
      <c r="AJ31" s="147">
        <v>2199.12</v>
      </c>
      <c r="AK31" s="103">
        <f t="shared" si="0"/>
        <v>8.1999999974868842E-4</v>
      </c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62" t="s">
        <v>94</v>
      </c>
      <c r="B32" s="27" t="s">
        <v>229</v>
      </c>
      <c r="C32" s="27"/>
      <c r="D32" s="27" t="s">
        <v>131</v>
      </c>
      <c r="E32" s="27" t="s">
        <v>181</v>
      </c>
      <c r="F32" s="27"/>
      <c r="G32" s="28"/>
      <c r="H32" s="28"/>
      <c r="I32" s="30">
        <v>608.16</v>
      </c>
      <c r="J32" s="28"/>
      <c r="K32" s="30">
        <f>+I32+J32</f>
        <v>608.16</v>
      </c>
      <c r="L32" s="30">
        <f>3862.95+2.97+107.87</f>
        <v>3973.7899999999995</v>
      </c>
      <c r="M32" s="30"/>
      <c r="N32" s="31"/>
      <c r="O32" s="31"/>
      <c r="P32" s="32"/>
      <c r="Q32" s="33">
        <f>SUM(K32:O32)-P32</f>
        <v>4581.95</v>
      </c>
      <c r="R32" s="34"/>
      <c r="S32" s="45"/>
      <c r="T32" s="75">
        <v>1000</v>
      </c>
      <c r="U32" s="75">
        <f>Q32*4.9%</f>
        <v>224.51554999999999</v>
      </c>
      <c r="V32" s="75">
        <f>Q32*1%</f>
        <v>45.819499999999998</v>
      </c>
      <c r="W32" s="45">
        <v>300</v>
      </c>
      <c r="X32" s="36"/>
      <c r="Y32" s="36"/>
      <c r="Z32" s="90"/>
      <c r="AA32" s="35">
        <v>0</v>
      </c>
      <c r="AB32" s="33">
        <f>+Q32-SUM(R32:AA32)</f>
        <v>3011.6149499999997</v>
      </c>
      <c r="AC32" s="37">
        <f>IF(Q32&gt;3500,Q32*0.1,0)</f>
        <v>458.19499999999999</v>
      </c>
      <c r="AD32" s="33">
        <f>+AB32-AC32</f>
        <v>2553.4199499999995</v>
      </c>
      <c r="AE32" s="38">
        <f>IF(Q32&lt;3500,Q32*0.1,0)</f>
        <v>0</v>
      </c>
      <c r="AF32" s="37">
        <v>10.23</v>
      </c>
      <c r="AG32" s="37">
        <f>+U32</f>
        <v>224.51554999999999</v>
      </c>
      <c r="AH32" s="67">
        <f>+Q32+AE32+AF32+AG32</f>
        <v>4816.6955499999995</v>
      </c>
      <c r="AI32" s="145">
        <v>324.69</v>
      </c>
      <c r="AJ32" s="147">
        <v>2228.73</v>
      </c>
      <c r="AK32" s="103">
        <f t="shared" si="0"/>
        <v>5.0000000555883162E-5</v>
      </c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>+I33+J33</f>
        <v>1166.26</v>
      </c>
      <c r="L33" s="30">
        <f>656.69+63.56</f>
        <v>720.25</v>
      </c>
      <c r="M33" s="30"/>
      <c r="N33" s="30"/>
      <c r="O33" s="30"/>
      <c r="P33" s="32"/>
      <c r="Q33" s="33">
        <f>SUM(K33:O33)-P33</f>
        <v>1886.51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>+Q33-SUM(R33:AA33)</f>
        <v>1886.51</v>
      </c>
      <c r="AC33" s="37">
        <f>IF(Q33&gt;3500,Q33*0.1,0)</f>
        <v>0</v>
      </c>
      <c r="AD33" s="33">
        <f>+AB33-AC33</f>
        <v>1886.51</v>
      </c>
      <c r="AE33" s="38">
        <f>IF(Q33&lt;3500,Q33*0.1,0)</f>
        <v>188.65100000000001</v>
      </c>
      <c r="AF33" s="37">
        <v>10.23</v>
      </c>
      <c r="AG33" s="37">
        <f>+U33</f>
        <v>0</v>
      </c>
      <c r="AH33" s="67">
        <f>+Q33+AE33+AF33+AG33</f>
        <v>2085.3910000000001</v>
      </c>
      <c r="AI33" s="145">
        <v>577.20000000000005</v>
      </c>
      <c r="AJ33" s="147">
        <v>1309.31</v>
      </c>
      <c r="AK33" s="103">
        <f t="shared" si="0"/>
        <v>0</v>
      </c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63" t="s">
        <v>91</v>
      </c>
      <c r="B34" s="63" t="s">
        <v>299</v>
      </c>
      <c r="C34" s="63"/>
      <c r="D34" s="63"/>
      <c r="E34" s="63" t="s">
        <v>72</v>
      </c>
      <c r="F34" s="72">
        <v>42432</v>
      </c>
      <c r="G34" s="63"/>
      <c r="H34" s="63"/>
      <c r="I34" s="53">
        <f>1166.33/7*6</f>
        <v>999.71142857142854</v>
      </c>
      <c r="J34" s="74"/>
      <c r="K34" s="53">
        <f>+I34+J34</f>
        <v>999.71142857142854</v>
      </c>
      <c r="L34" s="53"/>
      <c r="M34" s="53"/>
      <c r="N34" s="53"/>
      <c r="O34" s="53"/>
      <c r="P34" s="73"/>
      <c r="Q34" s="33">
        <f>SUM(K34:O34)-P34</f>
        <v>999.71142857142854</v>
      </c>
      <c r="R34" s="34"/>
      <c r="S34" s="45"/>
      <c r="T34" s="45">
        <v>0</v>
      </c>
      <c r="U34" s="45"/>
      <c r="V34" s="45"/>
      <c r="W34" s="45"/>
      <c r="X34" s="36"/>
      <c r="Y34" s="36"/>
      <c r="Z34" s="35"/>
      <c r="AA34" s="35">
        <v>0</v>
      </c>
      <c r="AB34" s="33">
        <f>+Q34-SUM(R34:AA34)</f>
        <v>999.71142857142854</v>
      </c>
      <c r="AC34" s="37">
        <f>IF(Q34&gt;3500,Q34*0.1,0)</f>
        <v>0</v>
      </c>
      <c r="AD34" s="33">
        <f>+AB34-AC34</f>
        <v>999.71142857142854</v>
      </c>
      <c r="AE34" s="38">
        <f>IF(Q34&lt;3500,Q34*0.1,0)</f>
        <v>99.971142857142866</v>
      </c>
      <c r="AF34" s="37">
        <v>10.23</v>
      </c>
      <c r="AG34" s="37">
        <f>+U34</f>
        <v>0</v>
      </c>
      <c r="AH34" s="67">
        <f>+Q34+AE34+AF34+AG34</f>
        <v>1109.9125714285715</v>
      </c>
      <c r="AI34" s="145">
        <v>577.20000000000005</v>
      </c>
      <c r="AJ34" s="147">
        <v>1136.5899999999999</v>
      </c>
      <c r="AK34" s="103">
        <f t="shared" si="0"/>
        <v>714.07857142857142</v>
      </c>
      <c r="AM34" s="94" t="s">
        <v>314</v>
      </c>
      <c r="AN34" s="61"/>
    </row>
    <row r="35" spans="1:193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>+I35+J35</f>
        <v>1166.6600000000001</v>
      </c>
      <c r="L35" s="53"/>
      <c r="M35" s="53"/>
      <c r="N35" s="53"/>
      <c r="O35" s="53"/>
      <c r="P35" s="32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IF(Q35&gt;3500,Q35*0.1,0)</f>
        <v>0</v>
      </c>
      <c r="AD35" s="33">
        <f>+AB35-AC35</f>
        <v>1166.6600000000001</v>
      </c>
      <c r="AE35" s="38">
        <f>IF(Q35&lt;3500,Q35*0.1,0)</f>
        <v>116.66600000000001</v>
      </c>
      <c r="AF35" s="37">
        <v>10.23</v>
      </c>
      <c r="AG35" s="37">
        <f>+U35</f>
        <v>0</v>
      </c>
      <c r="AH35" s="67">
        <f>+Q35+AE35+AF35+AG35</f>
        <v>1293.556</v>
      </c>
      <c r="AI35" s="145">
        <v>577.20000000000005</v>
      </c>
      <c r="AJ35" s="145">
        <v>589.46</v>
      </c>
      <c r="AK35" s="103">
        <f t="shared" si="0"/>
        <v>0</v>
      </c>
    </row>
    <row r="36" spans="1:193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>
        <v>513.33000000000004</v>
      </c>
      <c r="K36" s="30">
        <f>+I36+J36</f>
        <v>1026.6600000000001</v>
      </c>
      <c r="L36" s="30">
        <v>2270.11</v>
      </c>
      <c r="M36" s="30"/>
      <c r="N36" s="31"/>
      <c r="O36" s="31"/>
      <c r="P36" s="32"/>
      <c r="Q36" s="33">
        <f>SUM(K36:O36)-P36</f>
        <v>3296.7700000000004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>+Q36-SUM(R36:AA36)</f>
        <v>2888.7900000000004</v>
      </c>
      <c r="AC36" s="37">
        <f>IF(Q36&gt;3500,Q36*0.1,0)</f>
        <v>0</v>
      </c>
      <c r="AD36" s="33">
        <f>+AB36-AC36</f>
        <v>2888.7900000000004</v>
      </c>
      <c r="AE36" s="38">
        <f>IF(Q36&lt;3500,Q36*0.1,0)</f>
        <v>329.67700000000008</v>
      </c>
      <c r="AF36" s="37">
        <v>10.23</v>
      </c>
      <c r="AG36" s="37">
        <f>+U36</f>
        <v>0</v>
      </c>
      <c r="AH36" s="67">
        <f>+Q36+AE36+AF36+AG36</f>
        <v>3636.6770000000006</v>
      </c>
      <c r="AI36" s="145">
        <v>577.4</v>
      </c>
      <c r="AJ36" s="147">
        <v>2311.39</v>
      </c>
      <c r="AK36" s="103">
        <f t="shared" si="0"/>
        <v>0</v>
      </c>
      <c r="AL36" s="39"/>
      <c r="AM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</row>
    <row r="37" spans="1:193" s="39" customFormat="1">
      <c r="A37" s="63" t="s">
        <v>94</v>
      </c>
      <c r="B37" s="63" t="s">
        <v>300</v>
      </c>
      <c r="C37" s="63"/>
      <c r="D37" s="63"/>
      <c r="E37" s="63" t="s">
        <v>174</v>
      </c>
      <c r="F37" s="72">
        <v>42431</v>
      </c>
      <c r="G37" s="63"/>
      <c r="H37" s="63"/>
      <c r="I37" s="53">
        <v>508.38</v>
      </c>
      <c r="J37" s="63"/>
      <c r="K37" s="53">
        <f>+I37+J37</f>
        <v>508.38</v>
      </c>
      <c r="L37" s="53"/>
      <c r="M37" s="53"/>
      <c r="N37" s="53"/>
      <c r="O37" s="53"/>
      <c r="P37" s="73"/>
      <c r="Q37" s="33">
        <f>SUM(K37:O37)-P37</f>
        <v>508.38</v>
      </c>
      <c r="R37" s="34"/>
      <c r="S37" s="45"/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>+Q37-SUM(R37:AA37)</f>
        <v>508.38</v>
      </c>
      <c r="AC37" s="37">
        <f>IF(Q37&gt;3500,Q37*0.1,0)</f>
        <v>0</v>
      </c>
      <c r="AD37" s="33">
        <f>+AB37-AC37</f>
        <v>508.38</v>
      </c>
      <c r="AE37" s="38">
        <f>IF(Q37&lt;3500,Q37*0.1,0)</f>
        <v>50.838000000000001</v>
      </c>
      <c r="AF37" s="37">
        <v>10.23</v>
      </c>
      <c r="AG37" s="37">
        <f>+U37</f>
        <v>0</v>
      </c>
      <c r="AH37" s="67">
        <f>+Q37+AE37+AF37+AG37</f>
        <v>569.44799999999998</v>
      </c>
      <c r="AI37" s="145">
        <v>408.86</v>
      </c>
      <c r="AJ37" s="145">
        <v>99.52</v>
      </c>
      <c r="AK37" s="103">
        <f t="shared" si="0"/>
        <v>0</v>
      </c>
      <c r="AM37" s="114"/>
      <c r="AN37" s="115"/>
    </row>
    <row r="38" spans="1:193">
      <c r="A38" s="27" t="s">
        <v>71</v>
      </c>
      <c r="B38" s="27" t="s">
        <v>223</v>
      </c>
      <c r="C38" s="27" t="s">
        <v>249</v>
      </c>
      <c r="D38" s="27" t="s">
        <v>149</v>
      </c>
      <c r="E38" s="27" t="s">
        <v>73</v>
      </c>
      <c r="F38" s="27"/>
      <c r="G38" s="28"/>
      <c r="H38" s="28"/>
      <c r="I38" s="53">
        <v>513.33000000000004</v>
      </c>
      <c r="J38" s="28">
        <v>513.33000000000004</v>
      </c>
      <c r="K38" s="30">
        <f>+I38+J38</f>
        <v>1026.6600000000001</v>
      </c>
      <c r="L38" s="30">
        <v>528.57000000000005</v>
      </c>
      <c r="M38" s="30"/>
      <c r="N38" s="31"/>
      <c r="O38" s="31"/>
      <c r="P38" s="32"/>
      <c r="Q38" s="33">
        <f>SUM(K38:O38)-P38</f>
        <v>1555.23</v>
      </c>
      <c r="R38" s="34"/>
      <c r="S38" s="45">
        <v>58.91</v>
      </c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>+Q38-SUM(R38:AA38)</f>
        <v>1496.32</v>
      </c>
      <c r="AC38" s="37">
        <f>IF(Q38&gt;3500,Q38*0.1,0)</f>
        <v>0</v>
      </c>
      <c r="AD38" s="33">
        <f>+AB38-AC38</f>
        <v>1496.32</v>
      </c>
      <c r="AE38" s="38">
        <f>IF(Q38&lt;3500,Q38*0.1,0)</f>
        <v>155.52300000000002</v>
      </c>
      <c r="AF38" s="37">
        <v>10.23</v>
      </c>
      <c r="AG38" s="37">
        <f>+U38</f>
        <v>0</v>
      </c>
      <c r="AH38" s="67">
        <f>+Q38+AE38+AF38+AG38</f>
        <v>1720.9830000000002</v>
      </c>
      <c r="AI38" s="145">
        <v>577.4</v>
      </c>
      <c r="AJ38" s="145">
        <v>918.92</v>
      </c>
      <c r="AK38" s="103">
        <f t="shared" si="0"/>
        <v>0</v>
      </c>
      <c r="AL38" s="39"/>
      <c r="AM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</row>
    <row r="39" spans="1:193">
      <c r="A39" s="27" t="s">
        <v>71</v>
      </c>
      <c r="B39" s="63" t="s">
        <v>250</v>
      </c>
      <c r="C39" s="27" t="s">
        <v>249</v>
      </c>
      <c r="D39" s="44"/>
      <c r="E39" s="27" t="s">
        <v>73</v>
      </c>
      <c r="F39" s="27"/>
      <c r="G39" s="28"/>
      <c r="H39" s="28"/>
      <c r="I39" s="53">
        <v>513.33000000000004</v>
      </c>
      <c r="J39" s="28">
        <v>513.33000000000004</v>
      </c>
      <c r="K39" s="30">
        <f>+I39+J39</f>
        <v>1026.6600000000001</v>
      </c>
      <c r="L39" s="30"/>
      <c r="M39" s="30"/>
      <c r="N39" s="31"/>
      <c r="O39" s="31"/>
      <c r="P39" s="32"/>
      <c r="Q39" s="33">
        <f>SUM(K39:O39)-P39</f>
        <v>1026.6600000000001</v>
      </c>
      <c r="R39" s="34"/>
      <c r="S39" s="45">
        <v>58.91</v>
      </c>
      <c r="T39" s="45"/>
      <c r="U39" s="45"/>
      <c r="V39" s="45"/>
      <c r="W39" s="45"/>
      <c r="X39" s="36"/>
      <c r="Y39" s="36"/>
      <c r="Z39" s="35"/>
      <c r="AA39" s="35">
        <v>0</v>
      </c>
      <c r="AB39" s="33">
        <f>+Q39-SUM(R39:AA39)</f>
        <v>967.75000000000011</v>
      </c>
      <c r="AC39" s="37">
        <f>IF(Q39&gt;3500,Q39*0.1,0)</f>
        <v>0</v>
      </c>
      <c r="AD39" s="33">
        <f>+AB39-AC39</f>
        <v>967.75000000000011</v>
      </c>
      <c r="AE39" s="38">
        <f>IF(Q39&lt;3500,Q39*0.1,0)</f>
        <v>102.66600000000001</v>
      </c>
      <c r="AF39" s="37">
        <v>10.23</v>
      </c>
      <c r="AG39" s="37">
        <f>+U39</f>
        <v>0</v>
      </c>
      <c r="AH39" s="67">
        <f>+Q39+AE39+AF39+AG39</f>
        <v>1139.556</v>
      </c>
      <c r="AI39" s="145">
        <v>577.29999999999995</v>
      </c>
      <c r="AJ39" s="145">
        <v>390.45</v>
      </c>
      <c r="AK39" s="103">
        <f t="shared" si="0"/>
        <v>0</v>
      </c>
      <c r="AL39" s="39"/>
      <c r="AM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>
      <c r="A40" s="62" t="s">
        <v>92</v>
      </c>
      <c r="B40" s="27" t="s">
        <v>230</v>
      </c>
      <c r="C40" s="27"/>
      <c r="D40" s="27" t="s">
        <v>101</v>
      </c>
      <c r="E40" s="27" t="s">
        <v>162</v>
      </c>
      <c r="F40" s="27"/>
      <c r="G40" s="27"/>
      <c r="H40" s="27"/>
      <c r="I40" s="30">
        <v>739.23</v>
      </c>
      <c r="J40" s="27"/>
      <c r="K40" s="30">
        <f>+I40+J40</f>
        <v>739.23</v>
      </c>
      <c r="L40" s="30">
        <f>1424.71+7.42+64.92</f>
        <v>1497.0500000000002</v>
      </c>
      <c r="M40" s="30"/>
      <c r="N40" s="30"/>
      <c r="O40" s="30"/>
      <c r="P40" s="32"/>
      <c r="Q40" s="33">
        <f>SUM(K40:O40)-P40</f>
        <v>2236.2800000000002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0</v>
      </c>
      <c r="AB40" s="33">
        <f>+Q40-SUM(R40:AA40)</f>
        <v>2236.2800000000002</v>
      </c>
      <c r="AC40" s="37">
        <f>IF(Q40&gt;3500,Q40*0.1,0)</f>
        <v>0</v>
      </c>
      <c r="AD40" s="33">
        <f>+AB40-AC40</f>
        <v>2236.2800000000002</v>
      </c>
      <c r="AE40" s="38">
        <f>IF(Q40&lt;3500,Q40*0.1,0)</f>
        <v>223.62800000000004</v>
      </c>
      <c r="AF40" s="37">
        <v>10.23</v>
      </c>
      <c r="AG40" s="37">
        <f>+U40</f>
        <v>0</v>
      </c>
      <c r="AH40" s="67">
        <f>+Q40+AE40+AF40+AG40</f>
        <v>2470.1380000000004</v>
      </c>
      <c r="AI40" s="145">
        <v>577.4</v>
      </c>
      <c r="AJ40" s="147">
        <v>1658.88</v>
      </c>
      <c r="AK40" s="103">
        <f t="shared" si="0"/>
        <v>0</v>
      </c>
      <c r="AL40" s="39"/>
      <c r="AM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>
      <c r="A41" s="27" t="s">
        <v>71</v>
      </c>
      <c r="B41" s="27" t="s">
        <v>224</v>
      </c>
      <c r="C41" s="27" t="s">
        <v>251</v>
      </c>
      <c r="D41" s="27" t="s">
        <v>150</v>
      </c>
      <c r="E41" s="27" t="s">
        <v>73</v>
      </c>
      <c r="F41" s="27"/>
      <c r="G41" s="28"/>
      <c r="H41" s="28"/>
      <c r="I41" s="53">
        <v>513.33000000000004</v>
      </c>
      <c r="J41" s="28">
        <v>513.33000000000004</v>
      </c>
      <c r="K41" s="30">
        <f>+I41+J41</f>
        <v>1026.6600000000001</v>
      </c>
      <c r="L41" s="30">
        <v>3973.83</v>
      </c>
      <c r="M41" s="30"/>
      <c r="N41" s="31"/>
      <c r="O41" s="31"/>
      <c r="P41" s="32"/>
      <c r="Q41" s="33">
        <f>SUM(K41:O41)-P41</f>
        <v>5000.49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>+Q41-SUM(R41:AA41)</f>
        <v>4941.58</v>
      </c>
      <c r="AC41" s="37">
        <f>IF(Q41&gt;3500,Q41*0.1,0)</f>
        <v>500.04899999999998</v>
      </c>
      <c r="AD41" s="33">
        <f>+AB41-AC41</f>
        <v>4441.5309999999999</v>
      </c>
      <c r="AE41" s="38">
        <f>IF(Q41&lt;3500,Q41*0.1,0)</f>
        <v>0</v>
      </c>
      <c r="AF41" s="37">
        <v>10.23</v>
      </c>
      <c r="AG41" s="37">
        <f>+U41</f>
        <v>0</v>
      </c>
      <c r="AH41" s="67">
        <f>+Q41+AE41+AF41+AG41</f>
        <v>5010.7199999999993</v>
      </c>
      <c r="AI41" s="145">
        <v>577.4</v>
      </c>
      <c r="AJ41" s="147">
        <v>3864.13</v>
      </c>
      <c r="AK41" s="103">
        <f t="shared" si="0"/>
        <v>-1.0000000002037268E-3</v>
      </c>
      <c r="AL41" s="39"/>
      <c r="AM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27" t="s">
        <v>71</v>
      </c>
      <c r="B42" s="27" t="s">
        <v>255</v>
      </c>
      <c r="C42" s="27" t="s">
        <v>254</v>
      </c>
      <c r="D42" s="27" t="s">
        <v>151</v>
      </c>
      <c r="E42" s="27" t="s">
        <v>73</v>
      </c>
      <c r="F42" s="27"/>
      <c r="G42" s="28"/>
      <c r="H42" s="28"/>
      <c r="I42" s="30">
        <v>513.33000000000004</v>
      </c>
      <c r="J42" s="28">
        <v>513.33000000000004</v>
      </c>
      <c r="K42" s="30">
        <f>+I42+J42</f>
        <v>1026.6600000000001</v>
      </c>
      <c r="L42" s="30">
        <v>4233.33</v>
      </c>
      <c r="M42" s="30"/>
      <c r="N42" s="31"/>
      <c r="O42" s="31"/>
      <c r="P42" s="32"/>
      <c r="Q42" s="33">
        <f>SUM(K42:O42)-P42</f>
        <v>5259.99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208.6</v>
      </c>
      <c r="AB42" s="33">
        <f>+Q42-SUM(R42:AA42)</f>
        <v>5051.3899999999994</v>
      </c>
      <c r="AC42" s="37">
        <f>IF(Q42&gt;3500,Q42*0.1,0)</f>
        <v>525.99900000000002</v>
      </c>
      <c r="AD42" s="33">
        <f>+AB42-AC42</f>
        <v>4525.3909999999996</v>
      </c>
      <c r="AE42" s="38">
        <f>IF(Q42&lt;3500,Q42*0.1,0)</f>
        <v>0</v>
      </c>
      <c r="AF42" s="37">
        <v>10.23</v>
      </c>
      <c r="AG42" s="37">
        <f>+U42</f>
        <v>0</v>
      </c>
      <c r="AH42" s="67">
        <f>+Q42+AE42+AF42+AG42</f>
        <v>5270.2199999999993</v>
      </c>
      <c r="AI42" s="145">
        <v>577.4</v>
      </c>
      <c r="AJ42" s="147">
        <v>3947.99</v>
      </c>
      <c r="AK42" s="103">
        <f t="shared" si="0"/>
        <v>-1.0000000002037268E-3</v>
      </c>
      <c r="AL42" s="39"/>
      <c r="AM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27" t="s">
        <v>70</v>
      </c>
      <c r="B43" s="27" t="s">
        <v>84</v>
      </c>
      <c r="C43" s="63" t="s">
        <v>305</v>
      </c>
      <c r="D43" s="27" t="s">
        <v>123</v>
      </c>
      <c r="E43" s="27" t="s">
        <v>173</v>
      </c>
      <c r="F43" s="27"/>
      <c r="G43" s="28"/>
      <c r="H43" s="28"/>
      <c r="I43" s="30">
        <v>513.33000000000004</v>
      </c>
      <c r="J43" s="28">
        <v>513.33000000000004</v>
      </c>
      <c r="K43" s="30">
        <f>+I43+J43</f>
        <v>1026.6600000000001</v>
      </c>
      <c r="L43" s="30">
        <v>10859.46</v>
      </c>
      <c r="M43" s="30"/>
      <c r="N43" s="31"/>
      <c r="O43" s="31"/>
      <c r="P43" s="32"/>
      <c r="Q43" s="33">
        <f>SUM(K43:O43)-P43</f>
        <v>11886.119999999999</v>
      </c>
      <c r="R43" s="34"/>
      <c r="S43" s="45">
        <v>58.91</v>
      </c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>+Q43-SUM(R43:AA43)</f>
        <v>11827.21</v>
      </c>
      <c r="AC43" s="37">
        <f>IF(Q43&gt;3500,Q43*0.1,0)</f>
        <v>1188.6119999999999</v>
      </c>
      <c r="AD43" s="33">
        <f>+AB43-AC43</f>
        <v>10638.598</v>
      </c>
      <c r="AE43" s="38">
        <f>IF(Q43&lt;3500,Q43*0.1,0)</f>
        <v>0</v>
      </c>
      <c r="AF43" s="37">
        <v>10.23</v>
      </c>
      <c r="AG43" s="37">
        <f>+U43</f>
        <v>0</v>
      </c>
      <c r="AH43" s="67">
        <f>+Q43+AE43+AF43+AG43</f>
        <v>11896.349999999999</v>
      </c>
      <c r="AI43" s="145">
        <v>577.4</v>
      </c>
      <c r="AJ43" s="147">
        <v>10061.200000000001</v>
      </c>
      <c r="AK43" s="103">
        <f t="shared" si="0"/>
        <v>2.0000000004074536E-3</v>
      </c>
      <c r="AL43" s="39"/>
      <c r="AM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27" t="s">
        <v>71</v>
      </c>
      <c r="B44" s="27" t="s">
        <v>256</v>
      </c>
      <c r="C44" s="27" t="s">
        <v>254</v>
      </c>
      <c r="D44" s="27" t="s">
        <v>152</v>
      </c>
      <c r="E44" s="27" t="s">
        <v>73</v>
      </c>
      <c r="F44" s="27"/>
      <c r="G44" s="28"/>
      <c r="H44" s="28"/>
      <c r="I44" s="30">
        <v>513.33000000000004</v>
      </c>
      <c r="J44" s="28">
        <v>513.33000000000004</v>
      </c>
      <c r="K44" s="30">
        <f>+I44+J44</f>
        <v>1026.6600000000001</v>
      </c>
      <c r="L44" s="30">
        <v>7585.4</v>
      </c>
      <c r="M44" s="30"/>
      <c r="N44" s="31"/>
      <c r="O44" s="31"/>
      <c r="P44" s="32"/>
      <c r="Q44" s="33">
        <f>SUM(K44:O44)-P44</f>
        <v>8612.06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>+Q44-SUM(R44:AA44)</f>
        <v>8612.06</v>
      </c>
      <c r="AC44" s="37">
        <f>IF(Q44&gt;3500,Q44*0.1,0)</f>
        <v>861.20600000000002</v>
      </c>
      <c r="AD44" s="33">
        <f>+AB44-AC44</f>
        <v>7750.8539999999994</v>
      </c>
      <c r="AE44" s="38">
        <f>IF(Q44&lt;3500,Q44*0.1,0)</f>
        <v>0</v>
      </c>
      <c r="AF44" s="37">
        <v>10.23</v>
      </c>
      <c r="AG44" s="37">
        <f>+U44</f>
        <v>0</v>
      </c>
      <c r="AH44" s="67">
        <f>+Q44+AE44+AF44+AG44</f>
        <v>8622.2899999999991</v>
      </c>
      <c r="AI44" s="103"/>
      <c r="AJ44" s="103"/>
      <c r="AK44" s="103">
        <f t="shared" si="0"/>
        <v>-7750.8539999999994</v>
      </c>
      <c r="AL44" s="39"/>
      <c r="AM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 s="39" customFormat="1">
      <c r="A45" s="27" t="s">
        <v>71</v>
      </c>
      <c r="B45" s="27" t="s">
        <v>262</v>
      </c>
      <c r="C45" s="27"/>
      <c r="D45" s="27" t="s">
        <v>154</v>
      </c>
      <c r="E45" s="27" t="s">
        <v>73</v>
      </c>
      <c r="F45" s="27"/>
      <c r="G45" s="28"/>
      <c r="H45" s="28"/>
      <c r="I45" s="30">
        <v>513.33000000000004</v>
      </c>
      <c r="J45" s="28">
        <v>513.33000000000004</v>
      </c>
      <c r="K45" s="30">
        <f>+I45+J45</f>
        <v>1026.6600000000001</v>
      </c>
      <c r="L45" s="30">
        <v>16501.650000000001</v>
      </c>
      <c r="M45" s="30"/>
      <c r="N45" s="31"/>
      <c r="O45" s="31"/>
      <c r="P45" s="32"/>
      <c r="Q45" s="33">
        <f>SUM(K45:O45)-P45</f>
        <v>17528.310000000001</v>
      </c>
      <c r="R45" s="34"/>
      <c r="S45" s="45"/>
      <c r="T45" s="45">
        <v>0</v>
      </c>
      <c r="U45" s="45"/>
      <c r="V45" s="45"/>
      <c r="W45" s="45"/>
      <c r="X45" s="36"/>
      <c r="Y45" s="36"/>
      <c r="Z45" s="35"/>
      <c r="AA45" s="35">
        <v>0</v>
      </c>
      <c r="AB45" s="33">
        <f>+Q45-SUM(R45:AA45)</f>
        <v>17528.310000000001</v>
      </c>
      <c r="AC45" s="37">
        <f>IF(Q45&gt;3500,Q45*0.1,0)</f>
        <v>1752.8310000000001</v>
      </c>
      <c r="AD45" s="33">
        <f>+AB45-AC45</f>
        <v>15775.479000000001</v>
      </c>
      <c r="AE45" s="38">
        <f>IF(Q45&lt;3500,Q45*0.1,0)</f>
        <v>0</v>
      </c>
      <c r="AF45" s="37">
        <v>10.23</v>
      </c>
      <c r="AG45" s="37">
        <f>+U45</f>
        <v>0</v>
      </c>
      <c r="AH45" s="67">
        <f>+Q45+AE45+AF45+AG45</f>
        <v>17538.54</v>
      </c>
      <c r="AI45" s="145">
        <v>577.20000000000005</v>
      </c>
      <c r="AJ45" s="147">
        <v>15198.28</v>
      </c>
      <c r="AK45" s="103">
        <f t="shared" si="0"/>
        <v>1.0000000002037268E-3</v>
      </c>
    </row>
    <row r="46" spans="1:193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543.20000000000005</v>
      </c>
      <c r="J46" s="28"/>
      <c r="K46" s="30">
        <f>+I46+J46</f>
        <v>543.20000000000005</v>
      </c>
      <c r="L46" s="30">
        <f>216.6+27.94</f>
        <v>244.54</v>
      </c>
      <c r="M46" s="30"/>
      <c r="N46" s="31"/>
      <c r="O46" s="31"/>
      <c r="P46" s="32"/>
      <c r="Q46" s="33">
        <f>SUM(K46:O46)-P46</f>
        <v>787.74</v>
      </c>
      <c r="R46" s="34"/>
      <c r="S46" s="45"/>
      <c r="T46" s="75">
        <v>100</v>
      </c>
      <c r="U46" s="75">
        <f>Q46*4.9%</f>
        <v>38.599260000000001</v>
      </c>
      <c r="V46" s="75">
        <f>Q46*1%</f>
        <v>7.8774000000000006</v>
      </c>
      <c r="W46" s="45"/>
      <c r="X46" s="36"/>
      <c r="Y46" s="36"/>
      <c r="Z46" s="35"/>
      <c r="AA46" s="35">
        <v>0</v>
      </c>
      <c r="AB46" s="33">
        <f>+Q46-SUM(R46:AA46)</f>
        <v>641.26333999999997</v>
      </c>
      <c r="AC46" s="37">
        <f>IF(Q46&gt;3500,Q46*0.1,0)</f>
        <v>0</v>
      </c>
      <c r="AD46" s="33">
        <f>+AB46-AC46</f>
        <v>641.26333999999997</v>
      </c>
      <c r="AE46" s="38">
        <f>IF(Q46&lt;3500,Q46*0.1,0)</f>
        <v>78.774000000000001</v>
      </c>
      <c r="AF46" s="37">
        <v>10.23</v>
      </c>
      <c r="AG46" s="37">
        <f>+U46</f>
        <v>38.599260000000001</v>
      </c>
      <c r="AH46" s="67">
        <f>+Q46+AE46+AF46+AG46</f>
        <v>915.34325999999999</v>
      </c>
      <c r="AI46" s="145">
        <v>577.20000000000005</v>
      </c>
      <c r="AJ46" s="145">
        <v>64.06</v>
      </c>
      <c r="AK46" s="103">
        <f t="shared" si="0"/>
        <v>-3.3399999999801366E-3</v>
      </c>
      <c r="AL46" s="39"/>
      <c r="AM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>
      <c r="A47" s="62" t="s">
        <v>94</v>
      </c>
      <c r="B47" s="63" t="s">
        <v>264</v>
      </c>
      <c r="C47" s="63"/>
      <c r="D47" s="63" t="s">
        <v>265</v>
      </c>
      <c r="E47" s="27" t="s">
        <v>181</v>
      </c>
      <c r="F47" s="63"/>
      <c r="G47" s="63"/>
      <c r="H47" s="63"/>
      <c r="I47" s="53">
        <v>608.16</v>
      </c>
      <c r="J47" s="63"/>
      <c r="K47" s="53">
        <f>+I47+J47</f>
        <v>608.16</v>
      </c>
      <c r="L47" s="53">
        <f>2651.88+2.59</f>
        <v>2654.4700000000003</v>
      </c>
      <c r="M47" s="53"/>
      <c r="N47" s="53"/>
      <c r="O47" s="53"/>
      <c r="P47" s="73"/>
      <c r="Q47" s="33">
        <f>SUM(K47:O47)-P47</f>
        <v>3262.63</v>
      </c>
      <c r="R47" s="34"/>
      <c r="S47" s="45"/>
      <c r="T47" s="45">
        <v>0</v>
      </c>
      <c r="U47" s="75">
        <f>Q47*4.9%</f>
        <v>159.86887000000002</v>
      </c>
      <c r="V47" s="75">
        <f>Q47*1%</f>
        <v>32.626300000000001</v>
      </c>
      <c r="W47" s="45"/>
      <c r="X47" s="36"/>
      <c r="Y47" s="36"/>
      <c r="Z47" s="35"/>
      <c r="AA47" s="35">
        <v>0</v>
      </c>
      <c r="AB47" s="33">
        <f>+Q47-SUM(R47:AA47)</f>
        <v>3070.13483</v>
      </c>
      <c r="AC47" s="37">
        <f>IF(Q47&gt;3500,Q47*0.1,0)</f>
        <v>0</v>
      </c>
      <c r="AD47" s="33">
        <f>+AB47-AC47</f>
        <v>3070.13483</v>
      </c>
      <c r="AE47" s="38">
        <f>IF(Q47&lt;3500,Q47*0.1,0)</f>
        <v>326.26300000000003</v>
      </c>
      <c r="AF47" s="37">
        <v>10.23</v>
      </c>
      <c r="AG47" s="37">
        <f>+U47</f>
        <v>159.86887000000002</v>
      </c>
      <c r="AH47" s="67">
        <f>+Q47+AE47+AF47+AG47</f>
        <v>3758.9918699999998</v>
      </c>
      <c r="AI47" s="145">
        <v>408.96</v>
      </c>
      <c r="AJ47" s="147">
        <v>2661.17</v>
      </c>
      <c r="AK47" s="103">
        <f t="shared" si="0"/>
        <v>-4.8299999998562271E-3</v>
      </c>
      <c r="AL47" s="39">
        <v>2948910731</v>
      </c>
      <c r="AM47" s="26"/>
    </row>
    <row r="48" spans="1:193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>+I48+J48</f>
        <v>608.16</v>
      </c>
      <c r="L48" s="30">
        <f>1822.54+2.97+87.4</f>
        <v>1912.91</v>
      </c>
      <c r="M48" s="30"/>
      <c r="N48" s="31"/>
      <c r="O48" s="31"/>
      <c r="P48" s="32"/>
      <c r="Q48" s="33">
        <f>SUM(K48:O48)-P48</f>
        <v>2521.0700000000002</v>
      </c>
      <c r="R48" s="34"/>
      <c r="S48" s="45"/>
      <c r="T48" s="45"/>
      <c r="U48" s="75">
        <f>Q48*4.9%</f>
        <v>123.53243000000002</v>
      </c>
      <c r="V48" s="75">
        <f>Q48*1%</f>
        <v>25.210700000000003</v>
      </c>
      <c r="W48" s="45"/>
      <c r="X48" s="36"/>
      <c r="Y48" s="36"/>
      <c r="Z48" s="35"/>
      <c r="AA48" s="35">
        <v>0</v>
      </c>
      <c r="AB48" s="33">
        <f>+Q48-SUM(R48:AA48)</f>
        <v>2372.3268700000003</v>
      </c>
      <c r="AC48" s="37">
        <f>IF(Q48&gt;3500,Q48*0.1,0)</f>
        <v>0</v>
      </c>
      <c r="AD48" s="33">
        <f>+AB48-AC48</f>
        <v>2372.3268700000003</v>
      </c>
      <c r="AE48" s="38">
        <f>IF(Q48&lt;3500,Q48*0.1,0)</f>
        <v>252.10700000000003</v>
      </c>
      <c r="AF48" s="37">
        <v>10.23</v>
      </c>
      <c r="AG48" s="37">
        <f>+U48</f>
        <v>123.53243000000002</v>
      </c>
      <c r="AH48" s="67">
        <f>+Q48+AE48+AF48+AG48</f>
        <v>2906.9394300000004</v>
      </c>
      <c r="AI48" s="145">
        <v>577.20000000000005</v>
      </c>
      <c r="AJ48" s="147">
        <v>1795.13</v>
      </c>
      <c r="AK48" s="103">
        <f t="shared" si="0"/>
        <v>3.129999999600841E-3</v>
      </c>
      <c r="AL48" s="39"/>
      <c r="AM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>+I49+J49</f>
        <v>739.23</v>
      </c>
      <c r="L49" s="30">
        <f>2881.77+13.09+117.1</f>
        <v>3011.96</v>
      </c>
      <c r="M49" s="30"/>
      <c r="N49" s="30"/>
      <c r="O49" s="30"/>
      <c r="P49" s="32"/>
      <c r="Q49" s="33">
        <f>SUM(K49:O49)-P49</f>
        <v>3751.19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>+Q49-SUM(R49:AA49)</f>
        <v>3751.19</v>
      </c>
      <c r="AC49" s="37">
        <f>IF(Q49&gt;3500,Q49*0.1,0)</f>
        <v>375.11900000000003</v>
      </c>
      <c r="AD49" s="33">
        <f>+AB49-AC49</f>
        <v>3376.0709999999999</v>
      </c>
      <c r="AE49" s="38">
        <f>IF(Q49&lt;3500,Q49*0.1,0)</f>
        <v>0</v>
      </c>
      <c r="AF49" s="37">
        <v>10.23</v>
      </c>
      <c r="AG49" s="37">
        <f>+U49</f>
        <v>0</v>
      </c>
      <c r="AH49" s="67">
        <f>+Q49+AE49+AF49+AG49</f>
        <v>3761.42</v>
      </c>
      <c r="AI49" s="145">
        <v>577.4</v>
      </c>
      <c r="AJ49" s="147">
        <v>2798.67</v>
      </c>
      <c r="AK49" s="103">
        <f t="shared" si="0"/>
        <v>-9.9999999974897946E-4</v>
      </c>
      <c r="AL49" s="39"/>
      <c r="AM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>+I50+J50</f>
        <v>739.23</v>
      </c>
      <c r="L50" s="53">
        <f>1373.77+7.42+87.38</f>
        <v>1468.5700000000002</v>
      </c>
      <c r="M50" s="53"/>
      <c r="N50" s="53"/>
      <c r="O50" s="53"/>
      <c r="P50" s="32"/>
      <c r="Q50" s="33">
        <f>SUM(K50:O50)-P50</f>
        <v>2207.8000000000002</v>
      </c>
      <c r="R50" s="34"/>
      <c r="S50" s="45"/>
      <c r="T50" s="45">
        <v>0</v>
      </c>
      <c r="U50" s="45"/>
      <c r="V50" s="75">
        <f>Q50*1%</f>
        <v>22.078000000000003</v>
      </c>
      <c r="W50" s="45"/>
      <c r="X50" s="36"/>
      <c r="Y50" s="36"/>
      <c r="Z50" s="35"/>
      <c r="AA50" s="35">
        <v>0</v>
      </c>
      <c r="AB50" s="59">
        <f>+Q50-SUM(R50:AA50)</f>
        <v>2185.7220000000002</v>
      </c>
      <c r="AC50" s="37">
        <f>IF(Q50&gt;3500,Q50*0.1,0)</f>
        <v>0</v>
      </c>
      <c r="AD50" s="33">
        <f>+AB50-AC50</f>
        <v>2185.7220000000002</v>
      </c>
      <c r="AE50" s="38">
        <f>IF(Q50&lt;3500,Q50*0.1,0)</f>
        <v>220.78000000000003</v>
      </c>
      <c r="AF50" s="37">
        <v>10.23</v>
      </c>
      <c r="AG50" s="37">
        <f>+U50</f>
        <v>0</v>
      </c>
      <c r="AH50" s="67">
        <f>+Q50+AE50+AF50+AG50</f>
        <v>2438.8100000000004</v>
      </c>
      <c r="AI50" s="145">
        <v>577.26</v>
      </c>
      <c r="AJ50" s="147">
        <v>1608.52</v>
      </c>
      <c r="AK50" s="103">
        <f t="shared" si="0"/>
        <v>5.7999999999537977E-2</v>
      </c>
      <c r="AL50" s="39">
        <v>1296641458</v>
      </c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>
      <c r="A51" s="63" t="s">
        <v>93</v>
      </c>
      <c r="B51" s="63" t="s">
        <v>200</v>
      </c>
      <c r="C51" s="63"/>
      <c r="D51" s="63"/>
      <c r="E51" s="63" t="s">
        <v>171</v>
      </c>
      <c r="F51" s="72">
        <v>42413</v>
      </c>
      <c r="G51" s="63"/>
      <c r="H51" s="63"/>
      <c r="I51" s="30">
        <v>577.38</v>
      </c>
      <c r="J51" s="106">
        <v>939.29</v>
      </c>
      <c r="K51" s="53">
        <f>+I51+J51</f>
        <v>1516.67</v>
      </c>
      <c r="L51" s="53"/>
      <c r="M51" s="53"/>
      <c r="N51" s="53"/>
      <c r="O51" s="53"/>
      <c r="P51" s="73"/>
      <c r="Q51" s="33">
        <f>SUM(K51:O51)-P51</f>
        <v>1516.67</v>
      </c>
      <c r="R51" s="34"/>
      <c r="S51" s="45"/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>+Q51-SUM(R51:AA51)</f>
        <v>1516.67</v>
      </c>
      <c r="AC51" s="37">
        <f>IF(Q51&gt;3500,Q51*0.1,0)</f>
        <v>0</v>
      </c>
      <c r="AD51" s="33">
        <f>+AB51-AC51</f>
        <v>1516.67</v>
      </c>
      <c r="AE51" s="38">
        <f>IF(Q51&lt;3500,Q51*0.1,0)</f>
        <v>151.667</v>
      </c>
      <c r="AF51" s="37">
        <v>10.23</v>
      </c>
      <c r="AG51" s="37">
        <f>+U51</f>
        <v>0</v>
      </c>
      <c r="AH51" s="67">
        <f>+Q51+AE51+AF51+AG51</f>
        <v>1678.567</v>
      </c>
      <c r="AI51" s="145">
        <v>577.4</v>
      </c>
      <c r="AJ51" s="145">
        <v>939.27</v>
      </c>
      <c r="AK51" s="103">
        <f t="shared" si="0"/>
        <v>0</v>
      </c>
      <c r="AL51" s="39" t="s">
        <v>289</v>
      </c>
      <c r="AM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>
      <c r="A52" s="27" t="s">
        <v>71</v>
      </c>
      <c r="B52" s="27" t="s">
        <v>88</v>
      </c>
      <c r="C52" s="27" t="s">
        <v>254</v>
      </c>
      <c r="D52" s="27" t="s">
        <v>153</v>
      </c>
      <c r="E52" s="27" t="s">
        <v>73</v>
      </c>
      <c r="F52" s="27"/>
      <c r="G52" s="28"/>
      <c r="H52" s="28"/>
      <c r="I52" s="30">
        <v>513.33000000000004</v>
      </c>
      <c r="J52" s="28">
        <v>513.33000000000004</v>
      </c>
      <c r="K52" s="30">
        <f>+I52+J52</f>
        <v>1026.6600000000001</v>
      </c>
      <c r="L52" s="30"/>
      <c r="M52" s="30"/>
      <c r="N52" s="31"/>
      <c r="O52" s="31"/>
      <c r="P52" s="32"/>
      <c r="Q52" s="33">
        <f>SUM(K52:O52)-P52</f>
        <v>1026.6600000000001</v>
      </c>
      <c r="R52" s="34"/>
      <c r="S52" s="45">
        <v>58.91</v>
      </c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>+Q52-SUM(R52:AA52)</f>
        <v>967.75000000000011</v>
      </c>
      <c r="AC52" s="37">
        <f>IF(Q52&gt;3500,Q52*0.1,0)</f>
        <v>0</v>
      </c>
      <c r="AD52" s="33">
        <f>+AB52-AC52</f>
        <v>967.75000000000011</v>
      </c>
      <c r="AE52" s="38">
        <f>IF(Q52&lt;3500,Q52*0.1,0)</f>
        <v>102.66600000000001</v>
      </c>
      <c r="AF52" s="37">
        <v>10.23</v>
      </c>
      <c r="AG52" s="37">
        <f>+U52</f>
        <v>0</v>
      </c>
      <c r="AH52" s="67">
        <f>+Q52+AE52+AF52+AG52</f>
        <v>1139.556</v>
      </c>
      <c r="AI52" s="145">
        <v>577.4</v>
      </c>
      <c r="AJ52" s="145">
        <v>390.35</v>
      </c>
      <c r="AK52" s="103">
        <f t="shared" si="0"/>
        <v>0</v>
      </c>
      <c r="AL52" s="39"/>
      <c r="AM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27" t="s">
        <v>71</v>
      </c>
      <c r="B53" s="27" t="s">
        <v>221</v>
      </c>
      <c r="C53" s="27" t="s">
        <v>251</v>
      </c>
      <c r="D53" s="27">
        <v>30</v>
      </c>
      <c r="E53" s="27" t="s">
        <v>73</v>
      </c>
      <c r="F53" s="27"/>
      <c r="G53" s="28"/>
      <c r="H53" s="28"/>
      <c r="I53" s="53">
        <v>513.33000000000004</v>
      </c>
      <c r="J53" s="28">
        <v>513.33000000000004</v>
      </c>
      <c r="K53" s="30">
        <f>+I53+J53</f>
        <v>1026.6600000000001</v>
      </c>
      <c r="L53" s="30">
        <v>9060.99</v>
      </c>
      <c r="M53" s="30"/>
      <c r="N53" s="31"/>
      <c r="O53" s="31"/>
      <c r="P53" s="32"/>
      <c r="Q53" s="33">
        <f>SUM(K53:O53)-P53</f>
        <v>10087.65</v>
      </c>
      <c r="R53" s="34"/>
      <c r="S53" s="45"/>
      <c r="T53" s="45">
        <v>0</v>
      </c>
      <c r="U53" s="45"/>
      <c r="V53" s="45"/>
      <c r="W53" s="45"/>
      <c r="X53" s="36"/>
      <c r="Y53" s="36"/>
      <c r="Z53" s="35"/>
      <c r="AA53" s="35">
        <v>0</v>
      </c>
      <c r="AB53" s="33">
        <f>+Q53-SUM(R53:AA53)</f>
        <v>10087.65</v>
      </c>
      <c r="AC53" s="37">
        <f>IF(Q53&gt;3500,Q53*0.1,0)</f>
        <v>1008.765</v>
      </c>
      <c r="AD53" s="33">
        <f>+AB53-AC53</f>
        <v>9078.8850000000002</v>
      </c>
      <c r="AE53" s="38">
        <f>IF(Q53&lt;3500,Q53*0.1,0)</f>
        <v>0</v>
      </c>
      <c r="AF53" s="37">
        <v>10.23</v>
      </c>
      <c r="AG53" s="37">
        <f>+U53</f>
        <v>0</v>
      </c>
      <c r="AH53" s="67">
        <f>+Q53+AE53+AF53+AG53</f>
        <v>10097.879999999999</v>
      </c>
      <c r="AI53" s="145">
        <v>577.20000000000005</v>
      </c>
      <c r="AJ53" s="147">
        <v>8501.69</v>
      </c>
      <c r="AK53" s="103">
        <f t="shared" si="0"/>
        <v>5.0000000010186341E-3</v>
      </c>
      <c r="AL53" s="39"/>
      <c r="AM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27" t="s">
        <v>71</v>
      </c>
      <c r="B54" s="27" t="s">
        <v>216</v>
      </c>
      <c r="C54" s="27" t="s">
        <v>249</v>
      </c>
      <c r="D54" s="27" t="s">
        <v>155</v>
      </c>
      <c r="E54" s="27" t="s">
        <v>73</v>
      </c>
      <c r="F54" s="68">
        <v>42408</v>
      </c>
      <c r="G54" s="28"/>
      <c r="H54" s="28"/>
      <c r="I54" s="30">
        <v>513.33000000000004</v>
      </c>
      <c r="J54" s="28">
        <v>653.33000000000004</v>
      </c>
      <c r="K54" s="30">
        <f>+I54+J54</f>
        <v>1166.6600000000001</v>
      </c>
      <c r="L54" s="30">
        <f>7582.93+2957.92</f>
        <v>10540.85</v>
      </c>
      <c r="M54" s="30"/>
      <c r="N54" s="31"/>
      <c r="O54" s="31"/>
      <c r="P54" s="32"/>
      <c r="Q54" s="33">
        <f>SUM(K54:O54)-P54</f>
        <v>11707.51</v>
      </c>
      <c r="R54" s="34"/>
      <c r="S54" s="45"/>
      <c r="T54" s="45">
        <v>0</v>
      </c>
      <c r="U54" s="45"/>
      <c r="V54" s="45"/>
      <c r="W54" s="45"/>
      <c r="X54" s="36"/>
      <c r="Y54" s="36"/>
      <c r="Z54" s="90"/>
      <c r="AA54" s="90">
        <v>875.69</v>
      </c>
      <c r="AB54" s="33">
        <f>+Q54-SUM(R54:AA54)</f>
        <v>10831.82</v>
      </c>
      <c r="AC54" s="37">
        <f>IF(Q54&gt;3500,Q54*0.1,0)</f>
        <v>1170.751</v>
      </c>
      <c r="AD54" s="33">
        <f>+AB54-AC54</f>
        <v>9661.0689999999995</v>
      </c>
      <c r="AE54" s="38">
        <f>IF(Q54&lt;3500,Q54*0.1,0)</f>
        <v>0</v>
      </c>
      <c r="AF54" s="37">
        <v>10.23</v>
      </c>
      <c r="AG54" s="37">
        <f>+U54</f>
        <v>0</v>
      </c>
      <c r="AH54" s="67">
        <f>+Q54+AE54+AF54+AG54</f>
        <v>11717.74</v>
      </c>
      <c r="AI54" s="145">
        <v>577.20000000000005</v>
      </c>
      <c r="AJ54" s="147">
        <v>9083.8700000000008</v>
      </c>
      <c r="AK54" s="103">
        <f t="shared" si="0"/>
        <v>1.0000000020227162E-3</v>
      </c>
      <c r="AL54" s="39"/>
      <c r="AM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s="122" customFormat="1">
      <c r="A55" s="27" t="s">
        <v>70</v>
      </c>
      <c r="B55" s="27" t="s">
        <v>225</v>
      </c>
      <c r="C55" s="63" t="s">
        <v>305</v>
      </c>
      <c r="D55" s="27" t="s">
        <v>124</v>
      </c>
      <c r="E55" s="27" t="s">
        <v>173</v>
      </c>
      <c r="F55" s="68">
        <v>42352</v>
      </c>
      <c r="G55" s="28"/>
      <c r="H55" s="28"/>
      <c r="I55" s="30">
        <v>513.33000000000004</v>
      </c>
      <c r="J55" s="28">
        <v>653.33000000000004</v>
      </c>
      <c r="K55" s="30">
        <f>+I55+J55</f>
        <v>1166.6600000000001</v>
      </c>
      <c r="L55" s="30">
        <v>1751.12</v>
      </c>
      <c r="M55" s="30"/>
      <c r="N55" s="31"/>
      <c r="O55" s="31"/>
      <c r="P55" s="32"/>
      <c r="Q55" s="33">
        <f>SUM(K55:O55)-P55</f>
        <v>2917.7799999999997</v>
      </c>
      <c r="R55" s="34"/>
      <c r="S55" s="45"/>
      <c r="T55" s="45">
        <v>0</v>
      </c>
      <c r="U55" s="45"/>
      <c r="V55" s="45"/>
      <c r="W55" s="45"/>
      <c r="X55" s="36"/>
      <c r="Y55" s="36"/>
      <c r="Z55" s="35"/>
      <c r="AA55" s="35">
        <v>0</v>
      </c>
      <c r="AB55" s="33">
        <f>+Q55-SUM(R55:AA55)</f>
        <v>2917.7799999999997</v>
      </c>
      <c r="AC55" s="37">
        <f>IF(Q55&gt;3500,Q55*0.1,0)</f>
        <v>0</v>
      </c>
      <c r="AD55" s="33">
        <f>+AB55-AC55</f>
        <v>2917.7799999999997</v>
      </c>
      <c r="AE55" s="38">
        <f>IF(Q55&lt;3500,Q55*0.1,0)</f>
        <v>291.77799999999996</v>
      </c>
      <c r="AF55" s="37">
        <v>10.23</v>
      </c>
      <c r="AG55" s="37">
        <f>+U55</f>
        <v>0</v>
      </c>
      <c r="AH55" s="67">
        <f>+Q55+AE55+AF55+AG55</f>
        <v>3219.7879999999996</v>
      </c>
      <c r="AI55" s="145">
        <v>45</v>
      </c>
      <c r="AJ55" s="147">
        <v>2340.4699999999998</v>
      </c>
      <c r="AK55" s="103">
        <f t="shared" si="0"/>
        <v>-532.30999999999995</v>
      </c>
      <c r="AL55" s="39"/>
      <c r="AM55" s="39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</row>
    <row r="56" spans="1:193" s="84" customFormat="1">
      <c r="A56" s="62" t="s">
        <v>94</v>
      </c>
      <c r="B56" s="63" t="s">
        <v>302</v>
      </c>
      <c r="C56" s="63"/>
      <c r="D56" s="111"/>
      <c r="E56" s="63" t="s">
        <v>174</v>
      </c>
      <c r="F56" s="72">
        <v>42430</v>
      </c>
      <c r="G56" s="63"/>
      <c r="H56" s="63"/>
      <c r="I56" s="53">
        <v>608.16</v>
      </c>
      <c r="J56" s="63"/>
      <c r="K56" s="53">
        <f>+I56+J56</f>
        <v>608.16</v>
      </c>
      <c r="L56" s="53">
        <f>548+22.68</f>
        <v>570.67999999999995</v>
      </c>
      <c r="M56" s="53"/>
      <c r="N56" s="53"/>
      <c r="O56" s="53"/>
      <c r="P56" s="73"/>
      <c r="Q56" s="33">
        <f>SUM(K56:O56)-P56</f>
        <v>1178.8399999999999</v>
      </c>
      <c r="R56" s="34"/>
      <c r="S56" s="45"/>
      <c r="T56" s="45"/>
      <c r="U56" s="45"/>
      <c r="V56" s="45"/>
      <c r="W56" s="45"/>
      <c r="X56" s="36"/>
      <c r="Y56" s="36"/>
      <c r="Z56" s="35"/>
      <c r="AA56" s="35">
        <v>0</v>
      </c>
      <c r="AB56" s="33">
        <f>+Q56-SUM(R56:AA56)</f>
        <v>1178.8399999999999</v>
      </c>
      <c r="AC56" s="37">
        <f>IF(Q56&gt;3500,Q56*0.1,0)</f>
        <v>0</v>
      </c>
      <c r="AD56" s="33">
        <f>+AB56-AC56</f>
        <v>1178.8399999999999</v>
      </c>
      <c r="AE56" s="38">
        <f>IF(Q56&lt;3500,Q56*0.1,0)</f>
        <v>117.884</v>
      </c>
      <c r="AF56" s="37">
        <v>10.23</v>
      </c>
      <c r="AG56" s="37">
        <f>+U56</f>
        <v>0</v>
      </c>
      <c r="AH56" s="67">
        <f>+Q56+AE56+AF56+AG56</f>
        <v>1306.954</v>
      </c>
      <c r="AI56" s="145">
        <v>577.20000000000005</v>
      </c>
      <c r="AJ56" s="145">
        <v>601.64</v>
      </c>
      <c r="AK56" s="103">
        <f t="shared" si="0"/>
        <v>0</v>
      </c>
      <c r="AL56" s="39"/>
      <c r="AM56"/>
      <c r="AN56" s="61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 s="84" customFormat="1">
      <c r="A57" s="117" t="s">
        <v>71</v>
      </c>
      <c r="B57" s="117" t="s">
        <v>285</v>
      </c>
      <c r="C57" s="117"/>
      <c r="D57" s="117"/>
      <c r="E57" s="117" t="s">
        <v>73</v>
      </c>
      <c r="F57" s="124">
        <v>42055</v>
      </c>
      <c r="G57" s="117"/>
      <c r="H57" s="117"/>
      <c r="I57" s="118">
        <v>0</v>
      </c>
      <c r="J57" s="117">
        <v>0</v>
      </c>
      <c r="K57" s="118">
        <f>+I57+J57</f>
        <v>0</v>
      </c>
      <c r="L57" s="118"/>
      <c r="M57" s="118"/>
      <c r="N57" s="118"/>
      <c r="O57" s="118"/>
      <c r="P57" s="118"/>
      <c r="Q57" s="119">
        <f>SUM(K57:O57)-P57</f>
        <v>0</v>
      </c>
      <c r="R57" s="118"/>
      <c r="S57" s="118"/>
      <c r="T57" s="118">
        <v>0</v>
      </c>
      <c r="U57" s="118"/>
      <c r="V57" s="118"/>
      <c r="W57" s="118"/>
      <c r="X57" s="120"/>
      <c r="Y57" s="120"/>
      <c r="Z57" s="117"/>
      <c r="AA57" s="117">
        <v>0</v>
      </c>
      <c r="AB57" s="119">
        <f>+Q57-SUM(R57:AA57)</f>
        <v>0</v>
      </c>
      <c r="AC57" s="120">
        <f>IF(Q57&gt;3500,Q57*0.1,0)</f>
        <v>0</v>
      </c>
      <c r="AD57" s="119">
        <f>+AB57-AC57</f>
        <v>0</v>
      </c>
      <c r="AE57" s="120">
        <f>IF(Q57&lt;3500,Q57*0.1,0)</f>
        <v>0</v>
      </c>
      <c r="AF57" s="120">
        <v>0</v>
      </c>
      <c r="AG57" s="120">
        <f>+U57</f>
        <v>0</v>
      </c>
      <c r="AH57" s="119">
        <f>+Q57+AE57+AF57+AG57</f>
        <v>0</v>
      </c>
      <c r="AI57" s="121"/>
      <c r="AJ57" s="121"/>
      <c r="AK57" s="103">
        <f t="shared" si="0"/>
        <v>0</v>
      </c>
      <c r="AL57" s="122">
        <v>1905307865</v>
      </c>
      <c r="AM57" s="126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63" t="s">
        <v>94</v>
      </c>
      <c r="B58" s="63" t="s">
        <v>309</v>
      </c>
      <c r="C58" s="63"/>
      <c r="D58" s="63"/>
      <c r="E58" s="63" t="s">
        <v>174</v>
      </c>
      <c r="F58" s="72">
        <v>42444</v>
      </c>
      <c r="G58" s="63"/>
      <c r="H58" s="63"/>
      <c r="I58" s="53">
        <v>72.62</v>
      </c>
      <c r="J58" s="28"/>
      <c r="K58" s="53">
        <f>+I58+J58</f>
        <v>72.62</v>
      </c>
      <c r="L58" s="53"/>
      <c r="M58" s="53"/>
      <c r="N58" s="53"/>
      <c r="O58" s="53"/>
      <c r="P58" s="32"/>
      <c r="Q58" s="33">
        <f>SUM(K58:O58)-P58</f>
        <v>72.62</v>
      </c>
      <c r="R58" s="34"/>
      <c r="S58" s="45"/>
      <c r="T58" s="45"/>
      <c r="U58" s="45"/>
      <c r="V58" s="45"/>
      <c r="W58" s="45"/>
      <c r="X58" s="36"/>
      <c r="Y58" s="36"/>
      <c r="Z58" s="35"/>
      <c r="AA58" s="35"/>
      <c r="AB58" s="33">
        <f>+Q58-SUM(R58:AA58)</f>
        <v>72.62</v>
      </c>
      <c r="AC58" s="37"/>
      <c r="AD58" s="33">
        <f>+AB58-AC58</f>
        <v>72.62</v>
      </c>
      <c r="AE58" s="38">
        <f>IF(Q58&lt;3500,Q58*0.1,0)</f>
        <v>7.2620000000000005</v>
      </c>
      <c r="AF58" s="37">
        <v>10.23</v>
      </c>
      <c r="AG58" s="37">
        <f>+U58</f>
        <v>0</v>
      </c>
      <c r="AH58" s="67">
        <f>+Q58+AE58+AF58+AG58</f>
        <v>90.112000000000009</v>
      </c>
      <c r="AI58" s="103"/>
      <c r="AJ58" s="145">
        <v>72.62</v>
      </c>
      <c r="AK58" s="103">
        <f t="shared" si="0"/>
        <v>0</v>
      </c>
      <c r="AL58" s="39"/>
      <c r="AM58" s="123" t="s">
        <v>316</v>
      </c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63" t="s">
        <v>93</v>
      </c>
      <c r="B59" s="63" t="s">
        <v>303</v>
      </c>
      <c r="C59" s="63"/>
      <c r="D59" s="63" t="s">
        <v>304</v>
      </c>
      <c r="E59" s="63" t="s">
        <v>171</v>
      </c>
      <c r="F59" s="72"/>
      <c r="G59" s="63"/>
      <c r="H59" s="63"/>
      <c r="I59" s="53">
        <f>1237.24/15*7</f>
        <v>577.37866666666673</v>
      </c>
      <c r="J59" s="106">
        <v>1047.6199999999999</v>
      </c>
      <c r="K59" s="53">
        <f>+I59+J59</f>
        <v>1624.9986666666666</v>
      </c>
      <c r="L59" s="53"/>
      <c r="M59" s="53"/>
      <c r="N59" s="53"/>
      <c r="O59" s="53"/>
      <c r="P59" s="32"/>
      <c r="Q59" s="33">
        <f>SUM(K59:O59)-P59</f>
        <v>1624.9986666666666</v>
      </c>
      <c r="R59" s="34"/>
      <c r="S59" s="45"/>
      <c r="T59" s="45"/>
      <c r="U59" s="45"/>
      <c r="V59" s="45"/>
      <c r="W59" s="45"/>
      <c r="X59" s="36"/>
      <c r="Y59" s="36"/>
      <c r="Z59" s="35"/>
      <c r="AA59" s="35"/>
      <c r="AB59" s="33">
        <f>+Q59-SUM(R59:AA59)</f>
        <v>1624.9986666666666</v>
      </c>
      <c r="AC59" s="37">
        <f>IF(Q59&gt;3500,Q59*0.1,0)</f>
        <v>0</v>
      </c>
      <c r="AD59" s="33">
        <f>+AB59-AC59</f>
        <v>1624.9986666666666</v>
      </c>
      <c r="AE59" s="38">
        <f>IF(Q59&lt;3500,Q59*0.1,0)</f>
        <v>162.49986666666666</v>
      </c>
      <c r="AF59" s="37">
        <v>10.23</v>
      </c>
      <c r="AG59" s="37">
        <f>+U59</f>
        <v>0</v>
      </c>
      <c r="AH59" s="67">
        <f>+Q59+AE59+AF59+AG59</f>
        <v>1797.7285333333334</v>
      </c>
      <c r="AI59" s="145">
        <v>577.4</v>
      </c>
      <c r="AJ59" s="147">
        <v>1047.5999999999999</v>
      </c>
      <c r="AK59" s="103">
        <f t="shared" si="0"/>
        <v>1.3333333333775954E-3</v>
      </c>
      <c r="AL59" s="39"/>
      <c r="AM59" s="26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09" t="s">
        <v>71</v>
      </c>
      <c r="B60" s="109" t="s">
        <v>317</v>
      </c>
      <c r="C60" s="63" t="s">
        <v>305</v>
      </c>
      <c r="D60" s="109" t="s">
        <v>292</v>
      </c>
      <c r="E60" s="63" t="s">
        <v>173</v>
      </c>
      <c r="F60" s="27"/>
      <c r="G60" s="27"/>
      <c r="H60" s="27"/>
      <c r="I60" s="30">
        <v>1250</v>
      </c>
      <c r="J60" s="27"/>
      <c r="K60" s="30">
        <f>+I60+J60</f>
        <v>1250</v>
      </c>
      <c r="L60" s="80">
        <v>4000</v>
      </c>
      <c r="M60" s="30"/>
      <c r="N60" s="30"/>
      <c r="O60" s="30"/>
      <c r="P60" s="32"/>
      <c r="Q60" s="33">
        <f>SUM(K60:O60)-P60</f>
        <v>5250</v>
      </c>
      <c r="R60" s="34"/>
      <c r="S60" s="45"/>
      <c r="T60" s="45"/>
      <c r="U60" s="45"/>
      <c r="V60" s="45"/>
      <c r="W60" s="45"/>
      <c r="X60" s="36"/>
      <c r="Y60" s="36"/>
      <c r="Z60" s="35"/>
      <c r="AA60" s="35">
        <v>0</v>
      </c>
      <c r="AB60" s="33">
        <f>+Q60-SUM(R60:AA60)</f>
        <v>5250</v>
      </c>
      <c r="AC60" s="37">
        <f>IF(Q60&gt;3500,Q60*0.1,0)</f>
        <v>525</v>
      </c>
      <c r="AD60" s="33">
        <f>+AB60-AC60</f>
        <v>4725</v>
      </c>
      <c r="AE60" s="38">
        <f>IF(Q60&lt;3500,Q60*0.1,0)</f>
        <v>0</v>
      </c>
      <c r="AF60" s="37">
        <v>10.23</v>
      </c>
      <c r="AG60" s="37">
        <f>+U60</f>
        <v>0</v>
      </c>
      <c r="AH60" s="67">
        <f>+Q60+AE60+AF60+AG60</f>
        <v>5260.23</v>
      </c>
      <c r="AI60" s="145">
        <v>577.20000000000005</v>
      </c>
      <c r="AJ60" s="147">
        <v>4147.8</v>
      </c>
      <c r="AK60" s="103">
        <f t="shared" si="0"/>
        <v>0</v>
      </c>
      <c r="AL60" s="39"/>
      <c r="AM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27" t="s">
        <v>71</v>
      </c>
      <c r="B61" s="27" t="s">
        <v>263</v>
      </c>
      <c r="C61" s="27" t="s">
        <v>251</v>
      </c>
      <c r="D61" s="27" t="s">
        <v>156</v>
      </c>
      <c r="E61" s="27" t="s">
        <v>73</v>
      </c>
      <c r="F61" s="27"/>
      <c r="G61" s="28"/>
      <c r="H61" s="28"/>
      <c r="I61" s="30">
        <v>513.33000000000004</v>
      </c>
      <c r="J61" s="28">
        <v>513.33000000000004</v>
      </c>
      <c r="K61" s="30">
        <f>+I61+J61</f>
        <v>1026.6600000000001</v>
      </c>
      <c r="L61" s="30"/>
      <c r="M61" s="30"/>
      <c r="N61" s="31"/>
      <c r="O61" s="31"/>
      <c r="P61" s="32"/>
      <c r="Q61" s="33">
        <f>SUM(K61:O61)-P61</f>
        <v>1026.6600000000001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86.56</v>
      </c>
      <c r="AB61" s="33">
        <f>+Q61-SUM(R61:AA61)</f>
        <v>940.10000000000014</v>
      </c>
      <c r="AC61" s="37">
        <f>IF(Q61&gt;3500,Q61*0.1,0)</f>
        <v>0</v>
      </c>
      <c r="AD61" s="33">
        <f>+AB61-AC61</f>
        <v>940.10000000000014</v>
      </c>
      <c r="AE61" s="38">
        <f>IF(Q61&lt;3500,Q61*0.1,0)</f>
        <v>102.66600000000001</v>
      </c>
      <c r="AF61" s="37">
        <v>10.23</v>
      </c>
      <c r="AG61" s="37">
        <f>+U61</f>
        <v>0</v>
      </c>
      <c r="AH61" s="67">
        <f>+Q61+AE61+AF61+AG61</f>
        <v>1139.556</v>
      </c>
      <c r="AI61" s="145">
        <v>30.4</v>
      </c>
      <c r="AJ61" s="145">
        <v>449.25</v>
      </c>
      <c r="AK61" s="103">
        <f t="shared" si="0"/>
        <v>-460.45000000000016</v>
      </c>
      <c r="AL61" s="39"/>
      <c r="AM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27" t="s">
        <v>94</v>
      </c>
      <c r="B62" s="27" t="s">
        <v>243</v>
      </c>
      <c r="C62" s="27"/>
      <c r="D62" s="27" t="s">
        <v>134</v>
      </c>
      <c r="E62" s="27" t="s">
        <v>178</v>
      </c>
      <c r="F62" s="27"/>
      <c r="G62" s="28"/>
      <c r="H62" s="28"/>
      <c r="I62" s="30">
        <v>1100</v>
      </c>
      <c r="J62" s="28"/>
      <c r="K62" s="30">
        <f>+I62+J62</f>
        <v>1100</v>
      </c>
      <c r="L62" s="30">
        <f>205.3+41.62</f>
        <v>246.92000000000002</v>
      </c>
      <c r="M62" s="30"/>
      <c r="N62" s="31"/>
      <c r="O62" s="31"/>
      <c r="P62" s="32"/>
      <c r="Q62" s="33">
        <f>SUM(K62:O62)-P62</f>
        <v>1346.92</v>
      </c>
      <c r="R62" s="34"/>
      <c r="S62" s="45"/>
      <c r="T62" s="75">
        <f>+Q62*1%</f>
        <v>13.469200000000001</v>
      </c>
      <c r="U62" s="75">
        <f>+Q62*4.9%</f>
        <v>65.999080000000006</v>
      </c>
      <c r="V62" s="45"/>
      <c r="W62" s="45"/>
      <c r="X62" s="36"/>
      <c r="Y62" s="36"/>
      <c r="Z62" s="35"/>
      <c r="AA62" s="35">
        <v>0</v>
      </c>
      <c r="AB62" s="33">
        <f>+Q62-SUM(R62:AA62)</f>
        <v>1267.45172</v>
      </c>
      <c r="AC62" s="37">
        <f>IF(Q62&gt;3500,Q62*0.1,0)</f>
        <v>0</v>
      </c>
      <c r="AD62" s="33">
        <f>+AB62-AC62</f>
        <v>1267.45172</v>
      </c>
      <c r="AE62" s="38">
        <f>IF(Q62&lt;3500,Q62*0.1,0)</f>
        <v>134.69200000000001</v>
      </c>
      <c r="AF62" s="37">
        <v>10.23</v>
      </c>
      <c r="AG62" s="37">
        <f>+U62</f>
        <v>65.999080000000006</v>
      </c>
      <c r="AH62" s="67">
        <f>+Q62+AE62+AF62+AG62</f>
        <v>1557.8410800000001</v>
      </c>
      <c r="AI62" s="145">
        <v>577.4</v>
      </c>
      <c r="AJ62" s="145">
        <v>690.05</v>
      </c>
      <c r="AK62" s="103">
        <f t="shared" si="0"/>
        <v>-1.720000000204891E-3</v>
      </c>
      <c r="AL62" s="39"/>
      <c r="AM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62" t="s">
        <v>92</v>
      </c>
      <c r="B63" s="27" t="s">
        <v>77</v>
      </c>
      <c r="C63" s="27"/>
      <c r="D63" s="27" t="s">
        <v>103</v>
      </c>
      <c r="E63" s="27" t="s">
        <v>163</v>
      </c>
      <c r="F63" s="27"/>
      <c r="G63" s="27"/>
      <c r="H63" s="27"/>
      <c r="I63" s="30">
        <v>739.23</v>
      </c>
      <c r="J63" s="27"/>
      <c r="K63" s="30">
        <f>+I63+J63</f>
        <v>739.23</v>
      </c>
      <c r="L63" s="30">
        <f>1452.34+7.42+79.98</f>
        <v>1539.74</v>
      </c>
      <c r="M63" s="30"/>
      <c r="N63" s="30"/>
      <c r="O63" s="30"/>
      <c r="P63" s="32"/>
      <c r="Q63" s="33">
        <f>SUM(K63:O63)-P63</f>
        <v>2278.9700000000003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>+Q63-SUM(R63:AA63)</f>
        <v>2278.9700000000003</v>
      </c>
      <c r="AC63" s="37">
        <f>IF(Q63&gt;3500,Q63*0.1,0)</f>
        <v>0</v>
      </c>
      <c r="AD63" s="33">
        <f>+AB63-AC63</f>
        <v>2278.9700000000003</v>
      </c>
      <c r="AE63" s="38">
        <f>IF(Q63&lt;3500,Q63*0.1,0)</f>
        <v>227.89700000000005</v>
      </c>
      <c r="AF63" s="37">
        <v>10.23</v>
      </c>
      <c r="AG63" s="37">
        <f>+U63</f>
        <v>0</v>
      </c>
      <c r="AH63" s="67">
        <f>+Q63+AE63+AF63+AG63</f>
        <v>2517.0970000000002</v>
      </c>
      <c r="AI63" s="145">
        <v>577.4</v>
      </c>
      <c r="AJ63" s="147">
        <v>1701.57</v>
      </c>
      <c r="AK63" s="103">
        <f t="shared" si="0"/>
        <v>0</v>
      </c>
      <c r="AL63" s="39"/>
      <c r="AM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62" t="s">
        <v>94</v>
      </c>
      <c r="B64" s="27" t="s">
        <v>208</v>
      </c>
      <c r="C64" s="27"/>
      <c r="D64" s="27" t="s">
        <v>135</v>
      </c>
      <c r="E64" s="27" t="s">
        <v>179</v>
      </c>
      <c r="F64" s="27"/>
      <c r="G64" s="28"/>
      <c r="H64" s="28"/>
      <c r="I64" s="30">
        <v>608.16</v>
      </c>
      <c r="J64" s="28"/>
      <c r="K64" s="30">
        <f>+I64+J64</f>
        <v>608.16</v>
      </c>
      <c r="L64" s="30">
        <f>3771.64+3.71+105.06</f>
        <v>3880.41</v>
      </c>
      <c r="M64" s="30"/>
      <c r="N64" s="31"/>
      <c r="O64" s="31"/>
      <c r="P64" s="32"/>
      <c r="Q64" s="33">
        <f>SUM(K64:O64)-P64</f>
        <v>4488.57</v>
      </c>
      <c r="R64" s="34"/>
      <c r="S64" s="45"/>
      <c r="T64" s="45"/>
      <c r="U64" s="75">
        <f>Q64*4.9%</f>
        <v>219.93993</v>
      </c>
      <c r="V64" s="75">
        <f>Q64*1%</f>
        <v>44.8857</v>
      </c>
      <c r="W64" s="45"/>
      <c r="X64" s="36"/>
      <c r="Y64" s="36"/>
      <c r="Z64" s="35"/>
      <c r="AA64" s="35">
        <v>0</v>
      </c>
      <c r="AB64" s="33">
        <f>+Q64-SUM(R64:AA64)</f>
        <v>4223.7443699999994</v>
      </c>
      <c r="AC64" s="37">
        <f>IF(Q64&gt;3500,Q64*0.1,0)</f>
        <v>448.85699999999997</v>
      </c>
      <c r="AD64" s="33">
        <f>+AB64-AC64</f>
        <v>3774.8873699999995</v>
      </c>
      <c r="AE64" s="38">
        <f>IF(Q64&lt;3500,Q64*0.1,0)</f>
        <v>0</v>
      </c>
      <c r="AF64" s="37">
        <v>10.23</v>
      </c>
      <c r="AG64" s="37">
        <f>+U64</f>
        <v>219.93993</v>
      </c>
      <c r="AH64" s="67">
        <f>+Q64+AE64+AF64+AG64</f>
        <v>4718.7399299999997</v>
      </c>
      <c r="AI64" s="145">
        <v>577.4</v>
      </c>
      <c r="AJ64" s="147">
        <v>3197.49</v>
      </c>
      <c r="AK64" s="103">
        <f t="shared" si="0"/>
        <v>2.6300000004084723E-3</v>
      </c>
      <c r="AL64" s="39" t="s">
        <v>291</v>
      </c>
      <c r="AM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 s="39" customFormat="1">
      <c r="A65" s="62" t="s">
        <v>94</v>
      </c>
      <c r="B65" s="27" t="s">
        <v>199</v>
      </c>
      <c r="C65" s="27"/>
      <c r="D65" s="27" t="s">
        <v>136</v>
      </c>
      <c r="E65" s="27" t="s">
        <v>270</v>
      </c>
      <c r="F65" s="27"/>
      <c r="G65" s="28"/>
      <c r="H65" s="28"/>
      <c r="I65" s="30">
        <v>511.28</v>
      </c>
      <c r="J65" s="28"/>
      <c r="K65" s="30">
        <f>+I65+J65</f>
        <v>511.28</v>
      </c>
      <c r="L65" s="30">
        <f>1543.26+7.42+52.55</f>
        <v>1603.23</v>
      </c>
      <c r="M65" s="30"/>
      <c r="N65" s="31"/>
      <c r="O65" s="31"/>
      <c r="P65" s="32"/>
      <c r="Q65" s="33">
        <f>SUM(K65:O65)-P65</f>
        <v>2114.5100000000002</v>
      </c>
      <c r="R65" s="34"/>
      <c r="S65" s="45"/>
      <c r="T65" s="75">
        <v>100</v>
      </c>
      <c r="U65" s="75">
        <f>Q65*4.9%</f>
        <v>103.61099000000002</v>
      </c>
      <c r="V65" s="75">
        <f>Q65*1%</f>
        <v>21.145100000000003</v>
      </c>
      <c r="W65" s="45"/>
      <c r="X65" s="36"/>
      <c r="Y65" s="36"/>
      <c r="Z65" s="35"/>
      <c r="AA65" s="35">
        <v>0</v>
      </c>
      <c r="AB65" s="33">
        <f>+Q65-SUM(R65:AA65)</f>
        <v>1889.7539100000001</v>
      </c>
      <c r="AC65" s="37">
        <f>IF(Q65&gt;3500,Q65*0.1,0)</f>
        <v>0</v>
      </c>
      <c r="AD65" s="33">
        <f>+AB65-AC65</f>
        <v>1889.7539100000001</v>
      </c>
      <c r="AE65" s="38">
        <f>IF(Q65&lt;3500,Q65*0.1,0)</f>
        <v>211.45100000000002</v>
      </c>
      <c r="AF65" s="37">
        <v>10.23</v>
      </c>
      <c r="AG65" s="37">
        <f>+U65</f>
        <v>103.61099000000002</v>
      </c>
      <c r="AH65" s="67">
        <f>+Q65+AE65+AF65+AG65</f>
        <v>2439.8019900000004</v>
      </c>
      <c r="AI65" s="145">
        <v>577.4</v>
      </c>
      <c r="AJ65" s="147">
        <v>1312.35</v>
      </c>
      <c r="AK65" s="103">
        <f t="shared" si="0"/>
        <v>-3.9100000001326407E-3</v>
      </c>
    </row>
    <row r="66" spans="1:193">
      <c r="A66" s="27" t="s">
        <v>71</v>
      </c>
      <c r="B66" s="27" t="s">
        <v>287</v>
      </c>
      <c r="C66" s="27" t="s">
        <v>254</v>
      </c>
      <c r="D66" s="27" t="s">
        <v>157</v>
      </c>
      <c r="E66" s="27" t="s">
        <v>73</v>
      </c>
      <c r="F66" s="27"/>
      <c r="G66" s="28"/>
      <c r="H66" s="28"/>
      <c r="I66" s="30">
        <v>513.33000000000004</v>
      </c>
      <c r="J66" s="28">
        <v>513.33000000000004</v>
      </c>
      <c r="K66" s="30">
        <f>+I66+J66</f>
        <v>1026.6600000000001</v>
      </c>
      <c r="L66" s="30"/>
      <c r="M66" s="30"/>
      <c r="N66" s="31"/>
      <c r="O66" s="31"/>
      <c r="P66" s="32"/>
      <c r="Q66" s="33">
        <f>SUM(K66:O66)-P66</f>
        <v>1026.6600000000001</v>
      </c>
      <c r="R66" s="34"/>
      <c r="S66" s="45"/>
      <c r="T66" s="45">
        <v>0</v>
      </c>
      <c r="U66" s="45"/>
      <c r="V66" s="45"/>
      <c r="W66" s="45"/>
      <c r="X66" s="36"/>
      <c r="Y66" s="36"/>
      <c r="Z66" s="35"/>
      <c r="AA66" s="35">
        <v>0</v>
      </c>
      <c r="AB66" s="33">
        <f>+Q66-SUM(R66:AA66)</f>
        <v>1026.6600000000001</v>
      </c>
      <c r="AC66" s="37">
        <f>IF(Q66&gt;3500,Q66*0.1,0)</f>
        <v>0</v>
      </c>
      <c r="AD66" s="33">
        <f>+AB66-AC66</f>
        <v>1026.6600000000001</v>
      </c>
      <c r="AE66" s="38">
        <f>IF(Q66&lt;3500,Q66*0.1,0)</f>
        <v>102.66600000000001</v>
      </c>
      <c r="AF66" s="37">
        <v>10.23</v>
      </c>
      <c r="AG66" s="37">
        <f>+U66</f>
        <v>0</v>
      </c>
      <c r="AH66" s="67">
        <f>+Q66+AE66+AF66+AG66</f>
        <v>1139.556</v>
      </c>
      <c r="AI66" s="145">
        <v>577.4</v>
      </c>
      <c r="AJ66" s="145">
        <v>449.26</v>
      </c>
      <c r="AK66" s="103">
        <f t="shared" si="0"/>
        <v>0</v>
      </c>
      <c r="AL66" s="39"/>
      <c r="AM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</row>
    <row r="67" spans="1:193" s="84" customFormat="1">
      <c r="A67" s="62" t="s">
        <v>92</v>
      </c>
      <c r="B67" s="27" t="s">
        <v>78</v>
      </c>
      <c r="C67" s="27"/>
      <c r="D67" s="27" t="s">
        <v>104</v>
      </c>
      <c r="E67" s="27" t="s">
        <v>164</v>
      </c>
      <c r="F67" s="27"/>
      <c r="G67" s="27"/>
      <c r="H67" s="28"/>
      <c r="I67" s="30">
        <v>739.23</v>
      </c>
      <c r="J67" s="28"/>
      <c r="K67" s="30">
        <f>+I67+J67</f>
        <v>739.23</v>
      </c>
      <c r="L67" s="30">
        <f>2738.37+13.09+113.47</f>
        <v>2864.93</v>
      </c>
      <c r="M67" s="30"/>
      <c r="N67" s="42"/>
      <c r="O67" s="31"/>
      <c r="P67" s="32"/>
      <c r="Q67" s="33">
        <f>SUM(K67:O67)-P67</f>
        <v>3604.16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>+Q67-SUM(R67:AA67)</f>
        <v>3604.16</v>
      </c>
      <c r="AC67" s="37">
        <f>IF(Q67&gt;3500,Q67*0.1,0)</f>
        <v>360.416</v>
      </c>
      <c r="AD67" s="33">
        <f>+AB67-AC67</f>
        <v>3243.7439999999997</v>
      </c>
      <c r="AE67" s="38">
        <f>IF(Q67&lt;3500,Q67*0.1,0)</f>
        <v>0</v>
      </c>
      <c r="AF67" s="37">
        <v>10.23</v>
      </c>
      <c r="AG67" s="37">
        <f>+U67</f>
        <v>0</v>
      </c>
      <c r="AH67" s="67">
        <f>+Q67+AE67+AF67+AG67</f>
        <v>3614.39</v>
      </c>
      <c r="AI67" s="145">
        <v>577.4</v>
      </c>
      <c r="AJ67" s="147">
        <v>2666.34</v>
      </c>
      <c r="AK67" s="103">
        <f t="shared" si="0"/>
        <v>-3.9999999994506652E-3</v>
      </c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>
      <c r="A68" s="63" t="s">
        <v>71</v>
      </c>
      <c r="B68" s="63" t="s">
        <v>301</v>
      </c>
      <c r="C68" s="63" t="s">
        <v>305</v>
      </c>
      <c r="D68" s="63"/>
      <c r="E68" s="63" t="s">
        <v>173</v>
      </c>
      <c r="F68" s="72">
        <v>42430</v>
      </c>
      <c r="G68" s="63"/>
      <c r="H68" s="63"/>
      <c r="I68" s="53">
        <v>513.33000000000004</v>
      </c>
      <c r="J68" s="63">
        <v>653.33000000000004</v>
      </c>
      <c r="K68" s="53">
        <f>+I68+J68</f>
        <v>1166.6600000000001</v>
      </c>
      <c r="L68" s="53"/>
      <c r="M68" s="53"/>
      <c r="N68" s="116"/>
      <c r="O68" s="53"/>
      <c r="P68" s="73"/>
      <c r="Q68" s="33">
        <f>SUM(K68:O68)-P68</f>
        <v>1166.6600000000001</v>
      </c>
      <c r="R68" s="34"/>
      <c r="S68" s="45"/>
      <c r="T68" s="45">
        <v>0</v>
      </c>
      <c r="U68" s="45"/>
      <c r="V68" s="45"/>
      <c r="W68" s="45"/>
      <c r="X68" s="36"/>
      <c r="Y68" s="36"/>
      <c r="Z68" s="35"/>
      <c r="AA68" s="35">
        <v>0</v>
      </c>
      <c r="AB68" s="33">
        <f>+Q68-SUM(R68:AA68)</f>
        <v>1166.6600000000001</v>
      </c>
      <c r="AC68" s="37">
        <f>IF(Q68&gt;3500,Q68*0.1,0)</f>
        <v>0</v>
      </c>
      <c r="AD68" s="33">
        <f>+AB68-AC68</f>
        <v>1166.6600000000001</v>
      </c>
      <c r="AE68" s="38">
        <f>IF(Q68&lt;3500,Q68*0.1,0)</f>
        <v>116.66600000000001</v>
      </c>
      <c r="AF68" s="37">
        <v>10.23</v>
      </c>
      <c r="AG68" s="37">
        <f>+U68</f>
        <v>0</v>
      </c>
      <c r="AH68" s="67">
        <f>+Q68+AE68+AF68+AG68</f>
        <v>1293.556</v>
      </c>
      <c r="AI68" s="145">
        <v>577.4</v>
      </c>
      <c r="AJ68" s="145">
        <v>589.26</v>
      </c>
      <c r="AK68" s="103">
        <f t="shared" si="0"/>
        <v>0</v>
      </c>
      <c r="AL68" s="39"/>
      <c r="AM68" s="26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>
      <c r="A69" s="62" t="s">
        <v>92</v>
      </c>
      <c r="B69" s="27" t="s">
        <v>232</v>
      </c>
      <c r="C69" s="27"/>
      <c r="D69" s="27" t="s">
        <v>105</v>
      </c>
      <c r="E69" s="27" t="s">
        <v>163</v>
      </c>
      <c r="F69" s="27"/>
      <c r="G69" s="27"/>
      <c r="H69" s="28"/>
      <c r="I69" s="30">
        <v>739.23</v>
      </c>
      <c r="J69" s="28"/>
      <c r="K69" s="30">
        <f>+I69+J69</f>
        <v>739.23</v>
      </c>
      <c r="L69" s="30">
        <f>1057.32+2.97+118.11</f>
        <v>1178.3999999999999</v>
      </c>
      <c r="M69" s="30"/>
      <c r="N69" s="31"/>
      <c r="O69" s="31"/>
      <c r="P69" s="32"/>
      <c r="Q69" s="33">
        <f>SUM(K69:O69)-P69</f>
        <v>1917.6299999999999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>+Q69-SUM(R69:AA69)</f>
        <v>1917.6299999999999</v>
      </c>
      <c r="AC69" s="37">
        <f>IF(Q69&gt;3500,Q69*0.1,0)</f>
        <v>0</v>
      </c>
      <c r="AD69" s="33">
        <f>+AB69-AC69</f>
        <v>1917.6299999999999</v>
      </c>
      <c r="AE69" s="38">
        <f>IF(Q69&lt;3500,Q69*0.1,0)</f>
        <v>191.76300000000001</v>
      </c>
      <c r="AF69" s="37">
        <v>10.23</v>
      </c>
      <c r="AG69" s="37">
        <f>+U69</f>
        <v>0</v>
      </c>
      <c r="AH69" s="67">
        <f>+Q69+AE69+AF69+AG69</f>
        <v>2119.623</v>
      </c>
      <c r="AI69" s="145">
        <v>577.20000000000005</v>
      </c>
      <c r="AJ69" s="147">
        <v>1340.43</v>
      </c>
      <c r="AK69" s="103">
        <f t="shared" si="0"/>
        <v>0</v>
      </c>
      <c r="AL69" s="39"/>
      <c r="AM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>
      <c r="A70" s="63" t="s">
        <v>92</v>
      </c>
      <c r="B70" s="63" t="s">
        <v>272</v>
      </c>
      <c r="C70" s="63"/>
      <c r="D70" s="63"/>
      <c r="E70" s="63" t="s">
        <v>163</v>
      </c>
      <c r="F70" s="72">
        <v>42422</v>
      </c>
      <c r="G70" s="63"/>
      <c r="H70" s="63"/>
      <c r="I70" s="30">
        <v>739.23</v>
      </c>
      <c r="J70" s="28"/>
      <c r="K70" s="30">
        <f>+I70+J70</f>
        <v>739.23</v>
      </c>
      <c r="L70" s="30">
        <f>2410.97+13.09</f>
        <v>2424.06</v>
      </c>
      <c r="M70" s="30"/>
      <c r="N70" s="31"/>
      <c r="O70" s="31"/>
      <c r="P70" s="32"/>
      <c r="Q70" s="33">
        <f>SUM(K70:O70)-P70</f>
        <v>3163.29</v>
      </c>
      <c r="R70" s="34"/>
      <c r="S70" s="45"/>
      <c r="T70" s="45">
        <v>0</v>
      </c>
      <c r="U70" s="45"/>
      <c r="V70" s="45"/>
      <c r="W70" s="45"/>
      <c r="X70" s="36"/>
      <c r="Y70" s="36"/>
      <c r="Z70" s="35"/>
      <c r="AA70" s="35">
        <v>0</v>
      </c>
      <c r="AB70" s="33">
        <f>+Q70-SUM(R70:AA70)</f>
        <v>3163.29</v>
      </c>
      <c r="AC70" s="37">
        <f>IF(Q70&gt;3500,Q70*0.1,0)</f>
        <v>0</v>
      </c>
      <c r="AD70" s="33">
        <f>+AB70-AC70</f>
        <v>3163.29</v>
      </c>
      <c r="AE70" s="38">
        <f>IF(Q70&lt;3500,Q70*0.1,0)</f>
        <v>316.32900000000001</v>
      </c>
      <c r="AF70" s="37">
        <v>10.23</v>
      </c>
      <c r="AG70" s="37">
        <f>+U70</f>
        <v>0</v>
      </c>
      <c r="AH70" s="67">
        <f>+Q70+AE70+AF70+AG70</f>
        <v>3489.8490000000002</v>
      </c>
      <c r="AI70" s="145">
        <v>577.20000000000005</v>
      </c>
      <c r="AJ70" s="147">
        <v>2586.09</v>
      </c>
      <c r="AK70" s="103">
        <f t="shared" si="0"/>
        <v>0</v>
      </c>
      <c r="AL70" s="39"/>
      <c r="AM70" s="26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62" t="s">
        <v>94</v>
      </c>
      <c r="B71" s="27" t="s">
        <v>85</v>
      </c>
      <c r="C71" s="27"/>
      <c r="D71" s="27" t="s">
        <v>137</v>
      </c>
      <c r="E71" s="27" t="s">
        <v>181</v>
      </c>
      <c r="F71" s="27"/>
      <c r="G71" s="28"/>
      <c r="H71" s="28"/>
      <c r="I71" s="30">
        <v>608.16</v>
      </c>
      <c r="J71" s="28"/>
      <c r="K71" s="30">
        <f>+I71+J71</f>
        <v>608.16</v>
      </c>
      <c r="L71" s="30">
        <f>222.85+2.59+51.73</f>
        <v>277.17</v>
      </c>
      <c r="M71" s="30"/>
      <c r="N71" s="31"/>
      <c r="O71" s="31"/>
      <c r="P71" s="32"/>
      <c r="Q71" s="33">
        <f>SUM(K71:O71)-P71</f>
        <v>885.32999999999993</v>
      </c>
      <c r="R71" s="34"/>
      <c r="S71" s="45"/>
      <c r="T71" s="45"/>
      <c r="U71" s="75">
        <f>Q71*4.9%</f>
        <v>43.381169999999997</v>
      </c>
      <c r="V71" s="75">
        <f>Q71*1%</f>
        <v>8.8532999999999991</v>
      </c>
      <c r="W71" s="45"/>
      <c r="X71" s="36"/>
      <c r="Y71" s="36"/>
      <c r="Z71" s="35"/>
      <c r="AA71" s="35">
        <v>0</v>
      </c>
      <c r="AB71" s="33">
        <f>+Q71-SUM(R71:AA71)</f>
        <v>833.09552999999994</v>
      </c>
      <c r="AC71" s="37">
        <f>IF(Q71&gt;3500,Q71*0.1,0)</f>
        <v>0</v>
      </c>
      <c r="AD71" s="33">
        <f>+AB71-AC71</f>
        <v>833.09552999999994</v>
      </c>
      <c r="AE71" s="38">
        <f>IF(Q71&lt;3500,Q71*0.1,0)</f>
        <v>88.533000000000001</v>
      </c>
      <c r="AF71" s="37">
        <v>10.23</v>
      </c>
      <c r="AG71" s="37">
        <f>+U71</f>
        <v>43.381169999999997</v>
      </c>
      <c r="AH71" s="67">
        <f>+Q71+AE71+AF71+AG71</f>
        <v>1027.47417</v>
      </c>
      <c r="AI71" s="145">
        <v>577.20000000000005</v>
      </c>
      <c r="AJ71" s="145">
        <v>255.9</v>
      </c>
      <c r="AK71" s="103">
        <f t="shared" si="0"/>
        <v>4.4700000000830187E-3</v>
      </c>
      <c r="AL71" s="39"/>
      <c r="AM71" s="39"/>
      <c r="AN71" s="61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62" t="s">
        <v>94</v>
      </c>
      <c r="B72" s="27" t="s">
        <v>215</v>
      </c>
      <c r="C72" s="27"/>
      <c r="D72" s="27" t="s">
        <v>138</v>
      </c>
      <c r="E72" s="27" t="s">
        <v>181</v>
      </c>
      <c r="F72" s="27"/>
      <c r="G72" s="28"/>
      <c r="H72" s="28"/>
      <c r="I72" s="30">
        <v>608.16</v>
      </c>
      <c r="J72" s="28"/>
      <c r="K72" s="30">
        <f>+I72+J72</f>
        <v>608.16</v>
      </c>
      <c r="L72" s="30">
        <f>2752.12+5.57+94.84</f>
        <v>2852.53</v>
      </c>
      <c r="M72" s="30"/>
      <c r="N72" s="31"/>
      <c r="O72" s="31"/>
      <c r="P72" s="32"/>
      <c r="Q72" s="33">
        <f>SUM(K72:O72)-P72</f>
        <v>3460.69</v>
      </c>
      <c r="R72" s="34"/>
      <c r="S72" s="45"/>
      <c r="T72" s="75">
        <v>200</v>
      </c>
      <c r="U72" s="75">
        <f>Q72*4.9%</f>
        <v>169.57381000000001</v>
      </c>
      <c r="V72" s="75">
        <f>Q72*1%</f>
        <v>34.606900000000003</v>
      </c>
      <c r="W72" s="75">
        <v>321.74</v>
      </c>
      <c r="X72" s="36"/>
      <c r="Y72" s="36"/>
      <c r="Z72" s="35"/>
      <c r="AA72" s="35">
        <v>0</v>
      </c>
      <c r="AB72" s="33">
        <f>+Q72-SUM(R72:AA72)</f>
        <v>2734.7692900000002</v>
      </c>
      <c r="AC72" s="37">
        <f>IF(Q72&gt;3500,Q72*0.1,0)</f>
        <v>0</v>
      </c>
      <c r="AD72" s="33">
        <f>+AB72-AC72</f>
        <v>2734.7692900000002</v>
      </c>
      <c r="AE72" s="38">
        <f>IF(Q72&lt;3500,Q72*0.1,0)</f>
        <v>346.06900000000002</v>
      </c>
      <c r="AF72" s="37">
        <v>10.23</v>
      </c>
      <c r="AG72" s="37">
        <f>+U72</f>
        <v>169.57381000000001</v>
      </c>
      <c r="AH72" s="67">
        <f>+Q72+AE72+AF72+AG72</f>
        <v>3986.5628099999999</v>
      </c>
      <c r="AI72" s="145">
        <v>577.20000000000005</v>
      </c>
      <c r="AJ72" s="147">
        <v>2157.5700000000002</v>
      </c>
      <c r="AK72" s="103">
        <f t="shared" ref="AK72:AK96" si="1">+AI72+AJ72-AD72</f>
        <v>7.100000002537854E-4</v>
      </c>
      <c r="AL72" s="39"/>
      <c r="AM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61" customFormat="1">
      <c r="A73" s="27" t="s">
        <v>71</v>
      </c>
      <c r="B73" s="27" t="s">
        <v>217</v>
      </c>
      <c r="C73" s="27" t="s">
        <v>251</v>
      </c>
      <c r="D73" s="44" t="s">
        <v>218</v>
      </c>
      <c r="E73" s="27" t="s">
        <v>73</v>
      </c>
      <c r="F73" s="27"/>
      <c r="G73" s="28"/>
      <c r="H73" s="28"/>
      <c r="I73" s="30">
        <v>513.33000000000004</v>
      </c>
      <c r="J73" s="28">
        <v>653.33000000000004</v>
      </c>
      <c r="K73" s="30">
        <f>+I73+J73</f>
        <v>1166.6600000000001</v>
      </c>
      <c r="L73" s="30">
        <v>1735.77</v>
      </c>
      <c r="M73" s="30"/>
      <c r="N73" s="30"/>
      <c r="O73" s="30"/>
      <c r="P73" s="32"/>
      <c r="Q73" s="33">
        <f>SUM(K73:O73)-P73</f>
        <v>2902.4300000000003</v>
      </c>
      <c r="R73" s="34"/>
      <c r="S73" s="45"/>
      <c r="T73" s="45"/>
      <c r="U73" s="45"/>
      <c r="V73" s="45"/>
      <c r="W73" s="45"/>
      <c r="X73" s="36"/>
      <c r="Y73" s="36"/>
      <c r="Z73" s="35"/>
      <c r="AA73" s="35">
        <v>291.5</v>
      </c>
      <c r="AB73" s="33">
        <f>+Q73-SUM(R73:AA73)</f>
        <v>2610.9300000000003</v>
      </c>
      <c r="AC73" s="37">
        <f>IF(Q73&gt;3500,Q73*0.1,0)</f>
        <v>0</v>
      </c>
      <c r="AD73" s="33">
        <f>+AB73-AC73</f>
        <v>2610.9300000000003</v>
      </c>
      <c r="AE73" s="38">
        <f>IF(Q73&lt;3500,Q73*0.1,0)</f>
        <v>290.24300000000005</v>
      </c>
      <c r="AF73" s="37">
        <v>10.23</v>
      </c>
      <c r="AG73" s="37">
        <f>+U73</f>
        <v>0</v>
      </c>
      <c r="AH73" s="67">
        <f>+Q73+AE73+AF73+AG73</f>
        <v>3202.9030000000002</v>
      </c>
      <c r="AI73" s="145">
        <v>577.20000000000005</v>
      </c>
      <c r="AJ73" s="147">
        <v>2033.73</v>
      </c>
      <c r="AK73" s="103">
        <f t="shared" si="1"/>
        <v>0</v>
      </c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>
      <c r="A74" s="62" t="s">
        <v>94</v>
      </c>
      <c r="B74" s="27" t="s">
        <v>195</v>
      </c>
      <c r="C74" s="27"/>
      <c r="D74" s="27" t="s">
        <v>140</v>
      </c>
      <c r="E74" s="27" t="s">
        <v>174</v>
      </c>
      <c r="F74" s="27"/>
      <c r="G74" s="28"/>
      <c r="H74" s="28"/>
      <c r="I74" s="30">
        <v>608.16</v>
      </c>
      <c r="J74" s="28"/>
      <c r="K74" s="30">
        <f>+I74+J74</f>
        <v>608.16</v>
      </c>
      <c r="L74" s="30">
        <f>200.3+29.87</f>
        <v>230.17000000000002</v>
      </c>
      <c r="M74" s="30"/>
      <c r="N74" s="31"/>
      <c r="O74" s="31"/>
      <c r="P74" s="32"/>
      <c r="Q74" s="33">
        <f>SUM(K74:O74)-P74</f>
        <v>838.32999999999993</v>
      </c>
      <c r="R74" s="34"/>
      <c r="S74" s="45"/>
      <c r="T74" s="45">
        <v>0</v>
      </c>
      <c r="U74" s="75">
        <f>Q74*4.9%</f>
        <v>41.07817</v>
      </c>
      <c r="V74" s="75">
        <f>Q74*1%</f>
        <v>8.3833000000000002</v>
      </c>
      <c r="W74" s="45"/>
      <c r="X74" s="36"/>
      <c r="Y74" s="36"/>
      <c r="Z74" s="35"/>
      <c r="AA74" s="35">
        <v>0</v>
      </c>
      <c r="AB74" s="33">
        <f>+Q74-SUM(R74:AA74)</f>
        <v>788.86852999999996</v>
      </c>
      <c r="AC74" s="37">
        <f>IF(Q74&gt;3500,Q74*0.1,0)</f>
        <v>0</v>
      </c>
      <c r="AD74" s="33">
        <f>+AB74-AC74</f>
        <v>788.86852999999996</v>
      </c>
      <c r="AE74" s="38">
        <f>IF(Q74&lt;3500,Q74*0.1,0)</f>
        <v>83.832999999999998</v>
      </c>
      <c r="AF74" s="37">
        <v>10.23</v>
      </c>
      <c r="AG74" s="37">
        <f>+U74</f>
        <v>41.07817</v>
      </c>
      <c r="AH74" s="67">
        <f>+Q74+AE74+AF74+AG74</f>
        <v>973.47116999999992</v>
      </c>
      <c r="AI74" s="145">
        <v>577.4</v>
      </c>
      <c r="AJ74" s="145">
        <v>211.47</v>
      </c>
      <c r="AK74" s="103">
        <f t="shared" si="1"/>
        <v>1.4700000000402724E-3</v>
      </c>
      <c r="AL74" s="39"/>
      <c r="AM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>
      <c r="A75" s="27" t="s">
        <v>71</v>
      </c>
      <c r="B75" s="27" t="s">
        <v>308</v>
      </c>
      <c r="C75" s="27"/>
      <c r="D75" s="27"/>
      <c r="E75" s="27" t="s">
        <v>73</v>
      </c>
      <c r="F75" s="68">
        <v>42443</v>
      </c>
      <c r="G75" s="28"/>
      <c r="H75" s="28"/>
      <c r="I75" s="30">
        <v>513.33000000000004</v>
      </c>
      <c r="J75" s="28">
        <v>513.33000000000004</v>
      </c>
      <c r="K75" s="30">
        <f>+I75+J75</f>
        <v>1026.6600000000001</v>
      </c>
      <c r="L75" s="30"/>
      <c r="M75" s="30"/>
      <c r="N75" s="31"/>
      <c r="O75" s="31"/>
      <c r="P75" s="32"/>
      <c r="Q75" s="33">
        <f>SUM(K75:O75)-P75</f>
        <v>1026.6600000000001</v>
      </c>
      <c r="R75" s="34"/>
      <c r="S75" s="45"/>
      <c r="T75" s="45"/>
      <c r="U75" s="75"/>
      <c r="V75" s="75"/>
      <c r="W75" s="45"/>
      <c r="X75" s="36"/>
      <c r="Y75" s="36"/>
      <c r="Z75" s="35"/>
      <c r="AA75" s="35">
        <v>930.16</v>
      </c>
      <c r="AB75" s="33">
        <f>+Q75-SUM(R75:AA75)</f>
        <v>96.500000000000114</v>
      </c>
      <c r="AC75" s="37">
        <f>IF(Q75&gt;3500,Q75*0.1,0)</f>
        <v>0</v>
      </c>
      <c r="AD75" s="33">
        <f>+AB75-AC75</f>
        <v>96.500000000000114</v>
      </c>
      <c r="AE75" s="38">
        <f>IF(Q75&lt;3500,Q75*0.1,0)</f>
        <v>102.66600000000001</v>
      </c>
      <c r="AF75" s="37">
        <v>10.23</v>
      </c>
      <c r="AG75" s="37">
        <f>+U75</f>
        <v>0</v>
      </c>
      <c r="AH75" s="67">
        <f>+Q75+AE75+AF75+AG75</f>
        <v>1139.556</v>
      </c>
      <c r="AI75" s="103"/>
      <c r="AJ75" s="145">
        <v>96.5</v>
      </c>
      <c r="AK75" s="103">
        <f t="shared" si="1"/>
        <v>-1.1368683772161603E-13</v>
      </c>
      <c r="AL75" s="39"/>
      <c r="AM75" s="123" t="s">
        <v>315</v>
      </c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27" t="s">
        <v>91</v>
      </c>
      <c r="B76" s="27" t="s">
        <v>244</v>
      </c>
      <c r="C76" s="27"/>
      <c r="D76" s="27" t="s">
        <v>117</v>
      </c>
      <c r="E76" s="27" t="s">
        <v>171</v>
      </c>
      <c r="F76" s="27"/>
      <c r="G76" s="27"/>
      <c r="H76" s="27"/>
      <c r="I76" s="30">
        <v>577.38</v>
      </c>
      <c r="J76" s="106">
        <v>1047.6199999999999</v>
      </c>
      <c r="K76" s="30">
        <f>+I76+J76</f>
        <v>1625</v>
      </c>
      <c r="L76" s="30"/>
      <c r="M76" s="30"/>
      <c r="N76" s="30"/>
      <c r="O76" s="30"/>
      <c r="P76" s="32"/>
      <c r="Q76" s="33">
        <f>SUM(K76:O76)-P76</f>
        <v>1625</v>
      </c>
      <c r="R76" s="34"/>
      <c r="S76" s="45"/>
      <c r="T76" s="45">
        <v>0</v>
      </c>
      <c r="U76" s="45"/>
      <c r="V76" s="45"/>
      <c r="W76" s="45"/>
      <c r="X76" s="36"/>
      <c r="Y76" s="36"/>
      <c r="Z76" s="35"/>
      <c r="AA76" s="35">
        <v>0</v>
      </c>
      <c r="AB76" s="33">
        <f>+Q76-SUM(R76:AA76)</f>
        <v>1625</v>
      </c>
      <c r="AC76" s="37">
        <f>IF(Q76&gt;3500,Q76*0.1,0)</f>
        <v>0</v>
      </c>
      <c r="AD76" s="33">
        <f>+AB76-AC76</f>
        <v>1625</v>
      </c>
      <c r="AE76" s="38">
        <f>IF(Q76&lt;3500,Q76*0.1,0)</f>
        <v>162.5</v>
      </c>
      <c r="AF76" s="37">
        <v>10.23</v>
      </c>
      <c r="AG76" s="37">
        <f>+U76</f>
        <v>0</v>
      </c>
      <c r="AH76" s="67">
        <f>+Q76+AE76+AF76+AG76</f>
        <v>1797.73</v>
      </c>
      <c r="AI76" s="145">
        <v>577.20000000000005</v>
      </c>
      <c r="AJ76" s="147">
        <v>1047.8</v>
      </c>
      <c r="AK76" s="103">
        <f t="shared" si="1"/>
        <v>0</v>
      </c>
      <c r="AL76" s="39"/>
      <c r="AM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62" t="s">
        <v>92</v>
      </c>
      <c r="B77" s="63" t="s">
        <v>201</v>
      </c>
      <c r="C77" s="63"/>
      <c r="D77" s="63"/>
      <c r="E77" s="63" t="s">
        <v>163</v>
      </c>
      <c r="F77" s="72">
        <v>42416</v>
      </c>
      <c r="G77" s="63"/>
      <c r="H77" s="63"/>
      <c r="I77" s="53">
        <v>739.23</v>
      </c>
      <c r="J77" s="63"/>
      <c r="K77" s="53">
        <f>+I77+J77</f>
        <v>739.23</v>
      </c>
      <c r="L77" s="53">
        <f>1265.58+5.57+94.84</f>
        <v>1365.9899999999998</v>
      </c>
      <c r="M77" s="53"/>
      <c r="N77" s="53"/>
      <c r="O77" s="53"/>
      <c r="P77" s="32"/>
      <c r="Q77" s="33">
        <f>SUM(K77:O77)-P77</f>
        <v>2105.2199999999998</v>
      </c>
      <c r="R77" s="34"/>
      <c r="S77" s="45"/>
      <c r="T77" s="45">
        <v>0</v>
      </c>
      <c r="U77" s="45"/>
      <c r="V77" s="45"/>
      <c r="W77" s="45"/>
      <c r="X77" s="36"/>
      <c r="Y77" s="36"/>
      <c r="Z77" s="35"/>
      <c r="AA77" s="35">
        <v>0</v>
      </c>
      <c r="AB77" s="33">
        <f>+Q77-SUM(R77:AA77)</f>
        <v>2105.2199999999998</v>
      </c>
      <c r="AC77" s="37">
        <f>IF(Q77&gt;3500,Q77*0.1,0)</f>
        <v>0</v>
      </c>
      <c r="AD77" s="33">
        <f>+AB77-AC77</f>
        <v>2105.2199999999998</v>
      </c>
      <c r="AE77" s="38">
        <f>IF(Q77&lt;3500,Q77*0.1,0)</f>
        <v>210.52199999999999</v>
      </c>
      <c r="AF77" s="37">
        <v>10.23</v>
      </c>
      <c r="AG77" s="37">
        <f>+U77</f>
        <v>0</v>
      </c>
      <c r="AH77" s="67">
        <f>+Q77+AE77+AF77+AG77</f>
        <v>2325.9719999999998</v>
      </c>
      <c r="AI77" s="145">
        <v>577.4</v>
      </c>
      <c r="AJ77" s="147">
        <v>1527.82</v>
      </c>
      <c r="AK77" s="103">
        <f t="shared" si="1"/>
        <v>0</v>
      </c>
      <c r="AL77" s="39"/>
      <c r="AM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62" t="s">
        <v>94</v>
      </c>
      <c r="B78" s="27" t="s">
        <v>214</v>
      </c>
      <c r="C78" s="27"/>
      <c r="D78" s="27" t="s">
        <v>139</v>
      </c>
      <c r="E78" s="27" t="s">
        <v>182</v>
      </c>
      <c r="F78" s="27"/>
      <c r="G78" s="28"/>
      <c r="H78" s="28"/>
      <c r="I78" s="30">
        <v>511.28</v>
      </c>
      <c r="J78" s="28"/>
      <c r="K78" s="30">
        <f>+I78+J78</f>
        <v>511.28</v>
      </c>
      <c r="L78" s="30">
        <f>2883.6+7.42+85.36</f>
        <v>2976.38</v>
      </c>
      <c r="M78" s="30"/>
      <c r="N78" s="31"/>
      <c r="O78" s="31"/>
      <c r="P78" s="32"/>
      <c r="Q78" s="33">
        <f>SUM(K78:O78)-P78</f>
        <v>3487.66</v>
      </c>
      <c r="R78" s="34"/>
      <c r="S78" s="45"/>
      <c r="T78" s="75">
        <v>300</v>
      </c>
      <c r="U78" s="45"/>
      <c r="V78" s="45"/>
      <c r="W78" s="45"/>
      <c r="X78" s="36"/>
      <c r="Y78" s="36"/>
      <c r="Z78" s="35"/>
      <c r="AA78" s="35">
        <f>831.77+139.91</f>
        <v>971.68</v>
      </c>
      <c r="AB78" s="33">
        <f>+Q78-SUM(R78:AA78)</f>
        <v>2215.98</v>
      </c>
      <c r="AC78" s="37">
        <f>IF(Q78&gt;3500,Q78*0.1,0)</f>
        <v>0</v>
      </c>
      <c r="AD78" s="33">
        <f>+AB78-AC78</f>
        <v>2215.98</v>
      </c>
      <c r="AE78" s="38">
        <f>IF(Q78&lt;3500,Q78*0.1,0)</f>
        <v>348.76600000000002</v>
      </c>
      <c r="AF78" s="37">
        <v>10.23</v>
      </c>
      <c r="AG78" s="37">
        <f>+U78</f>
        <v>0</v>
      </c>
      <c r="AH78" s="67">
        <f>+Q78+AE78+AF78+AG78</f>
        <v>3846.6559999999999</v>
      </c>
      <c r="AI78" s="145">
        <v>577.4</v>
      </c>
      <c r="AJ78" s="147">
        <v>1638.58</v>
      </c>
      <c r="AK78" s="103">
        <f t="shared" si="1"/>
        <v>0</v>
      </c>
      <c r="AL78" s="39"/>
      <c r="AM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27" t="s">
        <v>91</v>
      </c>
      <c r="B79" s="27" t="s">
        <v>239</v>
      </c>
      <c r="C79" s="27"/>
      <c r="D79" s="27" t="s">
        <v>99</v>
      </c>
      <c r="E79" s="27" t="s">
        <v>72</v>
      </c>
      <c r="F79" s="27"/>
      <c r="G79" s="27"/>
      <c r="H79" s="27"/>
      <c r="I79" s="30">
        <v>1166.26</v>
      </c>
      <c r="J79" s="29"/>
      <c r="K79" s="30">
        <f>+I79+J79</f>
        <v>1166.26</v>
      </c>
      <c r="L79" s="30">
        <f>2005.22+53.97</f>
        <v>2059.19</v>
      </c>
      <c r="M79" s="30"/>
      <c r="N79" s="30"/>
      <c r="O79" s="30"/>
      <c r="P79" s="32"/>
      <c r="Q79" s="33">
        <f>SUM(K79:O79)-P79</f>
        <v>3225.45</v>
      </c>
      <c r="R79" s="34"/>
      <c r="S79" s="45"/>
      <c r="T79" s="45">
        <v>0</v>
      </c>
      <c r="U79" s="45"/>
      <c r="V79" s="45"/>
      <c r="W79" s="45"/>
      <c r="X79" s="36"/>
      <c r="Y79" s="36"/>
      <c r="Z79" s="35"/>
      <c r="AA79" s="35">
        <v>0</v>
      </c>
      <c r="AB79" s="33">
        <f>+Q79-SUM(R79:AA79)</f>
        <v>3225.45</v>
      </c>
      <c r="AC79" s="37">
        <f>IF(Q79&gt;3500,Q79*0.1,0)</f>
        <v>0</v>
      </c>
      <c r="AD79" s="33">
        <f>+AB79-AC79</f>
        <v>3225.45</v>
      </c>
      <c r="AE79" s="38">
        <f>IF(Q79&lt;3500,Q79*0.1,0)</f>
        <v>322.54500000000002</v>
      </c>
      <c r="AF79" s="37">
        <v>10.23</v>
      </c>
      <c r="AG79" s="37">
        <f>+U79</f>
        <v>0</v>
      </c>
      <c r="AH79" s="67">
        <f>+Q79+AE79+AF79+AG79</f>
        <v>3558.2249999999999</v>
      </c>
      <c r="AI79" s="145">
        <v>577.4</v>
      </c>
      <c r="AJ79" s="147">
        <v>2648.05</v>
      </c>
      <c r="AK79" s="103">
        <f t="shared" si="1"/>
        <v>0</v>
      </c>
      <c r="AL79" s="39"/>
      <c r="AM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27" t="s">
        <v>93</v>
      </c>
      <c r="B80" s="27" t="s">
        <v>296</v>
      </c>
      <c r="C80" s="27"/>
      <c r="D80" s="27" t="s">
        <v>119</v>
      </c>
      <c r="E80" s="27" t="s">
        <v>168</v>
      </c>
      <c r="F80" s="27"/>
      <c r="G80" s="27"/>
      <c r="H80" s="27"/>
      <c r="I80" s="30">
        <v>1100</v>
      </c>
      <c r="J80" s="27"/>
      <c r="K80" s="30">
        <f>+I80+J80</f>
        <v>1100</v>
      </c>
      <c r="L80" s="30"/>
      <c r="M80" s="30"/>
      <c r="N80" s="30"/>
      <c r="O80" s="30"/>
      <c r="P80" s="32"/>
      <c r="Q80" s="33">
        <f>SUM(K80:O80)-P80</f>
        <v>1100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>+Q80-SUM(R80:AA80)</f>
        <v>1100</v>
      </c>
      <c r="AC80" s="37">
        <f>IF(Q80&gt;3500,Q80*0.1,0)</f>
        <v>0</v>
      </c>
      <c r="AD80" s="33">
        <f>+AB80-AC80</f>
        <v>1100</v>
      </c>
      <c r="AE80" s="38">
        <f>IF(Q80&lt;3500,Q80*0.1,0)</f>
        <v>110</v>
      </c>
      <c r="AF80" s="37">
        <v>10.23</v>
      </c>
      <c r="AG80" s="37">
        <f>+U80</f>
        <v>0</v>
      </c>
      <c r="AH80" s="67">
        <f>+Q80+AE80+AF80+AG80</f>
        <v>1220.23</v>
      </c>
      <c r="AI80" s="145">
        <v>577.20000000000005</v>
      </c>
      <c r="AJ80" s="145">
        <v>522.79999999999995</v>
      </c>
      <c r="AK80" s="103">
        <f t="shared" si="1"/>
        <v>0</v>
      </c>
      <c r="AL80" s="39"/>
      <c r="AM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27" t="s">
        <v>71</v>
      </c>
      <c r="B81" s="27" t="s">
        <v>89</v>
      </c>
      <c r="C81" s="27" t="s">
        <v>249</v>
      </c>
      <c r="D81" s="27" t="s">
        <v>158</v>
      </c>
      <c r="E81" s="27" t="s">
        <v>73</v>
      </c>
      <c r="F81" s="27"/>
      <c r="G81" s="28"/>
      <c r="H81" s="28"/>
      <c r="I81" s="30">
        <v>513.33000000000004</v>
      </c>
      <c r="J81" s="28">
        <v>513.33000000000004</v>
      </c>
      <c r="K81" s="30">
        <f>+I81+J81</f>
        <v>1026.6600000000001</v>
      </c>
      <c r="L81" s="30">
        <v>11159.54</v>
      </c>
      <c r="M81" s="30"/>
      <c r="N81" s="31"/>
      <c r="O81" s="31"/>
      <c r="P81" s="32"/>
      <c r="Q81" s="33">
        <f>SUM(K81:O81)-P81</f>
        <v>12186.2</v>
      </c>
      <c r="R81" s="34"/>
      <c r="S81" s="45">
        <v>58.91</v>
      </c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>+Q81-SUM(R81:AA81)</f>
        <v>12127.29</v>
      </c>
      <c r="AC81" s="37">
        <f>IF(Q81&gt;3500,Q81*0.1,0)</f>
        <v>1218.6200000000001</v>
      </c>
      <c r="AD81" s="33">
        <f>+AB81-AC81</f>
        <v>10908.67</v>
      </c>
      <c r="AE81" s="38">
        <f>IF(Q81&lt;3500,Q81*0.1,0)</f>
        <v>0</v>
      </c>
      <c r="AF81" s="37">
        <v>10.23</v>
      </c>
      <c r="AG81" s="37">
        <f>+U81</f>
        <v>0</v>
      </c>
      <c r="AH81" s="67">
        <f>+Q81+AE81+AF81+AG81</f>
        <v>12196.43</v>
      </c>
      <c r="AI81" s="145">
        <v>577.20000000000005</v>
      </c>
      <c r="AJ81" s="147">
        <v>10331.469999999999</v>
      </c>
      <c r="AK81" s="103">
        <f t="shared" si="1"/>
        <v>0</v>
      </c>
      <c r="AL81" s="39"/>
      <c r="AM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61" customFormat="1">
      <c r="A82" s="62" t="s">
        <v>94</v>
      </c>
      <c r="B82" s="27" t="s">
        <v>86</v>
      </c>
      <c r="C82" s="27"/>
      <c r="D82" s="27" t="s">
        <v>141</v>
      </c>
      <c r="E82" s="27" t="s">
        <v>183</v>
      </c>
      <c r="F82" s="27"/>
      <c r="G82" s="28"/>
      <c r="H82" s="28"/>
      <c r="I82" s="30">
        <v>543.20000000000005</v>
      </c>
      <c r="J82" s="28"/>
      <c r="K82" s="30">
        <f>+I82+J82</f>
        <v>543.20000000000005</v>
      </c>
      <c r="L82" s="30">
        <f>601.5+45.11</f>
        <v>646.61</v>
      </c>
      <c r="M82" s="30"/>
      <c r="N82" s="31"/>
      <c r="O82" s="31"/>
      <c r="P82" s="32"/>
      <c r="Q82" s="33">
        <f>SUM(K82:O82)-P82</f>
        <v>1189.81</v>
      </c>
      <c r="R82" s="34"/>
      <c r="S82" s="45"/>
      <c r="T82" s="45">
        <v>0</v>
      </c>
      <c r="U82" s="75">
        <f>Q82*4.9%</f>
        <v>58.300690000000003</v>
      </c>
      <c r="V82" s="75">
        <f>Q82*1%</f>
        <v>11.898099999999999</v>
      </c>
      <c r="W82" s="45"/>
      <c r="X82" s="36"/>
      <c r="Y82" s="36"/>
      <c r="Z82" s="35"/>
      <c r="AA82" s="35">
        <v>0</v>
      </c>
      <c r="AB82" s="33">
        <f>+Q82-SUM(R82:AA82)</f>
        <v>1119.61121</v>
      </c>
      <c r="AC82" s="37">
        <f>IF(Q82&gt;3500,Q82*0.1,0)</f>
        <v>0</v>
      </c>
      <c r="AD82" s="33">
        <f>+AB82-AC82</f>
        <v>1119.61121</v>
      </c>
      <c r="AE82" s="38">
        <f>IF(Q82&lt;3500,Q82*0.1,0)</f>
        <v>118.98099999999999</v>
      </c>
      <c r="AF82" s="37">
        <v>10.23</v>
      </c>
      <c r="AG82" s="37">
        <f>+U82</f>
        <v>58.300690000000003</v>
      </c>
      <c r="AH82" s="67">
        <f>+Q82+AE82+AF82+AG82</f>
        <v>1377.32169</v>
      </c>
      <c r="AI82" s="145">
        <v>577.20000000000005</v>
      </c>
      <c r="AJ82" s="145">
        <v>542.41</v>
      </c>
      <c r="AK82" s="103">
        <f t="shared" si="1"/>
        <v>-1.2099999999009015E-3</v>
      </c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>
      <c r="A83" s="62" t="s">
        <v>94</v>
      </c>
      <c r="B83" s="27" t="s">
        <v>193</v>
      </c>
      <c r="C83" s="27"/>
      <c r="D83" s="27" t="s">
        <v>142</v>
      </c>
      <c r="E83" s="27" t="s">
        <v>181</v>
      </c>
      <c r="F83" s="27"/>
      <c r="G83" s="28"/>
      <c r="H83" s="28"/>
      <c r="I83" s="30">
        <v>608.16</v>
      </c>
      <c r="J83" s="28"/>
      <c r="K83" s="30">
        <f>+I83+J83</f>
        <v>608.16</v>
      </c>
      <c r="L83" s="30">
        <v>75.03</v>
      </c>
      <c r="M83" s="30"/>
      <c r="N83" s="31"/>
      <c r="O83" s="31"/>
      <c r="P83" s="32"/>
      <c r="Q83" s="33">
        <f>SUM(K83:O83)-P83</f>
        <v>683.18999999999994</v>
      </c>
      <c r="R83" s="34"/>
      <c r="S83" s="45"/>
      <c r="T83" s="75">
        <v>200</v>
      </c>
      <c r="U83" s="75">
        <f>Q83*4.9%</f>
        <v>33.476309999999998</v>
      </c>
      <c r="V83" s="75">
        <f>Q83*1%</f>
        <v>6.8318999999999992</v>
      </c>
      <c r="W83" s="75">
        <v>257.64</v>
      </c>
      <c r="X83" s="36"/>
      <c r="Y83" s="36"/>
      <c r="Z83" s="35">
        <v>201.24</v>
      </c>
      <c r="AA83" s="35">
        <v>0</v>
      </c>
      <c r="AB83" s="33">
        <f>+Q83-SUM(R83:AA83)</f>
        <v>-15.998210000000086</v>
      </c>
      <c r="AC83" s="37">
        <f>IF(Q83&gt;3500,Q83*0.1,0)</f>
        <v>0</v>
      </c>
      <c r="AD83" s="33">
        <f>+AB83-AC83</f>
        <v>-15.998210000000086</v>
      </c>
      <c r="AE83" s="38">
        <f>IF(Q83&lt;3500,Q83*0.1,0)</f>
        <v>68.319000000000003</v>
      </c>
      <c r="AF83" s="37">
        <v>10.23</v>
      </c>
      <c r="AG83" s="37">
        <f>+U83</f>
        <v>33.476309999999998</v>
      </c>
      <c r="AH83" s="67">
        <f>+Q83+AE83+AF83+AG83</f>
        <v>795.21530999999993</v>
      </c>
      <c r="AI83" s="103"/>
      <c r="AJ83" s="145">
        <v>1</v>
      </c>
      <c r="AK83" s="103">
        <f t="shared" si="1"/>
        <v>16.998210000000086</v>
      </c>
      <c r="AL83" s="39"/>
      <c r="AM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62" t="s">
        <v>92</v>
      </c>
      <c r="B84" s="27" t="s">
        <v>211</v>
      </c>
      <c r="C84" s="27"/>
      <c r="D84" s="27" t="s">
        <v>107</v>
      </c>
      <c r="E84" s="27" t="s">
        <v>165</v>
      </c>
      <c r="F84" s="27"/>
      <c r="G84" s="27"/>
      <c r="H84" s="27"/>
      <c r="I84" s="30">
        <v>739.23</v>
      </c>
      <c r="J84" s="27"/>
      <c r="K84" s="30">
        <f>+I84+J84</f>
        <v>739.23</v>
      </c>
      <c r="L84" s="30">
        <f>2326.63+7.42+100.99</f>
        <v>2435.04</v>
      </c>
      <c r="M84" s="30"/>
      <c r="N84" s="31"/>
      <c r="O84" s="31"/>
      <c r="P84" s="32"/>
      <c r="Q84" s="33">
        <f>SUM(K84:O84)-P84</f>
        <v>3174.27</v>
      </c>
      <c r="R84" s="34"/>
      <c r="S84" s="45"/>
      <c r="T84" s="75">
        <v>150</v>
      </c>
      <c r="U84" s="45"/>
      <c r="V84" s="45"/>
      <c r="W84" s="45"/>
      <c r="X84" s="36"/>
      <c r="Y84" s="36"/>
      <c r="Z84" s="35"/>
      <c r="AA84" s="35">
        <v>0</v>
      </c>
      <c r="AB84" s="33">
        <f>+Q84-SUM(R84:AA84)</f>
        <v>3024.27</v>
      </c>
      <c r="AC84" s="37">
        <f>IF(Q84&gt;3500,Q84*0.1,0)</f>
        <v>0</v>
      </c>
      <c r="AD84" s="33">
        <f>+AB84-AC84</f>
        <v>3024.27</v>
      </c>
      <c r="AE84" s="38">
        <f>IF(Q84&lt;3500,Q84*0.1,0)</f>
        <v>317.42700000000002</v>
      </c>
      <c r="AF84" s="37">
        <v>10.23</v>
      </c>
      <c r="AG84" s="37">
        <f>+U84</f>
        <v>0</v>
      </c>
      <c r="AH84" s="67">
        <f>+Q84+AE84+AF84+AG84</f>
        <v>3501.9270000000001</v>
      </c>
      <c r="AI84" s="145">
        <v>577.4</v>
      </c>
      <c r="AJ84" s="147">
        <v>2446.87</v>
      </c>
      <c r="AK84" s="103">
        <f t="shared" si="1"/>
        <v>0</v>
      </c>
      <c r="AL84" s="39"/>
      <c r="AM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27" t="s">
        <v>93</v>
      </c>
      <c r="B85" s="27" t="s">
        <v>307</v>
      </c>
      <c r="C85" s="27"/>
      <c r="D85" s="27" t="s">
        <v>120</v>
      </c>
      <c r="E85" s="27" t="s">
        <v>171</v>
      </c>
      <c r="F85" s="27"/>
      <c r="G85" s="28"/>
      <c r="H85" s="28"/>
      <c r="I85" s="30">
        <v>577.38</v>
      </c>
      <c r="J85" s="106">
        <v>1047.6199999999999</v>
      </c>
      <c r="K85" s="30">
        <f>+I85+J85</f>
        <v>1625</v>
      </c>
      <c r="L85" s="30">
        <f>215+433.14</f>
        <v>648.14</v>
      </c>
      <c r="M85" s="30"/>
      <c r="N85" s="31"/>
      <c r="O85" s="31"/>
      <c r="P85" s="32"/>
      <c r="Q85" s="33">
        <f>SUM(K85:O85)-P85</f>
        <v>2273.14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f>355.65</f>
        <v>355.65</v>
      </c>
      <c r="AB85" s="33">
        <f>+Q85-SUM(R85:AA85)</f>
        <v>1917.4899999999998</v>
      </c>
      <c r="AC85" s="37">
        <f>IF(Q85&gt;3500,Q85*0.1,0)</f>
        <v>0</v>
      </c>
      <c r="AD85" s="33">
        <f>+AB85-AC85</f>
        <v>1917.4899999999998</v>
      </c>
      <c r="AE85" s="38">
        <f>IF(Q85&lt;3500,Q85*0.1,0)</f>
        <v>227.31399999999999</v>
      </c>
      <c r="AF85" s="37">
        <v>10.23</v>
      </c>
      <c r="AG85" s="37">
        <f>+U85</f>
        <v>0</v>
      </c>
      <c r="AH85" s="67">
        <f>+Q85+AE85+AF85+AG85</f>
        <v>2510.6839999999997</v>
      </c>
      <c r="AI85" s="145">
        <v>577.4</v>
      </c>
      <c r="AJ85" s="147">
        <v>1340.09</v>
      </c>
      <c r="AK85" s="103">
        <f t="shared" si="1"/>
        <v>0</v>
      </c>
      <c r="AL85" s="39"/>
      <c r="AM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63" t="s">
        <v>93</v>
      </c>
      <c r="B86" s="63" t="s">
        <v>286</v>
      </c>
      <c r="C86" s="63"/>
      <c r="D86" s="63"/>
      <c r="E86" s="63" t="s">
        <v>171</v>
      </c>
      <c r="F86" s="72">
        <v>42410</v>
      </c>
      <c r="G86" s="63"/>
      <c r="H86" s="63"/>
      <c r="I86" s="30">
        <v>577.38</v>
      </c>
      <c r="J86" s="106">
        <v>939.29</v>
      </c>
      <c r="K86" s="53">
        <f>+I86+J86</f>
        <v>1516.67</v>
      </c>
      <c r="L86" s="53"/>
      <c r="M86" s="53"/>
      <c r="N86" s="53"/>
      <c r="O86" s="53"/>
      <c r="P86" s="32"/>
      <c r="Q86" s="33">
        <f>SUM(K86:O86)-P86</f>
        <v>1516.67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/>
      <c r="AB86" s="33">
        <f>+Q86-SUM(R86:AA86)</f>
        <v>1516.67</v>
      </c>
      <c r="AC86" s="37">
        <f>IF(Q86&gt;3500,Q86*0.1,0)</f>
        <v>0</v>
      </c>
      <c r="AD86" s="33">
        <f>+AB86-AC86</f>
        <v>1516.67</v>
      </c>
      <c r="AE86" s="38">
        <f>IF(Q86&lt;3500,Q86*0.1,0)</f>
        <v>151.667</v>
      </c>
      <c r="AF86" s="37">
        <v>10.23</v>
      </c>
      <c r="AG86" s="37">
        <f>+U86</f>
        <v>0</v>
      </c>
      <c r="AH86" s="67">
        <f>+Q86+AE86+AF86+AG86</f>
        <v>1678.567</v>
      </c>
      <c r="AI86" s="145">
        <v>577.4</v>
      </c>
      <c r="AJ86" s="145">
        <v>939.27</v>
      </c>
      <c r="AK86" s="103">
        <f t="shared" si="1"/>
        <v>0</v>
      </c>
      <c r="AL86" s="39"/>
      <c r="AM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62" t="s">
        <v>92</v>
      </c>
      <c r="B87" s="27" t="s">
        <v>271</v>
      </c>
      <c r="C87" s="27"/>
      <c r="D87" s="27" t="s">
        <v>106</v>
      </c>
      <c r="E87" s="27" t="s">
        <v>163</v>
      </c>
      <c r="F87" s="27"/>
      <c r="G87" s="27"/>
      <c r="H87" s="27"/>
      <c r="I87" s="30">
        <v>739.23</v>
      </c>
      <c r="J87" s="27"/>
      <c r="K87" s="30">
        <f>+I87+J87</f>
        <v>739.23</v>
      </c>
      <c r="L87" s="30">
        <f>1738.17+7.42</f>
        <v>1745.5900000000001</v>
      </c>
      <c r="M87" s="30"/>
      <c r="N87" s="31"/>
      <c r="O87" s="31"/>
      <c r="P87" s="32"/>
      <c r="Q87" s="33">
        <f>SUM(K87:O87)-P87</f>
        <v>2484.8200000000002</v>
      </c>
      <c r="R87" s="34"/>
      <c r="S87" s="45"/>
      <c r="T87" s="45">
        <v>0</v>
      </c>
      <c r="U87" s="45"/>
      <c r="V87" s="45"/>
      <c r="W87" s="45"/>
      <c r="X87" s="36"/>
      <c r="Y87" s="36"/>
      <c r="Z87" s="35"/>
      <c r="AA87" s="35">
        <v>0</v>
      </c>
      <c r="AB87" s="33">
        <f>+Q87-SUM(R87:AA87)</f>
        <v>2484.8200000000002</v>
      </c>
      <c r="AC87" s="37">
        <f>IF(Q87&gt;3500,Q87*0.1,0)</f>
        <v>0</v>
      </c>
      <c r="AD87" s="33">
        <f>+AB87-AC87</f>
        <v>2484.8200000000002</v>
      </c>
      <c r="AE87" s="38">
        <f>IF(Q87&lt;3500,Q87*0.1,0)</f>
        <v>248.48200000000003</v>
      </c>
      <c r="AF87" s="37">
        <v>10.23</v>
      </c>
      <c r="AG87" s="37">
        <f>+U87</f>
        <v>0</v>
      </c>
      <c r="AH87" s="67">
        <f>+Q87+AE87+AF87+AG87</f>
        <v>2743.5320000000002</v>
      </c>
      <c r="AI87" s="145">
        <v>577.20000000000005</v>
      </c>
      <c r="AJ87" s="147">
        <v>1907.62</v>
      </c>
      <c r="AK87" s="103">
        <f t="shared" si="1"/>
        <v>0</v>
      </c>
      <c r="AL87" s="39"/>
      <c r="AM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>
      <c r="A88" s="62" t="s">
        <v>92</v>
      </c>
      <c r="B88" s="27" t="s">
        <v>79</v>
      </c>
      <c r="C88" s="27"/>
      <c r="D88" s="27" t="s">
        <v>108</v>
      </c>
      <c r="E88" s="27" t="s">
        <v>166</v>
      </c>
      <c r="F88" s="27"/>
      <c r="G88" s="27"/>
      <c r="H88" s="27"/>
      <c r="I88" s="30">
        <v>739.23</v>
      </c>
      <c r="J88" s="27"/>
      <c r="K88" s="30">
        <f>+I88+J88</f>
        <v>739.23</v>
      </c>
      <c r="L88" s="30">
        <f>1257.21+3.71+100.27</f>
        <v>1361.19</v>
      </c>
      <c r="M88" s="30"/>
      <c r="N88" s="30"/>
      <c r="O88" s="30"/>
      <c r="P88" s="32"/>
      <c r="Q88" s="33">
        <f>SUM(K88:O88)-P88</f>
        <v>2100.42</v>
      </c>
      <c r="R88" s="34"/>
      <c r="S88" s="45"/>
      <c r="T88" s="45">
        <v>0</v>
      </c>
      <c r="U88" s="45"/>
      <c r="V88" s="45"/>
      <c r="W88" s="45"/>
      <c r="X88" s="36"/>
      <c r="Y88" s="36"/>
      <c r="Z88" s="35"/>
      <c r="AA88" s="35">
        <v>0</v>
      </c>
      <c r="AB88" s="33">
        <f>+Q88-SUM(R88:AA88)</f>
        <v>2100.42</v>
      </c>
      <c r="AC88" s="37">
        <f>IF(Q88&gt;3500,Q88*0.1,0)</f>
        <v>0</v>
      </c>
      <c r="AD88" s="33">
        <f>+AB88-AC88</f>
        <v>2100.42</v>
      </c>
      <c r="AE88" s="38">
        <f>IF(Q88&lt;3500,Q88*0.1,0)</f>
        <v>210.04200000000003</v>
      </c>
      <c r="AF88" s="37">
        <v>10.23</v>
      </c>
      <c r="AG88" s="37">
        <f>+U88</f>
        <v>0</v>
      </c>
      <c r="AH88" s="67">
        <f>+Q88+AE88+AF88+AG88</f>
        <v>2320.692</v>
      </c>
      <c r="AI88" s="145">
        <v>577.4</v>
      </c>
      <c r="AJ88" s="147">
        <v>1523.02</v>
      </c>
      <c r="AK88" s="103">
        <f t="shared" si="1"/>
        <v>0</v>
      </c>
      <c r="AL88" s="39"/>
      <c r="AM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53">
        <v>1166.26</v>
      </c>
      <c r="J89" s="28"/>
      <c r="K89" s="30">
        <f>+I89+J89</f>
        <v>1166.26</v>
      </c>
      <c r="L89" s="30">
        <f>1182.98+105.14</f>
        <v>1288.1200000000001</v>
      </c>
      <c r="M89" s="30"/>
      <c r="N89" s="31"/>
      <c r="O89" s="31"/>
      <c r="P89" s="32"/>
      <c r="Q89" s="33">
        <f>SUM(K89:O89)-P89</f>
        <v>2454.38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2454.38</v>
      </c>
      <c r="AC89" s="37">
        <f>IF(Q89&gt;3500,Q89*0.1,0)</f>
        <v>0</v>
      </c>
      <c r="AD89" s="33">
        <f>+AB89-AC89</f>
        <v>2454.38</v>
      </c>
      <c r="AE89" s="38">
        <f>IF(Q89&lt;3500,Q89*0.1,0)</f>
        <v>245.43800000000002</v>
      </c>
      <c r="AF89" s="37">
        <v>10.23</v>
      </c>
      <c r="AG89" s="37">
        <f>+U89</f>
        <v>0</v>
      </c>
      <c r="AH89" s="67">
        <f>+Q89+AE89+AF89+AG89</f>
        <v>2710.0480000000002</v>
      </c>
      <c r="AI89" s="145">
        <v>577.20000000000005</v>
      </c>
      <c r="AJ89" s="147">
        <v>1877.18</v>
      </c>
      <c r="AK89" s="103">
        <f t="shared" si="1"/>
        <v>0</v>
      </c>
      <c r="AL89" s="39"/>
      <c r="AM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27" t="s">
        <v>71</v>
      </c>
      <c r="B90" s="27" t="s">
        <v>274</v>
      </c>
      <c r="C90" s="27" t="s">
        <v>251</v>
      </c>
      <c r="D90" s="27" t="s">
        <v>159</v>
      </c>
      <c r="E90" s="27" t="s">
        <v>73</v>
      </c>
      <c r="F90" s="27"/>
      <c r="G90" s="28"/>
      <c r="H90" s="28"/>
      <c r="I90" s="30">
        <v>513.33000000000004</v>
      </c>
      <c r="J90" s="28">
        <v>653.33000000000004</v>
      </c>
      <c r="K90" s="30">
        <f>+I90+J90</f>
        <v>1166.6600000000001</v>
      </c>
      <c r="L90" s="30">
        <v>367.96</v>
      </c>
      <c r="M90" s="30"/>
      <c r="N90" s="31"/>
      <c r="O90" s="31"/>
      <c r="P90" s="32"/>
      <c r="Q90" s="33">
        <f>SUM(K90:O90)-P90</f>
        <v>1534.6200000000001</v>
      </c>
      <c r="R90" s="34"/>
      <c r="S90" s="45"/>
      <c r="T90" s="45">
        <v>0</v>
      </c>
      <c r="U90" s="45"/>
      <c r="V90" s="45"/>
      <c r="W90" s="45"/>
      <c r="X90" s="36"/>
      <c r="Y90" s="36"/>
      <c r="Z90" s="35"/>
      <c r="AA90" s="108">
        <f>Q90*0.25</f>
        <v>383.65500000000003</v>
      </c>
      <c r="AB90" s="33">
        <f>+Q90-SUM(R90:AA90)</f>
        <v>1150.9650000000001</v>
      </c>
      <c r="AC90" s="37">
        <f>IF(Q90&gt;3500,Q90*0.1,0)</f>
        <v>0</v>
      </c>
      <c r="AD90" s="33">
        <f>+AB90-AC90</f>
        <v>1150.9650000000001</v>
      </c>
      <c r="AE90" s="38">
        <f>IF(Q90&lt;3500,Q90*0.1,0)</f>
        <v>153.46200000000002</v>
      </c>
      <c r="AF90" s="37">
        <v>10.23</v>
      </c>
      <c r="AG90" s="37">
        <f>+U90</f>
        <v>0</v>
      </c>
      <c r="AH90" s="67">
        <f>+Q90+AE90+AF90+AG90</f>
        <v>1698.3120000000001</v>
      </c>
      <c r="AI90" s="145">
        <v>39.6</v>
      </c>
      <c r="AJ90" s="145">
        <v>573.5</v>
      </c>
      <c r="AK90" s="103">
        <f t="shared" si="1"/>
        <v>-537.86500000000012</v>
      </c>
      <c r="AL90" s="39"/>
      <c r="AM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27" t="s">
        <v>70</v>
      </c>
      <c r="B91" s="27" t="s">
        <v>275</v>
      </c>
      <c r="C91" s="27" t="s">
        <v>252</v>
      </c>
      <c r="D91" s="27" t="s">
        <v>125</v>
      </c>
      <c r="E91" s="27" t="s">
        <v>306</v>
      </c>
      <c r="F91" s="27"/>
      <c r="G91" s="28"/>
      <c r="H91" s="28"/>
      <c r="I91" s="30">
        <v>1633.33</v>
      </c>
      <c r="J91" s="28"/>
      <c r="K91" s="30">
        <f>+I91+J91</f>
        <v>1633.33</v>
      </c>
      <c r="L91" s="30">
        <v>2036.12</v>
      </c>
      <c r="M91" s="30"/>
      <c r="N91" s="31"/>
      <c r="O91" s="31"/>
      <c r="P91" s="32"/>
      <c r="Q91" s="33">
        <f>SUM(K91:O91)-P91</f>
        <v>3669.45</v>
      </c>
      <c r="R91" s="34"/>
      <c r="S91" s="45">
        <v>58.91</v>
      </c>
      <c r="T91" s="45">
        <v>0</v>
      </c>
      <c r="U91" s="45"/>
      <c r="V91" s="45"/>
      <c r="W91" s="45"/>
      <c r="X91" s="36"/>
      <c r="Y91" s="36"/>
      <c r="Z91" s="35"/>
      <c r="AA91" s="35">
        <v>0</v>
      </c>
      <c r="AB91" s="33">
        <f>+Q91-SUM(R91:AA91)</f>
        <v>3610.54</v>
      </c>
      <c r="AC91" s="37">
        <f>IF(Q91&gt;3500,Q91*0.1,0)</f>
        <v>366.94499999999999</v>
      </c>
      <c r="AD91" s="33">
        <f>+AB91-AC91</f>
        <v>3243.5949999999998</v>
      </c>
      <c r="AE91" s="38">
        <f>IF(Q91&lt;3500,Q91*0.1,0)</f>
        <v>0</v>
      </c>
      <c r="AF91" s="37">
        <v>10.23</v>
      </c>
      <c r="AG91" s="37">
        <f>+U91</f>
        <v>0</v>
      </c>
      <c r="AH91" s="67">
        <f>+Q91+AE91+AF91+AG91</f>
        <v>3679.68</v>
      </c>
      <c r="AI91" s="145">
        <v>577.20000000000005</v>
      </c>
      <c r="AJ91" s="147">
        <v>2666.4</v>
      </c>
      <c r="AK91" s="103">
        <f t="shared" si="1"/>
        <v>5.0000000005638867E-3</v>
      </c>
      <c r="AL91" s="39"/>
      <c r="AM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>
      <c r="A92" s="62" t="s">
        <v>94</v>
      </c>
      <c r="B92" s="27" t="s">
        <v>197</v>
      </c>
      <c r="C92" s="27"/>
      <c r="D92" s="27" t="s">
        <v>143</v>
      </c>
      <c r="E92" s="27" t="s">
        <v>179</v>
      </c>
      <c r="F92" s="27"/>
      <c r="G92" s="28"/>
      <c r="H92" s="28"/>
      <c r="I92" s="146">
        <v>608.16</v>
      </c>
      <c r="J92" s="28"/>
      <c r="K92" s="30">
        <f>+I92+J92</f>
        <v>608.16</v>
      </c>
      <c r="L92" s="30">
        <f>1629.14+3.71+97.36</f>
        <v>1730.21</v>
      </c>
      <c r="M92" s="30"/>
      <c r="N92" s="31"/>
      <c r="O92" s="31"/>
      <c r="P92" s="32"/>
      <c r="Q92" s="33">
        <f>SUM(K92:O92)-P92</f>
        <v>2338.37</v>
      </c>
      <c r="R92" s="34"/>
      <c r="S92" s="45"/>
      <c r="T92" s="75">
        <v>200</v>
      </c>
      <c r="U92" s="75">
        <f>Q92*4.9%</f>
        <v>114.58013</v>
      </c>
      <c r="V92" s="75">
        <f>Q92*1%</f>
        <v>23.383700000000001</v>
      </c>
      <c r="W92" s="45"/>
      <c r="X92" s="36"/>
      <c r="Y92" s="36"/>
      <c r="Z92" s="35"/>
      <c r="AA92" s="35">
        <v>0</v>
      </c>
      <c r="AB92" s="33">
        <f>+Q92-SUM(R92:AA92)</f>
        <v>2000.40617</v>
      </c>
      <c r="AC92" s="37">
        <f>IF(Q92&gt;3500,Q92*0.1,0)</f>
        <v>0</v>
      </c>
      <c r="AD92" s="33">
        <f>+AB92-AC92</f>
        <v>2000.40617</v>
      </c>
      <c r="AE92" s="38">
        <f>IF(Q92&lt;3500,Q92*0.1,0)</f>
        <v>233.83699999999999</v>
      </c>
      <c r="AF92" s="37">
        <v>10.23</v>
      </c>
      <c r="AG92" s="37">
        <f>+U92</f>
        <v>114.58013</v>
      </c>
      <c r="AH92" s="67">
        <f>+Q92+AE92+AF92+AG92</f>
        <v>2697.0171299999997</v>
      </c>
      <c r="AI92" s="145">
        <v>577.4</v>
      </c>
      <c r="AJ92" s="147">
        <v>1423.01</v>
      </c>
      <c r="AK92" s="103">
        <f t="shared" si="1"/>
        <v>3.8299999998798739E-3</v>
      </c>
      <c r="AL92" s="39"/>
      <c r="AM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>
      <c r="A93" s="27" t="s">
        <v>71</v>
      </c>
      <c r="B93" s="27" t="s">
        <v>312</v>
      </c>
      <c r="C93" s="27" t="s">
        <v>254</v>
      </c>
      <c r="D93" s="27" t="s">
        <v>160</v>
      </c>
      <c r="E93" s="27" t="s">
        <v>73</v>
      </c>
      <c r="F93" s="27"/>
      <c r="G93" s="28"/>
      <c r="H93" s="28"/>
      <c r="I93" s="146">
        <v>513.33000000000004</v>
      </c>
      <c r="J93" s="28">
        <v>513.33000000000004</v>
      </c>
      <c r="K93" s="30">
        <f>+I93+J93</f>
        <v>1026.6600000000001</v>
      </c>
      <c r="L93" s="30">
        <v>3282.62</v>
      </c>
      <c r="M93" s="30"/>
      <c r="N93" s="31"/>
      <c r="O93" s="31"/>
      <c r="P93" s="32"/>
      <c r="Q93" s="33">
        <f>SUM(K93:O93)-P93</f>
        <v>4309.28</v>
      </c>
      <c r="R93" s="34"/>
      <c r="S93" s="45"/>
      <c r="T93" s="45">
        <v>0</v>
      </c>
      <c r="U93" s="45"/>
      <c r="V93" s="45"/>
      <c r="W93" s="45"/>
      <c r="X93" s="36"/>
      <c r="Y93" s="36"/>
      <c r="Z93" s="35"/>
      <c r="AA93" s="35">
        <v>0</v>
      </c>
      <c r="AB93" s="33">
        <f>+Q93-SUM(R93:AA93)</f>
        <v>4309.28</v>
      </c>
      <c r="AC93" s="37">
        <f>IF(Q93&gt;3500,Q93*0.1,0)</f>
        <v>430.928</v>
      </c>
      <c r="AD93" s="33">
        <f>+AB93-AC93</f>
        <v>3878.3519999999999</v>
      </c>
      <c r="AE93" s="38">
        <f>IF(Q93&lt;3500,Q93*0.1,0)</f>
        <v>0</v>
      </c>
      <c r="AF93" s="37">
        <v>10.23</v>
      </c>
      <c r="AG93" s="37">
        <f>+U93</f>
        <v>0</v>
      </c>
      <c r="AH93" s="67">
        <f>+Q93+AE93+AF93+AG93</f>
        <v>4319.5099999999993</v>
      </c>
      <c r="AI93" s="145">
        <v>577.4</v>
      </c>
      <c r="AJ93" s="147">
        <v>3300.95</v>
      </c>
      <c r="AK93" s="103">
        <f t="shared" si="1"/>
        <v>-1.9999999999527063E-3</v>
      </c>
      <c r="AL93" s="39"/>
      <c r="AM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 s="39" customFormat="1">
      <c r="A94" s="27" t="s">
        <v>91</v>
      </c>
      <c r="B94" s="27" t="s">
        <v>80</v>
      </c>
      <c r="C94" s="27"/>
      <c r="D94" s="27" t="s">
        <v>110</v>
      </c>
      <c r="E94" s="27" t="s">
        <v>168</v>
      </c>
      <c r="F94" s="27"/>
      <c r="G94" s="27"/>
      <c r="H94" s="27"/>
      <c r="I94" s="30">
        <v>1100</v>
      </c>
      <c r="J94" s="27"/>
      <c r="K94" s="30">
        <f>+I94+J94</f>
        <v>1100</v>
      </c>
      <c r="L94" s="30"/>
      <c r="M94" s="30"/>
      <c r="N94" s="30"/>
      <c r="O94" s="30"/>
      <c r="P94" s="32"/>
      <c r="Q94" s="33">
        <f>SUM(K94:O94)-P94</f>
        <v>1100</v>
      </c>
      <c r="R94" s="34"/>
      <c r="S94" s="45"/>
      <c r="T94" s="45">
        <v>0</v>
      </c>
      <c r="U94" s="45"/>
      <c r="V94" s="45"/>
      <c r="W94" s="45"/>
      <c r="X94" s="36"/>
      <c r="Y94" s="36"/>
      <c r="Z94" s="35"/>
      <c r="AA94" s="35">
        <v>0</v>
      </c>
      <c r="AB94" s="33">
        <f>+Q94-SUM(R94:AA94)</f>
        <v>1100</v>
      </c>
      <c r="AC94" s="37">
        <f>IF(Q94&gt;3500,Q94*0.1,0)</f>
        <v>0</v>
      </c>
      <c r="AD94" s="33">
        <f>+AB94-AC94</f>
        <v>1100</v>
      </c>
      <c r="AE94" s="38">
        <f>IF(Q94&lt;3500,Q94*0.1,0)</f>
        <v>110</v>
      </c>
      <c r="AF94" s="37">
        <v>10.23</v>
      </c>
      <c r="AG94" s="37">
        <f>+U94</f>
        <v>0</v>
      </c>
      <c r="AH94" s="67">
        <f>+Q94+AE94+AF94+AG94</f>
        <v>1220.23</v>
      </c>
      <c r="AI94" s="145">
        <v>577.4</v>
      </c>
      <c r="AJ94" s="145">
        <v>522.6</v>
      </c>
      <c r="AK94" s="103">
        <f t="shared" si="1"/>
        <v>0</v>
      </c>
    </row>
    <row r="95" spans="1:193">
      <c r="A95" s="62" t="s">
        <v>92</v>
      </c>
      <c r="B95" s="27" t="s">
        <v>210</v>
      </c>
      <c r="C95" s="27"/>
      <c r="D95" s="27" t="s">
        <v>109</v>
      </c>
      <c r="E95" s="27" t="s">
        <v>166</v>
      </c>
      <c r="F95" s="27"/>
      <c r="G95" s="27"/>
      <c r="H95" s="27"/>
      <c r="I95" s="30">
        <v>739.23</v>
      </c>
      <c r="J95" s="27"/>
      <c r="K95" s="30">
        <f>+I95+J95</f>
        <v>739.23</v>
      </c>
      <c r="L95" s="30">
        <f>2377.57+13.09+122.98</f>
        <v>2513.6400000000003</v>
      </c>
      <c r="M95" s="30"/>
      <c r="N95" s="30"/>
      <c r="O95" s="30"/>
      <c r="P95" s="32"/>
      <c r="Q95" s="33">
        <f>SUM(K95:O95)-P95</f>
        <v>3252.8700000000003</v>
      </c>
      <c r="R95" s="34"/>
      <c r="S95" s="45"/>
      <c r="T95" s="75">
        <v>500</v>
      </c>
      <c r="U95" s="45"/>
      <c r="V95" s="45"/>
      <c r="W95" s="45"/>
      <c r="X95" s="36"/>
      <c r="Y95" s="36"/>
      <c r="Z95" s="35"/>
      <c r="AA95" s="35">
        <v>0</v>
      </c>
      <c r="AB95" s="33">
        <f>+Q95-SUM(R95:AA95)</f>
        <v>2752.8700000000003</v>
      </c>
      <c r="AC95" s="37">
        <f>IF(Q95&gt;3500,Q95*0.1,0)</f>
        <v>0</v>
      </c>
      <c r="AD95" s="33">
        <f>+AB95-AC95</f>
        <v>2752.8700000000003</v>
      </c>
      <c r="AE95" s="38">
        <f>IF(Q95&lt;3500,Q95*0.1,0)</f>
        <v>325.28700000000003</v>
      </c>
      <c r="AF95" s="37">
        <v>10.23</v>
      </c>
      <c r="AG95" s="37">
        <f>+U95</f>
        <v>0</v>
      </c>
      <c r="AH95" s="67">
        <f>+Q95+AE95+AF95+AG95</f>
        <v>3588.3870000000002</v>
      </c>
      <c r="AI95" s="145">
        <v>324.55</v>
      </c>
      <c r="AJ95" s="147">
        <v>2428.3200000000002</v>
      </c>
      <c r="AK95" s="103">
        <f t="shared" si="1"/>
        <v>0</v>
      </c>
      <c r="AL95" s="39"/>
      <c r="AM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>
      <c r="A96" s="46"/>
      <c r="B96" s="27"/>
      <c r="C96" s="27"/>
      <c r="D96" s="28"/>
      <c r="E96" s="27"/>
      <c r="F96" s="27"/>
      <c r="G96" s="27"/>
      <c r="H96" s="27"/>
      <c r="I96" s="30"/>
      <c r="J96" s="27"/>
      <c r="K96" s="30"/>
      <c r="L96" s="30"/>
      <c r="M96" s="30"/>
      <c r="N96" s="30"/>
      <c r="O96" s="30"/>
      <c r="P96" s="32"/>
      <c r="Q96" s="33">
        <f>SUM(K96:O96)-P96</f>
        <v>0</v>
      </c>
      <c r="R96" s="34"/>
      <c r="S96" s="45"/>
      <c r="T96" s="45"/>
      <c r="U96" s="45"/>
      <c r="V96" s="45"/>
      <c r="W96" s="45"/>
      <c r="X96" s="36"/>
      <c r="Y96" s="36"/>
      <c r="Z96" s="36"/>
      <c r="AA96" s="36"/>
      <c r="AB96" s="33"/>
      <c r="AC96" s="37">
        <f>IF(Q96&gt;3500,Q96*0.1,0)</f>
        <v>0</v>
      </c>
      <c r="AD96" s="33"/>
      <c r="AE96" s="38">
        <f>IF(Q96&lt;3500,Q96*0.1,0)</f>
        <v>0</v>
      </c>
      <c r="AF96" s="37"/>
      <c r="AG96" s="37">
        <f>+U96</f>
        <v>0</v>
      </c>
      <c r="AH96" s="67">
        <f>+Q96+AE96+AF96+AG96</f>
        <v>0</v>
      </c>
      <c r="AI96" s="145"/>
      <c r="AJ96" s="147"/>
      <c r="AK96" s="103">
        <f t="shared" si="1"/>
        <v>0</v>
      </c>
      <c r="AL96" s="39"/>
      <c r="AM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s="39" customFormat="1">
      <c r="A97" s="46"/>
      <c r="B97" s="47"/>
      <c r="C97" s="47"/>
      <c r="D97" s="47"/>
      <c r="E97" s="47"/>
      <c r="F97" s="47"/>
      <c r="G97" s="47"/>
      <c r="H97" s="47"/>
      <c r="I97" s="48"/>
      <c r="J97" s="47"/>
      <c r="K97" s="48"/>
      <c r="L97" s="48"/>
      <c r="M97" s="48"/>
      <c r="N97" s="48"/>
      <c r="O97" s="48"/>
      <c r="P97" s="48"/>
      <c r="Q97" s="49"/>
      <c r="R97" s="48"/>
      <c r="S97" s="48"/>
      <c r="T97" s="48"/>
      <c r="U97" s="48"/>
      <c r="V97" s="48"/>
      <c r="W97" s="48"/>
      <c r="X97" s="37"/>
      <c r="Y97" s="37"/>
      <c r="Z97" s="37"/>
      <c r="AA97" s="37"/>
      <c r="AB97" s="50"/>
      <c r="AC97" s="37"/>
      <c r="AD97" s="49"/>
      <c r="AE97" s="37"/>
      <c r="AF97" s="37"/>
      <c r="AG97" s="37"/>
      <c r="AH97" s="49"/>
      <c r="AI97" s="103"/>
      <c r="AJ97" s="103"/>
      <c r="AK97" s="103"/>
    </row>
    <row r="98" spans="1:193" ht="15.75" thickBot="1">
      <c r="B98" s="51" t="s">
        <v>17</v>
      </c>
      <c r="C98" s="51"/>
      <c r="D98" s="51"/>
      <c r="E98" s="51"/>
      <c r="F98" s="51"/>
      <c r="G98" s="51"/>
      <c r="H98" s="51"/>
      <c r="I98" s="77"/>
      <c r="J98" s="51"/>
      <c r="K98" s="52">
        <f>SUM(K7:K97)</f>
        <v>83865.510095238176</v>
      </c>
      <c r="L98" s="52">
        <f>SUM(L7:L97)</f>
        <v>215453.30000000002</v>
      </c>
      <c r="M98" s="52"/>
      <c r="N98" s="52">
        <f>SUM(N7:N97)</f>
        <v>0</v>
      </c>
      <c r="O98" s="52">
        <f>SUM(O7:O97)</f>
        <v>0</v>
      </c>
      <c r="P98" s="52">
        <f>SUM(P7:P97)</f>
        <v>0</v>
      </c>
      <c r="Q98" s="52">
        <f>SUM(Q7:Q97)</f>
        <v>299318.81009523821</v>
      </c>
      <c r="R98" s="52">
        <f>SUM(R7:R97)</f>
        <v>0</v>
      </c>
      <c r="S98" s="52"/>
      <c r="T98" s="71">
        <f t="shared" ref="T98:AK98" si="2">SUM(T7:T97)</f>
        <v>5030.8963999999996</v>
      </c>
      <c r="U98" s="71">
        <f t="shared" si="2"/>
        <v>2179.32204</v>
      </c>
      <c r="V98" s="71">
        <f t="shared" si="2"/>
        <v>435.94119999999998</v>
      </c>
      <c r="W98" s="71">
        <f t="shared" si="2"/>
        <v>879.38</v>
      </c>
      <c r="X98" s="52">
        <f t="shared" si="2"/>
        <v>0</v>
      </c>
      <c r="Y98" s="52">
        <f t="shared" si="2"/>
        <v>167.44</v>
      </c>
      <c r="Z98" s="52">
        <f t="shared" si="2"/>
        <v>406.94</v>
      </c>
      <c r="AA98" s="52">
        <f t="shared" si="2"/>
        <v>5875.2</v>
      </c>
      <c r="AB98" s="52">
        <f t="shared" si="2"/>
        <v>283695.68045523821</v>
      </c>
      <c r="AC98" s="52">
        <f t="shared" si="2"/>
        <v>18088.509999999998</v>
      </c>
      <c r="AD98" s="52">
        <f t="shared" si="2"/>
        <v>265607.17045523826</v>
      </c>
      <c r="AE98" s="52">
        <f t="shared" si="2"/>
        <v>11843.371009523809</v>
      </c>
      <c r="AF98" s="52">
        <f t="shared" si="2"/>
        <v>890.01000000000101</v>
      </c>
      <c r="AG98" s="52">
        <f t="shared" si="2"/>
        <v>2179.32204</v>
      </c>
      <c r="AH98" s="52">
        <f t="shared" si="2"/>
        <v>314231.51314476191</v>
      </c>
      <c r="AI98" s="104">
        <f t="shared" si="2"/>
        <v>45291.010000000017</v>
      </c>
      <c r="AJ98" s="104">
        <f t="shared" si="2"/>
        <v>211765.89999999997</v>
      </c>
      <c r="AK98" s="104">
        <f t="shared" si="2"/>
        <v>-8550.2604552380926</v>
      </c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</row>
    <row r="99" spans="1:193" ht="15.75" thickTop="1">
      <c r="AH99" s="24">
        <f>AH98*0.16</f>
        <v>50277.042103161904</v>
      </c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>
      <c r="A100" s="129" t="s">
        <v>293</v>
      </c>
      <c r="B100" s="129"/>
      <c r="C100" s="69"/>
      <c r="AH100" s="24">
        <f>+AH98+AH99</f>
        <v>364508.55524792382</v>
      </c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101" s="46"/>
      <c r="B101" s="27" t="s">
        <v>294</v>
      </c>
      <c r="C101" s="27"/>
      <c r="D101" s="28"/>
      <c r="E101" s="27"/>
      <c r="F101" s="27"/>
      <c r="G101" s="27"/>
      <c r="H101" s="27"/>
      <c r="I101" s="30"/>
      <c r="J101" s="27"/>
      <c r="K101" s="30"/>
      <c r="L101" s="30">
        <f>512.9+20.49</f>
        <v>533.39</v>
      </c>
      <c r="M101" s="30"/>
      <c r="N101" s="30"/>
      <c r="O101" s="30"/>
      <c r="P101" s="30"/>
      <c r="Q101" s="33">
        <f>SUM(K101:P101)</f>
        <v>533.39</v>
      </c>
      <c r="R101" s="34"/>
      <c r="S101" s="34"/>
      <c r="T101" s="53"/>
      <c r="U101" s="53"/>
      <c r="V101" s="53"/>
      <c r="W101" s="53"/>
      <c r="X101" s="54"/>
      <c r="Y101" s="54"/>
      <c r="Z101" s="54"/>
      <c r="AA101" s="54"/>
      <c r="AB101" s="33">
        <f>+Q101-R101</f>
        <v>533.39</v>
      </c>
      <c r="AC101" s="37">
        <f>+AB101*0.05</f>
        <v>26.669499999999999</v>
      </c>
      <c r="AD101" s="33">
        <f>+AB101-X101-AA101</f>
        <v>533.39</v>
      </c>
      <c r="AE101" s="38">
        <f>IF(AB101&lt;3000,AB101*0.1,0)</f>
        <v>53.338999999999999</v>
      </c>
      <c r="AF101" s="37">
        <v>0</v>
      </c>
      <c r="AG101" s="37"/>
      <c r="AH101" s="33">
        <f>+AB101+AE101+AF101</f>
        <v>586.72900000000004</v>
      </c>
      <c r="AI101" s="105"/>
      <c r="AJ101" s="105"/>
      <c r="AK101" s="105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46"/>
      <c r="B102" s="28" t="s">
        <v>295</v>
      </c>
      <c r="C102" s="28"/>
      <c r="D102" s="28"/>
      <c r="E102" s="28"/>
      <c r="F102" s="28"/>
      <c r="G102" s="28"/>
      <c r="H102" s="28"/>
      <c r="I102" s="31"/>
      <c r="J102" s="28"/>
      <c r="K102" s="31"/>
      <c r="L102" s="31">
        <f>1439.16+83.32</f>
        <v>1522.48</v>
      </c>
      <c r="M102" s="31"/>
      <c r="N102" s="31"/>
      <c r="O102" s="31"/>
      <c r="P102" s="31"/>
      <c r="Q102" s="33">
        <f>SUM(K102:P102)</f>
        <v>1522.48</v>
      </c>
      <c r="R102" s="34"/>
      <c r="S102" s="34"/>
      <c r="T102" s="53"/>
      <c r="U102" s="53"/>
      <c r="V102" s="53"/>
      <c r="W102" s="53"/>
      <c r="X102" s="54"/>
      <c r="Y102" s="54"/>
      <c r="Z102" s="54"/>
      <c r="AA102" s="54"/>
      <c r="AB102" s="33">
        <f>+Q102-R102</f>
        <v>1522.48</v>
      </c>
      <c r="AC102" s="37">
        <f>+AB102*0.05</f>
        <v>76.124000000000009</v>
      </c>
      <c r="AD102" s="33">
        <f>+AB102-X102-AA102</f>
        <v>1522.48</v>
      </c>
      <c r="AE102" s="38">
        <f>IF(AB102&lt;3000,AB102*0.1,0)</f>
        <v>152.24800000000002</v>
      </c>
      <c r="AF102" s="37">
        <v>0</v>
      </c>
      <c r="AG102" s="37"/>
      <c r="AH102" s="33">
        <f>+AB102+AE102+AF102</f>
        <v>1674.7280000000001</v>
      </c>
      <c r="AI102" s="105"/>
      <c r="AJ102" s="105"/>
      <c r="AK102" s="105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H103" s="24">
        <f>SUM(AH101:AH102)</f>
        <v>2261.4570000000003</v>
      </c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B104" s="55"/>
      <c r="C104" s="55"/>
      <c r="D104" s="55"/>
      <c r="AH104" s="24">
        <f>+AH103*0.16</f>
        <v>361.83312000000006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B105" s="55"/>
      <c r="C105" s="55"/>
      <c r="D105" s="55"/>
      <c r="AH105" s="24">
        <f>+AH103+AH104</f>
        <v>2623.2901200000006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B106" s="55"/>
      <c r="C106" s="55"/>
      <c r="D106" s="55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B107" s="55"/>
      <c r="C107" s="55"/>
      <c r="D107" s="55"/>
      <c r="AH107" s="24">
        <f>+AH100+AH105</f>
        <v>367131.84536792384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A114" s="41" t="s">
        <v>57</v>
      </c>
      <c r="B114" s="23"/>
      <c r="C114" s="23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A115" s="41" t="s">
        <v>58</v>
      </c>
      <c r="B115" s="23"/>
      <c r="C115" s="23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59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60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61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62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3" spans="1:193">
      <c r="B123" s="27"/>
      <c r="C123" s="70"/>
    </row>
    <row r="124" spans="1:193">
      <c r="B124" s="27"/>
      <c r="C124" s="70"/>
    </row>
    <row r="125" spans="1:193">
      <c r="B125" s="27"/>
      <c r="C125" s="70"/>
    </row>
  </sheetData>
  <sheetProtection selectLockedCells="1" selectUnlockedCells="1"/>
  <autoFilter ref="A5:AM96">
    <filterColumn colId="34" showButton="0"/>
    <sortState ref="A8:AM96">
      <sortCondition ref="B5:B96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N5:N6"/>
    <mergeCell ref="O5:O6"/>
    <mergeCell ref="P5:P6"/>
    <mergeCell ref="Q5:Q6"/>
    <mergeCell ref="R5:R6"/>
    <mergeCell ref="T5:T6"/>
    <mergeCell ref="AM5:AM6"/>
    <mergeCell ref="A100:B100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38" t="s">
        <v>39</v>
      </c>
      <c r="B5" s="140" t="s">
        <v>40</v>
      </c>
      <c r="C5" s="138"/>
      <c r="D5" s="140" t="s">
        <v>41</v>
      </c>
      <c r="E5" s="140" t="s">
        <v>0</v>
      </c>
      <c r="F5" s="138" t="s">
        <v>246</v>
      </c>
      <c r="G5" s="130" t="s">
        <v>67</v>
      </c>
      <c r="H5" s="130" t="s">
        <v>65</v>
      </c>
      <c r="I5" s="141" t="s">
        <v>66</v>
      </c>
      <c r="J5" s="136" t="s">
        <v>68</v>
      </c>
      <c r="K5" s="130" t="s">
        <v>34</v>
      </c>
      <c r="L5" s="136" t="s">
        <v>75</v>
      </c>
      <c r="M5" s="95"/>
      <c r="N5" s="130" t="s">
        <v>35</v>
      </c>
      <c r="O5" s="130" t="s">
        <v>36</v>
      </c>
      <c r="P5" s="130" t="s">
        <v>63</v>
      </c>
      <c r="Q5" s="130" t="s">
        <v>37</v>
      </c>
      <c r="R5" s="130" t="s">
        <v>38</v>
      </c>
      <c r="S5" s="88"/>
      <c r="T5" s="134" t="s">
        <v>186</v>
      </c>
      <c r="U5" s="134" t="s">
        <v>213</v>
      </c>
      <c r="V5" s="134" t="s">
        <v>212</v>
      </c>
      <c r="W5" s="134" t="s">
        <v>187</v>
      </c>
      <c r="X5" s="130" t="s">
        <v>30</v>
      </c>
      <c r="Y5" s="130" t="s">
        <v>56</v>
      </c>
      <c r="Z5" s="130" t="s">
        <v>55</v>
      </c>
      <c r="AA5" s="130" t="s">
        <v>32</v>
      </c>
      <c r="AB5" s="130" t="s">
        <v>64</v>
      </c>
      <c r="AC5" s="130" t="s">
        <v>27</v>
      </c>
      <c r="AD5" s="130" t="s">
        <v>31</v>
      </c>
      <c r="AE5" s="130" t="s">
        <v>26</v>
      </c>
      <c r="AF5" s="130" t="s">
        <v>28</v>
      </c>
      <c r="AG5" s="130" t="s">
        <v>29</v>
      </c>
      <c r="AH5" s="130" t="s">
        <v>188</v>
      </c>
      <c r="AI5" s="130" t="s">
        <v>189</v>
      </c>
      <c r="AJ5" s="143" t="s">
        <v>190</v>
      </c>
      <c r="AK5" s="144"/>
      <c r="AL5" s="128" t="s">
        <v>191</v>
      </c>
      <c r="AM5" s="128" t="s">
        <v>257</v>
      </c>
      <c r="AN5" s="128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139"/>
      <c r="B6" s="140"/>
      <c r="C6" s="139"/>
      <c r="D6" s="140"/>
      <c r="E6" s="140"/>
      <c r="F6" s="139"/>
      <c r="G6" s="130"/>
      <c r="H6" s="130"/>
      <c r="I6" s="142"/>
      <c r="J6" s="137"/>
      <c r="K6" s="130"/>
      <c r="L6" s="137"/>
      <c r="M6" s="96" t="s">
        <v>288</v>
      </c>
      <c r="N6" s="130"/>
      <c r="O6" s="130"/>
      <c r="P6" s="130"/>
      <c r="Q6" s="130"/>
      <c r="R6" s="130"/>
      <c r="S6" s="89" t="s">
        <v>276</v>
      </c>
      <c r="T6" s="135"/>
      <c r="U6" s="135"/>
      <c r="V6" s="135"/>
      <c r="W6" s="135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64" t="s">
        <v>66</v>
      </c>
      <c r="AK6" s="64" t="s">
        <v>68</v>
      </c>
      <c r="AL6" s="128"/>
      <c r="AM6" s="128"/>
      <c r="AN6" s="128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 t="shared" ref="AB14" si="7">+Q14-SUM(R14:AA14)</f>
        <v>1330.66</v>
      </c>
      <c r="AC14" s="37">
        <f t="shared" ref="AC14" si="8">IF(Q14&gt;4500,Q14*0.1,0)</f>
        <v>0</v>
      </c>
      <c r="AD14" s="33">
        <f t="shared" ref="AD14" si="9">+AB14-AC14</f>
        <v>1330.66</v>
      </c>
      <c r="AE14" s="38">
        <f t="shared" ref="AE14" si="10">IF(Q14&lt;4500,Q14*0.1,0)</f>
        <v>133.066</v>
      </c>
      <c r="AF14" s="37">
        <v>10.23</v>
      </c>
      <c r="AG14" s="67">
        <f t="shared" ref="AG14" si="11"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12">+Q15-SUM(R15:AA15)</f>
        <v>2306.8000000000002</v>
      </c>
      <c r="AC15" s="37">
        <f t="shared" si="6"/>
        <v>0</v>
      </c>
      <c r="AD15" s="33">
        <f t="shared" ref="AD15:AD44" si="13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12"/>
        <v>422.27855999999997</v>
      </c>
      <c r="AC16" s="37">
        <f t="shared" si="6"/>
        <v>0</v>
      </c>
      <c r="AD16" s="33">
        <f t="shared" si="13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12"/>
        <v>694.54750000000001</v>
      </c>
      <c r="AC17" s="37">
        <f t="shared" si="6"/>
        <v>0</v>
      </c>
      <c r="AD17" s="33">
        <f t="shared" si="13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12"/>
        <v>1424.4199999999998</v>
      </c>
      <c r="AC18" s="37">
        <f t="shared" si="6"/>
        <v>0</v>
      </c>
      <c r="AD18" s="33">
        <f t="shared" si="13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12"/>
        <v>9028.74</v>
      </c>
      <c r="AC19" s="37">
        <f t="shared" si="6"/>
        <v>1145.2149999999999</v>
      </c>
      <c r="AD19" s="33">
        <f t="shared" si="13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2"/>
        <v>1166.26</v>
      </c>
      <c r="AC20" s="37">
        <f t="shared" si="6"/>
        <v>0</v>
      </c>
      <c r="AD20" s="33">
        <f t="shared" si="13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12"/>
        <v>2592.0880099999995</v>
      </c>
      <c r="AC21" s="37">
        <f t="shared" si="6"/>
        <v>0</v>
      </c>
      <c r="AD21" s="33">
        <f t="shared" si="13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2"/>
        <v>14698.65</v>
      </c>
      <c r="AC22" s="37">
        <f t="shared" si="6"/>
        <v>1560.4350000000002</v>
      </c>
      <c r="AD22" s="33">
        <f t="shared" si="13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12"/>
        <v>1330.8562999999999</v>
      </c>
      <c r="AC23" s="37">
        <f t="shared" si="6"/>
        <v>0</v>
      </c>
      <c r="AD23" s="33">
        <f t="shared" si="13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12"/>
        <v>938.84999999999991</v>
      </c>
      <c r="AC24" s="37">
        <f t="shared" si="6"/>
        <v>0</v>
      </c>
      <c r="AD24" s="33">
        <f t="shared" si="13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12"/>
        <v>4661.4800000000005</v>
      </c>
      <c r="AC25" s="37">
        <f t="shared" si="6"/>
        <v>545.91000000000008</v>
      </c>
      <c r="AD25" s="33">
        <f t="shared" si="13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2"/>
        <v>3247.11</v>
      </c>
      <c r="AC26" s="37">
        <f t="shared" si="6"/>
        <v>0</v>
      </c>
      <c r="AD26" s="33">
        <f t="shared" si="13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2"/>
        <v>1092.73</v>
      </c>
      <c r="AC27" s="37">
        <f t="shared" si="6"/>
        <v>0</v>
      </c>
      <c r="AD27" s="33">
        <f t="shared" si="13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12"/>
        <v>2152.9700000000003</v>
      </c>
      <c r="AC28" s="37">
        <f t="shared" si="6"/>
        <v>0</v>
      </c>
      <c r="AD28" s="33">
        <f t="shared" si="13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2"/>
        <v>1424.4199999999998</v>
      </c>
      <c r="AC29" s="37">
        <f t="shared" si="6"/>
        <v>0</v>
      </c>
      <c r="AD29" s="33">
        <f t="shared" si="13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12"/>
        <v>1316.67</v>
      </c>
      <c r="AC30" s="37">
        <f t="shared" si="6"/>
        <v>0</v>
      </c>
      <c r="AD30" s="33">
        <f t="shared" si="13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12"/>
        <v>3455.38058</v>
      </c>
      <c r="AC31" s="37">
        <f t="shared" si="6"/>
        <v>0</v>
      </c>
      <c r="AD31" s="33">
        <f t="shared" si="13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12"/>
        <v>2094.2811000000002</v>
      </c>
      <c r="AC32" s="37">
        <f t="shared" si="6"/>
        <v>0</v>
      </c>
      <c r="AD32" s="33">
        <f t="shared" si="13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2"/>
        <v>2384.29</v>
      </c>
      <c r="AC33" s="37">
        <f t="shared" si="6"/>
        <v>0</v>
      </c>
      <c r="AD33" s="33">
        <f t="shared" si="13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2"/>
        <v>475.39</v>
      </c>
      <c r="AC34" s="83">
        <f t="shared" si="6"/>
        <v>0</v>
      </c>
      <c r="AD34" s="82">
        <f t="shared" si="13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 t="shared" ref="Q35" si="14"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15">+Q35-SUM(R35:AA35)</f>
        <v>1166.6600000000001</v>
      </c>
      <c r="AC35" s="37">
        <f t="shared" ref="AC35" si="16">IF(Q35&gt;4500,Q35*0.1,0)</f>
        <v>0</v>
      </c>
      <c r="AD35" s="33">
        <f t="shared" ref="AD35" si="17">+AB35-AC35</f>
        <v>1166.6600000000001</v>
      </c>
      <c r="AE35" s="38">
        <f t="shared" ref="AE35" si="18">IF(Q35&lt;4500,Q35*0.1,0)</f>
        <v>116.66600000000001</v>
      </c>
      <c r="AF35" s="37">
        <v>10.23</v>
      </c>
      <c r="AG35" s="67">
        <f t="shared" ref="AG35" si="19"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12"/>
        <v>11505.36</v>
      </c>
      <c r="AC36" s="37">
        <f t="shared" si="6"/>
        <v>1191.3340000000001</v>
      </c>
      <c r="AD36" s="33">
        <f t="shared" si="13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12"/>
        <v>1237.05</v>
      </c>
      <c r="AC37" s="37">
        <f t="shared" si="6"/>
        <v>0</v>
      </c>
      <c r="AD37" s="33">
        <f t="shared" si="13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2"/>
        <v>2632.79</v>
      </c>
      <c r="AC38" s="37">
        <f t="shared" si="6"/>
        <v>0</v>
      </c>
      <c r="AD38" s="33">
        <f t="shared" si="13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20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21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2"/>
        <v>6218.05</v>
      </c>
      <c r="AC39" s="37">
        <f t="shared" si="6"/>
        <v>627.69600000000003</v>
      </c>
      <c r="AD39" s="33">
        <f t="shared" si="13"/>
        <v>5590.3540000000003</v>
      </c>
      <c r="AE39" s="38">
        <f t="shared" ref="AE39:AE72" si="22">IF(Q39&lt;4500,Q39*0.1,0)</f>
        <v>0</v>
      </c>
      <c r="AF39" s="37">
        <v>10.23</v>
      </c>
      <c r="AG39" s="67">
        <f t="shared" ref="AG39:AG72" si="23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20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21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12"/>
        <v>9032.619999999999</v>
      </c>
      <c r="AC40" s="37">
        <f t="shared" si="6"/>
        <v>924.12199999999996</v>
      </c>
      <c r="AD40" s="33">
        <f t="shared" si="13"/>
        <v>8108.4979999999987</v>
      </c>
      <c r="AE40" s="38">
        <f t="shared" si="22"/>
        <v>0</v>
      </c>
      <c r="AF40" s="37">
        <v>10.23</v>
      </c>
      <c r="AG40" s="67">
        <f t="shared" si="23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20"/>
        <v>513.33000000000004</v>
      </c>
      <c r="L41" s="30"/>
      <c r="M41" s="30">
        <v>56.63</v>
      </c>
      <c r="N41" s="31"/>
      <c r="O41" s="31"/>
      <c r="P41" s="32"/>
      <c r="Q41" s="33">
        <f t="shared" si="21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2"/>
        <v>511.05000000000007</v>
      </c>
      <c r="AC41" s="37">
        <f t="shared" si="6"/>
        <v>0</v>
      </c>
      <c r="AD41" s="33">
        <f t="shared" si="13"/>
        <v>511.05000000000007</v>
      </c>
      <c r="AE41" s="38">
        <f t="shared" si="22"/>
        <v>56.996000000000009</v>
      </c>
      <c r="AF41" s="37">
        <v>10.23</v>
      </c>
      <c r="AG41" s="67">
        <f t="shared" si="23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20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21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2"/>
        <v>5486.17</v>
      </c>
      <c r="AC42" s="37">
        <f t="shared" si="6"/>
        <v>548.61700000000008</v>
      </c>
      <c r="AD42" s="33">
        <f t="shared" si="13"/>
        <v>4937.5529999999999</v>
      </c>
      <c r="AE42" s="38">
        <f t="shared" si="22"/>
        <v>0</v>
      </c>
      <c r="AF42" s="37">
        <v>10.23</v>
      </c>
      <c r="AG42" s="67">
        <f t="shared" si="23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20"/>
        <v>1633.33</v>
      </c>
      <c r="L43" s="30"/>
      <c r="M43" s="30"/>
      <c r="N43" s="30"/>
      <c r="O43" s="30"/>
      <c r="P43" s="32"/>
      <c r="Q43" s="33">
        <f t="shared" si="21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2"/>
        <v>1633.33</v>
      </c>
      <c r="AC43" s="37">
        <f t="shared" ref="AC43:AC75" si="24">IF(Q43&gt;4500,Q43*0.1,0)</f>
        <v>0</v>
      </c>
      <c r="AD43" s="33">
        <f t="shared" si="13"/>
        <v>1633.33</v>
      </c>
      <c r="AE43" s="38">
        <f t="shared" si="22"/>
        <v>163.333</v>
      </c>
      <c r="AF43" s="37">
        <v>10.23</v>
      </c>
      <c r="AG43" s="67">
        <f t="shared" si="23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20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21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2"/>
        <v>15346.4</v>
      </c>
      <c r="AC44" s="37">
        <f t="shared" si="24"/>
        <v>1534.64</v>
      </c>
      <c r="AD44" s="33">
        <f t="shared" si="13"/>
        <v>13811.76</v>
      </c>
      <c r="AE44" s="38">
        <f t="shared" si="22"/>
        <v>0</v>
      </c>
      <c r="AF44" s="37">
        <v>10.23</v>
      </c>
      <c r="AG44" s="67">
        <f t="shared" si="23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20"/>
        <v>1400</v>
      </c>
      <c r="L45" s="58"/>
      <c r="M45" s="58"/>
      <c r="N45" s="58"/>
      <c r="O45" s="58"/>
      <c r="P45" s="92"/>
      <c r="Q45" s="59">
        <f t="shared" si="21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12"/>
        <v>1400</v>
      </c>
      <c r="AC45" s="60">
        <f t="shared" si="24"/>
        <v>0</v>
      </c>
      <c r="AD45" s="59">
        <f t="shared" ref="AD45:AD76" si="25">+AB45-AC45</f>
        <v>1400</v>
      </c>
      <c r="AE45" s="60">
        <f t="shared" si="22"/>
        <v>140</v>
      </c>
      <c r="AF45" s="60">
        <v>10.23</v>
      </c>
      <c r="AG45" s="59">
        <f t="shared" si="23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20"/>
        <v>608.16</v>
      </c>
      <c r="L46" s="30">
        <v>309.60000000000002</v>
      </c>
      <c r="M46" s="30"/>
      <c r="N46" s="31"/>
      <c r="O46" s="31"/>
      <c r="P46" s="32"/>
      <c r="Q46" s="33">
        <f t="shared" si="21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26">+Q46-SUM(R46:AA46)</f>
        <v>763.61216000000002</v>
      </c>
      <c r="AC46" s="37">
        <f t="shared" si="24"/>
        <v>0</v>
      </c>
      <c r="AD46" s="33">
        <f t="shared" si="25"/>
        <v>763.61216000000002</v>
      </c>
      <c r="AE46" s="38">
        <f t="shared" si="22"/>
        <v>91.77600000000001</v>
      </c>
      <c r="AF46" s="37">
        <v>10.23</v>
      </c>
      <c r="AG46" s="67">
        <f t="shared" si="23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20"/>
        <v>608.16</v>
      </c>
      <c r="L47" s="58">
        <v>801.03</v>
      </c>
      <c r="M47" s="58"/>
      <c r="N47" s="58"/>
      <c r="O47" s="58"/>
      <c r="P47" s="92"/>
      <c r="Q47" s="59">
        <f t="shared" si="21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26"/>
        <v>1409.19</v>
      </c>
      <c r="AC47" s="60">
        <f t="shared" si="24"/>
        <v>0</v>
      </c>
      <c r="AD47" s="59">
        <f t="shared" si="25"/>
        <v>1409.19</v>
      </c>
      <c r="AE47" s="60">
        <f t="shared" si="22"/>
        <v>140.91900000000001</v>
      </c>
      <c r="AF47" s="60">
        <v>10.23</v>
      </c>
      <c r="AG47" s="59">
        <f t="shared" si="23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20"/>
        <v>608.16</v>
      </c>
      <c r="L48" s="30">
        <v>1886.62</v>
      </c>
      <c r="M48" s="30"/>
      <c r="N48" s="31"/>
      <c r="O48" s="31"/>
      <c r="P48" s="32"/>
      <c r="Q48" s="33">
        <f t="shared" si="21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26"/>
        <v>2347.5879799999998</v>
      </c>
      <c r="AC48" s="37">
        <f t="shared" si="24"/>
        <v>0</v>
      </c>
      <c r="AD48" s="33">
        <f t="shared" si="25"/>
        <v>2347.5879799999998</v>
      </c>
      <c r="AE48" s="38">
        <f t="shared" si="22"/>
        <v>249.47799999999998</v>
      </c>
      <c r="AF48" s="37">
        <v>10.23</v>
      </c>
      <c r="AG48" s="67">
        <f t="shared" si="23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20"/>
        <v>739.23</v>
      </c>
      <c r="L49" s="30">
        <v>2866.06</v>
      </c>
      <c r="M49" s="30"/>
      <c r="N49" s="30"/>
      <c r="O49" s="30"/>
      <c r="P49" s="32"/>
      <c r="Q49" s="33">
        <f t="shared" si="21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26"/>
        <v>3605.29</v>
      </c>
      <c r="AC49" s="37">
        <f t="shared" si="24"/>
        <v>0</v>
      </c>
      <c r="AD49" s="33">
        <f t="shared" si="25"/>
        <v>3605.29</v>
      </c>
      <c r="AE49" s="38">
        <f t="shared" si="22"/>
        <v>360.529</v>
      </c>
      <c r="AF49" s="37">
        <v>10.23</v>
      </c>
      <c r="AG49" s="67">
        <f t="shared" si="23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20"/>
        <v>739.23</v>
      </c>
      <c r="L50" s="53">
        <v>2438.48</v>
      </c>
      <c r="M50" s="53"/>
      <c r="N50" s="53"/>
      <c r="O50" s="53"/>
      <c r="P50" s="73"/>
      <c r="Q50" s="59">
        <f t="shared" si="21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26"/>
        <v>3145.9329000000002</v>
      </c>
      <c r="AC50" s="60">
        <f t="shared" si="24"/>
        <v>0</v>
      </c>
      <c r="AD50" s="59">
        <f t="shared" si="25"/>
        <v>3145.9329000000002</v>
      </c>
      <c r="AE50" s="60">
        <f t="shared" si="22"/>
        <v>317.77100000000002</v>
      </c>
      <c r="AF50" s="37">
        <v>10.23</v>
      </c>
      <c r="AG50" s="67">
        <f t="shared" si="23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20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21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26"/>
        <v>21055.430000000004</v>
      </c>
      <c r="AC51" s="37">
        <f t="shared" si="24"/>
        <v>2111.4340000000007</v>
      </c>
      <c r="AD51" s="33">
        <f t="shared" si="25"/>
        <v>18943.996000000003</v>
      </c>
      <c r="AE51" s="38">
        <f t="shared" si="22"/>
        <v>0</v>
      </c>
      <c r="AF51" s="37">
        <v>10.23</v>
      </c>
      <c r="AG51" s="67">
        <f t="shared" si="23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20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21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26"/>
        <v>9788.619999999999</v>
      </c>
      <c r="AC52" s="37">
        <f t="shared" si="24"/>
        <v>978.86199999999997</v>
      </c>
      <c r="AD52" s="33">
        <f t="shared" si="25"/>
        <v>8809.7579999999998</v>
      </c>
      <c r="AE52" s="38">
        <f t="shared" si="22"/>
        <v>0</v>
      </c>
      <c r="AF52" s="37">
        <v>10.23</v>
      </c>
      <c r="AG52" s="67">
        <f t="shared" si="23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20"/>
        <v>1166.6600000000001</v>
      </c>
      <c r="L53" s="30">
        <v>-653.33000000000004</v>
      </c>
      <c r="M53" s="30"/>
      <c r="N53" s="31"/>
      <c r="O53" s="31"/>
      <c r="P53" s="32"/>
      <c r="Q53" s="33">
        <f t="shared" si="21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26"/>
        <v>384.99750000000006</v>
      </c>
      <c r="AC53" s="37">
        <f t="shared" si="24"/>
        <v>0</v>
      </c>
      <c r="AD53" s="33">
        <f t="shared" si="25"/>
        <v>384.99750000000006</v>
      </c>
      <c r="AE53" s="38">
        <f t="shared" si="22"/>
        <v>51.333000000000006</v>
      </c>
      <c r="AF53" s="37">
        <v>10.23</v>
      </c>
      <c r="AG53" s="67">
        <f t="shared" si="23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20"/>
        <v>1166.6600000000001</v>
      </c>
      <c r="L54" s="30"/>
      <c r="M54" s="30"/>
      <c r="N54" s="31"/>
      <c r="O54" s="31"/>
      <c r="P54" s="32"/>
      <c r="Q54" s="33">
        <f t="shared" si="21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26"/>
        <v>1166.6600000000001</v>
      </c>
      <c r="AC54" s="37">
        <f t="shared" si="24"/>
        <v>0</v>
      </c>
      <c r="AD54" s="33">
        <f t="shared" si="25"/>
        <v>1166.6600000000001</v>
      </c>
      <c r="AE54" s="38">
        <f t="shared" si="22"/>
        <v>116.66600000000001</v>
      </c>
      <c r="AF54" s="37">
        <v>10.23</v>
      </c>
      <c r="AG54" s="67">
        <f t="shared" si="23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20"/>
        <v>1166.6600000000001</v>
      </c>
      <c r="L55" s="80"/>
      <c r="M55" s="80"/>
      <c r="N55" s="80"/>
      <c r="O55" s="80"/>
      <c r="P55" s="81"/>
      <c r="Q55" s="82">
        <f t="shared" si="21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26"/>
        <v>1166.6600000000001</v>
      </c>
      <c r="AC55" s="83">
        <f t="shared" si="24"/>
        <v>0</v>
      </c>
      <c r="AD55" s="82">
        <f t="shared" si="25"/>
        <v>1166.6600000000001</v>
      </c>
      <c r="AE55" s="83">
        <f t="shared" si="22"/>
        <v>116.66600000000001</v>
      </c>
      <c r="AF55" s="83">
        <v>10.23</v>
      </c>
      <c r="AG55" s="82">
        <f t="shared" si="23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20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21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26"/>
        <v>1006.1100000000001</v>
      </c>
      <c r="AC56" s="37">
        <f t="shared" si="24"/>
        <v>0</v>
      </c>
      <c r="AD56" s="33">
        <f t="shared" si="25"/>
        <v>1006.1100000000001</v>
      </c>
      <c r="AE56" s="38">
        <f t="shared" si="22"/>
        <v>109.26700000000001</v>
      </c>
      <c r="AF56" s="37">
        <v>10.23</v>
      </c>
      <c r="AG56" s="67">
        <f t="shared" si="23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20"/>
        <v>1100</v>
      </c>
      <c r="L57" s="30">
        <v>307.39999999999998</v>
      </c>
      <c r="M57" s="30"/>
      <c r="N57" s="31"/>
      <c r="O57" s="31"/>
      <c r="P57" s="32"/>
      <c r="Q57" s="33">
        <f t="shared" si="21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26"/>
        <v>1324.3634000000002</v>
      </c>
      <c r="AC57" s="37">
        <f t="shared" si="24"/>
        <v>0</v>
      </c>
      <c r="AD57" s="33">
        <f t="shared" si="25"/>
        <v>1324.3634000000002</v>
      </c>
      <c r="AE57" s="38">
        <f t="shared" si="22"/>
        <v>140.74</v>
      </c>
      <c r="AF57" s="37">
        <v>10.23</v>
      </c>
      <c r="AG57" s="67">
        <f t="shared" si="23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20"/>
        <v>739.23</v>
      </c>
      <c r="L58" s="30"/>
      <c r="M58" s="30"/>
      <c r="N58" s="30"/>
      <c r="O58" s="30"/>
      <c r="P58" s="32"/>
      <c r="Q58" s="33">
        <f t="shared" si="21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26"/>
        <v>739.23</v>
      </c>
      <c r="AC58" s="37">
        <f t="shared" si="24"/>
        <v>0</v>
      </c>
      <c r="AD58" s="33">
        <f t="shared" si="25"/>
        <v>739.23</v>
      </c>
      <c r="AE58" s="38">
        <f t="shared" si="22"/>
        <v>73.923000000000002</v>
      </c>
      <c r="AF58" s="37">
        <v>10.23</v>
      </c>
      <c r="AG58" s="67">
        <f t="shared" si="23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20"/>
        <v>608.16</v>
      </c>
      <c r="L59" s="30"/>
      <c r="M59" s="30"/>
      <c r="N59" s="31"/>
      <c r="O59" s="31"/>
      <c r="P59" s="32"/>
      <c r="Q59" s="33">
        <f t="shared" si="21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26"/>
        <v>572.27855999999997</v>
      </c>
      <c r="AC59" s="37">
        <f t="shared" si="24"/>
        <v>0</v>
      </c>
      <c r="AD59" s="33">
        <f t="shared" si="25"/>
        <v>572.27855999999997</v>
      </c>
      <c r="AE59" s="38">
        <f t="shared" si="22"/>
        <v>60.816000000000003</v>
      </c>
      <c r="AF59" s="37">
        <v>10.23</v>
      </c>
      <c r="AG59" s="67">
        <f t="shared" si="23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20"/>
        <v>511.28</v>
      </c>
      <c r="L60" s="30">
        <v>1441.8</v>
      </c>
      <c r="M60" s="30"/>
      <c r="N60" s="31"/>
      <c r="O60" s="31"/>
      <c r="P60" s="32"/>
      <c r="Q60" s="33">
        <f t="shared" si="21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26"/>
        <v>1737.8482799999999</v>
      </c>
      <c r="AC60" s="37">
        <f t="shared" si="24"/>
        <v>0</v>
      </c>
      <c r="AD60" s="33">
        <f t="shared" si="25"/>
        <v>1737.8482799999999</v>
      </c>
      <c r="AE60" s="38">
        <f t="shared" si="22"/>
        <v>195.30799999999999</v>
      </c>
      <c r="AF60" s="37">
        <v>10.23</v>
      </c>
      <c r="AG60" s="67">
        <f t="shared" si="23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20"/>
        <v>513.33000000000004</v>
      </c>
      <c r="L61" s="30"/>
      <c r="M61" s="30">
        <v>66.069999999999993</v>
      </c>
      <c r="N61" s="31"/>
      <c r="O61" s="31"/>
      <c r="P61" s="32"/>
      <c r="Q61" s="33">
        <f t="shared" si="21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26"/>
        <v>579.40000000000009</v>
      </c>
      <c r="AC61" s="37">
        <f t="shared" si="24"/>
        <v>0</v>
      </c>
      <c r="AD61" s="33">
        <f t="shared" si="25"/>
        <v>579.40000000000009</v>
      </c>
      <c r="AE61" s="38">
        <f t="shared" si="22"/>
        <v>57.940000000000012</v>
      </c>
      <c r="AF61" s="37">
        <v>10.23</v>
      </c>
      <c r="AG61" s="67">
        <f t="shared" si="23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20"/>
        <v>739.23</v>
      </c>
      <c r="L62" s="30">
        <v>4006.07</v>
      </c>
      <c r="M62" s="30"/>
      <c r="N62" s="42"/>
      <c r="O62" s="31"/>
      <c r="P62" s="32"/>
      <c r="Q62" s="33">
        <f t="shared" si="21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26"/>
        <v>4745.3</v>
      </c>
      <c r="AC62" s="37">
        <f t="shared" si="24"/>
        <v>474.53000000000003</v>
      </c>
      <c r="AD62" s="33">
        <f t="shared" si="25"/>
        <v>4270.7700000000004</v>
      </c>
      <c r="AE62" s="38">
        <f t="shared" si="22"/>
        <v>0</v>
      </c>
      <c r="AF62" s="37">
        <v>10.23</v>
      </c>
      <c r="AG62" s="67">
        <f t="shared" si="23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20"/>
        <v>739.23</v>
      </c>
      <c r="L63" s="30">
        <v>3036.32</v>
      </c>
      <c r="M63" s="30"/>
      <c r="N63" s="31"/>
      <c r="O63" s="31"/>
      <c r="P63" s="32"/>
      <c r="Q63" s="33">
        <f t="shared" si="21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26"/>
        <v>3775.55</v>
      </c>
      <c r="AC63" s="37">
        <f t="shared" si="24"/>
        <v>0</v>
      </c>
      <c r="AD63" s="33">
        <f t="shared" si="25"/>
        <v>3775.55</v>
      </c>
      <c r="AE63" s="38">
        <f t="shared" si="22"/>
        <v>377.55500000000006</v>
      </c>
      <c r="AF63" s="37">
        <v>10.23</v>
      </c>
      <c r="AG63" s="67">
        <f t="shared" si="23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20"/>
        <v>1136.73</v>
      </c>
      <c r="L64" s="80">
        <v>0</v>
      </c>
      <c r="M64" s="80"/>
      <c r="N64" s="80"/>
      <c r="O64" s="80"/>
      <c r="P64" s="80"/>
      <c r="Q64" s="82">
        <f t="shared" si="21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26"/>
        <v>1136.73</v>
      </c>
      <c r="AC64" s="83">
        <f t="shared" si="24"/>
        <v>0</v>
      </c>
      <c r="AD64" s="82">
        <f t="shared" si="25"/>
        <v>1136.73</v>
      </c>
      <c r="AE64" s="83">
        <f t="shared" si="22"/>
        <v>113.673</v>
      </c>
      <c r="AF64" s="83">
        <v>10.23</v>
      </c>
      <c r="AG64" s="82">
        <f t="shared" si="23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20"/>
        <v>608.16</v>
      </c>
      <c r="L65" s="30">
        <v>1276.27</v>
      </c>
      <c r="M65" s="30"/>
      <c r="N65" s="31"/>
      <c r="O65" s="31"/>
      <c r="P65" s="32"/>
      <c r="Q65" s="33">
        <f t="shared" si="21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26"/>
        <v>1773.2486299999998</v>
      </c>
      <c r="AC65" s="37">
        <f t="shared" si="24"/>
        <v>0</v>
      </c>
      <c r="AD65" s="33">
        <f t="shared" si="25"/>
        <v>1773.2486299999998</v>
      </c>
      <c r="AE65" s="38">
        <f t="shared" si="22"/>
        <v>188.44299999999998</v>
      </c>
      <c r="AF65" s="37">
        <v>10.23</v>
      </c>
      <c r="AG65" s="67">
        <f t="shared" si="23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20"/>
        <v>608.16</v>
      </c>
      <c r="L66" s="30">
        <v>3235.87</v>
      </c>
      <c r="M66" s="30"/>
      <c r="N66" s="31"/>
      <c r="O66" s="31"/>
      <c r="P66" s="32"/>
      <c r="Q66" s="33">
        <f t="shared" si="21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26"/>
        <v>3095.4922299999998</v>
      </c>
      <c r="AC66" s="37">
        <f t="shared" si="24"/>
        <v>0</v>
      </c>
      <c r="AD66" s="33">
        <f t="shared" si="25"/>
        <v>3095.4922299999998</v>
      </c>
      <c r="AE66" s="38">
        <f t="shared" si="22"/>
        <v>384.40300000000002</v>
      </c>
      <c r="AF66" s="37">
        <v>10.23</v>
      </c>
      <c r="AG66" s="67">
        <f t="shared" si="23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20"/>
        <v>1400</v>
      </c>
      <c r="L67" s="30">
        <f>355.65+140</f>
        <v>495.65</v>
      </c>
      <c r="M67" s="30"/>
      <c r="N67" s="31"/>
      <c r="O67" s="31"/>
      <c r="P67" s="32"/>
      <c r="Q67" s="33">
        <f t="shared" si="21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26"/>
        <v>1895.65</v>
      </c>
      <c r="AC67" s="37">
        <f t="shared" si="24"/>
        <v>0</v>
      </c>
      <c r="AD67" s="33">
        <f t="shared" si="25"/>
        <v>1895.65</v>
      </c>
      <c r="AE67" s="38">
        <f t="shared" si="22"/>
        <v>189.56500000000003</v>
      </c>
      <c r="AF67" s="37">
        <v>10.23</v>
      </c>
      <c r="AG67" s="67">
        <f t="shared" si="23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20"/>
        <v>608.16</v>
      </c>
      <c r="L68" s="30">
        <v>527.79999999999995</v>
      </c>
      <c r="M68" s="30"/>
      <c r="N68" s="31"/>
      <c r="O68" s="31"/>
      <c r="P68" s="32"/>
      <c r="Q68" s="33">
        <f t="shared" si="21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26"/>
        <v>1068.9383600000001</v>
      </c>
      <c r="AC68" s="37">
        <f t="shared" si="24"/>
        <v>0</v>
      </c>
      <c r="AD68" s="33">
        <f t="shared" si="25"/>
        <v>1068.9383600000001</v>
      </c>
      <c r="AE68" s="38">
        <f t="shared" si="22"/>
        <v>113.596</v>
      </c>
      <c r="AF68" s="37">
        <v>10.23</v>
      </c>
      <c r="AG68" s="67">
        <f t="shared" si="23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20"/>
        <v>1400</v>
      </c>
      <c r="L69" s="30"/>
      <c r="M69" s="30"/>
      <c r="N69" s="30"/>
      <c r="O69" s="30"/>
      <c r="P69" s="32"/>
      <c r="Q69" s="33">
        <f t="shared" si="21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26"/>
        <v>1400</v>
      </c>
      <c r="AC69" s="37">
        <f t="shared" si="24"/>
        <v>0</v>
      </c>
      <c r="AD69" s="33">
        <f t="shared" si="25"/>
        <v>1400</v>
      </c>
      <c r="AE69" s="38">
        <f t="shared" si="22"/>
        <v>140</v>
      </c>
      <c r="AF69" s="37">
        <v>10.23</v>
      </c>
      <c r="AG69" s="67">
        <f t="shared" si="23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20"/>
        <v>739.23</v>
      </c>
      <c r="L70" s="53">
        <v>1692.78</v>
      </c>
      <c r="M70" s="53"/>
      <c r="N70" s="53"/>
      <c r="O70" s="53"/>
      <c r="P70" s="73"/>
      <c r="Q70" s="59">
        <f t="shared" si="21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26"/>
        <v>2432.0100000000002</v>
      </c>
      <c r="AC70" s="60">
        <f t="shared" si="24"/>
        <v>0</v>
      </c>
      <c r="AD70" s="59">
        <f t="shared" si="25"/>
        <v>2432.0100000000002</v>
      </c>
      <c r="AE70" s="60">
        <f t="shared" si="22"/>
        <v>243.20100000000002</v>
      </c>
      <c r="AF70" s="37">
        <v>10.23</v>
      </c>
      <c r="AG70" s="67">
        <f t="shared" si="23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20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21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26"/>
        <v>1515.8799999999997</v>
      </c>
      <c r="AC71" s="37">
        <f t="shared" si="24"/>
        <v>0</v>
      </c>
      <c r="AD71" s="33">
        <f t="shared" si="25"/>
        <v>1515.8799999999997</v>
      </c>
      <c r="AE71" s="38">
        <f t="shared" si="22"/>
        <v>278.75599999999997</v>
      </c>
      <c r="AF71" s="37">
        <v>10.23</v>
      </c>
      <c r="AG71" s="67">
        <f t="shared" si="23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27">+I72+J72</f>
        <v>1166.26</v>
      </c>
      <c r="L72" s="30">
        <v>784.32</v>
      </c>
      <c r="M72" s="30"/>
      <c r="N72" s="30"/>
      <c r="O72" s="30"/>
      <c r="P72" s="32"/>
      <c r="Q72" s="33">
        <f t="shared" ref="Q72:Q87" si="28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26"/>
        <v>1950.58</v>
      </c>
      <c r="AC72" s="37">
        <f t="shared" si="24"/>
        <v>0</v>
      </c>
      <c r="AD72" s="33">
        <f t="shared" si="25"/>
        <v>1950.58</v>
      </c>
      <c r="AE72" s="38">
        <f t="shared" si="22"/>
        <v>195.05799999999999</v>
      </c>
      <c r="AF72" s="37">
        <v>10.23</v>
      </c>
      <c r="AG72" s="67">
        <f t="shared" si="23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27"/>
        <v>1100</v>
      </c>
      <c r="L73" s="30"/>
      <c r="M73" s="30"/>
      <c r="N73" s="30"/>
      <c r="O73" s="30"/>
      <c r="P73" s="32"/>
      <c r="Q73" s="33">
        <f t="shared" si="28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26"/>
        <v>1100</v>
      </c>
      <c r="AC73" s="37">
        <f t="shared" si="24"/>
        <v>0</v>
      </c>
      <c r="AD73" s="33">
        <f t="shared" si="25"/>
        <v>1100</v>
      </c>
      <c r="AE73" s="38">
        <f t="shared" ref="AE73:AE87" si="29">IF(Q73&lt;4500,Q73*0.1,0)</f>
        <v>110</v>
      </c>
      <c r="AF73" s="37">
        <v>10.23</v>
      </c>
      <c r="AG73" s="67">
        <f t="shared" ref="AG73:AG87" si="30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27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28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26"/>
        <v>5022.8500000000004</v>
      </c>
      <c r="AC74" s="37">
        <f t="shared" si="24"/>
        <v>508.17600000000004</v>
      </c>
      <c r="AD74" s="33">
        <f t="shared" si="25"/>
        <v>4514.674</v>
      </c>
      <c r="AE74" s="38">
        <f t="shared" si="29"/>
        <v>0</v>
      </c>
      <c r="AF74" s="37">
        <v>10.23</v>
      </c>
      <c r="AG74" s="67">
        <f t="shared" si="30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27"/>
        <v>543.20000000000005</v>
      </c>
      <c r="L75" s="30">
        <v>1059.4000000000001</v>
      </c>
      <c r="M75" s="30"/>
      <c r="N75" s="31"/>
      <c r="O75" s="31"/>
      <c r="P75" s="32"/>
      <c r="Q75" s="33">
        <f t="shared" si="28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26"/>
        <v>1508.0466000000001</v>
      </c>
      <c r="AC75" s="37">
        <f t="shared" si="24"/>
        <v>0</v>
      </c>
      <c r="AD75" s="33">
        <f t="shared" si="25"/>
        <v>1508.0466000000001</v>
      </c>
      <c r="AE75" s="38">
        <f t="shared" si="29"/>
        <v>160.26000000000002</v>
      </c>
      <c r="AF75" s="37">
        <v>10.23</v>
      </c>
      <c r="AG75" s="67">
        <f t="shared" si="30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27"/>
        <v>608.16</v>
      </c>
      <c r="L76" s="30">
        <v>1325.5</v>
      </c>
      <c r="M76" s="30"/>
      <c r="N76" s="31"/>
      <c r="O76" s="31"/>
      <c r="P76" s="32"/>
      <c r="Q76" s="33">
        <f t="shared" si="28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26"/>
        <v>1160.6940599999998</v>
      </c>
      <c r="AC76" s="37">
        <f t="shared" ref="AC76:AC87" si="31">IF(Q76&gt;4500,Q76*0.1,0)</f>
        <v>0</v>
      </c>
      <c r="AD76" s="33">
        <f t="shared" si="25"/>
        <v>1160.6940599999998</v>
      </c>
      <c r="AE76" s="38">
        <f t="shared" si="29"/>
        <v>193.36599999999999</v>
      </c>
      <c r="AF76" s="37">
        <v>10.23</v>
      </c>
      <c r="AG76" s="67">
        <f t="shared" si="30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27"/>
        <v>739.23</v>
      </c>
      <c r="L77" s="30">
        <v>1998.23</v>
      </c>
      <c r="M77" s="30"/>
      <c r="N77" s="31"/>
      <c r="O77" s="31"/>
      <c r="P77" s="32"/>
      <c r="Q77" s="33">
        <f t="shared" si="28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26"/>
        <v>2587.46</v>
      </c>
      <c r="AC77" s="37">
        <f t="shared" si="31"/>
        <v>0</v>
      </c>
      <c r="AD77" s="33">
        <f t="shared" ref="AD77:AD87" si="32">+AB77-AC77</f>
        <v>2587.46</v>
      </c>
      <c r="AE77" s="38">
        <f t="shared" si="29"/>
        <v>273.74600000000004</v>
      </c>
      <c r="AF77" s="37">
        <v>10.23</v>
      </c>
      <c r="AG77" s="67">
        <f t="shared" si="30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27"/>
        <v>1400</v>
      </c>
      <c r="L78" s="30"/>
      <c r="M78" s="30"/>
      <c r="N78" s="31"/>
      <c r="O78" s="31"/>
      <c r="P78" s="32"/>
      <c r="Q78" s="33">
        <f t="shared" si="28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26"/>
        <v>972.97</v>
      </c>
      <c r="AC78" s="37">
        <f t="shared" si="31"/>
        <v>0</v>
      </c>
      <c r="AD78" s="33">
        <f t="shared" si="32"/>
        <v>972.97</v>
      </c>
      <c r="AE78" s="38">
        <f t="shared" si="29"/>
        <v>140</v>
      </c>
      <c r="AF78" s="37">
        <v>10.23</v>
      </c>
      <c r="AG78" s="67">
        <f t="shared" si="30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27"/>
        <v>1400</v>
      </c>
      <c r="L79" s="53"/>
      <c r="M79" s="53"/>
      <c r="N79" s="53"/>
      <c r="O79" s="53"/>
      <c r="P79" s="73"/>
      <c r="Q79" s="59">
        <f t="shared" si="28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33">+Q79-SUM(R79:AA79)</f>
        <v>1400</v>
      </c>
      <c r="AC79" s="60">
        <f t="shared" si="31"/>
        <v>0</v>
      </c>
      <c r="AD79" s="59">
        <f t="shared" si="32"/>
        <v>1400</v>
      </c>
      <c r="AE79" s="60">
        <f t="shared" si="29"/>
        <v>140</v>
      </c>
      <c r="AF79" s="37">
        <v>10.23</v>
      </c>
      <c r="AG79" s="67">
        <f t="shared" si="30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27"/>
        <v>739.23</v>
      </c>
      <c r="L80" s="30">
        <v>774.3</v>
      </c>
      <c r="M80" s="30"/>
      <c r="N80" s="31"/>
      <c r="O80" s="31"/>
      <c r="P80" s="32"/>
      <c r="Q80" s="33">
        <f t="shared" si="28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33"/>
        <v>1513.53</v>
      </c>
      <c r="AC80" s="37">
        <f t="shared" si="31"/>
        <v>0</v>
      </c>
      <c r="AD80" s="33">
        <f t="shared" si="32"/>
        <v>1513.53</v>
      </c>
      <c r="AE80" s="38">
        <f t="shared" si="29"/>
        <v>151.35300000000001</v>
      </c>
      <c r="AF80" s="37">
        <v>10.23</v>
      </c>
      <c r="AG80" s="67">
        <f t="shared" si="30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27"/>
        <v>739.23</v>
      </c>
      <c r="L81" s="30">
        <v>1939.52</v>
      </c>
      <c r="M81" s="30"/>
      <c r="N81" s="30"/>
      <c r="O81" s="30"/>
      <c r="P81" s="32"/>
      <c r="Q81" s="33">
        <f t="shared" si="28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33"/>
        <v>2678.75</v>
      </c>
      <c r="AC81" s="37">
        <f t="shared" si="31"/>
        <v>0</v>
      </c>
      <c r="AD81" s="33">
        <f t="shared" si="32"/>
        <v>2678.75</v>
      </c>
      <c r="AE81" s="38">
        <f t="shared" si="29"/>
        <v>267.875</v>
      </c>
      <c r="AF81" s="37">
        <v>10.23</v>
      </c>
      <c r="AG81" s="67">
        <f t="shared" si="30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27"/>
        <v>1166.6600000000001</v>
      </c>
      <c r="L82" s="30">
        <v>639.69000000000005</v>
      </c>
      <c r="M82" s="30"/>
      <c r="N82" s="31"/>
      <c r="O82" s="31"/>
      <c r="P82" s="32"/>
      <c r="Q82" s="33">
        <f t="shared" si="28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33"/>
        <v>757.18000000000006</v>
      </c>
      <c r="AC82" s="37">
        <f t="shared" si="31"/>
        <v>0</v>
      </c>
      <c r="AD82" s="33">
        <f t="shared" si="32"/>
        <v>757.18000000000006</v>
      </c>
      <c r="AE82" s="38">
        <f t="shared" si="29"/>
        <v>180.63500000000002</v>
      </c>
      <c r="AF82" s="37">
        <v>10.23</v>
      </c>
      <c r="AG82" s="67">
        <f t="shared" si="30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27"/>
        <v>1166.67</v>
      </c>
      <c r="L83" s="30">
        <v>2500</v>
      </c>
      <c r="M83" s="30"/>
      <c r="N83" s="31"/>
      <c r="O83" s="31"/>
      <c r="P83" s="32"/>
      <c r="Q83" s="33">
        <f t="shared" si="28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33"/>
        <v>3607.76</v>
      </c>
      <c r="AC83" s="37">
        <f t="shared" si="31"/>
        <v>0</v>
      </c>
      <c r="AD83" s="33">
        <f t="shared" si="32"/>
        <v>3607.76</v>
      </c>
      <c r="AE83" s="38">
        <f t="shared" si="29"/>
        <v>366.66700000000003</v>
      </c>
      <c r="AF83" s="37">
        <v>10.23</v>
      </c>
      <c r="AG83" s="67">
        <f t="shared" si="30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27"/>
        <v>608.16</v>
      </c>
      <c r="L84" s="30">
        <v>3752</v>
      </c>
      <c r="M84" s="30"/>
      <c r="N84" s="31"/>
      <c r="O84" s="31"/>
      <c r="P84" s="32"/>
      <c r="Q84" s="33">
        <f t="shared" si="28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33"/>
        <v>3902.9105599999998</v>
      </c>
      <c r="AC84" s="37">
        <f t="shared" si="31"/>
        <v>0</v>
      </c>
      <c r="AD84" s="33">
        <f t="shared" si="32"/>
        <v>3902.9105599999998</v>
      </c>
      <c r="AE84" s="38">
        <f t="shared" si="29"/>
        <v>436.01600000000002</v>
      </c>
      <c r="AF84" s="37">
        <v>10.23</v>
      </c>
      <c r="AG84" s="67">
        <f t="shared" si="30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27"/>
        <v>1100</v>
      </c>
      <c r="L85" s="30"/>
      <c r="M85" s="30"/>
      <c r="N85" s="30"/>
      <c r="O85" s="30"/>
      <c r="P85" s="32"/>
      <c r="Q85" s="33">
        <f t="shared" si="28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33"/>
        <v>1100</v>
      </c>
      <c r="AC85" s="37">
        <f t="shared" si="31"/>
        <v>0</v>
      </c>
      <c r="AD85" s="33">
        <f t="shared" si="32"/>
        <v>1100</v>
      </c>
      <c r="AE85" s="38">
        <f t="shared" si="29"/>
        <v>110</v>
      </c>
      <c r="AF85" s="37">
        <v>10.23</v>
      </c>
      <c r="AG85" s="67">
        <f t="shared" si="30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27"/>
        <v>1166.6600000000001</v>
      </c>
      <c r="L86" s="30"/>
      <c r="M86" s="30"/>
      <c r="N86" s="31"/>
      <c r="O86" s="31"/>
      <c r="P86" s="32"/>
      <c r="Q86" s="33">
        <f t="shared" si="28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33"/>
        <v>1166.6600000000001</v>
      </c>
      <c r="AC86" s="37">
        <f t="shared" si="31"/>
        <v>0</v>
      </c>
      <c r="AD86" s="33">
        <f t="shared" si="32"/>
        <v>1166.6600000000001</v>
      </c>
      <c r="AE86" s="38">
        <f t="shared" si="29"/>
        <v>116.66600000000001</v>
      </c>
      <c r="AF86" s="37">
        <v>10.23</v>
      </c>
      <c r="AG86" s="67">
        <f t="shared" si="30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27"/>
        <v>739.23</v>
      </c>
      <c r="L87" s="30">
        <v>2851</v>
      </c>
      <c r="M87" s="30"/>
      <c r="N87" s="30"/>
      <c r="O87" s="30"/>
      <c r="P87" s="32"/>
      <c r="Q87" s="33">
        <f t="shared" si="28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33"/>
        <v>3090.23</v>
      </c>
      <c r="AC87" s="37">
        <f t="shared" si="31"/>
        <v>0</v>
      </c>
      <c r="AD87" s="33">
        <f t="shared" si="32"/>
        <v>3090.23</v>
      </c>
      <c r="AE87" s="38">
        <f t="shared" si="29"/>
        <v>359.02300000000002</v>
      </c>
      <c r="AF87" s="37">
        <v>10.23</v>
      </c>
      <c r="AG87" s="67">
        <f t="shared" si="30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27"/>
        <v>1166.6600000000001</v>
      </c>
      <c r="L88" s="30"/>
      <c r="M88" s="30"/>
      <c r="N88" s="30"/>
      <c r="O88" s="30"/>
      <c r="P88" s="32"/>
      <c r="Q88" s="33">
        <f t="shared" ref="Q88" si="34"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 t="shared" ref="AB88" si="35">+Q88-SUM(R88:AA88)</f>
        <v>875.16000000000008</v>
      </c>
      <c r="AC88" s="37">
        <f t="shared" ref="AC88" si="36">IF(Q88&gt;4500,Q88*0.1,0)</f>
        <v>0</v>
      </c>
      <c r="AD88" s="33">
        <f t="shared" ref="AD88" si="37">+AB88-AC88</f>
        <v>875.16000000000008</v>
      </c>
      <c r="AE88" s="38">
        <f t="shared" ref="AE88" si="38">IF(Q88&lt;4500,Q88*0.1,0)</f>
        <v>116.66600000000001</v>
      </c>
      <c r="AF88" s="37">
        <v>10.23</v>
      </c>
      <c r="AG88" s="67">
        <f t="shared" ref="AG88" si="39"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27"/>
        <v>1166.26</v>
      </c>
      <c r="L89" s="30">
        <v>2280.46</v>
      </c>
      <c r="M89" s="30"/>
      <c r="N89" s="31"/>
      <c r="O89" s="31"/>
      <c r="P89" s="32"/>
      <c r="Q89" s="33">
        <f t="shared" ref="Q89" si="40"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 t="shared" ref="AB89" si="41">+Q89-SUM(R89:AA89)</f>
        <v>3446.7200000000003</v>
      </c>
      <c r="AC89" s="37">
        <f t="shared" ref="AC89" si="42">IF(Q89&gt;4500,Q89*0.1,0)</f>
        <v>0</v>
      </c>
      <c r="AD89" s="33">
        <f t="shared" ref="AD89" si="43">+AB89-AC89</f>
        <v>3446.7200000000003</v>
      </c>
      <c r="AE89" s="38">
        <f t="shared" ref="AE89" si="44">IF(Q89&lt;4500,Q89*0.1,0)</f>
        <v>344.67200000000003</v>
      </c>
      <c r="AF89" s="37">
        <v>10.23</v>
      </c>
      <c r="AG89" s="67">
        <f t="shared" ref="AG89" si="45"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27"/>
        <v>1166.26</v>
      </c>
      <c r="L90" s="30"/>
      <c r="M90" s="30"/>
      <c r="N90" s="31"/>
      <c r="O90" s="31"/>
      <c r="P90" s="32"/>
      <c r="Q90" s="33">
        <f t="shared" ref="Q90" si="46"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 t="shared" ref="AB90" si="47">+Q90-SUM(R90:AA90)</f>
        <v>1107.3499999999999</v>
      </c>
      <c r="AC90" s="37">
        <f t="shared" ref="AC90" si="48">IF(Q90&gt;4500,Q90*0.1,0)</f>
        <v>0</v>
      </c>
      <c r="AD90" s="33">
        <f t="shared" ref="AD90" si="49">+AB90-AC90</f>
        <v>1107.3499999999999</v>
      </c>
      <c r="AE90" s="38">
        <f t="shared" ref="AE90" si="50">IF(Q90&lt;4500,Q90*0.1,0)</f>
        <v>116.626</v>
      </c>
      <c r="AF90" s="37">
        <v>10.23</v>
      </c>
      <c r="AG90" s="67">
        <f t="shared" ref="AG90" si="51"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 t="shared" ref="AI92:AI94" si="52"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 t="shared" si="52"/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 t="shared" si="52"/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53">SUM(K7:K95)</f>
        <v>73736.400000000081</v>
      </c>
      <c r="L96" s="52">
        <f t="shared" si="53"/>
        <v>261382.26</v>
      </c>
      <c r="M96" s="52"/>
      <c r="N96" s="52">
        <f t="shared" si="53"/>
        <v>0</v>
      </c>
      <c r="O96" s="52">
        <f t="shared" si="53"/>
        <v>0</v>
      </c>
      <c r="P96" s="52">
        <f t="shared" si="53"/>
        <v>0</v>
      </c>
      <c r="Q96" s="52">
        <f t="shared" si="53"/>
        <v>335439.50999999989</v>
      </c>
      <c r="R96" s="52">
        <f t="shared" si="53"/>
        <v>0</v>
      </c>
      <c r="S96" s="52"/>
      <c r="T96" s="71">
        <f t="shared" ref="T96:AL96" si="54">SUM(T7:T95)</f>
        <v>4828.2170000000006</v>
      </c>
      <c r="U96" s="71">
        <f t="shared" si="54"/>
        <v>1976.21606</v>
      </c>
      <c r="V96" s="71">
        <f t="shared" si="54"/>
        <v>406.86950000000002</v>
      </c>
      <c r="W96" s="71">
        <f t="shared" si="54"/>
        <v>879.38</v>
      </c>
      <c r="X96" s="52">
        <f t="shared" si="54"/>
        <v>0</v>
      </c>
      <c r="Y96" s="52">
        <f t="shared" si="54"/>
        <v>167.44</v>
      </c>
      <c r="Z96" s="52">
        <f t="shared" si="54"/>
        <v>406.94</v>
      </c>
      <c r="AA96" s="52">
        <f t="shared" si="54"/>
        <v>7279.3550000000005</v>
      </c>
      <c r="AB96" s="52">
        <f t="shared" si="54"/>
        <v>318808.80243999982</v>
      </c>
      <c r="AC96" s="52">
        <f t="shared" si="54"/>
        <v>20983.65</v>
      </c>
      <c r="AD96" s="52">
        <f t="shared" si="54"/>
        <v>297825.15243999998</v>
      </c>
      <c r="AE96" s="52">
        <f t="shared" si="54"/>
        <v>12560.300999999996</v>
      </c>
      <c r="AF96" s="52">
        <f t="shared" si="54"/>
        <v>859.32000000000096</v>
      </c>
      <c r="AG96" s="52">
        <f t="shared" si="54"/>
        <v>348859.13099999994</v>
      </c>
      <c r="AH96" s="52">
        <f t="shared" si="54"/>
        <v>0</v>
      </c>
      <c r="AI96" s="52">
        <f t="shared" si="54"/>
        <v>0</v>
      </c>
      <c r="AJ96" s="52">
        <f t="shared" si="54"/>
        <v>0</v>
      </c>
      <c r="AK96" s="52">
        <f t="shared" si="54"/>
        <v>0</v>
      </c>
      <c r="AL96" s="52">
        <f t="shared" si="5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129" t="s">
        <v>33</v>
      </c>
      <c r="B98" s="129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>+AB99+AE99+AF99</f>
        <v>0</v>
      </c>
      <c r="AH99" s="33">
        <f t="shared" ref="AH99:AL99" si="55">+AC99+AF99+AG99</f>
        <v>0</v>
      </c>
      <c r="AI99" s="33">
        <f t="shared" si="55"/>
        <v>0</v>
      </c>
      <c r="AJ99" s="33">
        <f t="shared" si="55"/>
        <v>0</v>
      </c>
      <c r="AK99" s="33">
        <f t="shared" si="55"/>
        <v>0</v>
      </c>
      <c r="AL99" s="33">
        <f t="shared" si="5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>+AB100+AE100+AF100</f>
        <v>0</v>
      </c>
      <c r="AH100" s="33">
        <f t="shared" ref="AH100:AL100" si="56">+AC100+AF100+AG100</f>
        <v>0</v>
      </c>
      <c r="AI100" s="33">
        <f t="shared" si="56"/>
        <v>0</v>
      </c>
      <c r="AJ100" s="33">
        <f t="shared" si="56"/>
        <v>0</v>
      </c>
      <c r="AK100" s="33">
        <f t="shared" si="56"/>
        <v>0</v>
      </c>
      <c r="AL100" s="33">
        <f t="shared" si="56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  <mergeCell ref="R5:R6"/>
    <mergeCell ref="AB5:AB6"/>
    <mergeCell ref="X5:X6"/>
    <mergeCell ref="U5:U6"/>
    <mergeCell ref="V5:V6"/>
    <mergeCell ref="W5:W6"/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 COM</vt:lpstr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2016-03-31T17:20:26Z</dcterms:modified>
</cp:coreProperties>
</file>