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445" tabRatio="704"/>
  </bookViews>
  <sheets>
    <sheet name="FORMATO NOMINA COM" sheetId="4" r:id="rId1"/>
    <sheet name="FORMATO NOMINA" sheetId="1" r:id="rId2"/>
    <sheet name="descuentos" sheetId="2" r:id="rId3"/>
    <sheet name="INFONAVIT" sheetId="3" r:id="rId4"/>
  </sheets>
  <definedNames>
    <definedName name="_xlnm._FilterDatabase" localSheetId="1" hidden="1">'FORMATO NOMINA'!$A$5:$AL$94</definedName>
    <definedName name="_xlnm._FilterDatabase" localSheetId="0" hidden="1">'FORMATO NOMINA COM'!$A$5:$AM$98</definedName>
  </definedNames>
  <calcPr calcId="124519"/>
</workbook>
</file>

<file path=xl/calcChain.xml><?xml version="1.0" encoding="utf-8"?>
<calcChain xmlns="http://schemas.openxmlformats.org/spreadsheetml/2006/main">
  <c r="K57" i="4"/>
  <c r="K72"/>
  <c r="Q72" s="1"/>
  <c r="AG72"/>
  <c r="AG57"/>
  <c r="Q57"/>
  <c r="AB57" s="1"/>
  <c r="AD57" s="1"/>
  <c r="AE57" l="1"/>
  <c r="AH57"/>
  <c r="AE72"/>
  <c r="AH72" s="1"/>
  <c r="AC72"/>
  <c r="AB72"/>
  <c r="Q48"/>
  <c r="L61"/>
  <c r="L65"/>
  <c r="L68"/>
  <c r="L27"/>
  <c r="L50"/>
  <c r="L91"/>
  <c r="L84"/>
  <c r="L81"/>
  <c r="L85"/>
  <c r="L67"/>
  <c r="L11"/>
  <c r="L10"/>
  <c r="L39"/>
  <c r="L12"/>
  <c r="L70"/>
  <c r="AD72" l="1"/>
  <c r="L51"/>
  <c r="L32"/>
  <c r="L63"/>
  <c r="L75"/>
  <c r="L21"/>
  <c r="L88"/>
  <c r="L62"/>
  <c r="L9"/>
  <c r="L49"/>
  <c r="L80"/>
  <c r="L48"/>
  <c r="I58"/>
  <c r="AG66"/>
  <c r="AG37"/>
  <c r="AG34"/>
  <c r="AG28"/>
  <c r="AG19"/>
  <c r="AG95" l="1"/>
  <c r="AA82"/>
  <c r="AG58" l="1"/>
  <c r="K58"/>
  <c r="Q58" s="1"/>
  <c r="I34"/>
  <c r="AE58" l="1"/>
  <c r="AH58" s="1"/>
  <c r="AC58"/>
  <c r="AB58"/>
  <c r="K70"/>
  <c r="K66"/>
  <c r="Q66" s="1"/>
  <c r="K34"/>
  <c r="Q34" s="1"/>
  <c r="K37"/>
  <c r="Q37" s="1"/>
  <c r="AC66" l="1"/>
  <c r="AB66"/>
  <c r="AE66"/>
  <c r="AH66"/>
  <c r="AC37"/>
  <c r="AB37"/>
  <c r="AE37"/>
  <c r="AH37"/>
  <c r="AC34"/>
  <c r="AB34"/>
  <c r="AE34"/>
  <c r="AH34" s="1"/>
  <c r="AD58"/>
  <c r="Q70"/>
  <c r="AC70" s="1"/>
  <c r="K28"/>
  <c r="Q28" s="1"/>
  <c r="K19"/>
  <c r="Q19" s="1"/>
  <c r="AG98"/>
  <c r="AG97"/>
  <c r="AG96"/>
  <c r="AG94"/>
  <c r="AG93"/>
  <c r="AG92"/>
  <c r="AG91"/>
  <c r="AG90"/>
  <c r="AG89"/>
  <c r="AG87"/>
  <c r="AG86"/>
  <c r="AG85"/>
  <c r="AG84"/>
  <c r="AG83"/>
  <c r="AG82"/>
  <c r="AG81"/>
  <c r="AG78"/>
  <c r="AG77"/>
  <c r="AG76"/>
  <c r="AG75"/>
  <c r="AG74"/>
  <c r="AG73"/>
  <c r="AG68"/>
  <c r="AG67"/>
  <c r="AG65"/>
  <c r="AG64"/>
  <c r="AG61"/>
  <c r="AG59"/>
  <c r="AG56"/>
  <c r="AG55"/>
  <c r="AG54"/>
  <c r="AG53"/>
  <c r="AG52"/>
  <c r="AG51"/>
  <c r="AG50"/>
  <c r="AG46"/>
  <c r="AG45"/>
  <c r="AG44"/>
  <c r="AG43"/>
  <c r="AG42"/>
  <c r="AG41"/>
  <c r="AG40"/>
  <c r="AG39"/>
  <c r="AG38"/>
  <c r="AG36"/>
  <c r="AG35"/>
  <c r="AG33"/>
  <c r="AG30"/>
  <c r="AG29"/>
  <c r="AG27"/>
  <c r="AG26"/>
  <c r="AG25"/>
  <c r="AG24"/>
  <c r="AG22"/>
  <c r="AG20"/>
  <c r="AG18"/>
  <c r="AG17"/>
  <c r="AG16"/>
  <c r="AG14"/>
  <c r="AG13"/>
  <c r="AG12"/>
  <c r="AG11"/>
  <c r="AG10"/>
  <c r="AG8"/>
  <c r="AG7"/>
  <c r="AD34" l="1"/>
  <c r="AD37"/>
  <c r="AD66"/>
  <c r="AE19"/>
  <c r="AH19" s="1"/>
  <c r="AC19"/>
  <c r="AB19"/>
  <c r="AE28"/>
  <c r="AH28" s="1"/>
  <c r="AC28"/>
  <c r="AB28"/>
  <c r="U70"/>
  <c r="AG70" s="1"/>
  <c r="AE70"/>
  <c r="V70"/>
  <c r="K97"/>
  <c r="Q97" s="1"/>
  <c r="AD19" l="1"/>
  <c r="AD28"/>
  <c r="AH70"/>
  <c r="AB70"/>
  <c r="AD70" s="1"/>
  <c r="AC97"/>
  <c r="AE97"/>
  <c r="AH97" s="1"/>
  <c r="AB97"/>
  <c r="AE98"/>
  <c r="AH98" s="1"/>
  <c r="AC98"/>
  <c r="K95"/>
  <c r="Q95" s="1"/>
  <c r="K68"/>
  <c r="Q68" s="1"/>
  <c r="K96"/>
  <c r="Q96" s="1"/>
  <c r="AE95" l="1"/>
  <c r="AH95" s="1"/>
  <c r="AB95"/>
  <c r="AC95"/>
  <c r="AD97"/>
  <c r="AC96"/>
  <c r="AE68"/>
  <c r="AH68" s="1"/>
  <c r="AC68"/>
  <c r="AF100"/>
  <c r="AE96"/>
  <c r="AH96" s="1"/>
  <c r="AB68"/>
  <c r="AB96"/>
  <c r="Q104"/>
  <c r="AB104" s="1"/>
  <c r="AD104" s="1"/>
  <c r="Q103"/>
  <c r="AB103" s="1"/>
  <c r="AJ100"/>
  <c r="AI100"/>
  <c r="X100"/>
  <c r="W100"/>
  <c r="R100"/>
  <c r="P100"/>
  <c r="O100"/>
  <c r="N100"/>
  <c r="K94"/>
  <c r="Q94" s="1"/>
  <c r="K93"/>
  <c r="Q93" s="1"/>
  <c r="K92"/>
  <c r="Q92" s="1"/>
  <c r="K91"/>
  <c r="Q91" s="1"/>
  <c r="K90"/>
  <c r="Q90" s="1"/>
  <c r="K89"/>
  <c r="Q89" s="1"/>
  <c r="K88"/>
  <c r="Q88" s="1"/>
  <c r="K87"/>
  <c r="Q87" s="1"/>
  <c r="K86"/>
  <c r="Q86" s="1"/>
  <c r="K85"/>
  <c r="Q85" s="1"/>
  <c r="K84"/>
  <c r="Q84" s="1"/>
  <c r="K83"/>
  <c r="Q83" s="1"/>
  <c r="K82"/>
  <c r="Q82" s="1"/>
  <c r="K81"/>
  <c r="Q81" s="1"/>
  <c r="K80"/>
  <c r="Q80" s="1"/>
  <c r="K79"/>
  <c r="Q79" s="1"/>
  <c r="K78"/>
  <c r="K77"/>
  <c r="Q77" s="1"/>
  <c r="K76"/>
  <c r="Q76" s="1"/>
  <c r="AA75"/>
  <c r="K75"/>
  <c r="K74"/>
  <c r="Q74" s="1"/>
  <c r="K73"/>
  <c r="Q73" s="1"/>
  <c r="K71"/>
  <c r="Q71" s="1"/>
  <c r="K69"/>
  <c r="Q69" s="1"/>
  <c r="K67"/>
  <c r="Q67" s="1"/>
  <c r="K65"/>
  <c r="Q65" s="1"/>
  <c r="K64"/>
  <c r="Q64" s="1"/>
  <c r="K63"/>
  <c r="Q63" s="1"/>
  <c r="K62"/>
  <c r="Q62" s="1"/>
  <c r="K61"/>
  <c r="Q61" s="1"/>
  <c r="K60"/>
  <c r="Q60" s="1"/>
  <c r="K59"/>
  <c r="Q59" s="1"/>
  <c r="K56"/>
  <c r="Q56" s="1"/>
  <c r="K55"/>
  <c r="Q55" s="1"/>
  <c r="K54"/>
  <c r="Q54" s="1"/>
  <c r="K53"/>
  <c r="K52"/>
  <c r="Q52" s="1"/>
  <c r="K51"/>
  <c r="Q51" s="1"/>
  <c r="K50"/>
  <c r="Q50" s="1"/>
  <c r="K49"/>
  <c r="Q49" s="1"/>
  <c r="K48"/>
  <c r="K47"/>
  <c r="Q47" s="1"/>
  <c r="K46"/>
  <c r="Q46" s="1"/>
  <c r="K45"/>
  <c r="K44"/>
  <c r="Q44" s="1"/>
  <c r="K43"/>
  <c r="K42"/>
  <c r="Q42" s="1"/>
  <c r="K41"/>
  <c r="K40"/>
  <c r="K39"/>
  <c r="Q39" s="1"/>
  <c r="K38"/>
  <c r="Q38" s="1"/>
  <c r="K36"/>
  <c r="K35"/>
  <c r="Q35" s="1"/>
  <c r="K33"/>
  <c r="Q33" s="1"/>
  <c r="K32"/>
  <c r="Q32" s="1"/>
  <c r="K31"/>
  <c r="Q31" s="1"/>
  <c r="K30"/>
  <c r="Q30" s="1"/>
  <c r="Y30" s="1"/>
  <c r="Y100" s="1"/>
  <c r="K29"/>
  <c r="Q29" s="1"/>
  <c r="K27"/>
  <c r="Q27" s="1"/>
  <c r="K26"/>
  <c r="Q26" s="1"/>
  <c r="K25"/>
  <c r="Q25" s="1"/>
  <c r="AA24"/>
  <c r="K24"/>
  <c r="K23"/>
  <c r="Q23" s="1"/>
  <c r="K22"/>
  <c r="Q22" s="1"/>
  <c r="K21"/>
  <c r="Q21" s="1"/>
  <c r="K20"/>
  <c r="Q20" s="1"/>
  <c r="K18"/>
  <c r="K17"/>
  <c r="Q17" s="1"/>
  <c r="K16"/>
  <c r="Q16" s="1"/>
  <c r="K15"/>
  <c r="Q15" s="1"/>
  <c r="K14"/>
  <c r="Q14" s="1"/>
  <c r="K13"/>
  <c r="Q13" s="1"/>
  <c r="K12"/>
  <c r="Q12" s="1"/>
  <c r="K11"/>
  <c r="Q11" s="1"/>
  <c r="K10"/>
  <c r="Q10" s="1"/>
  <c r="K9"/>
  <c r="Q9" s="1"/>
  <c r="K8"/>
  <c r="Q8" s="1"/>
  <c r="K7"/>
  <c r="AD95" l="1"/>
  <c r="AD96"/>
  <c r="V48"/>
  <c r="U48"/>
  <c r="AG48" s="1"/>
  <c r="AE10"/>
  <c r="AH10" s="1"/>
  <c r="AC10"/>
  <c r="AE13"/>
  <c r="AH13" s="1"/>
  <c r="AC13"/>
  <c r="AE17"/>
  <c r="AH17" s="1"/>
  <c r="AC17"/>
  <c r="AE22"/>
  <c r="AH22" s="1"/>
  <c r="AC22"/>
  <c r="AE29"/>
  <c r="AH29" s="1"/>
  <c r="AC29"/>
  <c r="AC33"/>
  <c r="AE33"/>
  <c r="AH33" s="1"/>
  <c r="AE38"/>
  <c r="AH38" s="1"/>
  <c r="AC38"/>
  <c r="AC42"/>
  <c r="AE42"/>
  <c r="AH42" s="1"/>
  <c r="AE46"/>
  <c r="AH46" s="1"/>
  <c r="AC46"/>
  <c r="AC50"/>
  <c r="AE50"/>
  <c r="AH50" s="1"/>
  <c r="AE54"/>
  <c r="AH54" s="1"/>
  <c r="AC54"/>
  <c r="AC60"/>
  <c r="AE60"/>
  <c r="AE64"/>
  <c r="AH64" s="1"/>
  <c r="AC64"/>
  <c r="AE82"/>
  <c r="AH82" s="1"/>
  <c r="AC82"/>
  <c r="AE85"/>
  <c r="AH85" s="1"/>
  <c r="AC85"/>
  <c r="AE89"/>
  <c r="AH89" s="1"/>
  <c r="AC89"/>
  <c r="AE93"/>
  <c r="AH93" s="1"/>
  <c r="AC93"/>
  <c r="AE14"/>
  <c r="AH14" s="1"/>
  <c r="AC14"/>
  <c r="AE23"/>
  <c r="AC23"/>
  <c r="AC25"/>
  <c r="AE25"/>
  <c r="AH25" s="1"/>
  <c r="AC30"/>
  <c r="AE30"/>
  <c r="AH30" s="1"/>
  <c r="AC39"/>
  <c r="AE39"/>
  <c r="AH39" s="1"/>
  <c r="AC47"/>
  <c r="AE47"/>
  <c r="AC51"/>
  <c r="AE51"/>
  <c r="AH51" s="1"/>
  <c r="AC55"/>
  <c r="AE55"/>
  <c r="AH55" s="1"/>
  <c r="AC61"/>
  <c r="AE61"/>
  <c r="AH61" s="1"/>
  <c r="AB65"/>
  <c r="AC65"/>
  <c r="AE65"/>
  <c r="AH65" s="1"/>
  <c r="AC71"/>
  <c r="AE71"/>
  <c r="AC79"/>
  <c r="AE79"/>
  <c r="AC86"/>
  <c r="AE86"/>
  <c r="AH86" s="1"/>
  <c r="AB90"/>
  <c r="AE90"/>
  <c r="AH90" s="1"/>
  <c r="AC90"/>
  <c r="AC94"/>
  <c r="AE94"/>
  <c r="AH94" s="1"/>
  <c r="AE8"/>
  <c r="AH8" s="1"/>
  <c r="AC8"/>
  <c r="AE11"/>
  <c r="AH11" s="1"/>
  <c r="AC11"/>
  <c r="AC15"/>
  <c r="AE15"/>
  <c r="AB20"/>
  <c r="AE20"/>
  <c r="AH20" s="1"/>
  <c r="AC20"/>
  <c r="AC26"/>
  <c r="AE26"/>
  <c r="AH26" s="1"/>
  <c r="U31"/>
  <c r="AG31" s="1"/>
  <c r="AC31"/>
  <c r="AE31"/>
  <c r="AC35"/>
  <c r="AE35"/>
  <c r="AH35" s="1"/>
  <c r="AC44"/>
  <c r="AE44"/>
  <c r="AH44" s="1"/>
  <c r="AC48"/>
  <c r="AE48"/>
  <c r="AC52"/>
  <c r="AE52"/>
  <c r="AH52" s="1"/>
  <c r="AB56"/>
  <c r="AC56"/>
  <c r="AE56"/>
  <c r="AH56" s="1"/>
  <c r="AC62"/>
  <c r="AE62"/>
  <c r="AC67"/>
  <c r="AE67"/>
  <c r="AH67" s="1"/>
  <c r="AE73"/>
  <c r="AH73" s="1"/>
  <c r="AC73"/>
  <c r="AC76"/>
  <c r="AE76"/>
  <c r="AH76" s="1"/>
  <c r="V80"/>
  <c r="AC80"/>
  <c r="AE80"/>
  <c r="AC83"/>
  <c r="AE83"/>
  <c r="AH83" s="1"/>
  <c r="AC87"/>
  <c r="AE87"/>
  <c r="AH87" s="1"/>
  <c r="AC91"/>
  <c r="AE91"/>
  <c r="AH91" s="1"/>
  <c r="AE9"/>
  <c r="AC9"/>
  <c r="AC12"/>
  <c r="AE12"/>
  <c r="AH12" s="1"/>
  <c r="AC16"/>
  <c r="AE16"/>
  <c r="AH16" s="1"/>
  <c r="AC21"/>
  <c r="AE21"/>
  <c r="AE27"/>
  <c r="AH27" s="1"/>
  <c r="AC27"/>
  <c r="AE32"/>
  <c r="AC32"/>
  <c r="V49"/>
  <c r="AE49"/>
  <c r="AC49"/>
  <c r="AE59"/>
  <c r="AH59" s="1"/>
  <c r="AC59"/>
  <c r="AE63"/>
  <c r="AC63"/>
  <c r="AC69"/>
  <c r="AE69"/>
  <c r="AE74"/>
  <c r="AH74" s="1"/>
  <c r="AC74"/>
  <c r="AE77"/>
  <c r="AH77" s="1"/>
  <c r="AC77"/>
  <c r="AE81"/>
  <c r="AH81" s="1"/>
  <c r="AC81"/>
  <c r="AC84"/>
  <c r="AE84"/>
  <c r="AH84" s="1"/>
  <c r="AC88"/>
  <c r="AE88"/>
  <c r="AC92"/>
  <c r="AE92"/>
  <c r="AH92" s="1"/>
  <c r="Z100"/>
  <c r="AA86"/>
  <c r="AB86" s="1"/>
  <c r="AB12"/>
  <c r="AB83"/>
  <c r="AB46"/>
  <c r="AB74"/>
  <c r="AD68"/>
  <c r="Q43"/>
  <c r="U21"/>
  <c r="AG21" s="1"/>
  <c r="AB54"/>
  <c r="V21"/>
  <c r="Q45"/>
  <c r="Q24"/>
  <c r="Q75"/>
  <c r="Q18"/>
  <c r="AB61"/>
  <c r="AB94"/>
  <c r="AB11"/>
  <c r="V47"/>
  <c r="AB55"/>
  <c r="AB81"/>
  <c r="AB87"/>
  <c r="AB22"/>
  <c r="U49"/>
  <c r="AG49" s="1"/>
  <c r="AB89"/>
  <c r="L100"/>
  <c r="Q36"/>
  <c r="AB36" s="1"/>
  <c r="Q41"/>
  <c r="U47"/>
  <c r="AG47" s="1"/>
  <c r="Q53"/>
  <c r="AB10"/>
  <c r="AB8"/>
  <c r="AB17"/>
  <c r="AB39"/>
  <c r="AB50"/>
  <c r="K100"/>
  <c r="Q7"/>
  <c r="V9"/>
  <c r="V15"/>
  <c r="U15"/>
  <c r="AG15" s="1"/>
  <c r="AB26"/>
  <c r="U32"/>
  <c r="AG32" s="1"/>
  <c r="V32"/>
  <c r="T60"/>
  <c r="U60"/>
  <c r="AG60" s="1"/>
  <c r="U69"/>
  <c r="AG69" s="1"/>
  <c r="V69"/>
  <c r="U71"/>
  <c r="AG71" s="1"/>
  <c r="V71"/>
  <c r="AB84"/>
  <c r="AB93"/>
  <c r="U9"/>
  <c r="AG9" s="1"/>
  <c r="AB13"/>
  <c r="AB25"/>
  <c r="AB85"/>
  <c r="AD103"/>
  <c r="AE103"/>
  <c r="AH103" s="1"/>
  <c r="AC103"/>
  <c r="AB14"/>
  <c r="U23"/>
  <c r="AG23" s="1"/>
  <c r="T23"/>
  <c r="AB38"/>
  <c r="AB44"/>
  <c r="AB59"/>
  <c r="AB73"/>
  <c r="AB92"/>
  <c r="V62"/>
  <c r="AB27"/>
  <c r="AB30"/>
  <c r="AB33"/>
  <c r="AB52"/>
  <c r="U62"/>
  <c r="AG62" s="1"/>
  <c r="V63"/>
  <c r="U63"/>
  <c r="AG63" s="1"/>
  <c r="AB77"/>
  <c r="U88"/>
  <c r="AG88" s="1"/>
  <c r="AB29"/>
  <c r="V31"/>
  <c r="AB35"/>
  <c r="AB42"/>
  <c r="V51"/>
  <c r="AB51" s="1"/>
  <c r="AB67"/>
  <c r="AB76"/>
  <c r="U79"/>
  <c r="AG79" s="1"/>
  <c r="V79"/>
  <c r="U80"/>
  <c r="AG80" s="1"/>
  <c r="V88"/>
  <c r="AE104"/>
  <c r="AC104"/>
  <c r="Q40"/>
  <c r="AB64"/>
  <c r="AB82"/>
  <c r="AB91"/>
  <c r="Q78"/>
  <c r="AH32" l="1"/>
  <c r="AD10"/>
  <c r="AH88"/>
  <c r="AH69"/>
  <c r="AH80"/>
  <c r="AD56"/>
  <c r="AH48"/>
  <c r="AD65"/>
  <c r="AH47"/>
  <c r="AH60"/>
  <c r="AH49"/>
  <c r="AH71"/>
  <c r="AH21"/>
  <c r="AH9"/>
  <c r="AH62"/>
  <c r="AH23"/>
  <c r="AH31"/>
  <c r="AH15"/>
  <c r="AH63"/>
  <c r="AH79"/>
  <c r="AG100"/>
  <c r="AB48"/>
  <c r="AD48" s="1"/>
  <c r="AD90"/>
  <c r="AB49"/>
  <c r="AD49" s="1"/>
  <c r="AD86"/>
  <c r="AD20"/>
  <c r="AB80"/>
  <c r="AD80" s="1"/>
  <c r="AD91"/>
  <c r="AC40"/>
  <c r="AE40"/>
  <c r="AH40" s="1"/>
  <c r="AE18"/>
  <c r="AH18" s="1"/>
  <c r="AC18"/>
  <c r="AA18"/>
  <c r="AB18" s="1"/>
  <c r="AB31"/>
  <c r="AD31" s="1"/>
  <c r="AB41"/>
  <c r="AE41"/>
  <c r="AH41" s="1"/>
  <c r="AC41"/>
  <c r="AC24"/>
  <c r="AE24"/>
  <c r="AH24" s="1"/>
  <c r="AC78"/>
  <c r="AE78"/>
  <c r="AH78" s="1"/>
  <c r="AD67"/>
  <c r="AE36"/>
  <c r="AH36" s="1"/>
  <c r="AC36"/>
  <c r="AB45"/>
  <c r="AE45"/>
  <c r="AH45" s="1"/>
  <c r="AC45"/>
  <c r="AB43"/>
  <c r="AC43"/>
  <c r="AE43"/>
  <c r="AH43" s="1"/>
  <c r="AD82"/>
  <c r="AC7"/>
  <c r="AE7"/>
  <c r="AH7" s="1"/>
  <c r="AB53"/>
  <c r="AE53"/>
  <c r="AH53" s="1"/>
  <c r="AC53"/>
  <c r="AB75"/>
  <c r="AC75"/>
  <c r="AE75"/>
  <c r="AH75" s="1"/>
  <c r="AD83"/>
  <c r="AD12"/>
  <c r="AD74"/>
  <c r="AB21"/>
  <c r="AD21" s="1"/>
  <c r="AD46"/>
  <c r="AD54"/>
  <c r="AB24"/>
  <c r="AD51"/>
  <c r="AB62"/>
  <c r="AD62" s="1"/>
  <c r="AB63"/>
  <c r="AD63" s="1"/>
  <c r="AB47"/>
  <c r="AD47" s="1"/>
  <c r="AD11"/>
  <c r="AD22"/>
  <c r="AB32"/>
  <c r="AD32" s="1"/>
  <c r="AD94"/>
  <c r="AB15"/>
  <c r="AD15" s="1"/>
  <c r="T100"/>
  <c r="AB60"/>
  <c r="AD60" s="1"/>
  <c r="AD55"/>
  <c r="AD81"/>
  <c r="AD61"/>
  <c r="AD59"/>
  <c r="AD25"/>
  <c r="AD13"/>
  <c r="AB71"/>
  <c r="AD71" s="1"/>
  <c r="AD87"/>
  <c r="AB16"/>
  <c r="AD16" s="1"/>
  <c r="AD76"/>
  <c r="AD52"/>
  <c r="AD92"/>
  <c r="AD73"/>
  <c r="AD14"/>
  <c r="AD93"/>
  <c r="AD89"/>
  <c r="AD64"/>
  <c r="AD35"/>
  <c r="AB88"/>
  <c r="AD88" s="1"/>
  <c r="AB69"/>
  <c r="AD69" s="1"/>
  <c r="AD50"/>
  <c r="AD39"/>
  <c r="U100"/>
  <c r="V100"/>
  <c r="AB7"/>
  <c r="Q100"/>
  <c r="AB78"/>
  <c r="AB40"/>
  <c r="AD29"/>
  <c r="AD77"/>
  <c r="AD33"/>
  <c r="AD44"/>
  <c r="AB23"/>
  <c r="AD23" s="1"/>
  <c r="AB9"/>
  <c r="AD9" s="1"/>
  <c r="AD8"/>
  <c r="AH104"/>
  <c r="AH105" s="1"/>
  <c r="AB79"/>
  <c r="AD79" s="1"/>
  <c r="AD42"/>
  <c r="AD30"/>
  <c r="AD27"/>
  <c r="AD38"/>
  <c r="AD85"/>
  <c r="AD84"/>
  <c r="AD26"/>
  <c r="AD17"/>
  <c r="AD43" l="1"/>
  <c r="AD45"/>
  <c r="AD18"/>
  <c r="AA100"/>
  <c r="AD53"/>
  <c r="AD75"/>
  <c r="AD41"/>
  <c r="AD24"/>
  <c r="AD36"/>
  <c r="AD40"/>
  <c r="AB100"/>
  <c r="AD7"/>
  <c r="AC100"/>
  <c r="AH100"/>
  <c r="AH106"/>
  <c r="AH107" s="1"/>
  <c r="AE100"/>
  <c r="AD78"/>
  <c r="AK100" l="1"/>
  <c r="AH101"/>
  <c r="AH102" s="1"/>
  <c r="AH109" s="1"/>
  <c r="AD100"/>
  <c r="L67" i="1" l="1"/>
  <c r="K55" l="1"/>
  <c r="Q55" s="1"/>
  <c r="AC55" s="1"/>
  <c r="L71"/>
  <c r="AE55" l="1"/>
  <c r="AG55" s="1"/>
  <c r="AB55"/>
  <c r="AD55" s="1"/>
  <c r="AN17"/>
  <c r="AA78"/>
  <c r="AA82"/>
  <c r="AA71"/>
  <c r="AA24" l="1"/>
  <c r="L25" l="1"/>
  <c r="L40"/>
  <c r="L42"/>
  <c r="L74"/>
  <c r="L36"/>
  <c r="L39"/>
  <c r="L19"/>
  <c r="L44"/>
  <c r="L51"/>
  <c r="L52"/>
  <c r="K64" l="1"/>
  <c r="Q64" s="1"/>
  <c r="K13"/>
  <c r="Q13" s="1"/>
  <c r="AE13" s="1"/>
  <c r="AE64" l="1"/>
  <c r="AG64" s="1"/>
  <c r="AC64"/>
  <c r="AB64"/>
  <c r="AG13"/>
  <c r="AB13"/>
  <c r="AC13"/>
  <c r="K34"/>
  <c r="Q34" s="1"/>
  <c r="K47"/>
  <c r="Q47" s="1"/>
  <c r="AE47" s="1"/>
  <c r="AD13" l="1"/>
  <c r="AD64"/>
  <c r="AG47"/>
  <c r="AB47"/>
  <c r="AC47"/>
  <c r="AC34"/>
  <c r="AB34"/>
  <c r="AE34"/>
  <c r="AG34" s="1"/>
  <c r="AA25"/>
  <c r="AD34" l="1"/>
  <c r="AD47"/>
  <c r="L96"/>
  <c r="N96"/>
  <c r="O96"/>
  <c r="P96"/>
  <c r="R96"/>
  <c r="W96"/>
  <c r="X96"/>
  <c r="Y96"/>
  <c r="Z96"/>
  <c r="AH96"/>
  <c r="AJ96"/>
  <c r="AK96"/>
  <c r="K90"/>
  <c r="Q90" s="1"/>
  <c r="AE90" s="1"/>
  <c r="K89"/>
  <c r="AG90" l="1"/>
  <c r="AC90"/>
  <c r="AB90"/>
  <c r="AD90" l="1"/>
  <c r="Q89"/>
  <c r="AE89" s="1"/>
  <c r="K88"/>
  <c r="Q88" s="1"/>
  <c r="AG89" l="1"/>
  <c r="AB89"/>
  <c r="AC89"/>
  <c r="AB88"/>
  <c r="AC88"/>
  <c r="AE88"/>
  <c r="AG88" s="1"/>
  <c r="K10"/>
  <c r="Q10" s="1"/>
  <c r="AD89" l="1"/>
  <c r="AD88"/>
  <c r="AE10"/>
  <c r="AG10" s="1"/>
  <c r="AB10"/>
  <c r="AD10" s="1"/>
  <c r="K35"/>
  <c r="Q35" s="1"/>
  <c r="K14"/>
  <c r="Q14" s="1"/>
  <c r="K50"/>
  <c r="Q50" s="1"/>
  <c r="K70"/>
  <c r="Q70" s="1"/>
  <c r="K45"/>
  <c r="Q45" s="1"/>
  <c r="AB45" s="1"/>
  <c r="K79"/>
  <c r="Q79" s="1"/>
  <c r="AB79" s="1"/>
  <c r="AC14" l="1"/>
  <c r="AE14"/>
  <c r="AG14" s="1"/>
  <c r="AB14"/>
  <c r="AC35"/>
  <c r="AB35"/>
  <c r="AE35"/>
  <c r="AG35" s="1"/>
  <c r="AE50"/>
  <c r="AG50" s="1"/>
  <c r="V50"/>
  <c r="AB50" s="1"/>
  <c r="AE70"/>
  <c r="AG70" s="1"/>
  <c r="AC70"/>
  <c r="AB70"/>
  <c r="AC50"/>
  <c r="AC45"/>
  <c r="AD45" s="1"/>
  <c r="AE45"/>
  <c r="AG45" s="1"/>
  <c r="AC79"/>
  <c r="AD79" s="1"/>
  <c r="AE79"/>
  <c r="AG79" s="1"/>
  <c r="AI94"/>
  <c r="AI93"/>
  <c r="AI92"/>
  <c r="AD35" l="1"/>
  <c r="AD14"/>
  <c r="AD70"/>
  <c r="AD50"/>
  <c r="K27"/>
  <c r="Q27" s="1"/>
  <c r="K25"/>
  <c r="Q25" s="1"/>
  <c r="K41"/>
  <c r="Q41" s="1"/>
  <c r="K54"/>
  <c r="Q54" s="1"/>
  <c r="K83"/>
  <c r="Q83" s="1"/>
  <c r="K9"/>
  <c r="Q9" s="1"/>
  <c r="K16"/>
  <c r="Q16" s="1"/>
  <c r="K21"/>
  <c r="Q21" s="1"/>
  <c r="K23"/>
  <c r="Q23" s="1"/>
  <c r="K31"/>
  <c r="Q31" s="1"/>
  <c r="K32"/>
  <c r="Q32" s="1"/>
  <c r="K46"/>
  <c r="Q46" s="1"/>
  <c r="K48"/>
  <c r="Q48" s="1"/>
  <c r="K57"/>
  <c r="Q57" s="1"/>
  <c r="K59"/>
  <c r="Q59" s="1"/>
  <c r="K60"/>
  <c r="Q60" s="1"/>
  <c r="K65"/>
  <c r="Q65" s="1"/>
  <c r="K66"/>
  <c r="Q66" s="1"/>
  <c r="K71"/>
  <c r="Q71" s="1"/>
  <c r="AB71" s="1"/>
  <c r="K68"/>
  <c r="Q68" s="1"/>
  <c r="K75"/>
  <c r="Q75" s="1"/>
  <c r="K76"/>
  <c r="Q76" s="1"/>
  <c r="K84"/>
  <c r="Q84" s="1"/>
  <c r="K12"/>
  <c r="Q12" s="1"/>
  <c r="K22"/>
  <c r="Q22" s="1"/>
  <c r="K52"/>
  <c r="Q52" s="1"/>
  <c r="K17"/>
  <c r="Q17" s="1"/>
  <c r="K8"/>
  <c r="Q8" s="1"/>
  <c r="K15"/>
  <c r="Q15" s="1"/>
  <c r="K19"/>
  <c r="Q19" s="1"/>
  <c r="AC19" s="1"/>
  <c r="K36"/>
  <c r="Q36" s="1"/>
  <c r="AE36" s="1"/>
  <c r="K37"/>
  <c r="Q37" s="1"/>
  <c r="K39"/>
  <c r="Q39" s="1"/>
  <c r="K40"/>
  <c r="Q40" s="1"/>
  <c r="AB40" s="1"/>
  <c r="K42"/>
  <c r="Q42" s="1"/>
  <c r="AE42" s="1"/>
  <c r="K51"/>
  <c r="Q51" s="1"/>
  <c r="K44"/>
  <c r="Q44" s="1"/>
  <c r="AB44" s="1"/>
  <c r="K53"/>
  <c r="Q53" s="1"/>
  <c r="AA53" s="1"/>
  <c r="K56"/>
  <c r="Q56" s="1"/>
  <c r="K61"/>
  <c r="Q61" s="1"/>
  <c r="K74"/>
  <c r="Q74" s="1"/>
  <c r="K82"/>
  <c r="Q82" s="1"/>
  <c r="AE82" s="1"/>
  <c r="K86"/>
  <c r="Q86" s="1"/>
  <c r="AE86" s="1"/>
  <c r="K78"/>
  <c r="Q78" s="1"/>
  <c r="AC78" s="1"/>
  <c r="K73"/>
  <c r="Q73" s="1"/>
  <c r="K67"/>
  <c r="Q67" s="1"/>
  <c r="AC67" s="1"/>
  <c r="K69"/>
  <c r="Q69" s="1"/>
  <c r="K43"/>
  <c r="Q43" s="1"/>
  <c r="AC43" s="1"/>
  <c r="K30"/>
  <c r="Q30" s="1"/>
  <c r="K28"/>
  <c r="Q28" s="1"/>
  <c r="AC28" s="1"/>
  <c r="K24"/>
  <c r="Q24" s="1"/>
  <c r="K29"/>
  <c r="Q29" s="1"/>
  <c r="K18"/>
  <c r="Q18" s="1"/>
  <c r="K85"/>
  <c r="Q85" s="1"/>
  <c r="K87"/>
  <c r="Q87" s="1"/>
  <c r="K81"/>
  <c r="Q81" s="1"/>
  <c r="AE81" s="1"/>
  <c r="K77"/>
  <c r="Q77" s="1"/>
  <c r="K80"/>
  <c r="Q80" s="1"/>
  <c r="K63"/>
  <c r="Q63" s="1"/>
  <c r="AC63" s="1"/>
  <c r="K62"/>
  <c r="Q62" s="1"/>
  <c r="K58"/>
  <c r="Q58" s="1"/>
  <c r="K49"/>
  <c r="Q49" s="1"/>
  <c r="K38"/>
  <c r="Q38" s="1"/>
  <c r="K26"/>
  <c r="Q26" s="1"/>
  <c r="K72"/>
  <c r="Q72" s="1"/>
  <c r="K33"/>
  <c r="Q33" s="1"/>
  <c r="K20"/>
  <c r="K11"/>
  <c r="Q11" s="1"/>
  <c r="AE11" s="1"/>
  <c r="K7"/>
  <c r="D21" i="3"/>
  <c r="E21" s="1"/>
  <c r="G21" s="1"/>
  <c r="D20"/>
  <c r="E20" s="1"/>
  <c r="G20" s="1"/>
  <c r="D13"/>
  <c r="E13" s="1"/>
  <c r="G13" s="1"/>
  <c r="D12"/>
  <c r="E12" s="1"/>
  <c r="G12" s="1"/>
  <c r="D8"/>
  <c r="E8" s="1"/>
  <c r="G8" s="1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 s="1"/>
  <c r="G17" s="1"/>
  <c r="D16"/>
  <c r="E16" s="1"/>
  <c r="G16" s="1"/>
  <c r="D15"/>
  <c r="E15" s="1"/>
  <c r="G15" s="1"/>
  <c r="D14"/>
  <c r="E14" s="1"/>
  <c r="G14" s="1"/>
  <c r="D11"/>
  <c r="E11" s="1"/>
  <c r="G11" s="1"/>
  <c r="D10"/>
  <c r="E10" s="1"/>
  <c r="G10" s="1"/>
  <c r="D9"/>
  <c r="E9" s="1"/>
  <c r="G9" s="1"/>
  <c r="D7"/>
  <c r="E7" s="1"/>
  <c r="G7" s="1"/>
  <c r="C9" i="2"/>
  <c r="C8"/>
  <c r="Q100" i="1"/>
  <c r="AB100" s="1"/>
  <c r="AC100" s="1"/>
  <c r="Q99"/>
  <c r="AB99" s="1"/>
  <c r="D28" i="3" l="1"/>
  <c r="AA17" i="1"/>
  <c r="AA96" s="1"/>
  <c r="U57"/>
  <c r="T57"/>
  <c r="U23"/>
  <c r="T23"/>
  <c r="U59"/>
  <c r="V59"/>
  <c r="V84"/>
  <c r="U84"/>
  <c r="V76"/>
  <c r="U76"/>
  <c r="V66"/>
  <c r="U66"/>
  <c r="V75"/>
  <c r="U75"/>
  <c r="V65"/>
  <c r="U65"/>
  <c r="V68"/>
  <c r="U68"/>
  <c r="U32"/>
  <c r="V32"/>
  <c r="V16"/>
  <c r="U16"/>
  <c r="V31"/>
  <c r="U31"/>
  <c r="V9"/>
  <c r="U9"/>
  <c r="U48"/>
  <c r="V48"/>
  <c r="U60"/>
  <c r="V60"/>
  <c r="U46"/>
  <c r="V46"/>
  <c r="V21"/>
  <c r="U21"/>
  <c r="AF96"/>
  <c r="Q7"/>
  <c r="AE7" s="1"/>
  <c r="K96"/>
  <c r="AC66"/>
  <c r="AE75"/>
  <c r="AG75" s="1"/>
  <c r="AE65"/>
  <c r="AG65" s="1"/>
  <c r="G28" i="3"/>
  <c r="AE100" i="1"/>
  <c r="AG100" s="1"/>
  <c r="AD100"/>
  <c r="AG81"/>
  <c r="AD99"/>
  <c r="AE99"/>
  <c r="AC99"/>
  <c r="AB80"/>
  <c r="AE80"/>
  <c r="AG80" s="1"/>
  <c r="AE48"/>
  <c r="AG48" s="1"/>
  <c r="AC81"/>
  <c r="AE66"/>
  <c r="AG66" s="1"/>
  <c r="AE54"/>
  <c r="AG54" s="1"/>
  <c r="AC54"/>
  <c r="AB54"/>
  <c r="AE16"/>
  <c r="AG16" s="1"/>
  <c r="AC16"/>
  <c r="AE52"/>
  <c r="AG52" s="1"/>
  <c r="AC52"/>
  <c r="AB52"/>
  <c r="AE37"/>
  <c r="AG37" s="1"/>
  <c r="AC37"/>
  <c r="AB41"/>
  <c r="AC41"/>
  <c r="AE84"/>
  <c r="AG84" s="1"/>
  <c r="AC84"/>
  <c r="AE8"/>
  <c r="AG8" s="1"/>
  <c r="AB8"/>
  <c r="AB74"/>
  <c r="AC74"/>
  <c r="AB86"/>
  <c r="AE41"/>
  <c r="AG41" s="1"/>
  <c r="AE9"/>
  <c r="AG9" s="1"/>
  <c r="AC9"/>
  <c r="AE21"/>
  <c r="AG21" s="1"/>
  <c r="AE68"/>
  <c r="AG68" s="1"/>
  <c r="AC68"/>
  <c r="AE27"/>
  <c r="AG27" s="1"/>
  <c r="AC27"/>
  <c r="AB27"/>
  <c r="AE59"/>
  <c r="AG59" s="1"/>
  <c r="AC59"/>
  <c r="AE76"/>
  <c r="AG76" s="1"/>
  <c r="AC76"/>
  <c r="AB12"/>
  <c r="AE12"/>
  <c r="AG12" s="1"/>
  <c r="AB37"/>
  <c r="AE61"/>
  <c r="AG61" s="1"/>
  <c r="AC61"/>
  <c r="AB61"/>
  <c r="AE51"/>
  <c r="AG51" s="1"/>
  <c r="AC51"/>
  <c r="AB51"/>
  <c r="AE39"/>
  <c r="AG39" s="1"/>
  <c r="AC39"/>
  <c r="AB39"/>
  <c r="AE19"/>
  <c r="AG19" s="1"/>
  <c r="AB19"/>
  <c r="AD19" s="1"/>
  <c r="AE71"/>
  <c r="AG71" s="1"/>
  <c r="AC71"/>
  <c r="AD71" s="1"/>
  <c r="AE32"/>
  <c r="AG32" s="1"/>
  <c r="AC32"/>
  <c r="AE17"/>
  <c r="AG17" s="1"/>
  <c r="AC40"/>
  <c r="AD40" s="1"/>
  <c r="AC44"/>
  <c r="AD44" s="1"/>
  <c r="AE40"/>
  <c r="AG40" s="1"/>
  <c r="AB25"/>
  <c r="AE25"/>
  <c r="AG25" s="1"/>
  <c r="AC31"/>
  <c r="AC46"/>
  <c r="AE57"/>
  <c r="AG57" s="1"/>
  <c r="AC57"/>
  <c r="AC22"/>
  <c r="AE22"/>
  <c r="AG22" s="1"/>
  <c r="AB22"/>
  <c r="AC25"/>
  <c r="AC83"/>
  <c r="AB83"/>
  <c r="AC23"/>
  <c r="AE23"/>
  <c r="AG23" s="1"/>
  <c r="AE31"/>
  <c r="AG31" s="1"/>
  <c r="AE46"/>
  <c r="AG46" s="1"/>
  <c r="AE60"/>
  <c r="AG60" s="1"/>
  <c r="AE15"/>
  <c r="AG15" s="1"/>
  <c r="AC15"/>
  <c r="AB15"/>
  <c r="AE83"/>
  <c r="AG83" s="1"/>
  <c r="AC60"/>
  <c r="AC75"/>
  <c r="AG42"/>
  <c r="AC42"/>
  <c r="AC53"/>
  <c r="AB53"/>
  <c r="AC56"/>
  <c r="AC65"/>
  <c r="AC17"/>
  <c r="AG36"/>
  <c r="AC36"/>
  <c r="AB42"/>
  <c r="AB56"/>
  <c r="AC21"/>
  <c r="AC48"/>
  <c r="AC12"/>
  <c r="AC8"/>
  <c r="AB36"/>
  <c r="AE53"/>
  <c r="AG53" s="1"/>
  <c r="AE56"/>
  <c r="AG56" s="1"/>
  <c r="AG82"/>
  <c r="AC82"/>
  <c r="AB82"/>
  <c r="AG86"/>
  <c r="AC86"/>
  <c r="AE44"/>
  <c r="AG44" s="1"/>
  <c r="AE74"/>
  <c r="AG74" s="1"/>
  <c r="AB49"/>
  <c r="AE49"/>
  <c r="AG49" s="1"/>
  <c r="AB78"/>
  <c r="AD78" s="1"/>
  <c r="AC38"/>
  <c r="AB38"/>
  <c r="AE77"/>
  <c r="AG77" s="1"/>
  <c r="AC77"/>
  <c r="AC73"/>
  <c r="AB73"/>
  <c r="AC26"/>
  <c r="AB26"/>
  <c r="AE26"/>
  <c r="AG26" s="1"/>
  <c r="AB58"/>
  <c r="AE58"/>
  <c r="AG58" s="1"/>
  <c r="AE69"/>
  <c r="AG69" s="1"/>
  <c r="AB69"/>
  <c r="AB67"/>
  <c r="AD67" s="1"/>
  <c r="AB63"/>
  <c r="AD63" s="1"/>
  <c r="AC80"/>
  <c r="AB81"/>
  <c r="AE67"/>
  <c r="AG67" s="1"/>
  <c r="AE43"/>
  <c r="AG43" s="1"/>
  <c r="AC49"/>
  <c r="AC24"/>
  <c r="AE24"/>
  <c r="AG24" s="1"/>
  <c r="AB24"/>
  <c r="AG11"/>
  <c r="AC72"/>
  <c r="AB72"/>
  <c r="AE72"/>
  <c r="AG72" s="1"/>
  <c r="AE62"/>
  <c r="AG62" s="1"/>
  <c r="AB62"/>
  <c r="AC62"/>
  <c r="AB29"/>
  <c r="AE29"/>
  <c r="AG29" s="1"/>
  <c r="AC29"/>
  <c r="AE30"/>
  <c r="AG30" s="1"/>
  <c r="AB30"/>
  <c r="AC30"/>
  <c r="AC87"/>
  <c r="AB87"/>
  <c r="AE87"/>
  <c r="AG87" s="1"/>
  <c r="AC85"/>
  <c r="AE85"/>
  <c r="AG85" s="1"/>
  <c r="AB85"/>
  <c r="AE33"/>
  <c r="AG33" s="1"/>
  <c r="AC33"/>
  <c r="AB33"/>
  <c r="AB18"/>
  <c r="AC18"/>
  <c r="AE18"/>
  <c r="AG18" s="1"/>
  <c r="AB43"/>
  <c r="AD43" s="1"/>
  <c r="AE63"/>
  <c r="AG63" s="1"/>
  <c r="AC69"/>
  <c r="AB77"/>
  <c r="AE73"/>
  <c r="AG73" s="1"/>
  <c r="AE28"/>
  <c r="AG28" s="1"/>
  <c r="AB11"/>
  <c r="AC58"/>
  <c r="AE78"/>
  <c r="AG78" s="1"/>
  <c r="AE38"/>
  <c r="AG38" s="1"/>
  <c r="AC11"/>
  <c r="Q20"/>
  <c r="AB28"/>
  <c r="AD28" s="1"/>
  <c r="AB57" l="1"/>
  <c r="AD57" s="1"/>
  <c r="T96"/>
  <c r="AB23"/>
  <c r="AD23" s="1"/>
  <c r="AB17"/>
  <c r="AD17" s="1"/>
  <c r="AB7"/>
  <c r="AG7"/>
  <c r="U96"/>
  <c r="V96"/>
  <c r="Q96"/>
  <c r="AC7"/>
  <c r="AG99"/>
  <c r="AH99" s="1"/>
  <c r="AI99" s="1"/>
  <c r="AH100"/>
  <c r="AI100" s="1"/>
  <c r="AB59"/>
  <c r="AD59" s="1"/>
  <c r="AB76"/>
  <c r="AD76" s="1"/>
  <c r="AB84"/>
  <c r="AD84" s="1"/>
  <c r="AB46"/>
  <c r="AD46" s="1"/>
  <c r="AB68"/>
  <c r="AD68" s="1"/>
  <c r="AB65"/>
  <c r="AD65" s="1"/>
  <c r="AB31"/>
  <c r="AD31" s="1"/>
  <c r="AB21"/>
  <c r="AD21" s="1"/>
  <c r="AB48"/>
  <c r="AD48" s="1"/>
  <c r="AB9"/>
  <c r="AD9" s="1"/>
  <c r="AB66"/>
  <c r="AD66" s="1"/>
  <c r="AB75"/>
  <c r="AD75" s="1"/>
  <c r="AB16"/>
  <c r="AD16" s="1"/>
  <c r="AB32"/>
  <c r="AD32" s="1"/>
  <c r="AB60"/>
  <c r="AD60" s="1"/>
  <c r="AD72"/>
  <c r="AD81"/>
  <c r="AD80"/>
  <c r="AD69"/>
  <c r="AD27"/>
  <c r="AD73"/>
  <c r="AD53"/>
  <c r="AD22"/>
  <c r="AD54"/>
  <c r="AD83"/>
  <c r="AD39"/>
  <c r="AD52"/>
  <c r="AD33"/>
  <c r="AD26"/>
  <c r="AD38"/>
  <c r="AD86"/>
  <c r="AD12"/>
  <c r="AD8"/>
  <c r="AD37"/>
  <c r="AD82"/>
  <c r="AD15"/>
  <c r="AD51"/>
  <c r="AD61"/>
  <c r="AD74"/>
  <c r="AD41"/>
  <c r="AD58"/>
  <c r="AD56"/>
  <c r="AD25"/>
  <c r="AD36"/>
  <c r="AD42"/>
  <c r="AD49"/>
  <c r="AD77"/>
  <c r="AD24"/>
  <c r="AD85"/>
  <c r="AD18"/>
  <c r="AD29"/>
  <c r="AD11"/>
  <c r="AE20"/>
  <c r="AE96" s="1"/>
  <c r="AB20"/>
  <c r="AC20"/>
  <c r="AD30"/>
  <c r="AD87"/>
  <c r="AD62"/>
  <c r="AG101" l="1"/>
  <c r="AG102" s="1"/>
  <c r="AG103" s="1"/>
  <c r="AC96"/>
  <c r="AD7"/>
  <c r="AB96"/>
  <c r="AJ99"/>
  <c r="AK99" s="1"/>
  <c r="AJ100"/>
  <c r="AK100" s="1"/>
  <c r="AD20"/>
  <c r="AG20"/>
  <c r="AG96" s="1"/>
  <c r="AG97" l="1"/>
  <c r="AG98" s="1"/>
  <c r="AG105" s="1"/>
  <c r="AD96"/>
  <c r="AL99"/>
  <c r="AL100"/>
  <c r="AI96" l="1"/>
  <c r="AL96" l="1"/>
</calcChain>
</file>

<file path=xl/sharedStrings.xml><?xml version="1.0" encoding="utf-8"?>
<sst xmlns="http://schemas.openxmlformats.org/spreadsheetml/2006/main" count="899" uniqueCount="317">
  <si>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</si>
  <si>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</si>
  <si>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</si>
  <si>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</si>
  <si>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</si>
  <si>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</si>
  <si>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</si>
  <si>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</si>
  <si>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</si>
  <si>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</si>
  <si>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</si>
  <si>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</si>
  <si>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</si>
  <si>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</si>
  <si>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</si>
  <si>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</si>
  <si>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</si>
  <si>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</si>
  <si>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PASA A NOMINA SEMANAL</t>
  </si>
  <si>
    <t>BAJAS DURANTE LA QUINCENA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</si>
  <si>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</si>
  <si>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</si>
  <si>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</si>
  <si>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</si>
  <si>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</si>
  <si>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</si>
  <si>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</si>
  <si>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</si>
  <si>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</si>
  <si>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</si>
  <si>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</si>
  <si>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</si>
  <si>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</si>
  <si>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</si>
  <si>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</si>
  <si>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</si>
  <si>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</si>
  <si>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</si>
  <si>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</si>
  <si>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</si>
  <si>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</si>
  <si>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</si>
  <si>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</si>
  <si>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</si>
  <si>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</si>
  <si>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</si>
  <si>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</si>
  <si>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</si>
  <si>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</si>
  <si>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</si>
  <si>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</si>
  <si>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</si>
  <si>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</si>
  <si>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</si>
  <si>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</si>
  <si>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</si>
  <si>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</si>
  <si>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</si>
  <si>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</si>
  <si>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</si>
  <si>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</si>
  <si>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</si>
  <si>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</si>
  <si>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</si>
  <si>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</si>
  <si>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sub   S/N</t>
  </si>
  <si>
    <t>CONSULTORES</t>
  </si>
  <si>
    <t>FIJO / VARIABLE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</si>
  <si>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</si>
  <si>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</si>
  <si>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</si>
  <si>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</si>
  <si>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</si>
  <si>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</si>
  <si>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</si>
  <si>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</si>
  <si>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</si>
  <si>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OLVERA BAUTISTA J. D</t>
  </si>
  <si>
    <t>PEREZ PEREZ ISMAEL</t>
  </si>
  <si>
    <t>TELLEZ GAYTAN DANIEL</t>
  </si>
  <si>
    <t>VEGA RIVERA ISMAEL</t>
  </si>
  <si>
    <t>LOPEZ DE LEON DANIEL</t>
  </si>
  <si>
    <t>RESENDIZ SOTO EMILIO</t>
  </si>
  <si>
    <t>SERENO CUELLAR JUVEN</t>
  </si>
  <si>
    <t>LARA OVIEDO SORAYA</t>
  </si>
  <si>
    <t>RESENDIZ CRESPO JOSE</t>
  </si>
  <si>
    <t>SALDAñA GARCIA MARCO</t>
  </si>
  <si>
    <t>ARENAS VARGAS MOISES</t>
  </si>
  <si>
    <t>MEDINA CASTRO CARLOS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</si>
  <si>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</si>
  <si>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</si>
  <si>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</si>
  <si>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</si>
  <si>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</si>
  <si>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</si>
  <si>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</si>
  <si>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AOR15</t>
  </si>
  <si>
    <t>CMM24</t>
  </si>
  <si>
    <t>GZ20</t>
  </si>
  <si>
    <t>RR02</t>
  </si>
  <si>
    <t>CHG</t>
  </si>
  <si>
    <t>HS11</t>
  </si>
  <si>
    <t>ML23</t>
  </si>
  <si>
    <t>OB15</t>
  </si>
  <si>
    <t>PP05</t>
  </si>
  <si>
    <t>RB08</t>
  </si>
  <si>
    <t>SL08</t>
  </si>
  <si>
    <t>SR27</t>
  </si>
  <si>
    <t>TG06</t>
  </si>
  <si>
    <t>VM21</t>
  </si>
  <si>
    <t>VR23</t>
  </si>
  <si>
    <t>BC22</t>
  </si>
  <si>
    <t>CO16</t>
  </si>
  <si>
    <t>CR06</t>
  </si>
  <si>
    <t>CO02</t>
  </si>
  <si>
    <t>DC20</t>
  </si>
  <si>
    <t>LL19</t>
  </si>
  <si>
    <t>RA13</t>
  </si>
  <si>
    <t>RS03</t>
  </si>
  <si>
    <t>RV23</t>
  </si>
  <si>
    <t>SC25</t>
  </si>
  <si>
    <t>CM22</t>
  </si>
  <si>
    <t>CO24</t>
  </si>
  <si>
    <t>LO14</t>
  </si>
  <si>
    <t>MPJ04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</si>
  <si>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</si>
  <si>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</si>
  <si>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</si>
  <si>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</si>
  <si>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</si>
  <si>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</si>
  <si>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</si>
  <si>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</si>
  <si>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</si>
  <si>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</si>
  <si>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</si>
  <si>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</si>
  <si>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RCJ07</t>
  </si>
  <si>
    <t>RE14</t>
  </si>
  <si>
    <t>RG12</t>
  </si>
  <si>
    <t>RH14</t>
  </si>
  <si>
    <t>SG05</t>
  </si>
  <si>
    <t>SH17</t>
  </si>
  <si>
    <t>VM14</t>
  </si>
  <si>
    <t>AC19</t>
  </si>
  <si>
    <t>AG07</t>
  </si>
  <si>
    <t>AZ14</t>
  </si>
  <si>
    <t>BL011</t>
  </si>
  <si>
    <t>GO01</t>
  </si>
  <si>
    <t>HCG28</t>
  </si>
  <si>
    <t>HS08</t>
  </si>
  <si>
    <t>JH19</t>
  </si>
  <si>
    <t>LR05</t>
  </si>
  <si>
    <t>MC14</t>
  </si>
  <si>
    <t>MH09</t>
  </si>
  <si>
    <t>MH25</t>
  </si>
  <si>
    <t>NB02</t>
  </si>
  <si>
    <t>PG04</t>
  </si>
  <si>
    <t>RR05</t>
  </si>
  <si>
    <t>TS31</t>
  </si>
  <si>
    <t>VG25</t>
  </si>
  <si>
    <t>HOJALATERO Y PINTOR</t>
  </si>
  <si>
    <t>PREPARADOR</t>
  </si>
  <si>
    <t>HOJALATERO</t>
  </si>
  <si>
    <t>HOJALATERO PINTOR</t>
  </si>
  <si>
    <t>ARMADOR</t>
  </si>
  <si>
    <t>PINTOR</t>
  </si>
  <si>
    <t>AYUDANTE DE HOJALATE</t>
  </si>
  <si>
    <t>AYUDANTE GENERAL</t>
  </si>
  <si>
    <t>TELEMARKETING</t>
  </si>
  <si>
    <t>CONTACT CENTER</t>
  </si>
  <si>
    <t>VIGILANTE</t>
  </si>
  <si>
    <t>MANTENIMIENTO</t>
  </si>
  <si>
    <t>ASESOR DE VENTAS SEM</t>
  </si>
  <si>
    <t>AYUDANTE DE MECANICO</t>
  </si>
  <si>
    <t>AYUDANTE DE GENERAL</t>
  </si>
  <si>
    <t>OPARARIO C</t>
  </si>
  <si>
    <t>OPERARIO B</t>
  </si>
  <si>
    <t>AYUDANTE GENERAL DE</t>
  </si>
  <si>
    <t>OPERARIO A</t>
  </si>
  <si>
    <t>AYUDANTE DE PREVIAS</t>
  </si>
  <si>
    <t>TECNICO C</t>
  </si>
  <si>
    <t>ESTETICAS</t>
  </si>
  <si>
    <t>OPERARIO</t>
  </si>
  <si>
    <t>ASISTENTE F&amp;I</t>
  </si>
  <si>
    <t>COACH DE PISO</t>
  </si>
  <si>
    <t>AHORRO CTM</t>
  </si>
  <si>
    <t>PRESTAMO CTM</t>
  </si>
  <si>
    <t>PAGADO</t>
  </si>
  <si>
    <t>DIF</t>
  </si>
  <si>
    <t>DISPERCION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</si>
  <si>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</si>
  <si>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</si>
  <si>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</si>
  <si>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</si>
  <si>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</si>
  <si>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</si>
  <si>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VALDEZ MARTINEZ MARTIN</t>
  </si>
  <si>
    <t>CANCINO RODRIGUEZ GREGORIO</t>
  </si>
  <si>
    <t>OLVERA SOTO LUIS ANGEL</t>
  </si>
  <si>
    <t>MATA GONZALEZ ALEJANDRO</t>
  </si>
  <si>
    <t>RIVERA GALLEGOS FRANCISCO</t>
  </si>
  <si>
    <t xml:space="preserve">MARTINEZ MONTOYA EFRAIN </t>
  </si>
  <si>
    <t>ARTEAGA SILVA ALFREDO</t>
  </si>
  <si>
    <t>GRANADOS PEREZ BRENDA</t>
  </si>
  <si>
    <t>ALFARO LAZARO ISAAC</t>
  </si>
  <si>
    <t>AL26</t>
  </si>
  <si>
    <t>DE JESUS CRUZ JUAN CARLOS</t>
  </si>
  <si>
    <t>OLVERA HERNANDEZ JOSE TOMAS</t>
  </si>
  <si>
    <t>CORTES HERNANDEZ GERMAN</t>
  </si>
  <si>
    <t>VIGUERAS MARTINEZ JUAN CARLOS</t>
  </si>
  <si>
    <t>SANCHEZ RODRIGUEZ FREDY</t>
  </si>
  <si>
    <t>CUOTA SINDICAL 1%</t>
  </si>
  <si>
    <t>FONDO DE AHORRO 4.9%</t>
  </si>
  <si>
    <t>RIVERA GONZALEZ JOSE ADAN</t>
  </si>
  <si>
    <t>RESENDIZ ECHEVERRIA MARIO</t>
  </si>
  <si>
    <t>MIJANGOS HERNANDEZ JULIO CESAR</t>
  </si>
  <si>
    <t>REYES FLORES ALAN RICARDO</t>
  </si>
  <si>
    <t>RF27</t>
  </si>
  <si>
    <t>AGUILAR GONZALEZ ANAEL</t>
  </si>
  <si>
    <t>CORTES MIRANDA CARLOS</t>
  </si>
  <si>
    <t>MELENDEZ PADILLA CLAUDIA</t>
  </si>
  <si>
    <t>ARROYO ZARAZUA GILBERTO</t>
  </si>
  <si>
    <t>HERNANDEZ CARREON GREGORIO</t>
  </si>
  <si>
    <t>HERNANDEZ SOLIS GUMERCINDO</t>
  </si>
  <si>
    <t>MIRANDA PEON JULIO CESAR</t>
  </si>
  <si>
    <t>GUTIERREZ OLVERA MARIURI</t>
  </si>
  <si>
    <t>CRUZ ORTIZ JUAN ANTONIO</t>
  </si>
  <si>
    <t>CASTELLANOS ROCHA LUCIA</t>
  </si>
  <si>
    <t>FONSECA GUILLEN JOSE FELIPE</t>
  </si>
  <si>
    <t>HERNANDEZ SILVA EDGAR SAMUEL</t>
  </si>
  <si>
    <t>ENRIQUEZ RUBIO FERNADO</t>
  </si>
  <si>
    <t>RAMIREZ BAUTISTA MARCOS SAMUEL</t>
  </si>
  <si>
    <t>MARTINEZ LORENZO LUIS ALEJANDRO</t>
  </si>
  <si>
    <t>ARVIZU RODRIGUEZ  ALEJANDRO</t>
  </si>
  <si>
    <t>ALVAREZ ORTIZ RICARDO</t>
  </si>
  <si>
    <t>GALICIA ZARATE SERGIO</t>
  </si>
  <si>
    <t>CALDERON MARTINEZ MARIO</t>
  </si>
  <si>
    <t>AGUILAR BRAVO CRISTIAN SAUL</t>
  </si>
  <si>
    <t>RODRIGUEZ RODRIGUEZ ANUAR</t>
  </si>
  <si>
    <t>CORTEZ OVANDO FAUSTINO</t>
  </si>
  <si>
    <t>TINOCO LOPEZ ALFREDO</t>
  </si>
  <si>
    <t>ASESOR SERVICIO</t>
  </si>
  <si>
    <t>NUÑEZ DE JESUS JOSE DANIEL</t>
  </si>
  <si>
    <t>RIVERA AGUILAR GABRIEL</t>
  </si>
  <si>
    <t>CASTILLO ORDOÑEZ JORGE</t>
  </si>
  <si>
    <t>FECHA DE INICIO</t>
  </si>
  <si>
    <t>AYALA CONTRERAS HECTOR</t>
  </si>
  <si>
    <t>MARTIN</t>
  </si>
  <si>
    <t>ANAEL</t>
  </si>
  <si>
    <t xml:space="preserve">HERNANDEZ CHAVEZ PEDRO </t>
  </si>
  <si>
    <t>ARTURO</t>
  </si>
  <si>
    <t>COACH</t>
  </si>
  <si>
    <t>ADMON VENTAS</t>
  </si>
  <si>
    <t>MOISES</t>
  </si>
  <si>
    <t>JIMENEZ HERNANDEZ JULIO</t>
  </si>
  <si>
    <t>LOBATO RECAMIER ROSELLIN</t>
  </si>
  <si>
    <t>CUENTA</t>
  </si>
  <si>
    <t>OBSERVACIONES</t>
  </si>
  <si>
    <t>17/02/2016 AL 23/02/2016</t>
  </si>
  <si>
    <t>Periodo Semana 08</t>
  </si>
  <si>
    <t>BERDEJA LEON FRANCISCO</t>
  </si>
  <si>
    <t>MALDONADO HERNANDEZ ERICK</t>
  </si>
  <si>
    <t>NORIA BADILLO JUAN JOSE</t>
  </si>
  <si>
    <t>MARTINEZ GALLEGOS LUIS FERNANDO</t>
  </si>
  <si>
    <t>MG</t>
  </si>
  <si>
    <t>NUEVO INGRESO</t>
  </si>
  <si>
    <t>CARRASCO TOVAR ARTURO</t>
  </si>
  <si>
    <t>CASTAÑON TAVARES MANUEL</t>
  </si>
  <si>
    <t>ARMENTA LUJANO CARLOS</t>
  </si>
  <si>
    <t>LAVADOR</t>
  </si>
  <si>
    <t>SUAREZ LUNA EFREN AGUSTIN</t>
  </si>
  <si>
    <t>RESENDIZ CAMPUZANO ISRAEL</t>
  </si>
  <si>
    <t>RODRIGUEZ VENTURA CALOS</t>
  </si>
  <si>
    <t>TIRADO SAAVEDRA CARLOS</t>
  </si>
  <si>
    <t>TORIBIO DEL ANGEL OSCAR</t>
  </si>
  <si>
    <t>UNIFORMES</t>
  </si>
  <si>
    <t>BARCENAS COMENERO JORGE</t>
  </si>
  <si>
    <t>DIFERENCIA EN INFONAVIT QUE QUEDA A DEBER</t>
  </si>
  <si>
    <t>DE INFONAVIT QUE QUEDA A DEBER</t>
  </si>
  <si>
    <t>24 HORAS EXTRAS</t>
  </si>
  <si>
    <t>GONZALEZ AGUILLON HUMBERTO</t>
  </si>
  <si>
    <t>NUEVO INGRESO 22 FEB; SOLO PAGAR COMISIONES POR SINDICATO</t>
  </si>
  <si>
    <t>1 FALTA</t>
  </si>
  <si>
    <t>REGRESO DE INCAPACIDAD</t>
  </si>
  <si>
    <t>MONROY HERRERA VICTOR JAVIER</t>
  </si>
  <si>
    <t>SERVIN CHAVEZ OSCAR ERICK</t>
  </si>
  <si>
    <t>PALETA GUADARRAMA RICARDO</t>
  </si>
  <si>
    <t>Subsidio</t>
  </si>
  <si>
    <t>SE LE PAGA UNA DIFERENCIA DE 100 PESOS</t>
  </si>
  <si>
    <t>14 HORAS EXTRA, DIFERENCIA DE 100 PESOS</t>
  </si>
  <si>
    <t>YA SE PIDIO DIFERENCIA A CONSULTORES</t>
  </si>
  <si>
    <t>MONYOY HERRERA VICTOR</t>
  </si>
  <si>
    <t>NM01</t>
  </si>
  <si>
    <t xml:space="preserve">NIETO MEDINA PEDRO </t>
  </si>
  <si>
    <t>ESPECIALES</t>
  </si>
  <si>
    <t xml:space="preserve">AGUILAR PEREZ MARCOS ARTEMIO </t>
  </si>
  <si>
    <t>HUGO ZUÑIGA</t>
  </si>
  <si>
    <t>RODRIGUEZ VENTURA CARLOS</t>
  </si>
  <si>
    <t>BRAVO QUINTERO RICARDO ALBERTO</t>
  </si>
  <si>
    <t>CORONEL DE LEON JONATHAN</t>
  </si>
  <si>
    <t>GARCIA RATIA SALVADOR</t>
  </si>
  <si>
    <t>HERNANDEZ BARCENAS JOSE DIEGO</t>
  </si>
  <si>
    <t>QUINTANILLA VAZQUEZ JEOVANY</t>
  </si>
  <si>
    <t>MOJICA RODRIGUEZ JOSUE NEFTALI</t>
  </si>
  <si>
    <t>MORALES SANCHEZ ANGEL</t>
  </si>
  <si>
    <t>MS00</t>
  </si>
  <si>
    <t>OSCAR</t>
  </si>
  <si>
    <t>COACH DE VENTAS SEMINUEVOS</t>
  </si>
  <si>
    <t>SERENO CUELLAR JUVENAL</t>
  </si>
  <si>
    <t>REYES MONTES LUIS TEODULO</t>
  </si>
  <si>
    <t>MONTES DE OCA JUAREZ JOSE ANTONIO</t>
  </si>
  <si>
    <t>Periodo Semana 11</t>
  </si>
  <si>
    <t>09/03/2016 AL 15/03/2016</t>
  </si>
  <si>
    <t>NUEVO INGRESO, NUMERO DE CUENTA 3713019144</t>
  </si>
  <si>
    <t>NUEVO INGRESO, NUMERO DE CUENTA 1159718206</t>
  </si>
  <si>
    <t>BAJA 12/03/16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</si>
</sst>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);\-#,##0.00"/>
  </numFmts>
  <fonts count="19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143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10" fillId="0" borderId="0" xfId="3" applyFont="1" applyFill="1" applyAlignment="1" applyProtection="1">
      <alignment horizontal="left"/>
    </xf>
    <xf numFmtId="0" fontId="10" fillId="0" borderId="0" xfId="3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43" fontId="12" fillId="0" borderId="0" xfId="2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Protection="1"/>
    <xf numFmtId="0" fontId="13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"/>
    </xf>
    <xf numFmtId="15" fontId="10" fillId="0" borderId="0" xfId="3" applyNumberFormat="1" applyFont="1" applyFill="1" applyAlignment="1" applyProtection="1">
      <alignment horizontal="left"/>
    </xf>
    <xf numFmtId="15" fontId="10" fillId="0" borderId="0" xfId="3" applyNumberFormat="1" applyFont="1" applyFill="1" applyAlignment="1" applyProtection="1">
      <alignment horizontal="center"/>
    </xf>
    <xf numFmtId="0" fontId="12" fillId="0" borderId="0" xfId="0" applyFont="1"/>
    <xf numFmtId="43" fontId="11" fillId="0" borderId="0" xfId="2" applyFont="1"/>
    <xf numFmtId="43" fontId="12" fillId="0" borderId="0" xfId="2" applyFont="1"/>
    <xf numFmtId="43" fontId="11" fillId="0" borderId="0" xfId="2" applyFont="1" applyFill="1"/>
    <xf numFmtId="0" fontId="12" fillId="0" borderId="0" xfId="0" applyFont="1" applyFill="1"/>
    <xf numFmtId="0" fontId="11" fillId="0" borderId="1" xfId="0" applyFont="1" applyBorder="1"/>
    <xf numFmtId="0" fontId="11" fillId="2" borderId="1" xfId="0" applyFont="1" applyFill="1" applyBorder="1"/>
    <xf numFmtId="4" fontId="11" fillId="0" borderId="1" xfId="0" applyNumberFormat="1" applyFont="1" applyBorder="1"/>
    <xf numFmtId="43" fontId="11" fillId="0" borderId="1" xfId="2" applyFont="1" applyBorder="1"/>
    <xf numFmtId="43" fontId="11" fillId="2" borderId="1" xfId="2" applyFont="1" applyFill="1" applyBorder="1"/>
    <xf numFmtId="43" fontId="9" fillId="2" borderId="1" xfId="2" applyFont="1" applyFill="1" applyBorder="1"/>
    <xf numFmtId="43" fontId="12" fillId="3" borderId="1" xfId="2" applyFont="1" applyFill="1" applyBorder="1"/>
    <xf numFmtId="43" fontId="11" fillId="4" borderId="1" xfId="2" applyFont="1" applyFill="1" applyBorder="1"/>
    <xf numFmtId="0" fontId="11" fillId="10" borderId="1" xfId="0" applyFont="1" applyFill="1" applyBorder="1"/>
    <xf numFmtId="43" fontId="11" fillId="10" borderId="1" xfId="2" applyFont="1" applyFill="1" applyBorder="1" applyAlignment="1">
      <alignment horizontal="center"/>
    </xf>
    <xf numFmtId="43" fontId="11" fillId="0" borderId="1" xfId="2" applyFont="1" applyFill="1" applyBorder="1" applyAlignment="1">
      <alignment horizontal="center"/>
    </xf>
    <xf numFmtId="43" fontId="11" fillId="6" borderId="1" xfId="2" applyFont="1" applyFill="1" applyBorder="1" applyAlignment="1">
      <alignment horizontal="center"/>
    </xf>
    <xf numFmtId="0" fontId="11" fillId="0" borderId="0" xfId="0" applyFont="1" applyFill="1"/>
    <xf numFmtId="0" fontId="11" fillId="2" borderId="0" xfId="0" applyFont="1" applyFill="1"/>
    <xf numFmtId="0" fontId="11" fillId="0" borderId="0" xfId="0" applyFont="1"/>
    <xf numFmtId="12" fontId="11" fillId="2" borderId="1" xfId="2" applyNumberFormat="1" applyFont="1" applyFill="1" applyBorder="1"/>
    <xf numFmtId="4" fontId="11" fillId="10" borderId="1" xfId="0" applyNumberFormat="1" applyFont="1" applyFill="1" applyBorder="1"/>
    <xf numFmtId="0" fontId="11" fillId="0" borderId="1" xfId="0" applyFont="1" applyBorder="1" applyAlignment="1">
      <alignment horizontal="right"/>
    </xf>
    <xf numFmtId="43" fontId="11" fillId="10" borderId="1" xfId="2" applyFont="1" applyFill="1" applyBorder="1"/>
    <xf numFmtId="0" fontId="12" fillId="0" borderId="1" xfId="0" applyFont="1" applyFill="1" applyBorder="1"/>
    <xf numFmtId="0" fontId="11" fillId="0" borderId="2" xfId="0" applyFont="1" applyFill="1" applyBorder="1"/>
    <xf numFmtId="43" fontId="11" fillId="0" borderId="2" xfId="2" applyFont="1" applyFill="1" applyBorder="1"/>
    <xf numFmtId="43" fontId="12" fillId="0" borderId="1" xfId="2" applyFont="1" applyFill="1" applyBorder="1"/>
    <xf numFmtId="43" fontId="12" fillId="0" borderId="2" xfId="2" applyFont="1" applyFill="1" applyBorder="1"/>
    <xf numFmtId="0" fontId="12" fillId="0" borderId="3" xfId="0" applyFont="1" applyBorder="1"/>
    <xf numFmtId="43" fontId="12" fillId="0" borderId="3" xfId="2" applyFont="1" applyBorder="1"/>
    <xf numFmtId="43" fontId="11" fillId="0" borderId="1" xfId="2" applyFont="1" applyFill="1" applyBorder="1"/>
    <xf numFmtId="43" fontId="11" fillId="5" borderId="1" xfId="2" applyFont="1" applyFill="1" applyBorder="1" applyAlignment="1">
      <alignment horizontal="center"/>
    </xf>
    <xf numFmtId="0" fontId="14" fillId="0" borderId="0" xfId="0" applyFont="1"/>
    <xf numFmtId="43" fontId="11" fillId="0" borderId="0" xfId="0" applyNumberFormat="1" applyFont="1" applyFill="1"/>
    <xf numFmtId="0" fontId="11" fillId="11" borderId="1" xfId="0" applyFont="1" applyFill="1" applyBorder="1"/>
    <xf numFmtId="43" fontId="11" fillId="11" borderId="1" xfId="2" applyFont="1" applyFill="1" applyBorder="1"/>
    <xf numFmtId="43" fontId="12" fillId="11" borderId="1" xfId="2" applyFont="1" applyFill="1" applyBorder="1"/>
    <xf numFmtId="43" fontId="11" fillId="11" borderId="1" xfId="2" applyFont="1" applyFill="1" applyBorder="1" applyAlignment="1">
      <alignment horizontal="center"/>
    </xf>
    <xf numFmtId="0" fontId="11" fillId="11" borderId="0" xfId="0" applyFont="1" applyFill="1"/>
    <xf numFmtId="0" fontId="11" fillId="12" borderId="1" xfId="0" applyFont="1" applyFill="1" applyBorder="1"/>
    <xf numFmtId="0" fontId="11" fillId="0" borderId="1" xfId="0" applyFont="1" applyFill="1" applyBorder="1"/>
    <xf numFmtId="43" fontId="12" fillId="8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3" fontId="12" fillId="14" borderId="1" xfId="2" applyFont="1" applyFill="1" applyBorder="1"/>
    <xf numFmtId="14" fontId="11" fillId="0" borderId="1" xfId="0" applyNumberFormat="1" applyFont="1" applyBorder="1"/>
    <xf numFmtId="0" fontId="12" fillId="7" borderId="0" xfId="0" applyFont="1" applyFill="1" applyBorder="1" applyAlignment="1">
      <alignment horizontal="center"/>
    </xf>
    <xf numFmtId="0" fontId="11" fillId="0" borderId="0" xfId="0" applyFont="1" applyBorder="1"/>
    <xf numFmtId="43" fontId="12" fillId="13" borderId="3" xfId="2" applyFont="1" applyFill="1" applyBorder="1"/>
    <xf numFmtId="14" fontId="11" fillId="0" borderId="1" xfId="0" applyNumberFormat="1" applyFont="1" applyFill="1" applyBorder="1"/>
    <xf numFmtId="43" fontId="9" fillId="0" borderId="1" xfId="2" applyFont="1" applyFill="1" applyBorder="1"/>
    <xf numFmtId="4" fontId="11" fillId="0" borderId="1" xfId="0" applyNumberFormat="1" applyFont="1" applyFill="1" applyBorder="1"/>
    <xf numFmtId="43" fontId="11" fillId="12" borderId="1" xfId="2" applyFont="1" applyFill="1" applyBorder="1"/>
    <xf numFmtId="43" fontId="11" fillId="0" borderId="5" xfId="2" applyFont="1" applyFill="1" applyBorder="1"/>
    <xf numFmtId="43" fontId="11" fillId="0" borderId="3" xfId="2" applyFont="1" applyBorder="1"/>
    <xf numFmtId="0" fontId="12" fillId="15" borderId="0" xfId="0" applyFont="1" applyFill="1"/>
    <xf numFmtId="0" fontId="11" fillId="15" borderId="1" xfId="0" applyFont="1" applyFill="1" applyBorder="1"/>
    <xf numFmtId="43" fontId="11" fillId="15" borderId="1" xfId="2" applyFont="1" applyFill="1" applyBorder="1"/>
    <xf numFmtId="43" fontId="9" fillId="15" borderId="1" xfId="2" applyFont="1" applyFill="1" applyBorder="1"/>
    <xf numFmtId="43" fontId="12" fillId="15" borderId="1" xfId="2" applyFont="1" applyFill="1" applyBorder="1"/>
    <xf numFmtId="43" fontId="11" fillId="15" borderId="1" xfId="2" applyFont="1" applyFill="1" applyBorder="1" applyAlignment="1">
      <alignment horizontal="center"/>
    </xf>
    <xf numFmtId="0" fontId="11" fillId="15" borderId="0" xfId="0" applyFont="1" applyFill="1"/>
    <xf numFmtId="43" fontId="11" fillId="15" borderId="0" xfId="0" applyNumberFormat="1" applyFont="1" applyFill="1"/>
    <xf numFmtId="4" fontId="11" fillId="15" borderId="1" xfId="0" applyNumberFormat="1" applyFont="1" applyFill="1" applyBorder="1"/>
    <xf numFmtId="14" fontId="11" fillId="15" borderId="1" xfId="0" applyNumberFormat="1" applyFont="1" applyFill="1" applyBorder="1"/>
    <xf numFmtId="43" fontId="12" fillId="8" borderId="2" xfId="2" applyFont="1" applyFill="1" applyBorder="1" applyAlignment="1">
      <alignment horizontal="center" wrapText="1"/>
    </xf>
    <xf numFmtId="43" fontId="12" fillId="8" borderId="8" xfId="2" applyFont="1" applyFill="1" applyBorder="1" applyAlignment="1">
      <alignment horizontal="center" wrapText="1"/>
    </xf>
    <xf numFmtId="2" fontId="11" fillId="10" borderId="1" xfId="0" applyNumberFormat="1" applyFont="1" applyFill="1" applyBorder="1"/>
    <xf numFmtId="12" fontId="11" fillId="0" borderId="0" xfId="0" applyNumberFormat="1" applyFont="1" applyFill="1"/>
    <xf numFmtId="43" fontId="9" fillId="11" borderId="1" xfId="2" applyFont="1" applyFill="1" applyBorder="1"/>
    <xf numFmtId="43" fontId="11" fillId="11" borderId="0" xfId="0" applyNumberFormat="1" applyFont="1" applyFill="1"/>
    <xf numFmtId="0" fontId="12" fillId="11" borderId="0" xfId="0" applyFont="1" applyFill="1"/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2" fontId="11" fillId="13" borderId="1" xfId="0" applyNumberFormat="1" applyFont="1" applyFill="1" applyBorder="1"/>
    <xf numFmtId="14" fontId="11" fillId="11" borderId="1" xfId="0" applyNumberFormat="1" applyFont="1" applyFill="1" applyBorder="1"/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43" fontId="1" fillId="0" borderId="0" xfId="2" applyProtection="1"/>
    <xf numFmtId="43" fontId="1" fillId="8" borderId="1" xfId="2" applyFill="1" applyBorder="1" applyAlignment="1">
      <alignment horizontal="center" vertical="center" wrapText="1"/>
    </xf>
    <xf numFmtId="43" fontId="1" fillId="0" borderId="0" xfId="2" applyFill="1"/>
    <xf numFmtId="43" fontId="1" fillId="0" borderId="3" xfId="2" applyBorder="1"/>
    <xf numFmtId="43" fontId="1" fillId="3" borderId="1" xfId="2" applyFill="1" applyBorder="1"/>
    <xf numFmtId="43" fontId="11" fillId="0" borderId="1" xfId="0" applyNumberFormat="1" applyFont="1" applyBorder="1"/>
    <xf numFmtId="2" fontId="11" fillId="0" borderId="1" xfId="0" applyNumberFormat="1" applyFont="1" applyBorder="1"/>
    <xf numFmtId="43" fontId="15" fillId="0" borderId="0" xfId="2" applyFont="1" applyFill="1"/>
    <xf numFmtId="43" fontId="11" fillId="10" borderId="1" xfId="0" applyNumberFormat="1" applyFont="1" applyFill="1" applyBorder="1"/>
    <xf numFmtId="0" fontId="0" fillId="0" borderId="1" xfId="0" applyBorder="1"/>
    <xf numFmtId="0" fontId="11" fillId="12" borderId="0" xfId="0" applyFont="1" applyFill="1"/>
    <xf numFmtId="43" fontId="12" fillId="8" borderId="1" xfId="2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right"/>
    </xf>
    <xf numFmtId="43" fontId="11" fillId="12" borderId="1" xfId="2" applyFont="1" applyFill="1" applyBorder="1" applyAlignment="1">
      <alignment horizontal="center"/>
    </xf>
    <xf numFmtId="2" fontId="11" fillId="0" borderId="1" xfId="0" applyNumberFormat="1" applyFont="1" applyFill="1" applyBorder="1"/>
    <xf numFmtId="0" fontId="16" fillId="0" borderId="0" xfId="0" applyFont="1" applyFill="1"/>
    <xf numFmtId="0" fontId="0" fillId="0" borderId="0" xfId="0" applyFill="1"/>
    <xf numFmtId="12" fontId="11" fillId="0" borderId="1" xfId="2" applyNumberFormat="1" applyFont="1" applyFill="1" applyBorder="1"/>
    <xf numFmtId="0" fontId="18" fillId="13" borderId="1" xfId="0" applyFont="1" applyFill="1" applyBorder="1"/>
    <xf numFmtId="43" fontId="18" fillId="13" borderId="1" xfId="2" applyFont="1" applyFill="1" applyBorder="1"/>
    <xf numFmtId="43" fontId="17" fillId="13" borderId="1" xfId="2" applyFont="1" applyFill="1" applyBorder="1"/>
    <xf numFmtId="43" fontId="18" fillId="13" borderId="1" xfId="2" applyFont="1" applyFill="1" applyBorder="1" applyAlignment="1">
      <alignment horizontal="center"/>
    </xf>
    <xf numFmtId="43" fontId="15" fillId="13" borderId="0" xfId="2" applyFont="1" applyFill="1"/>
    <xf numFmtId="0" fontId="18" fillId="13" borderId="0" xfId="0" applyFont="1" applyFill="1"/>
    <xf numFmtId="0" fontId="0" fillId="11" borderId="0" xfId="0" applyFill="1"/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3" fontId="12" fillId="8" borderId="2" xfId="0" applyNumberFormat="1" applyFont="1" applyFill="1" applyBorder="1" applyAlignment="1">
      <alignment horizontal="center"/>
    </xf>
    <xf numFmtId="3" fontId="12" fillId="8" borderId="8" xfId="0" applyNumberFormat="1" applyFont="1" applyFill="1" applyBorder="1" applyAlignment="1">
      <alignment horizontal="center"/>
    </xf>
    <xf numFmtId="3" fontId="12" fillId="8" borderId="1" xfId="0" applyNumberFormat="1" applyFont="1" applyFill="1" applyBorder="1"/>
    <xf numFmtId="43" fontId="12" fillId="8" borderId="1" xfId="2" applyFont="1" applyFill="1" applyBorder="1" applyAlignment="1">
      <alignment horizontal="center" wrapText="1"/>
    </xf>
    <xf numFmtId="43" fontId="11" fillId="8" borderId="2" xfId="2" applyFont="1" applyFill="1" applyBorder="1" applyAlignment="1">
      <alignment horizontal="center" vertical="center" wrapText="1"/>
    </xf>
    <xf numFmtId="43" fontId="11" fillId="8" borderId="8" xfId="2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43" fontId="1" fillId="8" borderId="5" xfId="2" applyFill="1" applyBorder="1" applyAlignment="1">
      <alignment horizontal="center" wrapText="1"/>
    </xf>
    <xf numFmtId="43" fontId="1" fillId="8" borderId="6" xfId="2" applyFill="1" applyBorder="1" applyAlignment="1">
      <alignment horizontal="center" wrapText="1"/>
    </xf>
    <xf numFmtId="43" fontId="1" fillId="7" borderId="7" xfId="2" applyFill="1" applyBorder="1" applyAlignment="1">
      <alignment horizontal="center"/>
    </xf>
    <xf numFmtId="43" fontId="12" fillId="8" borderId="5" xfId="2" applyFont="1" applyFill="1" applyBorder="1" applyAlignment="1">
      <alignment horizontal="center" wrapText="1"/>
    </xf>
    <xf numFmtId="43" fontId="12" fillId="8" borderId="6" xfId="2" applyFont="1" applyFill="1" applyBorder="1" applyAlignment="1">
      <alignment horizontal="center" wrapText="1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00FF"/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K127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6" sqref="A16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4" hidden="1" customWidth="1"/>
    <col min="36" max="37" width="11.5703125" style="4" hidden="1" customWidth="1"/>
    <col min="38" max="38" width="13.85546875" style="41" hidden="1" customWidth="1"/>
    <col min="39" max="39" width="34.85546875" style="41" customWidth="1"/>
    <col min="40" max="53" width="11.5703125" style="39"/>
    <col min="54" max="16384" width="11.5703125" style="41"/>
  </cols>
  <sheetData>
    <row r="1" spans="1:193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101"/>
      <c r="AJ1" s="101"/>
      <c r="AK1" s="101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193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101"/>
      <c r="AJ2" s="101"/>
      <c r="AK2" s="101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193" s="17" customFormat="1">
      <c r="A3" s="20" t="s">
        <v>312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101"/>
      <c r="AJ3" s="101"/>
      <c r="AK3" s="101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</row>
    <row r="4" spans="1:193" s="22" customFormat="1">
      <c r="A4" s="22" t="s">
        <v>313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4"/>
      <c r="AJ4" s="4"/>
      <c r="AK4" s="4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</row>
    <row r="5" spans="1:193" s="22" customFormat="1" ht="28.5" customHeight="1">
      <c r="A5" s="128" t="s">
        <v>39</v>
      </c>
      <c r="B5" s="130" t="s">
        <v>40</v>
      </c>
      <c r="C5" s="128"/>
      <c r="D5" s="130" t="s">
        <v>41</v>
      </c>
      <c r="E5" s="130" t="s">
        <v>0</v>
      </c>
      <c r="F5" s="128" t="s">
        <v>246</v>
      </c>
      <c r="G5" s="131" t="s">
        <v>67</v>
      </c>
      <c r="H5" s="131" t="s">
        <v>65</v>
      </c>
      <c r="I5" s="132" t="s">
        <v>66</v>
      </c>
      <c r="J5" s="126" t="s">
        <v>68</v>
      </c>
      <c r="K5" s="131" t="s">
        <v>34</v>
      </c>
      <c r="L5" s="126" t="s">
        <v>75</v>
      </c>
      <c r="M5" s="99"/>
      <c r="N5" s="131" t="s">
        <v>35</v>
      </c>
      <c r="O5" s="131" t="s">
        <v>36</v>
      </c>
      <c r="P5" s="131" t="s">
        <v>63</v>
      </c>
      <c r="Q5" s="131" t="s">
        <v>37</v>
      </c>
      <c r="R5" s="131" t="s">
        <v>38</v>
      </c>
      <c r="S5" s="88"/>
      <c r="T5" s="134" t="s">
        <v>186</v>
      </c>
      <c r="U5" s="134" t="s">
        <v>213</v>
      </c>
      <c r="V5" s="134" t="s">
        <v>212</v>
      </c>
      <c r="W5" s="134" t="s">
        <v>187</v>
      </c>
      <c r="X5" s="131" t="s">
        <v>30</v>
      </c>
      <c r="Y5" s="131" t="s">
        <v>56</v>
      </c>
      <c r="Z5" s="131" t="s">
        <v>55</v>
      </c>
      <c r="AA5" s="131" t="s">
        <v>32</v>
      </c>
      <c r="AB5" s="131" t="s">
        <v>64</v>
      </c>
      <c r="AC5" s="131" t="s">
        <v>27</v>
      </c>
      <c r="AD5" s="131" t="s">
        <v>31</v>
      </c>
      <c r="AE5" s="131" t="s">
        <v>26</v>
      </c>
      <c r="AF5" s="131" t="s">
        <v>28</v>
      </c>
      <c r="AG5" s="112"/>
      <c r="AH5" s="131" t="s">
        <v>29</v>
      </c>
      <c r="AI5" s="138" t="s">
        <v>190</v>
      </c>
      <c r="AJ5" s="139"/>
      <c r="AK5" s="140" t="s">
        <v>191</v>
      </c>
      <c r="AL5" s="136" t="s">
        <v>257</v>
      </c>
      <c r="AM5" s="136" t="s">
        <v>258</v>
      </c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</row>
    <row r="6" spans="1:193" s="66" customFormat="1" ht="39" customHeight="1">
      <c r="A6" s="129"/>
      <c r="B6" s="130"/>
      <c r="C6" s="129"/>
      <c r="D6" s="130"/>
      <c r="E6" s="130"/>
      <c r="F6" s="129"/>
      <c r="G6" s="131"/>
      <c r="H6" s="131"/>
      <c r="I6" s="133"/>
      <c r="J6" s="127"/>
      <c r="K6" s="131"/>
      <c r="L6" s="127"/>
      <c r="M6" s="100" t="s">
        <v>288</v>
      </c>
      <c r="N6" s="131"/>
      <c r="O6" s="131"/>
      <c r="P6" s="131"/>
      <c r="Q6" s="131"/>
      <c r="R6" s="131"/>
      <c r="S6" s="89" t="s">
        <v>276</v>
      </c>
      <c r="T6" s="135"/>
      <c r="U6" s="135"/>
      <c r="V6" s="135"/>
      <c r="W6" s="135"/>
      <c r="X6" s="131"/>
      <c r="Y6" s="131"/>
      <c r="Z6" s="131"/>
      <c r="AA6" s="131"/>
      <c r="AB6" s="131"/>
      <c r="AC6" s="131"/>
      <c r="AD6" s="131"/>
      <c r="AE6" s="131"/>
      <c r="AF6" s="131"/>
      <c r="AG6" s="112"/>
      <c r="AH6" s="131"/>
      <c r="AI6" s="102" t="s">
        <v>66</v>
      </c>
      <c r="AJ6" s="102" t="s">
        <v>68</v>
      </c>
      <c r="AK6" s="140"/>
      <c r="AL6" s="136"/>
      <c r="AM6" s="136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</row>
    <row r="7" spans="1:193" s="40" customFormat="1">
      <c r="A7" s="27" t="s">
        <v>91</v>
      </c>
      <c r="B7" s="27" t="s">
        <v>238</v>
      </c>
      <c r="C7" s="27"/>
      <c r="D7" s="27" t="s">
        <v>95</v>
      </c>
      <c r="E7" s="27" t="s">
        <v>72</v>
      </c>
      <c r="F7" s="27"/>
      <c r="G7" s="28"/>
      <c r="H7" s="28"/>
      <c r="I7" s="30">
        <v>1166.26</v>
      </c>
      <c r="J7" s="29"/>
      <c r="K7" s="30">
        <f t="shared" ref="K7:K74" si="0">+I7+J7</f>
        <v>1166.26</v>
      </c>
      <c r="L7" s="30">
        <v>1678.68</v>
      </c>
      <c r="M7" s="30"/>
      <c r="N7" s="31"/>
      <c r="O7" s="31"/>
      <c r="P7" s="32"/>
      <c r="Q7" s="33">
        <f t="shared" ref="Q7:Q39" si="1">SUM(K7:O7)-P7</f>
        <v>2844.94</v>
      </c>
      <c r="R7" s="34"/>
      <c r="S7" s="45"/>
      <c r="T7" s="45">
        <v>0</v>
      </c>
      <c r="U7" s="45"/>
      <c r="V7" s="45"/>
      <c r="W7" s="45"/>
      <c r="X7" s="36"/>
      <c r="Y7" s="36"/>
      <c r="Z7" s="35"/>
      <c r="AA7" s="35">
        <v>0</v>
      </c>
      <c r="AB7" s="33">
        <f t="shared" ref="AB7:AB11" si="2">+Q7-SUM(R7:AA7)</f>
        <v>2844.94</v>
      </c>
      <c r="AC7" s="37">
        <f>IF(Q7&gt;3500,Q7*0.1,0)</f>
        <v>0</v>
      </c>
      <c r="AD7" s="33">
        <f t="shared" ref="AD7:AD73" si="3">+AB7-AC7</f>
        <v>2844.94</v>
      </c>
      <c r="AE7" s="38">
        <f>IF(Q7&lt;3500,Q7*0.1,0)</f>
        <v>284.49400000000003</v>
      </c>
      <c r="AF7" s="37">
        <v>10.23</v>
      </c>
      <c r="AG7" s="37">
        <f>+U7</f>
        <v>0</v>
      </c>
      <c r="AH7" s="67">
        <f>+Q7+AE7+AF7+AG7</f>
        <v>3139.6640000000002</v>
      </c>
      <c r="AI7" s="103"/>
      <c r="AJ7" s="103"/>
      <c r="AK7" s="103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</row>
    <row r="8" spans="1:193">
      <c r="A8" s="27" t="s">
        <v>71</v>
      </c>
      <c r="B8" s="27" t="s">
        <v>219</v>
      </c>
      <c r="C8" s="27" t="s">
        <v>252</v>
      </c>
      <c r="D8" s="27" t="s">
        <v>145</v>
      </c>
      <c r="E8" s="27" t="s">
        <v>74</v>
      </c>
      <c r="F8" s="27"/>
      <c r="G8" s="28"/>
      <c r="H8" s="28"/>
      <c r="I8" s="30">
        <v>1633.33</v>
      </c>
      <c r="J8" s="28"/>
      <c r="K8" s="30">
        <f t="shared" si="0"/>
        <v>1633.33</v>
      </c>
      <c r="L8" s="30">
        <v>5197.71</v>
      </c>
      <c r="M8" s="30"/>
      <c r="N8" s="31"/>
      <c r="O8" s="31"/>
      <c r="P8" s="32"/>
      <c r="Q8" s="33">
        <f t="shared" si="1"/>
        <v>6831.04</v>
      </c>
      <c r="R8" s="34"/>
      <c r="S8" s="45"/>
      <c r="T8" s="45">
        <v>0</v>
      </c>
      <c r="U8" s="45"/>
      <c r="V8" s="45"/>
      <c r="W8" s="45"/>
      <c r="X8" s="36"/>
      <c r="Y8" s="36"/>
      <c r="Z8" s="35"/>
      <c r="AA8" s="35">
        <v>0</v>
      </c>
      <c r="AB8" s="33">
        <f t="shared" si="2"/>
        <v>6831.04</v>
      </c>
      <c r="AC8" s="37">
        <f t="shared" ref="AC8:AC74" si="4">IF(Q8&gt;3500,Q8*0.1,0)</f>
        <v>683.10400000000004</v>
      </c>
      <c r="AD8" s="33">
        <f t="shared" si="3"/>
        <v>6147.9359999999997</v>
      </c>
      <c r="AE8" s="38">
        <f t="shared" ref="AE8:AE74" si="5">IF(Q8&lt;3500,Q8*0.1,0)</f>
        <v>0</v>
      </c>
      <c r="AF8" s="37">
        <v>10.23</v>
      </c>
      <c r="AG8" s="37">
        <f t="shared" ref="AG8:AG74" si="6">+U8</f>
        <v>0</v>
      </c>
      <c r="AH8" s="67">
        <f t="shared" ref="AH8:AH74" si="7">+Q8+AE8+AF8+AG8</f>
        <v>6841.2699999999995</v>
      </c>
      <c r="AI8" s="103"/>
      <c r="AJ8" s="103"/>
      <c r="AK8" s="103"/>
      <c r="AL8" s="39"/>
      <c r="AM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</row>
    <row r="9" spans="1:193">
      <c r="A9" s="62" t="s">
        <v>94</v>
      </c>
      <c r="B9" s="27" t="s">
        <v>196</v>
      </c>
      <c r="C9" s="27"/>
      <c r="D9" s="27" t="s">
        <v>126</v>
      </c>
      <c r="E9" s="27" t="s">
        <v>181</v>
      </c>
      <c r="F9" s="27"/>
      <c r="G9" s="28"/>
      <c r="H9" s="28"/>
      <c r="I9" s="30">
        <v>608.16</v>
      </c>
      <c r="J9" s="28"/>
      <c r="K9" s="30">
        <f t="shared" si="0"/>
        <v>608.16</v>
      </c>
      <c r="L9" s="30">
        <f>4433.38+2.599</f>
        <v>4435.9790000000003</v>
      </c>
      <c r="M9" s="30"/>
      <c r="N9" s="31"/>
      <c r="O9" s="31">
        <v>4279.03</v>
      </c>
      <c r="P9" s="32"/>
      <c r="Q9" s="33">
        <f t="shared" si="1"/>
        <v>9323.1689999999999</v>
      </c>
      <c r="R9" s="34"/>
      <c r="S9" s="45"/>
      <c r="T9" s="45"/>
      <c r="U9" s="75">
        <f>Q9*4.9%</f>
        <v>456.83528100000001</v>
      </c>
      <c r="V9" s="75">
        <f>Q9*1%</f>
        <v>93.23169</v>
      </c>
      <c r="W9" s="45"/>
      <c r="X9" s="36"/>
      <c r="Y9" s="36"/>
      <c r="Z9" s="35"/>
      <c r="AA9" s="35">
        <v>0</v>
      </c>
      <c r="AB9" s="33">
        <f t="shared" si="2"/>
        <v>8773.1020289999997</v>
      </c>
      <c r="AC9" s="37">
        <f t="shared" si="4"/>
        <v>932.31690000000003</v>
      </c>
      <c r="AD9" s="33">
        <f t="shared" si="3"/>
        <v>7840.7851289999999</v>
      </c>
      <c r="AE9" s="38">
        <f t="shared" si="5"/>
        <v>0</v>
      </c>
      <c r="AF9" s="37">
        <v>10.23</v>
      </c>
      <c r="AG9" s="37">
        <f t="shared" si="6"/>
        <v>456.83528100000001</v>
      </c>
      <c r="AH9" s="67">
        <f t="shared" si="7"/>
        <v>9790.2342809999991</v>
      </c>
      <c r="AI9" s="103"/>
      <c r="AJ9" s="103"/>
      <c r="AK9" s="103"/>
      <c r="AL9" s="39"/>
      <c r="AM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</row>
    <row r="10" spans="1:193">
      <c r="A10" s="62" t="s">
        <v>92</v>
      </c>
      <c r="B10" s="27" t="s">
        <v>205</v>
      </c>
      <c r="C10" s="27"/>
      <c r="D10" s="27" t="s">
        <v>206</v>
      </c>
      <c r="E10" s="27" t="s">
        <v>167</v>
      </c>
      <c r="F10" s="27"/>
      <c r="G10" s="28"/>
      <c r="H10" s="28"/>
      <c r="I10" s="30">
        <v>739.23</v>
      </c>
      <c r="J10" s="28"/>
      <c r="K10" s="30">
        <f t="shared" si="0"/>
        <v>739.23</v>
      </c>
      <c r="L10" s="30">
        <f>1943.23+7.42</f>
        <v>1950.65</v>
      </c>
      <c r="M10" s="30"/>
      <c r="N10" s="31"/>
      <c r="O10" s="31"/>
      <c r="P10" s="32"/>
      <c r="Q10" s="33">
        <f t="shared" si="1"/>
        <v>2689.88</v>
      </c>
      <c r="R10" s="34"/>
      <c r="S10" s="45"/>
      <c r="T10" s="45"/>
      <c r="U10" s="45"/>
      <c r="V10" s="45"/>
      <c r="W10" s="45"/>
      <c r="X10" s="36"/>
      <c r="Y10" s="36"/>
      <c r="Z10" s="35"/>
      <c r="AA10" s="35"/>
      <c r="AB10" s="33">
        <f t="shared" si="2"/>
        <v>2689.88</v>
      </c>
      <c r="AC10" s="37">
        <f t="shared" si="4"/>
        <v>0</v>
      </c>
      <c r="AD10" s="33">
        <f t="shared" si="3"/>
        <v>2689.88</v>
      </c>
      <c r="AE10" s="38">
        <f t="shared" si="5"/>
        <v>268.988</v>
      </c>
      <c r="AF10" s="37">
        <v>10.23</v>
      </c>
      <c r="AG10" s="37">
        <f t="shared" si="6"/>
        <v>0</v>
      </c>
      <c r="AH10" s="67">
        <f t="shared" si="7"/>
        <v>2969.098</v>
      </c>
      <c r="AI10" s="103"/>
      <c r="AJ10" s="103"/>
      <c r="AK10" s="103"/>
      <c r="AL10" s="39"/>
      <c r="AM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</row>
    <row r="11" spans="1:193">
      <c r="A11" s="27" t="s">
        <v>71</v>
      </c>
      <c r="B11" s="27" t="s">
        <v>87</v>
      </c>
      <c r="C11" s="27" t="s">
        <v>252</v>
      </c>
      <c r="D11" s="27">
        <v>16</v>
      </c>
      <c r="E11" s="27" t="s">
        <v>74</v>
      </c>
      <c r="F11" s="27"/>
      <c r="G11" s="28"/>
      <c r="H11" s="28"/>
      <c r="I11" s="30">
        <v>1633.33</v>
      </c>
      <c r="J11" s="28"/>
      <c r="K11" s="30">
        <f t="shared" si="0"/>
        <v>1633.33</v>
      </c>
      <c r="L11" s="30">
        <f>1266.38+3.71</f>
        <v>1270.0900000000001</v>
      </c>
      <c r="M11" s="30"/>
      <c r="N11" s="31"/>
      <c r="O11" s="31"/>
      <c r="P11" s="32"/>
      <c r="Q11" s="33">
        <f t="shared" si="1"/>
        <v>2903.42</v>
      </c>
      <c r="R11" s="34"/>
      <c r="S11" s="45"/>
      <c r="T11" s="45">
        <v>0</v>
      </c>
      <c r="U11" s="45"/>
      <c r="V11" s="45"/>
      <c r="W11" s="45"/>
      <c r="X11" s="36"/>
      <c r="Y11" s="36"/>
      <c r="Z11" s="35"/>
      <c r="AA11" s="35">
        <v>0</v>
      </c>
      <c r="AB11" s="33">
        <f t="shared" si="2"/>
        <v>2903.42</v>
      </c>
      <c r="AC11" s="37">
        <f t="shared" si="4"/>
        <v>0</v>
      </c>
      <c r="AD11" s="33">
        <f t="shared" si="3"/>
        <v>2903.42</v>
      </c>
      <c r="AE11" s="38">
        <f t="shared" si="5"/>
        <v>290.34200000000004</v>
      </c>
      <c r="AF11" s="37">
        <v>10.23</v>
      </c>
      <c r="AG11" s="37">
        <f t="shared" si="6"/>
        <v>0</v>
      </c>
      <c r="AH11" s="67">
        <f t="shared" si="7"/>
        <v>3203.9920000000002</v>
      </c>
      <c r="AI11" s="103"/>
      <c r="AJ11" s="103"/>
      <c r="AK11" s="103"/>
      <c r="AL11" s="39"/>
      <c r="AM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</row>
    <row r="12" spans="1:193" s="84" customFormat="1">
      <c r="A12" s="63" t="s">
        <v>91</v>
      </c>
      <c r="B12" s="63" t="s">
        <v>269</v>
      </c>
      <c r="C12" s="63"/>
      <c r="D12" s="63"/>
      <c r="E12" s="63" t="s">
        <v>270</v>
      </c>
      <c r="F12" s="72">
        <v>42422</v>
      </c>
      <c r="G12" s="63"/>
      <c r="H12" s="63"/>
      <c r="I12" s="53">
        <v>608.16</v>
      </c>
      <c r="J12" s="63"/>
      <c r="K12" s="53">
        <f t="shared" si="0"/>
        <v>608.16</v>
      </c>
      <c r="L12" s="53">
        <f>1414.1+5.571</f>
        <v>1419.6709999999998</v>
      </c>
      <c r="M12" s="53"/>
      <c r="N12" s="53"/>
      <c r="O12" s="53"/>
      <c r="P12" s="32"/>
      <c r="Q12" s="59">
        <f t="shared" si="1"/>
        <v>2027.8309999999997</v>
      </c>
      <c r="R12" s="34"/>
      <c r="S12" s="45"/>
      <c r="T12" s="45">
        <v>0</v>
      </c>
      <c r="U12" s="45"/>
      <c r="V12" s="45"/>
      <c r="W12" s="45"/>
      <c r="X12" s="36"/>
      <c r="Y12" s="36"/>
      <c r="Z12" s="35"/>
      <c r="AA12" s="35">
        <v>0</v>
      </c>
      <c r="AB12" s="33">
        <f t="shared" ref="AB12" si="8">+Q12-SUM(R12:AA12)</f>
        <v>2027.8309999999997</v>
      </c>
      <c r="AC12" s="37">
        <f t="shared" si="4"/>
        <v>0</v>
      </c>
      <c r="AD12" s="33">
        <f t="shared" ref="AD12" si="9">+AB12-AC12</f>
        <v>2027.8309999999997</v>
      </c>
      <c r="AE12" s="38">
        <f t="shared" si="5"/>
        <v>202.78309999999999</v>
      </c>
      <c r="AF12" s="37">
        <v>10.23</v>
      </c>
      <c r="AG12" s="37">
        <f t="shared" si="6"/>
        <v>0</v>
      </c>
      <c r="AH12" s="67">
        <f t="shared" si="7"/>
        <v>2240.8440999999998</v>
      </c>
      <c r="AI12" s="103"/>
      <c r="AJ12" s="103"/>
      <c r="AK12" s="103"/>
      <c r="AL12" s="84">
        <v>1456104819</v>
      </c>
      <c r="AM12" s="26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</row>
    <row r="13" spans="1:193" s="39" customFormat="1">
      <c r="A13" s="63" t="s">
        <v>70</v>
      </c>
      <c r="B13" s="63" t="s">
        <v>203</v>
      </c>
      <c r="C13" s="63" t="s">
        <v>307</v>
      </c>
      <c r="D13" s="63"/>
      <c r="E13" s="63" t="s">
        <v>173</v>
      </c>
      <c r="F13" s="72">
        <v>42417</v>
      </c>
      <c r="G13" s="63"/>
      <c r="H13" s="63"/>
      <c r="I13" s="53">
        <v>513.33000000000004</v>
      </c>
      <c r="J13" s="63">
        <v>653.33000000000004</v>
      </c>
      <c r="K13" s="53">
        <f t="shared" si="0"/>
        <v>1166.6600000000001</v>
      </c>
      <c r="L13" s="53">
        <v>1950.65</v>
      </c>
      <c r="M13" s="53"/>
      <c r="N13" s="53"/>
      <c r="O13" s="53"/>
      <c r="P13" s="32"/>
      <c r="Q13" s="33">
        <f t="shared" si="1"/>
        <v>3117.3100000000004</v>
      </c>
      <c r="R13" s="34"/>
      <c r="S13" s="45"/>
      <c r="T13" s="45">
        <v>0</v>
      </c>
      <c r="U13" s="45"/>
      <c r="V13" s="45"/>
      <c r="W13" s="45"/>
      <c r="X13" s="36"/>
      <c r="Y13" s="36"/>
      <c r="Z13" s="35"/>
      <c r="AA13" s="35">
        <v>0</v>
      </c>
      <c r="AB13" s="33">
        <f t="shared" ref="AB13:AB81" si="10">+Q13-SUM(R13:AA13)</f>
        <v>3117.3100000000004</v>
      </c>
      <c r="AC13" s="37">
        <f t="shared" si="4"/>
        <v>0</v>
      </c>
      <c r="AD13" s="33">
        <f t="shared" si="3"/>
        <v>3117.3100000000004</v>
      </c>
      <c r="AE13" s="38">
        <f t="shared" si="5"/>
        <v>311.73100000000005</v>
      </c>
      <c r="AF13" s="37">
        <v>10.23</v>
      </c>
      <c r="AG13" s="37">
        <f t="shared" si="6"/>
        <v>0</v>
      </c>
      <c r="AH13" s="67">
        <f t="shared" si="7"/>
        <v>3439.2710000000006</v>
      </c>
      <c r="AI13" s="103"/>
      <c r="AJ13" s="103"/>
      <c r="AK13" s="103"/>
    </row>
    <row r="14" spans="1:193">
      <c r="A14" s="27" t="s">
        <v>71</v>
      </c>
      <c r="B14" s="27" t="s">
        <v>222</v>
      </c>
      <c r="C14" s="27" t="s">
        <v>249</v>
      </c>
      <c r="D14" s="27" t="s">
        <v>146</v>
      </c>
      <c r="E14" s="27" t="s">
        <v>73</v>
      </c>
      <c r="F14" s="63"/>
      <c r="G14" s="28"/>
      <c r="H14" s="28"/>
      <c r="I14" s="30">
        <v>513.33000000000004</v>
      </c>
      <c r="J14" s="28">
        <v>653.33000000000004</v>
      </c>
      <c r="K14" s="30">
        <f t="shared" si="0"/>
        <v>1166.6600000000001</v>
      </c>
      <c r="L14" s="30">
        <v>4701.3500000000004</v>
      </c>
      <c r="M14" s="30"/>
      <c r="N14" s="31"/>
      <c r="O14" s="31"/>
      <c r="P14" s="32"/>
      <c r="Q14" s="33">
        <f t="shared" si="1"/>
        <v>5868.01</v>
      </c>
      <c r="R14" s="34"/>
      <c r="S14" s="45"/>
      <c r="T14" s="45">
        <v>0</v>
      </c>
      <c r="U14" s="45"/>
      <c r="V14" s="45"/>
      <c r="W14" s="45"/>
      <c r="X14" s="36"/>
      <c r="Y14" s="36"/>
      <c r="Z14" s="35"/>
      <c r="AA14" s="35">
        <v>368.35</v>
      </c>
      <c r="AB14" s="33">
        <f t="shared" si="10"/>
        <v>5499.66</v>
      </c>
      <c r="AC14" s="37">
        <f t="shared" si="4"/>
        <v>586.80100000000004</v>
      </c>
      <c r="AD14" s="33">
        <f t="shared" si="3"/>
        <v>4912.8589999999995</v>
      </c>
      <c r="AE14" s="38">
        <f t="shared" si="5"/>
        <v>0</v>
      </c>
      <c r="AF14" s="37">
        <v>10.23</v>
      </c>
      <c r="AG14" s="37">
        <f t="shared" si="6"/>
        <v>0</v>
      </c>
      <c r="AH14" s="67">
        <f t="shared" si="7"/>
        <v>5878.24</v>
      </c>
      <c r="AI14" s="103"/>
      <c r="AJ14" s="103"/>
      <c r="AK14" s="103"/>
      <c r="AL14" s="39"/>
      <c r="AM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</row>
    <row r="15" spans="1:193">
      <c r="A15" s="62" t="s">
        <v>94</v>
      </c>
      <c r="B15" s="63" t="s">
        <v>234</v>
      </c>
      <c r="C15" s="63"/>
      <c r="D15" s="27" t="s">
        <v>127</v>
      </c>
      <c r="E15" s="27" t="s">
        <v>174</v>
      </c>
      <c r="F15" s="27"/>
      <c r="G15" s="28"/>
      <c r="H15" s="28"/>
      <c r="I15" s="30">
        <v>608.16</v>
      </c>
      <c r="J15" s="28"/>
      <c r="K15" s="30">
        <f t="shared" si="0"/>
        <v>608.16</v>
      </c>
      <c r="L15" s="30">
        <v>0</v>
      </c>
      <c r="M15" s="30"/>
      <c r="N15" s="31"/>
      <c r="O15" s="31"/>
      <c r="P15" s="32"/>
      <c r="Q15" s="33">
        <f t="shared" si="1"/>
        <v>608.16</v>
      </c>
      <c r="R15" s="34"/>
      <c r="S15" s="45"/>
      <c r="T15" s="75">
        <v>150</v>
      </c>
      <c r="U15" s="75">
        <f>Q15*4.9%</f>
        <v>29.79984</v>
      </c>
      <c r="V15" s="75">
        <f>Q15*1%</f>
        <v>6.0815999999999999</v>
      </c>
      <c r="W15" s="45"/>
      <c r="X15" s="36"/>
      <c r="Y15" s="36"/>
      <c r="Z15" s="35"/>
      <c r="AA15" s="35">
        <v>0</v>
      </c>
      <c r="AB15" s="33">
        <f t="shared" si="10"/>
        <v>422.27855999999997</v>
      </c>
      <c r="AC15" s="37">
        <f t="shared" si="4"/>
        <v>0</v>
      </c>
      <c r="AD15" s="33">
        <f t="shared" si="3"/>
        <v>422.27855999999997</v>
      </c>
      <c r="AE15" s="38">
        <f t="shared" si="5"/>
        <v>60.816000000000003</v>
      </c>
      <c r="AF15" s="37">
        <v>10.23</v>
      </c>
      <c r="AG15" s="37">
        <f t="shared" si="6"/>
        <v>29.79984</v>
      </c>
      <c r="AH15" s="67">
        <f t="shared" si="7"/>
        <v>709.00584000000003</v>
      </c>
      <c r="AI15" s="103"/>
      <c r="AJ15" s="103"/>
      <c r="AK15" s="108"/>
      <c r="AL15" s="39"/>
      <c r="AM15" s="94"/>
      <c r="AN15" s="61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</row>
    <row r="16" spans="1:193">
      <c r="A16" s="27" t="s">
        <v>70</v>
      </c>
      <c r="B16" s="27" t="s">
        <v>247</v>
      </c>
      <c r="C16" s="63" t="s">
        <v>307</v>
      </c>
      <c r="D16" s="27" t="s">
        <v>144</v>
      </c>
      <c r="E16" s="63" t="s">
        <v>173</v>
      </c>
      <c r="F16" s="68">
        <v>42326</v>
      </c>
      <c r="G16" s="28"/>
      <c r="H16" s="28"/>
      <c r="I16" s="30">
        <v>513.33000000000004</v>
      </c>
      <c r="J16" s="28">
        <v>513.33000000000004</v>
      </c>
      <c r="K16" s="30">
        <f t="shared" si="0"/>
        <v>1026.6600000000001</v>
      </c>
      <c r="L16" s="30">
        <v>1544.4</v>
      </c>
      <c r="M16" s="30"/>
      <c r="N16" s="31"/>
      <c r="O16" s="31"/>
      <c r="P16" s="32"/>
      <c r="Q16" s="33">
        <f t="shared" si="1"/>
        <v>2571.0600000000004</v>
      </c>
      <c r="R16" s="34"/>
      <c r="S16" s="45"/>
      <c r="T16" s="45">
        <v>0</v>
      </c>
      <c r="U16" s="45"/>
      <c r="V16" s="45"/>
      <c r="W16" s="45"/>
      <c r="X16" s="36"/>
      <c r="Y16" s="36"/>
      <c r="Z16" s="35"/>
      <c r="AA16" s="90">
        <v>879.45</v>
      </c>
      <c r="AB16" s="33">
        <f t="shared" si="10"/>
        <v>1691.6100000000004</v>
      </c>
      <c r="AC16" s="37">
        <f t="shared" si="4"/>
        <v>0</v>
      </c>
      <c r="AD16" s="33">
        <f t="shared" si="3"/>
        <v>1691.6100000000004</v>
      </c>
      <c r="AE16" s="38">
        <f t="shared" si="5"/>
        <v>257.10600000000005</v>
      </c>
      <c r="AF16" s="37">
        <v>10.23</v>
      </c>
      <c r="AG16" s="37">
        <f t="shared" si="6"/>
        <v>0</v>
      </c>
      <c r="AH16" s="67">
        <f t="shared" si="7"/>
        <v>2838.3960000000006</v>
      </c>
      <c r="AI16" s="103"/>
      <c r="AJ16" s="103"/>
      <c r="AK16" s="103"/>
      <c r="AL16" s="39"/>
      <c r="AM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</row>
    <row r="17" spans="1:193">
      <c r="A17" s="27" t="s">
        <v>69</v>
      </c>
      <c r="B17" s="27" t="s">
        <v>277</v>
      </c>
      <c r="C17" s="27"/>
      <c r="D17" s="27" t="s">
        <v>111</v>
      </c>
      <c r="E17" s="27" t="s">
        <v>169</v>
      </c>
      <c r="F17" s="27"/>
      <c r="G17" s="28"/>
      <c r="H17" s="28"/>
      <c r="I17" s="30">
        <v>933.33</v>
      </c>
      <c r="J17" s="28"/>
      <c r="K17" s="30">
        <f t="shared" si="0"/>
        <v>933.33</v>
      </c>
      <c r="L17" s="30">
        <v>550</v>
      </c>
      <c r="M17" s="30"/>
      <c r="N17" s="31"/>
      <c r="O17" s="31"/>
      <c r="P17" s="32"/>
      <c r="Q17" s="33">
        <f t="shared" si="1"/>
        <v>1483.33</v>
      </c>
      <c r="R17" s="34"/>
      <c r="S17" s="45">
        <v>58.91</v>
      </c>
      <c r="T17" s="45">
        <v>0</v>
      </c>
      <c r="U17" s="45"/>
      <c r="V17" s="45"/>
      <c r="W17" s="45"/>
      <c r="X17" s="36"/>
      <c r="Y17" s="36"/>
      <c r="Z17" s="90"/>
      <c r="AA17" s="35">
        <v>0</v>
      </c>
      <c r="AB17" s="33">
        <f t="shared" si="10"/>
        <v>1424.4199999999998</v>
      </c>
      <c r="AC17" s="37">
        <f t="shared" si="4"/>
        <v>0</v>
      </c>
      <c r="AD17" s="33">
        <f t="shared" si="3"/>
        <v>1424.4199999999998</v>
      </c>
      <c r="AE17" s="38">
        <f t="shared" si="5"/>
        <v>148.333</v>
      </c>
      <c r="AF17" s="37">
        <v>10.23</v>
      </c>
      <c r="AG17" s="37">
        <f t="shared" si="6"/>
        <v>0</v>
      </c>
      <c r="AH17" s="67">
        <f t="shared" si="7"/>
        <v>1641.893</v>
      </c>
      <c r="AI17" s="103"/>
      <c r="AJ17" s="103"/>
      <c r="AK17" s="108"/>
      <c r="AL17" s="39"/>
      <c r="AM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</row>
    <row r="18" spans="1:193">
      <c r="A18" s="27" t="s">
        <v>71</v>
      </c>
      <c r="B18" s="27" t="s">
        <v>261</v>
      </c>
      <c r="C18" s="27" t="s">
        <v>251</v>
      </c>
      <c r="D18" s="27" t="s">
        <v>147</v>
      </c>
      <c r="E18" s="27" t="s">
        <v>73</v>
      </c>
      <c r="F18" s="27"/>
      <c r="G18" s="28"/>
      <c r="H18" s="28"/>
      <c r="I18" s="30">
        <v>513.33000000000004</v>
      </c>
      <c r="J18" s="28">
        <v>513.33000000000004</v>
      </c>
      <c r="K18" s="30">
        <f t="shared" si="0"/>
        <v>1026.6600000000001</v>
      </c>
      <c r="L18" s="30"/>
      <c r="M18" s="30"/>
      <c r="N18" s="31"/>
      <c r="O18" s="31"/>
      <c r="P18" s="32"/>
      <c r="Q18" s="33">
        <f t="shared" si="1"/>
        <v>1026.6600000000001</v>
      </c>
      <c r="R18" s="34"/>
      <c r="S18" s="45">
        <v>58.91</v>
      </c>
      <c r="T18" s="75"/>
      <c r="U18" s="45"/>
      <c r="V18" s="45"/>
      <c r="W18" s="45"/>
      <c r="X18" s="36"/>
      <c r="Y18" s="114">
        <v>167.44</v>
      </c>
      <c r="Z18" s="35"/>
      <c r="AA18" s="43">
        <f>Q18*0.25</f>
        <v>256.66500000000002</v>
      </c>
      <c r="AB18" s="33">
        <f t="shared" si="10"/>
        <v>543.6450000000001</v>
      </c>
      <c r="AC18" s="37">
        <f t="shared" si="4"/>
        <v>0</v>
      </c>
      <c r="AD18" s="33">
        <f t="shared" si="3"/>
        <v>543.6450000000001</v>
      </c>
      <c r="AE18" s="38">
        <f t="shared" si="5"/>
        <v>102.66600000000001</v>
      </c>
      <c r="AF18" s="37">
        <v>10.23</v>
      </c>
      <c r="AG18" s="37">
        <f t="shared" si="6"/>
        <v>0</v>
      </c>
      <c r="AH18" s="67">
        <f t="shared" si="7"/>
        <v>1139.556</v>
      </c>
      <c r="AI18" s="103"/>
      <c r="AJ18" s="103"/>
      <c r="AK18" s="103"/>
      <c r="AL18" s="39"/>
      <c r="AM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</row>
    <row r="19" spans="1:193" s="39" customFormat="1">
      <c r="A19" s="63" t="s">
        <v>71</v>
      </c>
      <c r="B19" s="63" t="s">
        <v>299</v>
      </c>
      <c r="C19" s="63" t="s">
        <v>254</v>
      </c>
      <c r="D19" s="63"/>
      <c r="E19" s="63" t="s">
        <v>73</v>
      </c>
      <c r="F19" s="72">
        <v>42436</v>
      </c>
      <c r="G19" s="63"/>
      <c r="H19" s="63"/>
      <c r="I19" s="53">
        <v>513.33000000000004</v>
      </c>
      <c r="J19" s="115">
        <v>653.33000000000004</v>
      </c>
      <c r="K19" s="53">
        <f t="shared" si="0"/>
        <v>1166.6600000000001</v>
      </c>
      <c r="L19" s="53"/>
      <c r="M19" s="53"/>
      <c r="N19" s="53"/>
      <c r="O19" s="53"/>
      <c r="P19" s="73"/>
      <c r="Q19" s="49">
        <f t="shared" si="1"/>
        <v>1166.6600000000001</v>
      </c>
      <c r="R19" s="34"/>
      <c r="S19" s="45"/>
      <c r="T19" s="45">
        <v>0</v>
      </c>
      <c r="U19" s="45"/>
      <c r="V19" s="45"/>
      <c r="W19" s="45"/>
      <c r="X19" s="36"/>
      <c r="Y19" s="36"/>
      <c r="Z19" s="35"/>
      <c r="AA19" s="35">
        <v>0</v>
      </c>
      <c r="AB19" s="33">
        <f t="shared" ref="AB19" si="11">+Q19-SUM(R19:AA19)</f>
        <v>1166.6600000000001</v>
      </c>
      <c r="AC19" s="37">
        <f t="shared" ref="AC19" si="12">IF(Q19&gt;3500,Q19*0.1,0)</f>
        <v>0</v>
      </c>
      <c r="AD19" s="33">
        <f t="shared" ref="AD19" si="13">+AB19-AC19</f>
        <v>1166.6600000000001</v>
      </c>
      <c r="AE19" s="38">
        <f t="shared" ref="AE19" si="14">IF(Q19&lt;3500,Q19*0.1,0)</f>
        <v>116.66600000000001</v>
      </c>
      <c r="AF19" s="37">
        <v>10.23</v>
      </c>
      <c r="AG19" s="37">
        <f t="shared" ref="AG19" si="15">+U19</f>
        <v>0</v>
      </c>
      <c r="AH19" s="67">
        <f t="shared" ref="AH19" si="16">+Q19+AE19+AF19+AG19</f>
        <v>1293.556</v>
      </c>
      <c r="AI19" s="103"/>
      <c r="AJ19" s="103"/>
      <c r="AK19" s="103"/>
      <c r="AM19" s="26"/>
      <c r="AP19" s="26"/>
    </row>
    <row r="20" spans="1:193">
      <c r="A20" s="27" t="s">
        <v>91</v>
      </c>
      <c r="B20" s="27" t="s">
        <v>237</v>
      </c>
      <c r="C20" s="27"/>
      <c r="D20" s="27" t="s">
        <v>97</v>
      </c>
      <c r="E20" s="27" t="s">
        <v>72</v>
      </c>
      <c r="F20" s="27"/>
      <c r="G20" s="27"/>
      <c r="H20" s="27"/>
      <c r="I20" s="30">
        <v>1166.26</v>
      </c>
      <c r="J20" s="29"/>
      <c r="K20" s="30">
        <f t="shared" si="0"/>
        <v>1166.26</v>
      </c>
      <c r="L20" s="30">
        <v>844.34</v>
      </c>
      <c r="M20" s="30"/>
      <c r="N20" s="30"/>
      <c r="O20" s="30"/>
      <c r="P20" s="32"/>
      <c r="Q20" s="33">
        <f t="shared" si="1"/>
        <v>2010.6</v>
      </c>
      <c r="R20" s="34"/>
      <c r="S20" s="45"/>
      <c r="T20" s="45">
        <v>0</v>
      </c>
      <c r="U20" s="45"/>
      <c r="V20" s="45"/>
      <c r="W20" s="45"/>
      <c r="X20" s="36"/>
      <c r="Y20" s="36"/>
      <c r="Z20" s="35"/>
      <c r="AA20" s="35">
        <v>0</v>
      </c>
      <c r="AB20" s="33">
        <f t="shared" si="10"/>
        <v>2010.6</v>
      </c>
      <c r="AC20" s="37">
        <f t="shared" si="4"/>
        <v>0</v>
      </c>
      <c r="AD20" s="33">
        <f t="shared" si="3"/>
        <v>2010.6</v>
      </c>
      <c r="AE20" s="38">
        <f t="shared" si="5"/>
        <v>201.06</v>
      </c>
      <c r="AF20" s="37">
        <v>10.23</v>
      </c>
      <c r="AG20" s="37">
        <f t="shared" si="6"/>
        <v>0</v>
      </c>
      <c r="AH20" s="67">
        <f t="shared" si="7"/>
        <v>2221.89</v>
      </c>
      <c r="AI20" s="103"/>
      <c r="AJ20" s="103"/>
      <c r="AK20" s="103"/>
      <c r="AL20" s="39"/>
      <c r="AM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</row>
    <row r="21" spans="1:193">
      <c r="A21" s="62" t="s">
        <v>94</v>
      </c>
      <c r="B21" s="27" t="s">
        <v>198</v>
      </c>
      <c r="C21" s="27"/>
      <c r="D21" s="27" t="s">
        <v>128</v>
      </c>
      <c r="E21" s="27" t="s">
        <v>162</v>
      </c>
      <c r="F21" s="27"/>
      <c r="G21" s="28"/>
      <c r="H21" s="28"/>
      <c r="I21" s="30">
        <v>511.28</v>
      </c>
      <c r="J21" s="28"/>
      <c r="K21" s="30">
        <f t="shared" si="0"/>
        <v>511.28</v>
      </c>
      <c r="L21" s="30">
        <f>2937+7.428</f>
        <v>2944.4279999999999</v>
      </c>
      <c r="M21" s="30"/>
      <c r="N21" s="31"/>
      <c r="O21" s="31"/>
      <c r="P21" s="32"/>
      <c r="Q21" s="33">
        <f t="shared" si="1"/>
        <v>3455.7079999999996</v>
      </c>
      <c r="R21" s="34"/>
      <c r="S21" s="45"/>
      <c r="T21" s="75">
        <v>700</v>
      </c>
      <c r="U21" s="75">
        <f>Q21*4.9%</f>
        <v>169.32969199999999</v>
      </c>
      <c r="V21" s="75">
        <f>Q21*1%</f>
        <v>34.557079999999999</v>
      </c>
      <c r="W21" s="45"/>
      <c r="X21" s="36"/>
      <c r="Y21" s="36"/>
      <c r="Z21" s="35"/>
      <c r="AA21" s="35">
        <v>0</v>
      </c>
      <c r="AB21" s="33">
        <f t="shared" si="10"/>
        <v>2551.8212279999998</v>
      </c>
      <c r="AC21" s="37">
        <f t="shared" si="4"/>
        <v>0</v>
      </c>
      <c r="AD21" s="33">
        <f t="shared" si="3"/>
        <v>2551.8212279999998</v>
      </c>
      <c r="AE21" s="38">
        <f t="shared" si="5"/>
        <v>345.57079999999996</v>
      </c>
      <c r="AF21" s="37">
        <v>10.23</v>
      </c>
      <c r="AG21" s="37">
        <f t="shared" si="6"/>
        <v>169.32969199999999</v>
      </c>
      <c r="AH21" s="67">
        <f t="shared" si="7"/>
        <v>3980.8384919999994</v>
      </c>
      <c r="AI21" s="103"/>
      <c r="AJ21" s="103"/>
      <c r="AK21" s="103"/>
      <c r="AL21" s="39"/>
      <c r="AM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</row>
    <row r="22" spans="1:193">
      <c r="A22" s="27" t="s">
        <v>71</v>
      </c>
      <c r="B22" s="27" t="s">
        <v>267</v>
      </c>
      <c r="C22" s="27" t="s">
        <v>252</v>
      </c>
      <c r="D22" s="27">
        <v>18</v>
      </c>
      <c r="E22" s="27" t="s">
        <v>74</v>
      </c>
      <c r="F22" s="27"/>
      <c r="G22" s="28"/>
      <c r="H22" s="28"/>
      <c r="I22" s="30">
        <v>1633.33</v>
      </c>
      <c r="J22" s="28"/>
      <c r="K22" s="30">
        <f t="shared" si="0"/>
        <v>1633.33</v>
      </c>
      <c r="L22" s="30">
        <v>7807.96</v>
      </c>
      <c r="M22" s="30"/>
      <c r="N22" s="31"/>
      <c r="O22" s="31"/>
      <c r="P22" s="32"/>
      <c r="Q22" s="33">
        <f t="shared" si="1"/>
        <v>9441.2900000000009</v>
      </c>
      <c r="R22" s="34"/>
      <c r="S22" s="45"/>
      <c r="T22" s="75">
        <v>700</v>
      </c>
      <c r="U22" s="45"/>
      <c r="V22" s="45"/>
      <c r="W22" s="45"/>
      <c r="X22" s="36"/>
      <c r="Y22" s="36"/>
      <c r="Z22" s="35">
        <v>205.7</v>
      </c>
      <c r="AA22" s="35">
        <v>0</v>
      </c>
      <c r="AB22" s="33">
        <f t="shared" si="10"/>
        <v>8535.59</v>
      </c>
      <c r="AC22" s="37">
        <f t="shared" si="4"/>
        <v>944.12900000000013</v>
      </c>
      <c r="AD22" s="33">
        <f t="shared" si="3"/>
        <v>7591.4610000000002</v>
      </c>
      <c r="AE22" s="38">
        <f t="shared" si="5"/>
        <v>0</v>
      </c>
      <c r="AF22" s="37">
        <v>10.23</v>
      </c>
      <c r="AG22" s="37">
        <f t="shared" si="6"/>
        <v>0</v>
      </c>
      <c r="AH22" s="67">
        <f t="shared" si="7"/>
        <v>9451.52</v>
      </c>
      <c r="AI22" s="103"/>
      <c r="AJ22" s="103"/>
      <c r="AK22" s="103"/>
      <c r="AL22" s="39"/>
      <c r="AM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</row>
    <row r="23" spans="1:193">
      <c r="A23" s="27" t="s">
        <v>94</v>
      </c>
      <c r="B23" s="27" t="s">
        <v>268</v>
      </c>
      <c r="C23" s="27"/>
      <c r="D23" s="27" t="s">
        <v>129</v>
      </c>
      <c r="E23" s="27" t="s">
        <v>175</v>
      </c>
      <c r="F23" s="27"/>
      <c r="G23" s="28"/>
      <c r="H23" s="28"/>
      <c r="I23" s="30">
        <v>1100</v>
      </c>
      <c r="J23" s="28"/>
      <c r="K23" s="30">
        <f t="shared" si="0"/>
        <v>1100</v>
      </c>
      <c r="L23" s="30">
        <v>589.4</v>
      </c>
      <c r="M23" s="30"/>
      <c r="N23" s="31"/>
      <c r="O23" s="31"/>
      <c r="P23" s="32"/>
      <c r="Q23" s="33">
        <f t="shared" si="1"/>
        <v>1689.4</v>
      </c>
      <c r="R23" s="34"/>
      <c r="S23" s="45"/>
      <c r="T23" s="75">
        <f>+Q23*1%</f>
        <v>16.894000000000002</v>
      </c>
      <c r="U23" s="75">
        <f>+Q23*4.9%</f>
        <v>82.780600000000007</v>
      </c>
      <c r="V23" s="45"/>
      <c r="W23" s="45"/>
      <c r="X23" s="36"/>
      <c r="Y23" s="36"/>
      <c r="Z23" s="35"/>
      <c r="AA23" s="35">
        <v>0</v>
      </c>
      <c r="AB23" s="33">
        <f t="shared" si="10"/>
        <v>1589.7254</v>
      </c>
      <c r="AC23" s="37">
        <f t="shared" si="4"/>
        <v>0</v>
      </c>
      <c r="AD23" s="33">
        <f t="shared" si="3"/>
        <v>1589.7254</v>
      </c>
      <c r="AE23" s="38">
        <f t="shared" si="5"/>
        <v>168.94000000000003</v>
      </c>
      <c r="AF23" s="37">
        <v>10.23</v>
      </c>
      <c r="AG23" s="37">
        <f t="shared" si="6"/>
        <v>82.780600000000007</v>
      </c>
      <c r="AH23" s="67">
        <f t="shared" si="7"/>
        <v>1951.3506000000002</v>
      </c>
      <c r="AI23" s="103"/>
      <c r="AJ23" s="103"/>
      <c r="AK23" s="103"/>
      <c r="AL23" s="39"/>
      <c r="AM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</row>
    <row r="24" spans="1:193">
      <c r="A24" s="27" t="s">
        <v>70</v>
      </c>
      <c r="B24" s="27" t="s">
        <v>245</v>
      </c>
      <c r="C24" s="63" t="s">
        <v>307</v>
      </c>
      <c r="D24" s="27" t="s">
        <v>122</v>
      </c>
      <c r="E24" s="63" t="s">
        <v>173</v>
      </c>
      <c r="F24" s="68">
        <v>42432</v>
      </c>
      <c r="G24" s="28"/>
      <c r="H24" s="28"/>
      <c r="I24" s="30">
        <v>513.33000000000004</v>
      </c>
      <c r="J24" s="28">
        <v>513.33000000000004</v>
      </c>
      <c r="K24" s="30">
        <f t="shared" si="0"/>
        <v>1026.6600000000001</v>
      </c>
      <c r="L24" s="30"/>
      <c r="M24" s="30"/>
      <c r="N24" s="31"/>
      <c r="O24" s="31"/>
      <c r="P24" s="32"/>
      <c r="Q24" s="33">
        <f t="shared" si="1"/>
        <v>1026.6600000000001</v>
      </c>
      <c r="R24" s="34"/>
      <c r="S24" s="45"/>
      <c r="T24" s="45">
        <v>0</v>
      </c>
      <c r="U24" s="45"/>
      <c r="V24" s="45"/>
      <c r="W24" s="45"/>
      <c r="X24" s="36"/>
      <c r="Y24" s="36"/>
      <c r="Z24" s="35"/>
      <c r="AA24" s="35">
        <f>797.62</f>
        <v>797.62</v>
      </c>
      <c r="AB24" s="33">
        <f t="shared" si="10"/>
        <v>229.04000000000008</v>
      </c>
      <c r="AC24" s="37">
        <f t="shared" si="4"/>
        <v>0</v>
      </c>
      <c r="AD24" s="33">
        <f t="shared" si="3"/>
        <v>229.04000000000008</v>
      </c>
      <c r="AE24" s="38">
        <f t="shared" si="5"/>
        <v>102.66600000000001</v>
      </c>
      <c r="AF24" s="37">
        <v>10.23</v>
      </c>
      <c r="AG24" s="37">
        <f t="shared" si="6"/>
        <v>0</v>
      </c>
      <c r="AH24" s="67">
        <f t="shared" si="7"/>
        <v>1139.556</v>
      </c>
      <c r="AI24" s="103"/>
      <c r="AJ24" s="103"/>
      <c r="AK24" s="103"/>
      <c r="AL24" s="39"/>
      <c r="AM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</row>
    <row r="25" spans="1:193">
      <c r="A25" s="62" t="s">
        <v>92</v>
      </c>
      <c r="B25" s="27" t="s">
        <v>209</v>
      </c>
      <c r="C25" s="27"/>
      <c r="D25" s="27" t="s">
        <v>100</v>
      </c>
      <c r="E25" s="27" t="s">
        <v>161</v>
      </c>
      <c r="F25" s="27"/>
      <c r="G25" s="27"/>
      <c r="H25" s="27"/>
      <c r="I25" s="76">
        <v>739.23</v>
      </c>
      <c r="J25" s="27"/>
      <c r="K25" s="30">
        <f t="shared" si="0"/>
        <v>739.23</v>
      </c>
      <c r="L25" s="30">
        <v>2866.71</v>
      </c>
      <c r="M25" s="30"/>
      <c r="N25" s="30"/>
      <c r="O25" s="30"/>
      <c r="P25" s="32"/>
      <c r="Q25" s="33">
        <f t="shared" si="1"/>
        <v>3605.94</v>
      </c>
      <c r="R25" s="34"/>
      <c r="S25" s="45"/>
      <c r="T25" s="45">
        <v>0</v>
      </c>
      <c r="U25" s="45"/>
      <c r="V25" s="45"/>
      <c r="W25" s="45"/>
      <c r="X25" s="36"/>
      <c r="Y25" s="36"/>
      <c r="Z25" s="35"/>
      <c r="AA25" s="35">
        <v>0</v>
      </c>
      <c r="AB25" s="33">
        <f t="shared" si="10"/>
        <v>3605.94</v>
      </c>
      <c r="AC25" s="37">
        <f t="shared" si="4"/>
        <v>360.59400000000005</v>
      </c>
      <c r="AD25" s="33">
        <f t="shared" si="3"/>
        <v>3245.346</v>
      </c>
      <c r="AE25" s="38">
        <f t="shared" si="5"/>
        <v>0</v>
      </c>
      <c r="AF25" s="37">
        <v>10.23</v>
      </c>
      <c r="AG25" s="37">
        <f t="shared" si="6"/>
        <v>0</v>
      </c>
      <c r="AH25" s="67">
        <f t="shared" si="7"/>
        <v>3616.17</v>
      </c>
      <c r="AI25" s="103"/>
      <c r="AJ25" s="103"/>
      <c r="AK25" s="103"/>
      <c r="AL25" s="39"/>
      <c r="AM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</row>
    <row r="26" spans="1:193">
      <c r="A26" s="27" t="s">
        <v>70</v>
      </c>
      <c r="B26" s="27" t="s">
        <v>220</v>
      </c>
      <c r="C26" s="63" t="s">
        <v>307</v>
      </c>
      <c r="D26" s="27" t="s">
        <v>121</v>
      </c>
      <c r="E26" s="27" t="s">
        <v>173</v>
      </c>
      <c r="F26" s="68">
        <v>42304</v>
      </c>
      <c r="G26" s="28"/>
      <c r="H26" s="28"/>
      <c r="I26" s="30">
        <v>513.33000000000004</v>
      </c>
      <c r="J26" s="28">
        <v>653.33000000000004</v>
      </c>
      <c r="K26" s="30">
        <f t="shared" si="0"/>
        <v>1166.6600000000001</v>
      </c>
      <c r="L26" s="30">
        <v>912.37</v>
      </c>
      <c r="M26" s="30"/>
      <c r="N26" s="31"/>
      <c r="O26" s="31"/>
      <c r="P26" s="32"/>
      <c r="Q26" s="33">
        <f t="shared" si="1"/>
        <v>2079.0300000000002</v>
      </c>
      <c r="R26" s="34"/>
      <c r="S26" s="45"/>
      <c r="T26" s="45">
        <v>0</v>
      </c>
      <c r="U26" s="45"/>
      <c r="V26" s="45"/>
      <c r="W26" s="45"/>
      <c r="X26" s="36"/>
      <c r="Y26" s="36"/>
      <c r="Z26" s="35"/>
      <c r="AA26" s="35">
        <v>0</v>
      </c>
      <c r="AB26" s="33">
        <f t="shared" si="10"/>
        <v>2079.0300000000002</v>
      </c>
      <c r="AC26" s="37">
        <f t="shared" si="4"/>
        <v>0</v>
      </c>
      <c r="AD26" s="33">
        <f t="shared" si="3"/>
        <v>2079.0300000000002</v>
      </c>
      <c r="AE26" s="38">
        <f t="shared" si="5"/>
        <v>207.90300000000002</v>
      </c>
      <c r="AF26" s="37">
        <v>10.23</v>
      </c>
      <c r="AG26" s="37">
        <f t="shared" si="6"/>
        <v>0</v>
      </c>
      <c r="AH26" s="67">
        <f t="shared" si="7"/>
        <v>2297.163</v>
      </c>
      <c r="AI26" s="103"/>
      <c r="AJ26" s="103"/>
      <c r="AK26" s="103"/>
      <c r="AL26" s="39"/>
      <c r="AM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</row>
    <row r="27" spans="1:193" s="40" customFormat="1">
      <c r="A27" s="27" t="s">
        <v>92</v>
      </c>
      <c r="B27" s="27" t="s">
        <v>240</v>
      </c>
      <c r="C27" s="27"/>
      <c r="D27" s="27" t="s">
        <v>114</v>
      </c>
      <c r="E27" s="27" t="s">
        <v>167</v>
      </c>
      <c r="F27" s="27"/>
      <c r="G27" s="27"/>
      <c r="H27" s="27"/>
      <c r="I27" s="30">
        <v>1100</v>
      </c>
      <c r="J27" s="27"/>
      <c r="K27" s="30">
        <f t="shared" si="0"/>
        <v>1100</v>
      </c>
      <c r="L27" s="30">
        <f>1402.018+5.571</f>
        <v>1407.5889999999999</v>
      </c>
      <c r="M27" s="30"/>
      <c r="N27" s="30"/>
      <c r="O27" s="30"/>
      <c r="P27" s="32"/>
      <c r="Q27" s="33">
        <f t="shared" si="1"/>
        <v>2507.5889999999999</v>
      </c>
      <c r="R27" s="34"/>
      <c r="S27" s="45"/>
      <c r="T27" s="45">
        <v>0</v>
      </c>
      <c r="U27" s="45"/>
      <c r="V27" s="45"/>
      <c r="W27" s="45"/>
      <c r="X27" s="36"/>
      <c r="Y27" s="36"/>
      <c r="Z27" s="35"/>
      <c r="AA27" s="35">
        <v>0</v>
      </c>
      <c r="AB27" s="33">
        <f t="shared" si="10"/>
        <v>2507.5889999999999</v>
      </c>
      <c r="AC27" s="37">
        <f t="shared" si="4"/>
        <v>0</v>
      </c>
      <c r="AD27" s="33">
        <f t="shared" si="3"/>
        <v>2507.5889999999999</v>
      </c>
      <c r="AE27" s="38">
        <f t="shared" si="5"/>
        <v>250.75890000000001</v>
      </c>
      <c r="AF27" s="37">
        <v>10.23</v>
      </c>
      <c r="AG27" s="37">
        <f t="shared" si="6"/>
        <v>0</v>
      </c>
      <c r="AH27" s="67">
        <f t="shared" si="7"/>
        <v>2768.5778999999998</v>
      </c>
      <c r="AI27" s="103"/>
      <c r="AJ27" s="103"/>
      <c r="AK27" s="103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</row>
    <row r="28" spans="1:193" s="39" customFormat="1">
      <c r="A28" s="63" t="s">
        <v>71</v>
      </c>
      <c r="B28" s="63" t="s">
        <v>300</v>
      </c>
      <c r="C28" s="63" t="s">
        <v>254</v>
      </c>
      <c r="D28" s="63"/>
      <c r="E28" s="63" t="s">
        <v>73</v>
      </c>
      <c r="F28" s="72">
        <v>42437</v>
      </c>
      <c r="G28" s="63"/>
      <c r="H28" s="63"/>
      <c r="I28" s="30">
        <v>513.33000000000004</v>
      </c>
      <c r="J28" s="28">
        <v>653.33000000000004</v>
      </c>
      <c r="K28" s="53">
        <f t="shared" si="0"/>
        <v>1166.6600000000001</v>
      </c>
      <c r="L28" s="53"/>
      <c r="M28" s="53"/>
      <c r="N28" s="53"/>
      <c r="O28" s="53"/>
      <c r="P28" s="73"/>
      <c r="Q28" s="49">
        <f t="shared" si="1"/>
        <v>1166.6600000000001</v>
      </c>
      <c r="R28" s="34"/>
      <c r="S28" s="45"/>
      <c r="T28" s="45">
        <v>0</v>
      </c>
      <c r="U28" s="45"/>
      <c r="V28" s="45"/>
      <c r="W28" s="45"/>
      <c r="X28" s="36"/>
      <c r="Y28" s="36"/>
      <c r="Z28" s="35"/>
      <c r="AA28" s="35">
        <v>0</v>
      </c>
      <c r="AB28" s="33">
        <f t="shared" ref="AB28" si="17">+Q28-SUM(R28:AA28)</f>
        <v>1166.6600000000001</v>
      </c>
      <c r="AC28" s="37">
        <f t="shared" ref="AC28" si="18">IF(Q28&gt;3500,Q28*0.1,0)</f>
        <v>0</v>
      </c>
      <c r="AD28" s="33">
        <f t="shared" ref="AD28" si="19">+AB28-AC28</f>
        <v>1166.6600000000001</v>
      </c>
      <c r="AE28" s="38">
        <f t="shared" ref="AE28" si="20">IF(Q28&lt;3500,Q28*0.1,0)</f>
        <v>116.66600000000001</v>
      </c>
      <c r="AF28" s="37">
        <v>10.23</v>
      </c>
      <c r="AG28" s="37">
        <f t="shared" ref="AG28" si="21">+U28</f>
        <v>0</v>
      </c>
      <c r="AH28" s="67">
        <f t="shared" ref="AH28" si="22">+Q28+AE28+AF28+AG28</f>
        <v>1293.556</v>
      </c>
      <c r="AI28" s="103"/>
      <c r="AJ28" s="103"/>
      <c r="AK28" s="103"/>
      <c r="AM28" s="26"/>
    </row>
    <row r="29" spans="1:193">
      <c r="A29" s="27" t="s">
        <v>69</v>
      </c>
      <c r="B29" s="27" t="s">
        <v>227</v>
      </c>
      <c r="C29" s="27"/>
      <c r="D29" s="27" t="s">
        <v>112</v>
      </c>
      <c r="E29" s="27" t="s">
        <v>169</v>
      </c>
      <c r="F29" s="27"/>
      <c r="G29" s="27"/>
      <c r="H29" s="27"/>
      <c r="I29" s="30">
        <v>933.33</v>
      </c>
      <c r="J29" s="27"/>
      <c r="K29" s="30">
        <f t="shared" si="0"/>
        <v>933.33</v>
      </c>
      <c r="L29" s="30">
        <v>550</v>
      </c>
      <c r="M29" s="30"/>
      <c r="N29" s="30"/>
      <c r="O29" s="30"/>
      <c r="P29" s="32"/>
      <c r="Q29" s="33">
        <f t="shared" si="1"/>
        <v>1483.33</v>
      </c>
      <c r="R29" s="34"/>
      <c r="S29" s="45">
        <v>58.91</v>
      </c>
      <c r="T29" s="45">
        <v>0</v>
      </c>
      <c r="U29" s="45"/>
      <c r="V29" s="45"/>
      <c r="W29" s="45"/>
      <c r="X29" s="36"/>
      <c r="Y29" s="36"/>
      <c r="Z29" s="35"/>
      <c r="AA29" s="35">
        <v>0</v>
      </c>
      <c r="AB29" s="33">
        <f t="shared" si="10"/>
        <v>1424.4199999999998</v>
      </c>
      <c r="AC29" s="37">
        <f t="shared" si="4"/>
        <v>0</v>
      </c>
      <c r="AD29" s="33">
        <f t="shared" si="3"/>
        <v>1424.4199999999998</v>
      </c>
      <c r="AE29" s="38">
        <f t="shared" si="5"/>
        <v>148.333</v>
      </c>
      <c r="AF29" s="37">
        <v>10.23</v>
      </c>
      <c r="AG29" s="37">
        <f t="shared" si="6"/>
        <v>0</v>
      </c>
      <c r="AH29" s="67">
        <f t="shared" si="7"/>
        <v>1641.893</v>
      </c>
      <c r="AI29" s="103"/>
      <c r="AJ29" s="103"/>
      <c r="AK29" s="103"/>
      <c r="AL29" s="39"/>
      <c r="AM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</row>
    <row r="30" spans="1:193">
      <c r="A30" s="27" t="s">
        <v>253</v>
      </c>
      <c r="B30" s="27" t="s">
        <v>207</v>
      </c>
      <c r="C30" s="27"/>
      <c r="D30" s="27" t="s">
        <v>115</v>
      </c>
      <c r="E30" s="27" t="s">
        <v>171</v>
      </c>
      <c r="F30" s="27"/>
      <c r="G30" s="27"/>
      <c r="H30" s="107"/>
      <c r="I30" s="30">
        <v>577.38</v>
      </c>
      <c r="J30" s="106">
        <v>1047.6199999999999</v>
      </c>
      <c r="K30" s="30">
        <f t="shared" si="0"/>
        <v>1625</v>
      </c>
      <c r="L30" s="30">
        <v>255</v>
      </c>
      <c r="M30" s="30"/>
      <c r="N30" s="30"/>
      <c r="O30" s="30"/>
      <c r="P30" s="32"/>
      <c r="Q30" s="33">
        <f t="shared" si="1"/>
        <v>1880</v>
      </c>
      <c r="R30" s="34"/>
      <c r="S30" s="45"/>
      <c r="T30" s="75">
        <v>200</v>
      </c>
      <c r="U30" s="45"/>
      <c r="V30" s="45"/>
      <c r="W30" s="45"/>
      <c r="X30" s="36"/>
      <c r="Y30" s="36">
        <f>Q30*0.3</f>
        <v>564</v>
      </c>
      <c r="Z30" s="35"/>
      <c r="AA30" s="35">
        <v>0</v>
      </c>
      <c r="AB30" s="33">
        <f t="shared" si="10"/>
        <v>1116</v>
      </c>
      <c r="AC30" s="37">
        <f t="shared" si="4"/>
        <v>0</v>
      </c>
      <c r="AD30" s="33">
        <f t="shared" si="3"/>
        <v>1116</v>
      </c>
      <c r="AE30" s="38">
        <f t="shared" si="5"/>
        <v>188</v>
      </c>
      <c r="AF30" s="37">
        <v>10.23</v>
      </c>
      <c r="AG30" s="37">
        <f t="shared" si="6"/>
        <v>0</v>
      </c>
      <c r="AH30" s="67">
        <f t="shared" si="7"/>
        <v>2078.23</v>
      </c>
      <c r="AI30" s="103"/>
      <c r="AJ30" s="103"/>
      <c r="AK30" s="103"/>
      <c r="AL30" s="39"/>
      <c r="AM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</row>
    <row r="31" spans="1:193" s="40" customFormat="1">
      <c r="A31" s="62" t="s">
        <v>94</v>
      </c>
      <c r="B31" s="27" t="s">
        <v>231</v>
      </c>
      <c r="C31" s="27"/>
      <c r="D31" s="27" t="s">
        <v>130</v>
      </c>
      <c r="E31" s="27" t="s">
        <v>181</v>
      </c>
      <c r="F31" s="27"/>
      <c r="G31" s="28"/>
      <c r="H31" s="28"/>
      <c r="I31" s="30">
        <v>608.16</v>
      </c>
      <c r="J31" s="28"/>
      <c r="K31" s="30">
        <f t="shared" si="0"/>
        <v>608.16</v>
      </c>
      <c r="L31" s="30">
        <v>3169.64</v>
      </c>
      <c r="M31" s="30"/>
      <c r="N31" s="31"/>
      <c r="O31" s="31"/>
      <c r="P31" s="32"/>
      <c r="Q31" s="33">
        <f t="shared" si="1"/>
        <v>3777.7999999999997</v>
      </c>
      <c r="R31" s="34"/>
      <c r="S31" s="45"/>
      <c r="T31" s="75">
        <v>500</v>
      </c>
      <c r="U31" s="75">
        <f>Q31*4.9%</f>
        <v>185.1122</v>
      </c>
      <c r="V31" s="75">
        <f>Q31*1%</f>
        <v>37.777999999999999</v>
      </c>
      <c r="W31" s="45"/>
      <c r="X31" s="36"/>
      <c r="Y31" s="36"/>
      <c r="Z31" s="35"/>
      <c r="AA31" s="35">
        <v>0</v>
      </c>
      <c r="AB31" s="33">
        <f t="shared" si="10"/>
        <v>3054.9097999999994</v>
      </c>
      <c r="AC31" s="37">
        <f t="shared" si="4"/>
        <v>377.78</v>
      </c>
      <c r="AD31" s="33">
        <f t="shared" si="3"/>
        <v>2677.1297999999997</v>
      </c>
      <c r="AE31" s="38">
        <f t="shared" si="5"/>
        <v>0</v>
      </c>
      <c r="AF31" s="37">
        <v>10.23</v>
      </c>
      <c r="AG31" s="37">
        <f t="shared" si="6"/>
        <v>185.1122</v>
      </c>
      <c r="AH31" s="67">
        <f t="shared" si="7"/>
        <v>3973.1421999999998</v>
      </c>
      <c r="AI31" s="103"/>
      <c r="AJ31" s="103"/>
      <c r="AK31" s="103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</row>
    <row r="32" spans="1:193" s="40" customFormat="1">
      <c r="A32" s="62" t="s">
        <v>94</v>
      </c>
      <c r="B32" s="27" t="s">
        <v>229</v>
      </c>
      <c r="C32" s="27"/>
      <c r="D32" s="27" t="s">
        <v>131</v>
      </c>
      <c r="E32" s="27" t="s">
        <v>181</v>
      </c>
      <c r="F32" s="27"/>
      <c r="G32" s="28"/>
      <c r="H32" s="28"/>
      <c r="I32" s="30">
        <v>608.16</v>
      </c>
      <c r="J32" s="28"/>
      <c r="K32" s="30">
        <f t="shared" si="0"/>
        <v>608.16</v>
      </c>
      <c r="L32" s="30">
        <f>3874.17+2.972</f>
        <v>3877.1420000000003</v>
      </c>
      <c r="M32" s="30"/>
      <c r="N32" s="31">
        <v>3489.23</v>
      </c>
      <c r="O32" s="31">
        <v>4711.2</v>
      </c>
      <c r="P32" s="32"/>
      <c r="Q32" s="33">
        <f t="shared" si="1"/>
        <v>12685.732</v>
      </c>
      <c r="R32" s="34"/>
      <c r="S32" s="45"/>
      <c r="T32" s="75">
        <v>1000</v>
      </c>
      <c r="U32" s="75">
        <f>Q32*4.9%</f>
        <v>621.60086799999999</v>
      </c>
      <c r="V32" s="75">
        <f>Q32*1%</f>
        <v>126.85732</v>
      </c>
      <c r="W32" s="45">
        <v>300</v>
      </c>
      <c r="X32" s="36"/>
      <c r="Y32" s="36"/>
      <c r="Z32" s="90"/>
      <c r="AA32" s="35">
        <v>0</v>
      </c>
      <c r="AB32" s="33">
        <f t="shared" si="10"/>
        <v>10637.273811999999</v>
      </c>
      <c r="AC32" s="37">
        <f t="shared" si="4"/>
        <v>1268.5732</v>
      </c>
      <c r="AD32" s="33">
        <f t="shared" si="3"/>
        <v>9368.7006119999987</v>
      </c>
      <c r="AE32" s="38">
        <f t="shared" si="5"/>
        <v>0</v>
      </c>
      <c r="AF32" s="37">
        <v>10.23</v>
      </c>
      <c r="AG32" s="37">
        <f t="shared" si="6"/>
        <v>621.60086799999999</v>
      </c>
      <c r="AH32" s="67">
        <f t="shared" si="7"/>
        <v>13317.562867999999</v>
      </c>
      <c r="AI32" s="103"/>
      <c r="AJ32" s="103"/>
      <c r="AK32" s="103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</row>
    <row r="33" spans="1:193" s="40" customFormat="1">
      <c r="A33" s="27" t="s">
        <v>91</v>
      </c>
      <c r="B33" s="27" t="s">
        <v>236</v>
      </c>
      <c r="C33" s="27"/>
      <c r="D33" s="27" t="s">
        <v>98</v>
      </c>
      <c r="E33" s="27" t="s">
        <v>72</v>
      </c>
      <c r="F33" s="27"/>
      <c r="G33" s="27"/>
      <c r="H33" s="27"/>
      <c r="I33" s="30">
        <v>1166.26</v>
      </c>
      <c r="J33" s="29"/>
      <c r="K33" s="30">
        <f t="shared" si="0"/>
        <v>1166.26</v>
      </c>
      <c r="L33" s="30">
        <v>1726.73</v>
      </c>
      <c r="M33" s="30"/>
      <c r="N33" s="30"/>
      <c r="O33" s="30"/>
      <c r="P33" s="32"/>
      <c r="Q33" s="33">
        <f t="shared" si="1"/>
        <v>2892.99</v>
      </c>
      <c r="R33" s="34"/>
      <c r="S33" s="45"/>
      <c r="T33" s="45">
        <v>0</v>
      </c>
      <c r="U33" s="45"/>
      <c r="V33" s="45"/>
      <c r="W33" s="45"/>
      <c r="X33" s="36"/>
      <c r="Y33" s="36"/>
      <c r="Z33" s="35"/>
      <c r="AA33" s="35">
        <v>0</v>
      </c>
      <c r="AB33" s="33">
        <f t="shared" si="10"/>
        <v>2892.99</v>
      </c>
      <c r="AC33" s="37">
        <f t="shared" si="4"/>
        <v>0</v>
      </c>
      <c r="AD33" s="33">
        <f t="shared" si="3"/>
        <v>2892.99</v>
      </c>
      <c r="AE33" s="38">
        <f t="shared" si="5"/>
        <v>289.29899999999998</v>
      </c>
      <c r="AF33" s="37">
        <v>10.23</v>
      </c>
      <c r="AG33" s="37">
        <f t="shared" si="6"/>
        <v>0</v>
      </c>
      <c r="AH33" s="67">
        <f t="shared" si="7"/>
        <v>3192.5189999999998</v>
      </c>
      <c r="AI33" s="103"/>
      <c r="AJ33" s="103"/>
      <c r="AK33" s="103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</row>
    <row r="34" spans="1:193" s="39" customFormat="1">
      <c r="A34" s="63" t="s">
        <v>91</v>
      </c>
      <c r="B34" s="63" t="s">
        <v>301</v>
      </c>
      <c r="C34" s="63"/>
      <c r="D34" s="63"/>
      <c r="E34" s="63" t="s">
        <v>72</v>
      </c>
      <c r="F34" s="72">
        <v>42432</v>
      </c>
      <c r="G34" s="63"/>
      <c r="H34" s="63"/>
      <c r="I34" s="53">
        <f>1166.33/7*6</f>
        <v>999.71142857142854</v>
      </c>
      <c r="J34" s="74"/>
      <c r="K34" s="53">
        <f t="shared" si="0"/>
        <v>999.71142857142854</v>
      </c>
      <c r="L34" s="53"/>
      <c r="M34" s="53"/>
      <c r="N34" s="53"/>
      <c r="O34" s="53"/>
      <c r="P34" s="73"/>
      <c r="Q34" s="49">
        <f t="shared" si="1"/>
        <v>999.71142857142854</v>
      </c>
      <c r="R34" s="34"/>
      <c r="S34" s="45"/>
      <c r="T34" s="45">
        <v>0</v>
      </c>
      <c r="U34" s="45"/>
      <c r="V34" s="45"/>
      <c r="W34" s="45"/>
      <c r="X34" s="36"/>
      <c r="Y34" s="36"/>
      <c r="Z34" s="35"/>
      <c r="AA34" s="35">
        <v>0</v>
      </c>
      <c r="AB34" s="33">
        <f t="shared" ref="AB34" si="23">+Q34-SUM(R34:AA34)</f>
        <v>999.71142857142854</v>
      </c>
      <c r="AC34" s="37">
        <f t="shared" ref="AC34" si="24">IF(Q34&gt;3500,Q34*0.1,0)</f>
        <v>0</v>
      </c>
      <c r="AD34" s="33">
        <f t="shared" ref="AD34" si="25">+AB34-AC34</f>
        <v>999.71142857142854</v>
      </c>
      <c r="AE34" s="38">
        <f t="shared" ref="AE34" si="26">IF(Q34&lt;3500,Q34*0.1,0)</f>
        <v>99.971142857142866</v>
      </c>
      <c r="AF34" s="37">
        <v>10.23</v>
      </c>
      <c r="AG34" s="37">
        <f t="shared" ref="AG34" si="27">+U34</f>
        <v>0</v>
      </c>
      <c r="AH34" s="67">
        <f t="shared" ref="AH34" si="28">+Q34+AE34+AF34+AG34</f>
        <v>1109.9125714285715</v>
      </c>
      <c r="AI34" s="103"/>
      <c r="AJ34" s="103"/>
      <c r="AK34" s="103"/>
      <c r="AM34" s="26"/>
    </row>
    <row r="35" spans="1:193" s="39" customFormat="1">
      <c r="A35" s="63" t="s">
        <v>71</v>
      </c>
      <c r="B35" s="63" t="s">
        <v>204</v>
      </c>
      <c r="C35" s="63" t="s">
        <v>249</v>
      </c>
      <c r="D35" s="63"/>
      <c r="E35" s="63" t="s">
        <v>73</v>
      </c>
      <c r="F35" s="72">
        <v>42415</v>
      </c>
      <c r="G35" s="63"/>
      <c r="H35" s="63"/>
      <c r="I35" s="53">
        <v>513.33000000000004</v>
      </c>
      <c r="J35" s="74">
        <v>653.33000000000004</v>
      </c>
      <c r="K35" s="53">
        <f t="shared" si="0"/>
        <v>1166.6600000000001</v>
      </c>
      <c r="L35" s="53">
        <v>300</v>
      </c>
      <c r="M35" s="53"/>
      <c r="N35" s="53"/>
      <c r="O35" s="53"/>
      <c r="P35" s="32"/>
      <c r="Q35" s="33">
        <f t="shared" ref="Q35" si="29">SUM(K35:O35)-P35</f>
        <v>1466.66</v>
      </c>
      <c r="R35" s="34"/>
      <c r="S35" s="45"/>
      <c r="T35" s="45">
        <v>0</v>
      </c>
      <c r="U35" s="45"/>
      <c r="V35" s="45"/>
      <c r="W35" s="45"/>
      <c r="X35" s="36"/>
      <c r="Y35" s="36"/>
      <c r="Z35" s="35"/>
      <c r="AA35" s="35">
        <v>0</v>
      </c>
      <c r="AB35" s="33">
        <f t="shared" ref="AB35" si="30">+Q35-SUM(R35:AA35)</f>
        <v>1466.66</v>
      </c>
      <c r="AC35" s="37">
        <f t="shared" si="4"/>
        <v>0</v>
      </c>
      <c r="AD35" s="33">
        <f t="shared" si="3"/>
        <v>1466.66</v>
      </c>
      <c r="AE35" s="38">
        <f t="shared" si="5"/>
        <v>146.66600000000003</v>
      </c>
      <c r="AF35" s="37">
        <v>10.23</v>
      </c>
      <c r="AG35" s="37">
        <f t="shared" si="6"/>
        <v>0</v>
      </c>
      <c r="AH35" s="67">
        <f t="shared" si="7"/>
        <v>1623.556</v>
      </c>
      <c r="AI35" s="103"/>
      <c r="AJ35" s="103"/>
      <c r="AK35" s="103"/>
    </row>
    <row r="36" spans="1:193">
      <c r="A36" s="27" t="s">
        <v>71</v>
      </c>
      <c r="B36" s="27" t="s">
        <v>226</v>
      </c>
      <c r="C36" s="27" t="s">
        <v>249</v>
      </c>
      <c r="D36" s="27" t="s">
        <v>148</v>
      </c>
      <c r="E36" s="27" t="s">
        <v>73</v>
      </c>
      <c r="F36" s="27"/>
      <c r="G36" s="28"/>
      <c r="H36" s="28"/>
      <c r="I36" s="53">
        <v>513.33000000000004</v>
      </c>
      <c r="J36" s="28">
        <v>513.33000000000004</v>
      </c>
      <c r="K36" s="30">
        <f t="shared" si="0"/>
        <v>1026.6600000000001</v>
      </c>
      <c r="L36" s="30">
        <v>323.92</v>
      </c>
      <c r="M36" s="30"/>
      <c r="N36" s="31"/>
      <c r="O36" s="31"/>
      <c r="P36" s="32"/>
      <c r="Q36" s="33">
        <f t="shared" si="1"/>
        <v>1350.5800000000002</v>
      </c>
      <c r="R36" s="34"/>
      <c r="S36" s="45">
        <v>58.91</v>
      </c>
      <c r="T36" s="45">
        <v>0</v>
      </c>
      <c r="U36" s="45"/>
      <c r="V36" s="45"/>
      <c r="W36" s="45"/>
      <c r="X36" s="36"/>
      <c r="Y36" s="36"/>
      <c r="Z36" s="35"/>
      <c r="AA36" s="35">
        <v>349.07</v>
      </c>
      <c r="AB36" s="33">
        <f>+Q36-SUM(R36:AA36)</f>
        <v>942.60000000000014</v>
      </c>
      <c r="AC36" s="37">
        <f t="shared" si="4"/>
        <v>0</v>
      </c>
      <c r="AD36" s="33">
        <f t="shared" si="3"/>
        <v>942.60000000000014</v>
      </c>
      <c r="AE36" s="38">
        <f t="shared" si="5"/>
        <v>135.05800000000002</v>
      </c>
      <c r="AF36" s="37">
        <v>10.23</v>
      </c>
      <c r="AG36" s="37">
        <f t="shared" si="6"/>
        <v>0</v>
      </c>
      <c r="AH36" s="67">
        <f t="shared" si="7"/>
        <v>1495.8680000000002</v>
      </c>
      <c r="AI36" s="103"/>
      <c r="AJ36" s="103"/>
      <c r="AK36" s="103"/>
      <c r="AL36" s="39"/>
      <c r="AM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</row>
    <row r="37" spans="1:193" s="39" customFormat="1">
      <c r="A37" s="63" t="s">
        <v>94</v>
      </c>
      <c r="B37" s="63" t="s">
        <v>302</v>
      </c>
      <c r="C37" s="63"/>
      <c r="D37" s="63"/>
      <c r="E37" s="63" t="s">
        <v>174</v>
      </c>
      <c r="F37" s="72">
        <v>42431</v>
      </c>
      <c r="G37" s="63"/>
      <c r="H37" s="63"/>
      <c r="I37" s="53">
        <v>508.38</v>
      </c>
      <c r="J37" s="63"/>
      <c r="K37" s="53">
        <f t="shared" si="0"/>
        <v>508.38</v>
      </c>
      <c r="L37" s="53">
        <v>91.313999999999993</v>
      </c>
      <c r="M37" s="53"/>
      <c r="N37" s="53"/>
      <c r="O37" s="53"/>
      <c r="P37" s="73"/>
      <c r="Q37" s="49">
        <f t="shared" si="1"/>
        <v>599.69399999999996</v>
      </c>
      <c r="R37" s="34"/>
      <c r="S37" s="45"/>
      <c r="T37" s="45">
        <v>0</v>
      </c>
      <c r="U37" s="45"/>
      <c r="V37" s="45"/>
      <c r="W37" s="45"/>
      <c r="X37" s="36"/>
      <c r="Y37" s="36"/>
      <c r="Z37" s="35"/>
      <c r="AA37" s="35">
        <v>0</v>
      </c>
      <c r="AB37" s="33">
        <f t="shared" ref="AB37" si="31">+Q37-SUM(R37:AA37)</f>
        <v>599.69399999999996</v>
      </c>
      <c r="AC37" s="37">
        <f t="shared" ref="AC37" si="32">IF(Q37&gt;3500,Q37*0.1,0)</f>
        <v>0</v>
      </c>
      <c r="AD37" s="33">
        <f t="shared" ref="AD37" si="33">+AB37-AC37</f>
        <v>599.69399999999996</v>
      </c>
      <c r="AE37" s="38">
        <f t="shared" ref="AE37" si="34">IF(Q37&lt;3500,Q37*0.1,0)</f>
        <v>59.9694</v>
      </c>
      <c r="AF37" s="37">
        <v>10.23</v>
      </c>
      <c r="AG37" s="37">
        <f t="shared" ref="AG37" si="35">+U37</f>
        <v>0</v>
      </c>
      <c r="AH37" s="67">
        <f t="shared" ref="AH37" si="36">+Q37+AE37+AF37+AG37</f>
        <v>669.89339999999993</v>
      </c>
      <c r="AI37" s="103"/>
      <c r="AJ37" s="103"/>
      <c r="AK37" s="103"/>
      <c r="AM37" s="116"/>
      <c r="AN37" s="117"/>
    </row>
    <row r="38" spans="1:193">
      <c r="A38" s="27" t="s">
        <v>71</v>
      </c>
      <c r="B38" s="27" t="s">
        <v>223</v>
      </c>
      <c r="C38" s="27" t="s">
        <v>249</v>
      </c>
      <c r="D38" s="27" t="s">
        <v>149</v>
      </c>
      <c r="E38" s="27" t="s">
        <v>73</v>
      </c>
      <c r="F38" s="27"/>
      <c r="G38" s="28"/>
      <c r="H38" s="28"/>
      <c r="I38" s="53">
        <v>513.33000000000004</v>
      </c>
      <c r="J38" s="28">
        <v>513.33000000000004</v>
      </c>
      <c r="K38" s="30">
        <f t="shared" si="0"/>
        <v>1026.6600000000001</v>
      </c>
      <c r="L38" s="30">
        <v>6364.86</v>
      </c>
      <c r="M38" s="30"/>
      <c r="N38" s="31"/>
      <c r="O38" s="31"/>
      <c r="P38" s="32"/>
      <c r="Q38" s="33">
        <f t="shared" si="1"/>
        <v>7391.5199999999995</v>
      </c>
      <c r="R38" s="34"/>
      <c r="S38" s="45">
        <v>58.91</v>
      </c>
      <c r="T38" s="45">
        <v>0</v>
      </c>
      <c r="U38" s="45"/>
      <c r="V38" s="45"/>
      <c r="W38" s="45"/>
      <c r="X38" s="36"/>
      <c r="Y38" s="36"/>
      <c r="Z38" s="35"/>
      <c r="AA38" s="35">
        <v>0</v>
      </c>
      <c r="AB38" s="33">
        <f t="shared" si="10"/>
        <v>7332.61</v>
      </c>
      <c r="AC38" s="37">
        <f t="shared" si="4"/>
        <v>739.15200000000004</v>
      </c>
      <c r="AD38" s="33">
        <f t="shared" si="3"/>
        <v>6593.4579999999996</v>
      </c>
      <c r="AE38" s="38">
        <f t="shared" si="5"/>
        <v>0</v>
      </c>
      <c r="AF38" s="37">
        <v>10.23</v>
      </c>
      <c r="AG38" s="37">
        <f t="shared" si="6"/>
        <v>0</v>
      </c>
      <c r="AH38" s="67">
        <f t="shared" si="7"/>
        <v>7401.7499999999991</v>
      </c>
      <c r="AI38" s="103"/>
      <c r="AJ38" s="103"/>
      <c r="AK38" s="103"/>
      <c r="AL38" s="39"/>
      <c r="AM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</row>
    <row r="39" spans="1:193">
      <c r="A39" s="62" t="s">
        <v>92</v>
      </c>
      <c r="B39" s="27" t="s">
        <v>230</v>
      </c>
      <c r="C39" s="27"/>
      <c r="D39" s="27" t="s">
        <v>101</v>
      </c>
      <c r="E39" s="27" t="s">
        <v>162</v>
      </c>
      <c r="F39" s="27"/>
      <c r="G39" s="27"/>
      <c r="H39" s="27"/>
      <c r="I39" s="30">
        <v>739.23</v>
      </c>
      <c r="J39" s="27"/>
      <c r="K39" s="30">
        <f t="shared" si="0"/>
        <v>739.23</v>
      </c>
      <c r="L39" s="30">
        <f>1943.22+7.42</f>
        <v>1950.64</v>
      </c>
      <c r="M39" s="30"/>
      <c r="N39" s="30"/>
      <c r="O39" s="30"/>
      <c r="P39" s="32"/>
      <c r="Q39" s="33">
        <f t="shared" si="1"/>
        <v>2689.87</v>
      </c>
      <c r="R39" s="34"/>
      <c r="S39" s="45"/>
      <c r="T39" s="45">
        <v>0</v>
      </c>
      <c r="U39" s="45"/>
      <c r="V39" s="45"/>
      <c r="W39" s="45"/>
      <c r="X39" s="36"/>
      <c r="Y39" s="36"/>
      <c r="Z39" s="35"/>
      <c r="AA39" s="35">
        <v>0</v>
      </c>
      <c r="AB39" s="33">
        <f t="shared" si="10"/>
        <v>2689.87</v>
      </c>
      <c r="AC39" s="37">
        <f t="shared" si="4"/>
        <v>0</v>
      </c>
      <c r="AD39" s="33">
        <f t="shared" si="3"/>
        <v>2689.87</v>
      </c>
      <c r="AE39" s="38">
        <f t="shared" si="5"/>
        <v>268.98700000000002</v>
      </c>
      <c r="AF39" s="37">
        <v>10.23</v>
      </c>
      <c r="AG39" s="37">
        <f t="shared" si="6"/>
        <v>0</v>
      </c>
      <c r="AH39" s="67">
        <f t="shared" si="7"/>
        <v>2969.087</v>
      </c>
      <c r="AI39" s="103"/>
      <c r="AJ39" s="103"/>
      <c r="AK39" s="103"/>
      <c r="AL39" s="39"/>
      <c r="AM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</row>
    <row r="40" spans="1:193">
      <c r="A40" s="27" t="s">
        <v>71</v>
      </c>
      <c r="B40" s="27" t="s">
        <v>224</v>
      </c>
      <c r="C40" s="27" t="s">
        <v>251</v>
      </c>
      <c r="D40" s="27" t="s">
        <v>150</v>
      </c>
      <c r="E40" s="27" t="s">
        <v>73</v>
      </c>
      <c r="F40" s="27"/>
      <c r="G40" s="28"/>
      <c r="H40" s="28"/>
      <c r="I40" s="53">
        <v>513.33000000000004</v>
      </c>
      <c r="J40" s="28">
        <v>513.33000000000004</v>
      </c>
      <c r="K40" s="30">
        <f t="shared" si="0"/>
        <v>1026.6600000000001</v>
      </c>
      <c r="L40" s="30">
        <v>4669.8900000000003</v>
      </c>
      <c r="M40" s="30"/>
      <c r="N40" s="31"/>
      <c r="O40" s="31"/>
      <c r="P40" s="32"/>
      <c r="Q40" s="33">
        <f t="shared" ref="Q40:Q73" si="37">SUM(K40:O40)-P40</f>
        <v>5696.55</v>
      </c>
      <c r="R40" s="34"/>
      <c r="S40" s="45">
        <v>58.91</v>
      </c>
      <c r="T40" s="45">
        <v>0</v>
      </c>
      <c r="U40" s="45"/>
      <c r="V40" s="45"/>
      <c r="W40" s="45"/>
      <c r="X40" s="36"/>
      <c r="Y40" s="36"/>
      <c r="Z40" s="35"/>
      <c r="AA40" s="35">
        <v>0</v>
      </c>
      <c r="AB40" s="33">
        <f t="shared" si="10"/>
        <v>5637.64</v>
      </c>
      <c r="AC40" s="37">
        <f t="shared" si="4"/>
        <v>569.65500000000009</v>
      </c>
      <c r="AD40" s="33">
        <f t="shared" si="3"/>
        <v>5067.9850000000006</v>
      </c>
      <c r="AE40" s="38">
        <f t="shared" si="5"/>
        <v>0</v>
      </c>
      <c r="AF40" s="37">
        <v>10.23</v>
      </c>
      <c r="AG40" s="37">
        <f t="shared" si="6"/>
        <v>0</v>
      </c>
      <c r="AH40" s="67">
        <f t="shared" si="7"/>
        <v>5706.78</v>
      </c>
      <c r="AI40" s="103"/>
      <c r="AJ40" s="103"/>
      <c r="AK40" s="103"/>
      <c r="AL40" s="39"/>
      <c r="AM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</row>
    <row r="41" spans="1:193">
      <c r="A41" s="27" t="s">
        <v>71</v>
      </c>
      <c r="B41" s="27" t="s">
        <v>255</v>
      </c>
      <c r="C41" s="27" t="s">
        <v>254</v>
      </c>
      <c r="D41" s="27" t="s">
        <v>151</v>
      </c>
      <c r="E41" s="27" t="s">
        <v>73</v>
      </c>
      <c r="F41" s="27"/>
      <c r="G41" s="28"/>
      <c r="H41" s="28"/>
      <c r="I41" s="30">
        <v>513.33000000000004</v>
      </c>
      <c r="J41" s="28">
        <v>513.33000000000004</v>
      </c>
      <c r="K41" s="30">
        <f t="shared" si="0"/>
        <v>1026.6600000000001</v>
      </c>
      <c r="L41" s="30">
        <v>4626.34</v>
      </c>
      <c r="M41" s="30"/>
      <c r="N41" s="31"/>
      <c r="O41" s="31"/>
      <c r="P41" s="32"/>
      <c r="Q41" s="33">
        <f t="shared" si="37"/>
        <v>5653</v>
      </c>
      <c r="R41" s="34"/>
      <c r="S41" s="45"/>
      <c r="T41" s="45">
        <v>0</v>
      </c>
      <c r="U41" s="45"/>
      <c r="V41" s="45"/>
      <c r="W41" s="45"/>
      <c r="X41" s="36"/>
      <c r="Y41" s="36"/>
      <c r="Z41" s="35"/>
      <c r="AA41" s="35">
        <v>208.6</v>
      </c>
      <c r="AB41" s="33">
        <f t="shared" si="10"/>
        <v>5444.4</v>
      </c>
      <c r="AC41" s="37">
        <f t="shared" si="4"/>
        <v>565.30000000000007</v>
      </c>
      <c r="AD41" s="33">
        <f t="shared" si="3"/>
        <v>4879.0999999999995</v>
      </c>
      <c r="AE41" s="38">
        <f t="shared" si="5"/>
        <v>0</v>
      </c>
      <c r="AF41" s="37">
        <v>10.23</v>
      </c>
      <c r="AG41" s="37">
        <f t="shared" si="6"/>
        <v>0</v>
      </c>
      <c r="AH41" s="67">
        <f t="shared" si="7"/>
        <v>5663.23</v>
      </c>
      <c r="AI41" s="103"/>
      <c r="AJ41" s="103"/>
      <c r="AK41" s="103"/>
      <c r="AL41" s="39"/>
      <c r="AM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</row>
    <row r="42" spans="1:193">
      <c r="A42" s="27" t="s">
        <v>70</v>
      </c>
      <c r="B42" s="27" t="s">
        <v>84</v>
      </c>
      <c r="C42" s="63" t="s">
        <v>307</v>
      </c>
      <c r="D42" s="27" t="s">
        <v>123</v>
      </c>
      <c r="E42" s="27" t="s">
        <v>173</v>
      </c>
      <c r="F42" s="27"/>
      <c r="G42" s="28"/>
      <c r="H42" s="28"/>
      <c r="I42" s="30">
        <v>513.33000000000004</v>
      </c>
      <c r="J42" s="28">
        <v>513.33000000000004</v>
      </c>
      <c r="K42" s="30">
        <f t="shared" si="0"/>
        <v>1026.6600000000001</v>
      </c>
      <c r="L42" s="30"/>
      <c r="M42" s="30"/>
      <c r="N42" s="31"/>
      <c r="O42" s="31"/>
      <c r="P42" s="32"/>
      <c r="Q42" s="33">
        <f t="shared" si="37"/>
        <v>1026.6600000000001</v>
      </c>
      <c r="R42" s="34"/>
      <c r="S42" s="45">
        <v>58.91</v>
      </c>
      <c r="T42" s="45">
        <v>0</v>
      </c>
      <c r="U42" s="45"/>
      <c r="V42" s="45"/>
      <c r="W42" s="45"/>
      <c r="X42" s="36"/>
      <c r="Y42" s="36"/>
      <c r="Z42" s="35"/>
      <c r="AA42" s="35">
        <v>0</v>
      </c>
      <c r="AB42" s="33">
        <f t="shared" si="10"/>
        <v>967.75000000000011</v>
      </c>
      <c r="AC42" s="37">
        <f t="shared" si="4"/>
        <v>0</v>
      </c>
      <c r="AD42" s="33">
        <f t="shared" si="3"/>
        <v>967.75000000000011</v>
      </c>
      <c r="AE42" s="38">
        <f t="shared" si="5"/>
        <v>102.66600000000001</v>
      </c>
      <c r="AF42" s="37">
        <v>10.23</v>
      </c>
      <c r="AG42" s="37">
        <f t="shared" si="6"/>
        <v>0</v>
      </c>
      <c r="AH42" s="67">
        <f t="shared" si="7"/>
        <v>1139.556</v>
      </c>
      <c r="AI42" s="103"/>
      <c r="AJ42" s="103"/>
      <c r="AK42" s="103"/>
      <c r="AL42" s="39"/>
      <c r="AM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</row>
    <row r="43" spans="1:193">
      <c r="A43" s="27" t="s">
        <v>71</v>
      </c>
      <c r="B43" s="27" t="s">
        <v>256</v>
      </c>
      <c r="C43" s="27" t="s">
        <v>254</v>
      </c>
      <c r="D43" s="27" t="s">
        <v>152</v>
      </c>
      <c r="E43" s="27" t="s">
        <v>73</v>
      </c>
      <c r="F43" s="27"/>
      <c r="G43" s="28"/>
      <c r="H43" s="28"/>
      <c r="I43" s="30">
        <v>513.33000000000004</v>
      </c>
      <c r="J43" s="28">
        <v>513.33000000000004</v>
      </c>
      <c r="K43" s="30">
        <f t="shared" si="0"/>
        <v>1026.6600000000001</v>
      </c>
      <c r="L43" s="30">
        <v>4627.58</v>
      </c>
      <c r="M43" s="30"/>
      <c r="N43" s="31"/>
      <c r="O43" s="31"/>
      <c r="P43" s="32"/>
      <c r="Q43" s="33">
        <f t="shared" si="37"/>
        <v>5654.24</v>
      </c>
      <c r="R43" s="34"/>
      <c r="S43" s="45"/>
      <c r="T43" s="45">
        <v>0</v>
      </c>
      <c r="U43" s="45"/>
      <c r="V43" s="45"/>
      <c r="W43" s="45"/>
      <c r="X43" s="36"/>
      <c r="Y43" s="36"/>
      <c r="Z43" s="35"/>
      <c r="AA43" s="35">
        <v>0</v>
      </c>
      <c r="AB43" s="33">
        <f t="shared" si="10"/>
        <v>5654.24</v>
      </c>
      <c r="AC43" s="37">
        <f t="shared" si="4"/>
        <v>565.42399999999998</v>
      </c>
      <c r="AD43" s="33">
        <f t="shared" si="3"/>
        <v>5088.8159999999998</v>
      </c>
      <c r="AE43" s="38">
        <f t="shared" si="5"/>
        <v>0</v>
      </c>
      <c r="AF43" s="37">
        <v>10.23</v>
      </c>
      <c r="AG43" s="37">
        <f t="shared" si="6"/>
        <v>0</v>
      </c>
      <c r="AH43" s="67">
        <f t="shared" si="7"/>
        <v>5664.4699999999993</v>
      </c>
      <c r="AI43" s="103"/>
      <c r="AJ43" s="103"/>
      <c r="AK43" s="103"/>
      <c r="AL43" s="39"/>
      <c r="AM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</row>
    <row r="44" spans="1:193">
      <c r="A44" s="119" t="s">
        <v>91</v>
      </c>
      <c r="B44" s="119" t="s">
        <v>81</v>
      </c>
      <c r="C44" s="119"/>
      <c r="D44" s="119" t="s">
        <v>116</v>
      </c>
      <c r="E44" s="119" t="s">
        <v>172</v>
      </c>
      <c r="F44" s="119"/>
      <c r="G44" s="119"/>
      <c r="H44" s="119"/>
      <c r="I44" s="120">
        <v>0</v>
      </c>
      <c r="J44" s="119"/>
      <c r="K44" s="120">
        <f t="shared" si="0"/>
        <v>0</v>
      </c>
      <c r="L44" s="120"/>
      <c r="M44" s="120"/>
      <c r="N44" s="120"/>
      <c r="O44" s="120"/>
      <c r="P44" s="120"/>
      <c r="Q44" s="121">
        <f t="shared" si="37"/>
        <v>0</v>
      </c>
      <c r="R44" s="120"/>
      <c r="S44" s="120"/>
      <c r="T44" s="120">
        <v>0</v>
      </c>
      <c r="U44" s="120"/>
      <c r="V44" s="120"/>
      <c r="W44" s="120"/>
      <c r="X44" s="122"/>
      <c r="Y44" s="122"/>
      <c r="Z44" s="119"/>
      <c r="AA44" s="119">
        <v>0</v>
      </c>
      <c r="AB44" s="121">
        <f t="shared" si="10"/>
        <v>0</v>
      </c>
      <c r="AC44" s="122">
        <f t="shared" si="4"/>
        <v>0</v>
      </c>
      <c r="AD44" s="121">
        <f t="shared" si="3"/>
        <v>0</v>
      </c>
      <c r="AE44" s="122">
        <f t="shared" si="5"/>
        <v>0</v>
      </c>
      <c r="AF44" s="122">
        <v>0</v>
      </c>
      <c r="AG44" s="122">
        <f t="shared" si="6"/>
        <v>0</v>
      </c>
      <c r="AH44" s="121">
        <f t="shared" si="7"/>
        <v>0</v>
      </c>
      <c r="AI44" s="123"/>
      <c r="AJ44" s="123"/>
      <c r="AK44" s="123"/>
      <c r="AL44" s="124"/>
      <c r="AM44" s="124" t="s">
        <v>316</v>
      </c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</row>
    <row r="45" spans="1:193">
      <c r="A45" s="27" t="s">
        <v>71</v>
      </c>
      <c r="B45" s="27" t="s">
        <v>262</v>
      </c>
      <c r="C45" s="27"/>
      <c r="D45" s="27" t="s">
        <v>154</v>
      </c>
      <c r="E45" s="27" t="s">
        <v>73</v>
      </c>
      <c r="F45" s="27"/>
      <c r="G45" s="28"/>
      <c r="H45" s="28"/>
      <c r="I45" s="30">
        <v>513.33000000000004</v>
      </c>
      <c r="J45" s="28">
        <v>513.33000000000004</v>
      </c>
      <c r="K45" s="30">
        <f t="shared" si="0"/>
        <v>1026.6600000000001</v>
      </c>
      <c r="L45" s="30"/>
      <c r="M45" s="30"/>
      <c r="N45" s="31"/>
      <c r="O45" s="31"/>
      <c r="P45" s="32"/>
      <c r="Q45" s="33">
        <f t="shared" si="37"/>
        <v>1026.6600000000001</v>
      </c>
      <c r="R45" s="34"/>
      <c r="S45" s="45"/>
      <c r="T45" s="45">
        <v>0</v>
      </c>
      <c r="U45" s="45"/>
      <c r="V45" s="45"/>
      <c r="W45" s="45"/>
      <c r="X45" s="36"/>
      <c r="Y45" s="36"/>
      <c r="Z45" s="35"/>
      <c r="AA45" s="35">
        <v>0</v>
      </c>
      <c r="AB45" s="33">
        <f t="shared" si="10"/>
        <v>1026.6600000000001</v>
      </c>
      <c r="AC45" s="37">
        <f t="shared" si="4"/>
        <v>0</v>
      </c>
      <c r="AD45" s="33">
        <f t="shared" si="3"/>
        <v>1026.6600000000001</v>
      </c>
      <c r="AE45" s="38">
        <f t="shared" si="5"/>
        <v>102.66600000000001</v>
      </c>
      <c r="AF45" s="37">
        <v>10.23</v>
      </c>
      <c r="AG45" s="37">
        <f t="shared" si="6"/>
        <v>0</v>
      </c>
      <c r="AH45" s="67">
        <f t="shared" si="7"/>
        <v>1139.556</v>
      </c>
      <c r="AI45" s="103"/>
      <c r="AJ45" s="103"/>
      <c r="AK45" s="103"/>
      <c r="AL45" s="39"/>
      <c r="AM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</row>
    <row r="46" spans="1:193" s="39" customFormat="1">
      <c r="A46" s="63" t="s">
        <v>93</v>
      </c>
      <c r="B46" s="63" t="s">
        <v>200</v>
      </c>
      <c r="C46" s="63"/>
      <c r="D46" s="63"/>
      <c r="E46" s="63" t="s">
        <v>171</v>
      </c>
      <c r="F46" s="72">
        <v>42413</v>
      </c>
      <c r="G46" s="63"/>
      <c r="H46" s="63"/>
      <c r="I46" s="30">
        <v>577.38</v>
      </c>
      <c r="J46" s="106">
        <v>939.29</v>
      </c>
      <c r="K46" s="53">
        <f t="shared" si="0"/>
        <v>1516.67</v>
      </c>
      <c r="L46" s="53"/>
      <c r="M46" s="53"/>
      <c r="N46" s="53"/>
      <c r="O46" s="53"/>
      <c r="P46" s="73"/>
      <c r="Q46" s="59">
        <f t="shared" si="37"/>
        <v>1516.67</v>
      </c>
      <c r="R46" s="34"/>
      <c r="S46" s="45"/>
      <c r="T46" s="45">
        <v>0</v>
      </c>
      <c r="U46" s="45"/>
      <c r="V46" s="45"/>
      <c r="W46" s="45"/>
      <c r="X46" s="36"/>
      <c r="Y46" s="36"/>
      <c r="Z46" s="35"/>
      <c r="AA46" s="35">
        <v>0</v>
      </c>
      <c r="AB46" s="33">
        <f t="shared" ref="AB46" si="38">+Q46-SUM(R46:AA46)</f>
        <v>1516.67</v>
      </c>
      <c r="AC46" s="37">
        <f t="shared" si="4"/>
        <v>0</v>
      </c>
      <c r="AD46" s="33">
        <f t="shared" ref="AD46" si="39">+AB46-AC46</f>
        <v>1516.67</v>
      </c>
      <c r="AE46" s="38">
        <f t="shared" si="5"/>
        <v>151.667</v>
      </c>
      <c r="AF46" s="37">
        <v>10.23</v>
      </c>
      <c r="AG46" s="37">
        <f t="shared" si="6"/>
        <v>0</v>
      </c>
      <c r="AH46" s="67">
        <f t="shared" si="7"/>
        <v>1678.567</v>
      </c>
      <c r="AI46" s="103"/>
      <c r="AJ46" s="103"/>
      <c r="AK46" s="103"/>
      <c r="AL46" s="39" t="s">
        <v>289</v>
      </c>
    </row>
    <row r="47" spans="1:193">
      <c r="A47" s="62" t="s">
        <v>94</v>
      </c>
      <c r="B47" s="27" t="s">
        <v>192</v>
      </c>
      <c r="C47" s="27"/>
      <c r="D47" s="27" t="s">
        <v>132</v>
      </c>
      <c r="E47" s="27" t="s">
        <v>174</v>
      </c>
      <c r="F47" s="27"/>
      <c r="G47" s="28"/>
      <c r="H47" s="28"/>
      <c r="I47" s="30">
        <v>543.20000000000005</v>
      </c>
      <c r="J47" s="28"/>
      <c r="K47" s="30">
        <f t="shared" si="0"/>
        <v>543.20000000000005</v>
      </c>
      <c r="L47" s="30">
        <v>386.3</v>
      </c>
      <c r="M47" s="30"/>
      <c r="N47" s="31"/>
      <c r="O47" s="31"/>
      <c r="P47" s="32"/>
      <c r="Q47" s="33">
        <f t="shared" si="37"/>
        <v>929.5</v>
      </c>
      <c r="R47" s="34"/>
      <c r="S47" s="45"/>
      <c r="T47" s="75">
        <v>100</v>
      </c>
      <c r="U47" s="75">
        <f>Q47*4.9%</f>
        <v>45.545500000000004</v>
      </c>
      <c r="V47" s="75">
        <f>Q47*1%</f>
        <v>9.2949999999999999</v>
      </c>
      <c r="W47" s="45"/>
      <c r="X47" s="36"/>
      <c r="Y47" s="36"/>
      <c r="Z47" s="35"/>
      <c r="AA47" s="35">
        <v>0</v>
      </c>
      <c r="AB47" s="33">
        <f t="shared" si="10"/>
        <v>774.65949999999998</v>
      </c>
      <c r="AC47" s="37">
        <f t="shared" si="4"/>
        <v>0</v>
      </c>
      <c r="AD47" s="33">
        <f t="shared" si="3"/>
        <v>774.65949999999998</v>
      </c>
      <c r="AE47" s="38">
        <f t="shared" si="5"/>
        <v>92.95</v>
      </c>
      <c r="AF47" s="37">
        <v>10.23</v>
      </c>
      <c r="AG47" s="37">
        <f t="shared" si="6"/>
        <v>45.545500000000004</v>
      </c>
      <c r="AH47" s="67">
        <f t="shared" si="7"/>
        <v>1078.2255</v>
      </c>
      <c r="AI47" s="103"/>
      <c r="AJ47" s="103"/>
      <c r="AK47" s="103"/>
      <c r="AL47" s="39"/>
      <c r="AM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</row>
    <row r="48" spans="1:193" s="39" customFormat="1">
      <c r="A48" s="62" t="s">
        <v>94</v>
      </c>
      <c r="B48" s="63" t="s">
        <v>264</v>
      </c>
      <c r="C48" s="63"/>
      <c r="D48" s="63" t="s">
        <v>265</v>
      </c>
      <c r="E48" s="27" t="s">
        <v>181</v>
      </c>
      <c r="F48" s="63"/>
      <c r="G48" s="63"/>
      <c r="H48" s="63"/>
      <c r="I48" s="53">
        <v>608.16</v>
      </c>
      <c r="J48" s="63"/>
      <c r="K48" s="53">
        <f t="shared" si="0"/>
        <v>608.16</v>
      </c>
      <c r="L48" s="53">
        <f>1875.02+2.599</f>
        <v>1877.6189999999999</v>
      </c>
      <c r="M48" s="53"/>
      <c r="N48" s="53"/>
      <c r="O48" s="53"/>
      <c r="P48" s="73"/>
      <c r="Q48" s="33">
        <f t="shared" si="37"/>
        <v>2485.779</v>
      </c>
      <c r="R48" s="34"/>
      <c r="S48" s="45"/>
      <c r="T48" s="45">
        <v>0</v>
      </c>
      <c r="U48" s="75">
        <f>Q48*4.9%</f>
        <v>121.80317100000001</v>
      </c>
      <c r="V48" s="75">
        <f>Q48*1%</f>
        <v>24.857790000000001</v>
      </c>
      <c r="W48" s="45"/>
      <c r="X48" s="36"/>
      <c r="Y48" s="36"/>
      <c r="Z48" s="35"/>
      <c r="AA48" s="35">
        <v>0</v>
      </c>
      <c r="AB48" s="33">
        <f t="shared" ref="AB48" si="40">+Q48-SUM(R48:AA48)</f>
        <v>2339.118039</v>
      </c>
      <c r="AC48" s="37">
        <f t="shared" si="4"/>
        <v>0</v>
      </c>
      <c r="AD48" s="33">
        <f t="shared" ref="AD48" si="41">+AB48-AC48</f>
        <v>2339.118039</v>
      </c>
      <c r="AE48" s="38">
        <f t="shared" si="5"/>
        <v>248.5779</v>
      </c>
      <c r="AF48" s="37">
        <v>10.23</v>
      </c>
      <c r="AG48" s="37">
        <f t="shared" si="6"/>
        <v>121.80317100000001</v>
      </c>
      <c r="AH48" s="67">
        <f t="shared" si="7"/>
        <v>2866.3900709999998</v>
      </c>
      <c r="AI48" s="103"/>
      <c r="AJ48" s="103"/>
      <c r="AK48" s="103"/>
      <c r="AL48" s="39">
        <v>2948910731</v>
      </c>
      <c r="AM48" s="26"/>
    </row>
    <row r="49" spans="1:193">
      <c r="A49" s="62" t="s">
        <v>94</v>
      </c>
      <c r="B49" s="27" t="s">
        <v>194</v>
      </c>
      <c r="C49" s="27"/>
      <c r="D49" s="27" t="s">
        <v>133</v>
      </c>
      <c r="E49" s="27" t="s">
        <v>177</v>
      </c>
      <c r="F49" s="27"/>
      <c r="G49" s="28"/>
      <c r="H49" s="28"/>
      <c r="I49" s="30">
        <v>608.16</v>
      </c>
      <c r="J49" s="28"/>
      <c r="K49" s="30">
        <f t="shared" si="0"/>
        <v>608.16</v>
      </c>
      <c r="L49" s="30">
        <f>2658.78+2.972</f>
        <v>2661.7520000000004</v>
      </c>
      <c r="M49" s="30"/>
      <c r="N49" s="31"/>
      <c r="O49" s="31"/>
      <c r="P49" s="32"/>
      <c r="Q49" s="33">
        <f t="shared" si="37"/>
        <v>3269.9120000000003</v>
      </c>
      <c r="R49" s="34"/>
      <c r="S49" s="45"/>
      <c r="T49" s="45"/>
      <c r="U49" s="75">
        <f>Q49*4.9%</f>
        <v>160.22568800000002</v>
      </c>
      <c r="V49" s="75">
        <f>Q49*1%</f>
        <v>32.699120000000001</v>
      </c>
      <c r="W49" s="45"/>
      <c r="X49" s="36"/>
      <c r="Y49" s="36"/>
      <c r="Z49" s="35"/>
      <c r="AA49" s="35">
        <v>0</v>
      </c>
      <c r="AB49" s="33">
        <f t="shared" si="10"/>
        <v>3076.9871920000001</v>
      </c>
      <c r="AC49" s="37">
        <f t="shared" si="4"/>
        <v>0</v>
      </c>
      <c r="AD49" s="33">
        <f t="shared" si="3"/>
        <v>3076.9871920000001</v>
      </c>
      <c r="AE49" s="38">
        <f t="shared" si="5"/>
        <v>326.99120000000005</v>
      </c>
      <c r="AF49" s="37">
        <v>10.23</v>
      </c>
      <c r="AG49" s="37">
        <f t="shared" si="6"/>
        <v>160.22568800000002</v>
      </c>
      <c r="AH49" s="67">
        <f t="shared" si="7"/>
        <v>3767.3588880000002</v>
      </c>
      <c r="AI49" s="103"/>
      <c r="AJ49" s="103"/>
      <c r="AK49" s="103"/>
      <c r="AL49" s="39"/>
      <c r="AM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</row>
    <row r="50" spans="1:193">
      <c r="A50" s="62" t="s">
        <v>92</v>
      </c>
      <c r="B50" s="27" t="s">
        <v>233</v>
      </c>
      <c r="C50" s="27"/>
      <c r="D50" s="27" t="s">
        <v>102</v>
      </c>
      <c r="E50" s="27" t="s">
        <v>163</v>
      </c>
      <c r="F50" s="27"/>
      <c r="G50" s="27"/>
      <c r="H50" s="27"/>
      <c r="I50" s="30">
        <v>739.23</v>
      </c>
      <c r="J50" s="27"/>
      <c r="K50" s="30">
        <f t="shared" si="0"/>
        <v>739.23</v>
      </c>
      <c r="L50" s="30">
        <f>3841.712+13.099</f>
        <v>3854.8110000000001</v>
      </c>
      <c r="M50" s="30"/>
      <c r="N50" s="30"/>
      <c r="O50" s="30"/>
      <c r="P50" s="32"/>
      <c r="Q50" s="33">
        <f t="shared" si="37"/>
        <v>4594.0410000000002</v>
      </c>
      <c r="R50" s="34"/>
      <c r="S50" s="45"/>
      <c r="T50" s="45">
        <v>0</v>
      </c>
      <c r="U50" s="45"/>
      <c r="V50" s="45"/>
      <c r="W50" s="45"/>
      <c r="X50" s="36"/>
      <c r="Y50" s="36"/>
      <c r="Z50" s="35"/>
      <c r="AA50" s="35">
        <v>0</v>
      </c>
      <c r="AB50" s="33">
        <f t="shared" si="10"/>
        <v>4594.0410000000002</v>
      </c>
      <c r="AC50" s="37">
        <f t="shared" si="4"/>
        <v>459.40410000000003</v>
      </c>
      <c r="AD50" s="33">
        <f t="shared" si="3"/>
        <v>4134.6369000000004</v>
      </c>
      <c r="AE50" s="38">
        <f t="shared" si="5"/>
        <v>0</v>
      </c>
      <c r="AF50" s="37">
        <v>10.23</v>
      </c>
      <c r="AG50" s="37">
        <f t="shared" si="6"/>
        <v>0</v>
      </c>
      <c r="AH50" s="67">
        <f t="shared" si="7"/>
        <v>4604.2709999999997</v>
      </c>
      <c r="AI50" s="103"/>
      <c r="AJ50" s="103"/>
      <c r="AK50" s="103"/>
      <c r="AL50" s="39"/>
      <c r="AM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</row>
    <row r="51" spans="1:193" s="61" customFormat="1">
      <c r="A51" s="62" t="s">
        <v>94</v>
      </c>
      <c r="B51" s="63" t="s">
        <v>202</v>
      </c>
      <c r="C51" s="63"/>
      <c r="D51" s="63"/>
      <c r="E51" s="63" t="s">
        <v>163</v>
      </c>
      <c r="F51" s="72">
        <v>42416</v>
      </c>
      <c r="G51" s="63"/>
      <c r="H51" s="63"/>
      <c r="I51" s="53">
        <v>739.23</v>
      </c>
      <c r="J51" s="63"/>
      <c r="K51" s="53">
        <f t="shared" si="0"/>
        <v>739.23</v>
      </c>
      <c r="L51" s="53">
        <f>1998.45+13.099</f>
        <v>2011.549</v>
      </c>
      <c r="M51" s="53"/>
      <c r="N51" s="53"/>
      <c r="O51" s="53"/>
      <c r="P51" s="32"/>
      <c r="Q51" s="59">
        <f t="shared" si="37"/>
        <v>2750.779</v>
      </c>
      <c r="R51" s="34"/>
      <c r="S51" s="45"/>
      <c r="T51" s="45">
        <v>0</v>
      </c>
      <c r="U51" s="45"/>
      <c r="V51" s="75">
        <f>Q51*1%</f>
        <v>27.50779</v>
      </c>
      <c r="W51" s="45"/>
      <c r="X51" s="36"/>
      <c r="Y51" s="36"/>
      <c r="Z51" s="35"/>
      <c r="AA51" s="35">
        <v>0</v>
      </c>
      <c r="AB51" s="59">
        <f t="shared" si="10"/>
        <v>2723.2712099999999</v>
      </c>
      <c r="AC51" s="37">
        <f t="shared" si="4"/>
        <v>0</v>
      </c>
      <c r="AD51" s="59">
        <f t="shared" si="3"/>
        <v>2723.2712099999999</v>
      </c>
      <c r="AE51" s="38">
        <f t="shared" si="5"/>
        <v>275.0779</v>
      </c>
      <c r="AF51" s="37">
        <v>10.23</v>
      </c>
      <c r="AG51" s="37">
        <f t="shared" si="6"/>
        <v>0</v>
      </c>
      <c r="AH51" s="67">
        <f t="shared" si="7"/>
        <v>3036.0868999999998</v>
      </c>
      <c r="AI51" s="103"/>
      <c r="AJ51" s="103"/>
      <c r="AK51" s="103"/>
      <c r="AL51" s="39">
        <v>1296641458</v>
      </c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</row>
    <row r="52" spans="1:193">
      <c r="A52" s="27" t="s">
        <v>71</v>
      </c>
      <c r="B52" s="27" t="s">
        <v>88</v>
      </c>
      <c r="C52" s="27" t="s">
        <v>254</v>
      </c>
      <c r="D52" s="27" t="s">
        <v>153</v>
      </c>
      <c r="E52" s="27" t="s">
        <v>73</v>
      </c>
      <c r="F52" s="27"/>
      <c r="G52" s="28"/>
      <c r="H52" s="28"/>
      <c r="I52" s="30">
        <v>513.33000000000004</v>
      </c>
      <c r="J52" s="28">
        <v>513.33000000000004</v>
      </c>
      <c r="K52" s="30">
        <f t="shared" si="0"/>
        <v>1026.6600000000001</v>
      </c>
      <c r="L52" s="30">
        <v>677.54</v>
      </c>
      <c r="M52" s="30"/>
      <c r="N52" s="31"/>
      <c r="O52" s="31"/>
      <c r="P52" s="32"/>
      <c r="Q52" s="33">
        <f t="shared" si="37"/>
        <v>1704.2</v>
      </c>
      <c r="R52" s="34"/>
      <c r="S52" s="45">
        <v>58.91</v>
      </c>
      <c r="T52" s="45">
        <v>0</v>
      </c>
      <c r="U52" s="45"/>
      <c r="V52" s="45"/>
      <c r="W52" s="45"/>
      <c r="X52" s="36"/>
      <c r="Y52" s="36"/>
      <c r="Z52" s="35"/>
      <c r="AA52" s="35">
        <v>0</v>
      </c>
      <c r="AB52" s="33">
        <f t="shared" si="10"/>
        <v>1645.29</v>
      </c>
      <c r="AC52" s="37">
        <f t="shared" si="4"/>
        <v>0</v>
      </c>
      <c r="AD52" s="33">
        <f t="shared" si="3"/>
        <v>1645.29</v>
      </c>
      <c r="AE52" s="38">
        <f t="shared" si="5"/>
        <v>170.42000000000002</v>
      </c>
      <c r="AF52" s="37">
        <v>10.23</v>
      </c>
      <c r="AG52" s="37">
        <f t="shared" si="6"/>
        <v>0</v>
      </c>
      <c r="AH52" s="67">
        <f t="shared" si="7"/>
        <v>1884.8500000000001</v>
      </c>
      <c r="AI52" s="103"/>
      <c r="AJ52" s="103"/>
      <c r="AK52" s="103"/>
      <c r="AL52" s="39"/>
      <c r="AM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</row>
    <row r="53" spans="1:193">
      <c r="A53" s="27" t="s">
        <v>71</v>
      </c>
      <c r="B53" s="27" t="s">
        <v>221</v>
      </c>
      <c r="C53" s="27" t="s">
        <v>251</v>
      </c>
      <c r="D53" s="27">
        <v>30</v>
      </c>
      <c r="E53" s="27" t="s">
        <v>73</v>
      </c>
      <c r="F53" s="27"/>
      <c r="G53" s="28"/>
      <c r="H53" s="28"/>
      <c r="I53" s="53">
        <v>513.33000000000004</v>
      </c>
      <c r="J53" s="28">
        <v>513.33000000000004</v>
      </c>
      <c r="K53" s="30">
        <f t="shared" si="0"/>
        <v>1026.6600000000001</v>
      </c>
      <c r="L53" s="30">
        <v>10421.75</v>
      </c>
      <c r="M53" s="30"/>
      <c r="N53" s="31"/>
      <c r="O53" s="31"/>
      <c r="P53" s="32"/>
      <c r="Q53" s="33">
        <f t="shared" si="37"/>
        <v>11448.41</v>
      </c>
      <c r="R53" s="34"/>
      <c r="S53" s="45"/>
      <c r="T53" s="45">
        <v>0</v>
      </c>
      <c r="U53" s="45"/>
      <c r="V53" s="45"/>
      <c r="W53" s="45"/>
      <c r="X53" s="36"/>
      <c r="Y53" s="36"/>
      <c r="Z53" s="35"/>
      <c r="AA53" s="35">
        <v>0</v>
      </c>
      <c r="AB53" s="33">
        <f t="shared" si="10"/>
        <v>11448.41</v>
      </c>
      <c r="AC53" s="37">
        <f t="shared" si="4"/>
        <v>1144.8410000000001</v>
      </c>
      <c r="AD53" s="33">
        <f t="shared" si="3"/>
        <v>10303.569</v>
      </c>
      <c r="AE53" s="38">
        <f t="shared" si="5"/>
        <v>0</v>
      </c>
      <c r="AF53" s="37">
        <v>10.23</v>
      </c>
      <c r="AG53" s="37">
        <f t="shared" si="6"/>
        <v>0</v>
      </c>
      <c r="AH53" s="67">
        <f t="shared" si="7"/>
        <v>11458.64</v>
      </c>
      <c r="AI53" s="103"/>
      <c r="AJ53" s="103"/>
      <c r="AK53" s="103"/>
      <c r="AL53" s="39"/>
      <c r="AM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</row>
    <row r="54" spans="1:193">
      <c r="A54" s="27" t="s">
        <v>71</v>
      </c>
      <c r="B54" s="27" t="s">
        <v>216</v>
      </c>
      <c r="C54" s="27" t="s">
        <v>249</v>
      </c>
      <c r="D54" s="27" t="s">
        <v>155</v>
      </c>
      <c r="E54" s="27" t="s">
        <v>73</v>
      </c>
      <c r="F54" s="68">
        <v>42408</v>
      </c>
      <c r="G54" s="28"/>
      <c r="H54" s="28"/>
      <c r="I54" s="30">
        <v>513.33000000000004</v>
      </c>
      <c r="J54" s="28">
        <v>653.33000000000004</v>
      </c>
      <c r="K54" s="30">
        <f t="shared" si="0"/>
        <v>1166.6600000000001</v>
      </c>
      <c r="L54" s="30">
        <v>4294.26</v>
      </c>
      <c r="M54" s="30"/>
      <c r="N54" s="31"/>
      <c r="O54" s="31"/>
      <c r="P54" s="32"/>
      <c r="Q54" s="33">
        <f t="shared" si="37"/>
        <v>5460.92</v>
      </c>
      <c r="R54" s="34"/>
      <c r="S54" s="45"/>
      <c r="T54" s="45">
        <v>0</v>
      </c>
      <c r="U54" s="45"/>
      <c r="V54" s="45"/>
      <c r="W54" s="45"/>
      <c r="X54" s="36"/>
      <c r="Y54" s="36"/>
      <c r="Z54" s="90"/>
      <c r="AA54" s="90">
        <v>875.69</v>
      </c>
      <c r="AB54" s="33">
        <f t="shared" si="10"/>
        <v>4585.2299999999996</v>
      </c>
      <c r="AC54" s="37">
        <f t="shared" si="4"/>
        <v>546.09199999999998</v>
      </c>
      <c r="AD54" s="33">
        <f t="shared" si="3"/>
        <v>4039.1379999999995</v>
      </c>
      <c r="AE54" s="38">
        <f t="shared" si="5"/>
        <v>0</v>
      </c>
      <c r="AF54" s="37">
        <v>10.23</v>
      </c>
      <c r="AG54" s="37">
        <f t="shared" si="6"/>
        <v>0</v>
      </c>
      <c r="AH54" s="67">
        <f t="shared" si="7"/>
        <v>5471.15</v>
      </c>
      <c r="AI54" s="103"/>
      <c r="AJ54" s="103"/>
      <c r="AK54" s="108"/>
      <c r="AL54" s="39"/>
      <c r="AM54" s="39"/>
      <c r="AN54" s="111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</row>
    <row r="55" spans="1:193">
      <c r="A55" s="27" t="s">
        <v>70</v>
      </c>
      <c r="B55" s="27" t="s">
        <v>225</v>
      </c>
      <c r="C55" s="63" t="s">
        <v>307</v>
      </c>
      <c r="D55" s="27" t="s">
        <v>124</v>
      </c>
      <c r="E55" s="27" t="s">
        <v>173</v>
      </c>
      <c r="F55" s="68">
        <v>42352</v>
      </c>
      <c r="G55" s="28"/>
      <c r="H55" s="28"/>
      <c r="I55" s="30">
        <v>513.33000000000004</v>
      </c>
      <c r="J55" s="28">
        <v>653.33000000000004</v>
      </c>
      <c r="K55" s="30">
        <f t="shared" si="0"/>
        <v>1166.6600000000001</v>
      </c>
      <c r="L55" s="30"/>
      <c r="M55" s="30"/>
      <c r="N55" s="31"/>
      <c r="O55" s="31"/>
      <c r="P55" s="32"/>
      <c r="Q55" s="33">
        <f t="shared" si="37"/>
        <v>1166.6600000000001</v>
      </c>
      <c r="R55" s="34"/>
      <c r="S55" s="45"/>
      <c r="T55" s="45">
        <v>0</v>
      </c>
      <c r="U55" s="45"/>
      <c r="V55" s="45"/>
      <c r="W55" s="45"/>
      <c r="X55" s="36"/>
      <c r="Y55" s="36"/>
      <c r="Z55" s="35"/>
      <c r="AA55" s="35">
        <v>0</v>
      </c>
      <c r="AB55" s="33">
        <f t="shared" si="10"/>
        <v>1166.6600000000001</v>
      </c>
      <c r="AC55" s="37">
        <f t="shared" si="4"/>
        <v>0</v>
      </c>
      <c r="AD55" s="33">
        <f t="shared" si="3"/>
        <v>1166.6600000000001</v>
      </c>
      <c r="AE55" s="38">
        <f t="shared" si="5"/>
        <v>116.66600000000001</v>
      </c>
      <c r="AF55" s="37">
        <v>10.23</v>
      </c>
      <c r="AG55" s="37">
        <f t="shared" si="6"/>
        <v>0</v>
      </c>
      <c r="AH55" s="67">
        <f t="shared" si="7"/>
        <v>1293.556</v>
      </c>
      <c r="AI55" s="103"/>
      <c r="AJ55" s="103"/>
      <c r="AK55" s="103"/>
      <c r="AL55" s="39"/>
      <c r="AM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</row>
    <row r="56" spans="1:193" s="84" customFormat="1">
      <c r="A56" s="63" t="s">
        <v>71</v>
      </c>
      <c r="B56" s="63" t="s">
        <v>285</v>
      </c>
      <c r="C56" s="63"/>
      <c r="D56" s="63"/>
      <c r="E56" s="63" t="s">
        <v>73</v>
      </c>
      <c r="F56" s="72">
        <v>42055</v>
      </c>
      <c r="G56" s="63"/>
      <c r="H56" s="63"/>
      <c r="I56" s="53">
        <v>513.33000000000004</v>
      </c>
      <c r="J56" s="28">
        <v>653.33000000000004</v>
      </c>
      <c r="K56" s="53">
        <f t="shared" si="0"/>
        <v>1166.6600000000001</v>
      </c>
      <c r="L56" s="53"/>
      <c r="M56" s="53"/>
      <c r="N56" s="53"/>
      <c r="O56" s="53"/>
      <c r="P56" s="32"/>
      <c r="Q56" s="33">
        <f t="shared" ref="Q56:Q58" si="42">SUM(K56:O56)-P56</f>
        <v>1166.6600000000001</v>
      </c>
      <c r="R56" s="34"/>
      <c r="S56" s="45"/>
      <c r="T56" s="45">
        <v>0</v>
      </c>
      <c r="U56" s="45"/>
      <c r="V56" s="45"/>
      <c r="W56" s="45"/>
      <c r="X56" s="36"/>
      <c r="Y56" s="36"/>
      <c r="Z56" s="35"/>
      <c r="AA56" s="35">
        <v>0</v>
      </c>
      <c r="AB56" s="33">
        <f t="shared" ref="AB56:AB58" si="43">+Q56-SUM(R56:AA56)</f>
        <v>1166.6600000000001</v>
      </c>
      <c r="AC56" s="37">
        <f t="shared" si="4"/>
        <v>0</v>
      </c>
      <c r="AD56" s="33">
        <f t="shared" ref="AD56:AD58" si="44">+AB56-AC56</f>
        <v>1166.6600000000001</v>
      </c>
      <c r="AE56" s="38">
        <f t="shared" si="5"/>
        <v>116.66600000000001</v>
      </c>
      <c r="AF56" s="37">
        <v>10.23</v>
      </c>
      <c r="AG56" s="37">
        <f t="shared" si="6"/>
        <v>0</v>
      </c>
      <c r="AH56" s="67">
        <f t="shared" si="7"/>
        <v>1293.556</v>
      </c>
      <c r="AI56" s="103"/>
      <c r="AJ56" s="103"/>
      <c r="AK56" s="103"/>
      <c r="AL56" s="39">
        <v>1905307865</v>
      </c>
      <c r="AM56" s="26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</row>
    <row r="57" spans="1:193" s="84" customFormat="1">
      <c r="A57" s="63" t="s">
        <v>94</v>
      </c>
      <c r="B57" s="63" t="s">
        <v>311</v>
      </c>
      <c r="C57" s="63"/>
      <c r="D57" s="63"/>
      <c r="E57" s="63" t="s">
        <v>174</v>
      </c>
      <c r="F57" s="72">
        <v>42444</v>
      </c>
      <c r="G57" s="63"/>
      <c r="H57" s="63"/>
      <c r="I57" s="53">
        <v>72.62</v>
      </c>
      <c r="J57" s="28"/>
      <c r="K57" s="53">
        <f t="shared" si="0"/>
        <v>72.62</v>
      </c>
      <c r="L57" s="53"/>
      <c r="M57" s="53"/>
      <c r="N57" s="53"/>
      <c r="O57" s="53"/>
      <c r="P57" s="32"/>
      <c r="Q57" s="33">
        <f t="shared" si="42"/>
        <v>72.62</v>
      </c>
      <c r="R57" s="34"/>
      <c r="S57" s="45"/>
      <c r="T57" s="45"/>
      <c r="U57" s="45"/>
      <c r="V57" s="45"/>
      <c r="W57" s="45"/>
      <c r="X57" s="36"/>
      <c r="Y57" s="36"/>
      <c r="Z57" s="35"/>
      <c r="AA57" s="35"/>
      <c r="AB57" s="33">
        <f t="shared" si="43"/>
        <v>72.62</v>
      </c>
      <c r="AC57" s="37"/>
      <c r="AD57" s="33">
        <f t="shared" si="44"/>
        <v>72.62</v>
      </c>
      <c r="AE57" s="38">
        <f t="shared" si="5"/>
        <v>7.2620000000000005</v>
      </c>
      <c r="AF57" s="37">
        <v>10.23</v>
      </c>
      <c r="AG57" s="37">
        <f t="shared" ref="AG57" si="45">+U57</f>
        <v>0</v>
      </c>
      <c r="AH57" s="67">
        <f t="shared" si="7"/>
        <v>90.112000000000009</v>
      </c>
      <c r="AI57" s="103"/>
      <c r="AJ57" s="103"/>
      <c r="AK57" s="103"/>
      <c r="AL57" s="39"/>
      <c r="AM57" s="125" t="s">
        <v>315</v>
      </c>
      <c r="AN57" s="61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</row>
    <row r="58" spans="1:193" s="84" customFormat="1">
      <c r="A58" s="63" t="s">
        <v>93</v>
      </c>
      <c r="B58" s="63" t="s">
        <v>305</v>
      </c>
      <c r="C58" s="63"/>
      <c r="D58" s="63" t="s">
        <v>306</v>
      </c>
      <c r="E58" s="63" t="s">
        <v>171</v>
      </c>
      <c r="F58" s="72"/>
      <c r="G58" s="63"/>
      <c r="H58" s="63"/>
      <c r="I58" s="53">
        <f>1237.24/15*7</f>
        <v>577.37866666666673</v>
      </c>
      <c r="J58" s="106">
        <v>1047.6199999999999</v>
      </c>
      <c r="K58" s="53">
        <f>+I58+J58</f>
        <v>1624.9986666666666</v>
      </c>
      <c r="L58" s="53"/>
      <c r="M58" s="53"/>
      <c r="N58" s="53"/>
      <c r="O58" s="53"/>
      <c r="P58" s="32"/>
      <c r="Q58" s="33">
        <f t="shared" si="42"/>
        <v>1624.9986666666666</v>
      </c>
      <c r="R58" s="34"/>
      <c r="S58" s="45"/>
      <c r="T58" s="45"/>
      <c r="U58" s="45"/>
      <c r="V58" s="45"/>
      <c r="W58" s="45"/>
      <c r="X58" s="36"/>
      <c r="Y58" s="36"/>
      <c r="Z58" s="35"/>
      <c r="AA58" s="35"/>
      <c r="AB58" s="33">
        <f t="shared" si="43"/>
        <v>1624.9986666666666</v>
      </c>
      <c r="AC58" s="37">
        <f t="shared" si="4"/>
        <v>0</v>
      </c>
      <c r="AD58" s="33">
        <f t="shared" si="44"/>
        <v>1624.9986666666666</v>
      </c>
      <c r="AE58" s="38">
        <f t="shared" si="5"/>
        <v>162.49986666666666</v>
      </c>
      <c r="AF58" s="37">
        <v>10.23</v>
      </c>
      <c r="AG58" s="37">
        <f t="shared" ref="AG58" si="46">+U58</f>
        <v>0</v>
      </c>
      <c r="AH58" s="67">
        <f t="shared" ref="AH58" si="47">+Q58+AE58+AF58+AG58</f>
        <v>1797.7285333333334</v>
      </c>
      <c r="AI58" s="103"/>
      <c r="AJ58" s="103"/>
      <c r="AK58" s="103"/>
      <c r="AL58" s="39"/>
      <c r="AM58" s="26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</row>
    <row r="59" spans="1:193">
      <c r="A59" s="27" t="s">
        <v>71</v>
      </c>
      <c r="B59" s="27" t="s">
        <v>263</v>
      </c>
      <c r="C59" s="27" t="s">
        <v>251</v>
      </c>
      <c r="D59" s="27" t="s">
        <v>156</v>
      </c>
      <c r="E59" s="27" t="s">
        <v>73</v>
      </c>
      <c r="F59" s="27"/>
      <c r="G59" s="28"/>
      <c r="H59" s="28"/>
      <c r="I59" s="30">
        <v>513.33000000000004</v>
      </c>
      <c r="J59" s="28">
        <v>513.33000000000004</v>
      </c>
      <c r="K59" s="30">
        <f t="shared" si="0"/>
        <v>1026.6600000000001</v>
      </c>
      <c r="L59" s="30">
        <v>881.52</v>
      </c>
      <c r="M59" s="30"/>
      <c r="N59" s="31"/>
      <c r="O59" s="31"/>
      <c r="P59" s="32"/>
      <c r="Q59" s="33">
        <f t="shared" si="37"/>
        <v>1908.18</v>
      </c>
      <c r="R59" s="34"/>
      <c r="S59" s="45"/>
      <c r="T59" s="45">
        <v>0</v>
      </c>
      <c r="U59" s="45"/>
      <c r="V59" s="45"/>
      <c r="W59" s="45"/>
      <c r="X59" s="36"/>
      <c r="Y59" s="36"/>
      <c r="Z59" s="35"/>
      <c r="AA59" s="35">
        <v>86.56</v>
      </c>
      <c r="AB59" s="33">
        <f t="shared" si="10"/>
        <v>1821.6200000000001</v>
      </c>
      <c r="AC59" s="37">
        <f t="shared" si="4"/>
        <v>0</v>
      </c>
      <c r="AD59" s="33">
        <f t="shared" si="3"/>
        <v>1821.6200000000001</v>
      </c>
      <c r="AE59" s="38">
        <f t="shared" si="5"/>
        <v>190.81800000000001</v>
      </c>
      <c r="AF59" s="37">
        <v>10.23</v>
      </c>
      <c r="AG59" s="37">
        <f t="shared" si="6"/>
        <v>0</v>
      </c>
      <c r="AH59" s="67">
        <f t="shared" si="7"/>
        <v>2109.2280000000001</v>
      </c>
      <c r="AI59" s="103"/>
      <c r="AJ59" s="103"/>
      <c r="AK59" s="103"/>
      <c r="AL59" s="39"/>
      <c r="AM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</row>
    <row r="60" spans="1:193">
      <c r="A60" s="27" t="s">
        <v>94</v>
      </c>
      <c r="B60" s="27" t="s">
        <v>243</v>
      </c>
      <c r="C60" s="27"/>
      <c r="D60" s="27" t="s">
        <v>134</v>
      </c>
      <c r="E60" s="27" t="s">
        <v>178</v>
      </c>
      <c r="F60" s="27"/>
      <c r="G60" s="28"/>
      <c r="H60" s="28"/>
      <c r="I60" s="30">
        <v>1100</v>
      </c>
      <c r="J60" s="28"/>
      <c r="K60" s="30">
        <f t="shared" si="0"/>
        <v>1100</v>
      </c>
      <c r="L60" s="30">
        <v>443.6</v>
      </c>
      <c r="M60" s="30"/>
      <c r="N60" s="31"/>
      <c r="O60" s="31"/>
      <c r="P60" s="32"/>
      <c r="Q60" s="33">
        <f t="shared" si="37"/>
        <v>1543.6</v>
      </c>
      <c r="R60" s="34"/>
      <c r="S60" s="45"/>
      <c r="T60" s="75">
        <f>+Q60*1%</f>
        <v>15.436</v>
      </c>
      <c r="U60" s="75">
        <f>+Q60*4.9%</f>
        <v>75.636399999999995</v>
      </c>
      <c r="V60" s="45"/>
      <c r="W60" s="45"/>
      <c r="X60" s="36"/>
      <c r="Y60" s="36"/>
      <c r="Z60" s="35"/>
      <c r="AA60" s="35">
        <v>0</v>
      </c>
      <c r="AB60" s="33">
        <f t="shared" si="10"/>
        <v>1452.5275999999999</v>
      </c>
      <c r="AC60" s="37">
        <f t="shared" si="4"/>
        <v>0</v>
      </c>
      <c r="AD60" s="33">
        <f t="shared" si="3"/>
        <v>1452.5275999999999</v>
      </c>
      <c r="AE60" s="38">
        <f t="shared" si="5"/>
        <v>154.36000000000001</v>
      </c>
      <c r="AF60" s="37">
        <v>10.23</v>
      </c>
      <c r="AG60" s="37">
        <f t="shared" si="6"/>
        <v>75.636399999999995</v>
      </c>
      <c r="AH60" s="67">
        <f t="shared" si="7"/>
        <v>1783.8264000000001</v>
      </c>
      <c r="AI60" s="103"/>
      <c r="AJ60" s="103"/>
      <c r="AK60" s="103"/>
      <c r="AL60" s="39"/>
      <c r="AM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</row>
    <row r="61" spans="1:193">
      <c r="A61" s="62" t="s">
        <v>92</v>
      </c>
      <c r="B61" s="27" t="s">
        <v>77</v>
      </c>
      <c r="C61" s="27"/>
      <c r="D61" s="27" t="s">
        <v>103</v>
      </c>
      <c r="E61" s="27" t="s">
        <v>163</v>
      </c>
      <c r="F61" s="27"/>
      <c r="G61" s="27"/>
      <c r="H61" s="27"/>
      <c r="I61" s="30">
        <v>739.23</v>
      </c>
      <c r="J61" s="27"/>
      <c r="K61" s="30">
        <f t="shared" si="0"/>
        <v>739.23</v>
      </c>
      <c r="L61" s="30">
        <f>2366.447+13.099</f>
        <v>2379.5460000000003</v>
      </c>
      <c r="M61" s="30"/>
      <c r="N61" s="30"/>
      <c r="O61" s="30"/>
      <c r="P61" s="32"/>
      <c r="Q61" s="33">
        <f t="shared" si="37"/>
        <v>3118.7760000000003</v>
      </c>
      <c r="R61" s="34"/>
      <c r="S61" s="45"/>
      <c r="T61" s="45">
        <v>0</v>
      </c>
      <c r="U61" s="45"/>
      <c r="V61" s="45"/>
      <c r="W61" s="45"/>
      <c r="X61" s="36"/>
      <c r="Y61" s="36"/>
      <c r="Z61" s="35"/>
      <c r="AA61" s="35">
        <v>0</v>
      </c>
      <c r="AB61" s="33">
        <f t="shared" si="10"/>
        <v>3118.7760000000003</v>
      </c>
      <c r="AC61" s="37">
        <f t="shared" si="4"/>
        <v>0</v>
      </c>
      <c r="AD61" s="33">
        <f t="shared" si="3"/>
        <v>3118.7760000000003</v>
      </c>
      <c r="AE61" s="38">
        <f t="shared" si="5"/>
        <v>311.87760000000003</v>
      </c>
      <c r="AF61" s="37">
        <v>10.23</v>
      </c>
      <c r="AG61" s="37">
        <f t="shared" si="6"/>
        <v>0</v>
      </c>
      <c r="AH61" s="67">
        <f t="shared" si="7"/>
        <v>3440.8836000000006</v>
      </c>
      <c r="AI61" s="103"/>
      <c r="AJ61" s="103"/>
      <c r="AK61" s="103"/>
      <c r="AL61" s="39"/>
      <c r="AM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</row>
    <row r="62" spans="1:193">
      <c r="A62" s="62" t="s">
        <v>94</v>
      </c>
      <c r="B62" s="27" t="s">
        <v>208</v>
      </c>
      <c r="C62" s="27"/>
      <c r="D62" s="27" t="s">
        <v>135</v>
      </c>
      <c r="E62" s="27" t="s">
        <v>179</v>
      </c>
      <c r="F62" s="27"/>
      <c r="G62" s="28"/>
      <c r="H62" s="28"/>
      <c r="I62" s="30">
        <v>608.16</v>
      </c>
      <c r="J62" s="28"/>
      <c r="K62" s="30">
        <f t="shared" si="0"/>
        <v>608.16</v>
      </c>
      <c r="L62" s="30">
        <f>3100.47+3.714</f>
        <v>3104.1839999999997</v>
      </c>
      <c r="M62" s="30"/>
      <c r="N62" s="31"/>
      <c r="O62" s="31"/>
      <c r="P62" s="32"/>
      <c r="Q62" s="33">
        <f t="shared" si="37"/>
        <v>3712.3439999999996</v>
      </c>
      <c r="R62" s="34"/>
      <c r="S62" s="45"/>
      <c r="T62" s="45"/>
      <c r="U62" s="75">
        <f>Q62*4.9%</f>
        <v>181.904856</v>
      </c>
      <c r="V62" s="75">
        <f>Q62*1%</f>
        <v>37.123439999999995</v>
      </c>
      <c r="W62" s="45"/>
      <c r="X62" s="36"/>
      <c r="Y62" s="36"/>
      <c r="Z62" s="35"/>
      <c r="AA62" s="35">
        <v>0</v>
      </c>
      <c r="AB62" s="33">
        <f t="shared" si="10"/>
        <v>3493.3157039999996</v>
      </c>
      <c r="AC62" s="37">
        <f t="shared" si="4"/>
        <v>371.23439999999999</v>
      </c>
      <c r="AD62" s="33">
        <f t="shared" si="3"/>
        <v>3122.0813039999998</v>
      </c>
      <c r="AE62" s="38">
        <f t="shared" si="5"/>
        <v>0</v>
      </c>
      <c r="AF62" s="37">
        <v>10.23</v>
      </c>
      <c r="AG62" s="37">
        <f t="shared" si="6"/>
        <v>181.904856</v>
      </c>
      <c r="AH62" s="67">
        <f t="shared" si="7"/>
        <v>3904.4788559999997</v>
      </c>
      <c r="AI62" s="103"/>
      <c r="AJ62" s="103"/>
      <c r="AK62" s="108"/>
      <c r="AL62" s="39" t="s">
        <v>291</v>
      </c>
      <c r="AM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</row>
    <row r="63" spans="1:193">
      <c r="A63" s="62" t="s">
        <v>94</v>
      </c>
      <c r="B63" s="27" t="s">
        <v>199</v>
      </c>
      <c r="C63" s="27"/>
      <c r="D63" s="27" t="s">
        <v>136</v>
      </c>
      <c r="E63" s="27" t="s">
        <v>270</v>
      </c>
      <c r="F63" s="27"/>
      <c r="G63" s="28"/>
      <c r="H63" s="28"/>
      <c r="I63" s="30">
        <v>511.28</v>
      </c>
      <c r="J63" s="28"/>
      <c r="K63" s="30">
        <f t="shared" si="0"/>
        <v>511.28</v>
      </c>
      <c r="L63" s="30">
        <f>2456.4+7.428</f>
        <v>2463.828</v>
      </c>
      <c r="M63" s="30"/>
      <c r="N63" s="31"/>
      <c r="O63" s="31"/>
      <c r="P63" s="32"/>
      <c r="Q63" s="33">
        <f t="shared" si="37"/>
        <v>2975.1080000000002</v>
      </c>
      <c r="R63" s="34"/>
      <c r="S63" s="45"/>
      <c r="T63" s="75">
        <v>100</v>
      </c>
      <c r="U63" s="75">
        <f>Q63*4.9%</f>
        <v>145.780292</v>
      </c>
      <c r="V63" s="75">
        <f>Q63*1%</f>
        <v>29.751080000000002</v>
      </c>
      <c r="W63" s="45"/>
      <c r="X63" s="36"/>
      <c r="Y63" s="36"/>
      <c r="Z63" s="35"/>
      <c r="AA63" s="35">
        <v>0</v>
      </c>
      <c r="AB63" s="33">
        <f t="shared" si="10"/>
        <v>2699.5766280000003</v>
      </c>
      <c r="AC63" s="37">
        <f t="shared" si="4"/>
        <v>0</v>
      </c>
      <c r="AD63" s="33">
        <f t="shared" si="3"/>
        <v>2699.5766280000003</v>
      </c>
      <c r="AE63" s="38">
        <f t="shared" si="5"/>
        <v>297.51080000000002</v>
      </c>
      <c r="AF63" s="37">
        <v>10.23</v>
      </c>
      <c r="AG63" s="37">
        <f t="shared" si="6"/>
        <v>145.780292</v>
      </c>
      <c r="AH63" s="67">
        <f t="shared" si="7"/>
        <v>3428.6290920000001</v>
      </c>
      <c r="AI63" s="103"/>
      <c r="AJ63" s="103"/>
      <c r="AK63" s="103"/>
      <c r="AL63" s="39"/>
      <c r="AM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</row>
    <row r="64" spans="1:193">
      <c r="A64" s="27" t="s">
        <v>71</v>
      </c>
      <c r="B64" s="27" t="s">
        <v>287</v>
      </c>
      <c r="C64" s="27" t="s">
        <v>254</v>
      </c>
      <c r="D64" s="27" t="s">
        <v>157</v>
      </c>
      <c r="E64" s="27" t="s">
        <v>73</v>
      </c>
      <c r="F64" s="27"/>
      <c r="G64" s="28"/>
      <c r="H64" s="28"/>
      <c r="I64" s="30">
        <v>513.33000000000004</v>
      </c>
      <c r="J64" s="28">
        <v>513.33000000000004</v>
      </c>
      <c r="K64" s="30">
        <f t="shared" si="0"/>
        <v>1026.6600000000001</v>
      </c>
      <c r="L64" s="30">
        <v>2571.61</v>
      </c>
      <c r="M64" s="30"/>
      <c r="N64" s="31"/>
      <c r="O64" s="31"/>
      <c r="P64" s="32"/>
      <c r="Q64" s="33">
        <f t="shared" si="37"/>
        <v>3598.2700000000004</v>
      </c>
      <c r="R64" s="34"/>
      <c r="S64" s="45"/>
      <c r="T64" s="45">
        <v>0</v>
      </c>
      <c r="U64" s="45"/>
      <c r="V64" s="45"/>
      <c r="W64" s="45"/>
      <c r="X64" s="36"/>
      <c r="Y64" s="36"/>
      <c r="Z64" s="35"/>
      <c r="AA64" s="35">
        <v>0</v>
      </c>
      <c r="AB64" s="33">
        <f t="shared" si="10"/>
        <v>3598.2700000000004</v>
      </c>
      <c r="AC64" s="37">
        <f t="shared" si="4"/>
        <v>359.82700000000006</v>
      </c>
      <c r="AD64" s="33">
        <f t="shared" si="3"/>
        <v>3238.4430000000002</v>
      </c>
      <c r="AE64" s="38">
        <f t="shared" si="5"/>
        <v>0</v>
      </c>
      <c r="AF64" s="37">
        <v>10.23</v>
      </c>
      <c r="AG64" s="37">
        <f t="shared" si="6"/>
        <v>0</v>
      </c>
      <c r="AH64" s="67">
        <f t="shared" si="7"/>
        <v>3608.5000000000005</v>
      </c>
      <c r="AI64" s="103"/>
      <c r="AJ64" s="103"/>
      <c r="AK64" s="103"/>
      <c r="AL64" s="39"/>
      <c r="AM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  <c r="FM64" s="39"/>
      <c r="FN64" s="39"/>
      <c r="FO64" s="39"/>
      <c r="FP64" s="39"/>
      <c r="FQ64" s="39"/>
      <c r="FR64" s="39"/>
      <c r="FS64" s="39"/>
      <c r="FT64" s="39"/>
      <c r="FU64" s="39"/>
      <c r="FV64" s="39"/>
      <c r="FW64" s="39"/>
      <c r="FX64" s="39"/>
      <c r="FY64" s="39"/>
      <c r="FZ64" s="39"/>
      <c r="GA64" s="39"/>
      <c r="GB64" s="39"/>
      <c r="GC64" s="39"/>
      <c r="GD64" s="39"/>
      <c r="GE64" s="39"/>
      <c r="GF64" s="39"/>
      <c r="GG64" s="39"/>
      <c r="GH64" s="39"/>
      <c r="GI64" s="39"/>
      <c r="GJ64" s="39"/>
      <c r="GK64" s="39"/>
    </row>
    <row r="65" spans="1:193">
      <c r="A65" s="62" t="s">
        <v>92</v>
      </c>
      <c r="B65" s="27" t="s">
        <v>78</v>
      </c>
      <c r="C65" s="27"/>
      <c r="D65" s="27" t="s">
        <v>104</v>
      </c>
      <c r="E65" s="27" t="s">
        <v>164</v>
      </c>
      <c r="F65" s="27"/>
      <c r="G65" s="27"/>
      <c r="H65" s="28"/>
      <c r="I65" s="30">
        <v>739.23</v>
      </c>
      <c r="J65" s="28"/>
      <c r="K65" s="30">
        <f t="shared" si="0"/>
        <v>739.23</v>
      </c>
      <c r="L65" s="30">
        <f>5054.4+13.099</f>
        <v>5067.4989999999998</v>
      </c>
      <c r="M65" s="30"/>
      <c r="N65" s="42"/>
      <c r="O65" s="31"/>
      <c r="P65" s="32"/>
      <c r="Q65" s="33">
        <f t="shared" si="37"/>
        <v>5806.7289999999994</v>
      </c>
      <c r="R65" s="34"/>
      <c r="S65" s="45"/>
      <c r="T65" s="45">
        <v>0</v>
      </c>
      <c r="U65" s="45"/>
      <c r="V65" s="45"/>
      <c r="W65" s="45"/>
      <c r="X65" s="36"/>
      <c r="Y65" s="36"/>
      <c r="Z65" s="35"/>
      <c r="AA65" s="35">
        <v>0</v>
      </c>
      <c r="AB65" s="33">
        <f t="shared" si="10"/>
        <v>5806.7289999999994</v>
      </c>
      <c r="AC65" s="37">
        <f t="shared" si="4"/>
        <v>580.67289999999991</v>
      </c>
      <c r="AD65" s="33">
        <f t="shared" si="3"/>
        <v>5226.0560999999998</v>
      </c>
      <c r="AE65" s="38">
        <f t="shared" si="5"/>
        <v>0</v>
      </c>
      <c r="AF65" s="37">
        <v>10.23</v>
      </c>
      <c r="AG65" s="37">
        <f t="shared" si="6"/>
        <v>0</v>
      </c>
      <c r="AH65" s="67">
        <f t="shared" si="7"/>
        <v>5816.9589999999989</v>
      </c>
      <c r="AI65" s="103"/>
      <c r="AJ65" s="103"/>
      <c r="AK65" s="103"/>
      <c r="AL65" s="39"/>
      <c r="AM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</row>
    <row r="66" spans="1:193" s="39" customFormat="1">
      <c r="A66" s="63" t="s">
        <v>71</v>
      </c>
      <c r="B66" s="63" t="s">
        <v>303</v>
      </c>
      <c r="C66" s="63" t="s">
        <v>307</v>
      </c>
      <c r="D66" s="63"/>
      <c r="E66" s="63" t="s">
        <v>173</v>
      </c>
      <c r="F66" s="72">
        <v>42430</v>
      </c>
      <c r="G66" s="63"/>
      <c r="H66" s="63"/>
      <c r="I66" s="53">
        <v>513.33000000000004</v>
      </c>
      <c r="J66" s="63">
        <v>653.33000000000004</v>
      </c>
      <c r="K66" s="53">
        <f t="shared" si="0"/>
        <v>1166.6600000000001</v>
      </c>
      <c r="L66" s="53"/>
      <c r="M66" s="53"/>
      <c r="N66" s="118"/>
      <c r="O66" s="53"/>
      <c r="P66" s="73"/>
      <c r="Q66" s="33">
        <f t="shared" si="37"/>
        <v>1166.6600000000001</v>
      </c>
      <c r="R66" s="34"/>
      <c r="S66" s="45"/>
      <c r="T66" s="45">
        <v>0</v>
      </c>
      <c r="U66" s="45"/>
      <c r="V66" s="45"/>
      <c r="W66" s="45"/>
      <c r="X66" s="36"/>
      <c r="Y66" s="36"/>
      <c r="Z66" s="35"/>
      <c r="AA66" s="35">
        <v>0</v>
      </c>
      <c r="AB66" s="33">
        <f t="shared" ref="AB66" si="48">+Q66-SUM(R66:AA66)</f>
        <v>1166.6600000000001</v>
      </c>
      <c r="AC66" s="37">
        <f t="shared" ref="AC66" si="49">IF(Q66&gt;3500,Q66*0.1,0)</f>
        <v>0</v>
      </c>
      <c r="AD66" s="33">
        <f t="shared" ref="AD66" si="50">+AB66-AC66</f>
        <v>1166.6600000000001</v>
      </c>
      <c r="AE66" s="38">
        <f t="shared" ref="AE66" si="51">IF(Q66&lt;3500,Q66*0.1,0)</f>
        <v>116.66600000000001</v>
      </c>
      <c r="AF66" s="37">
        <v>10.23</v>
      </c>
      <c r="AG66" s="37">
        <f t="shared" ref="AG66" si="52">+U66</f>
        <v>0</v>
      </c>
      <c r="AH66" s="67">
        <f t="shared" ref="AH66" si="53">+Q66+AE66+AF66+AG66</f>
        <v>1293.556</v>
      </c>
      <c r="AI66" s="103"/>
      <c r="AJ66" s="103"/>
      <c r="AK66" s="103"/>
      <c r="AM66" s="26"/>
    </row>
    <row r="67" spans="1:193">
      <c r="A67" s="62" t="s">
        <v>92</v>
      </c>
      <c r="B67" s="27" t="s">
        <v>232</v>
      </c>
      <c r="C67" s="27"/>
      <c r="D67" s="27" t="s">
        <v>105</v>
      </c>
      <c r="E67" s="27" t="s">
        <v>163</v>
      </c>
      <c r="F67" s="27"/>
      <c r="G67" s="27"/>
      <c r="H67" s="28"/>
      <c r="I67" s="30">
        <v>739.23</v>
      </c>
      <c r="J67" s="28"/>
      <c r="K67" s="30">
        <f t="shared" si="0"/>
        <v>739.23</v>
      </c>
      <c r="L67" s="30">
        <f>2606.45+7.428</f>
        <v>2613.8779999999997</v>
      </c>
      <c r="M67" s="30"/>
      <c r="N67" s="31"/>
      <c r="O67" s="31"/>
      <c r="P67" s="32"/>
      <c r="Q67" s="33">
        <f t="shared" si="37"/>
        <v>3353.1079999999997</v>
      </c>
      <c r="R67" s="34"/>
      <c r="S67" s="45"/>
      <c r="T67" s="45">
        <v>0</v>
      </c>
      <c r="U67" s="45"/>
      <c r="V67" s="45"/>
      <c r="W67" s="45"/>
      <c r="X67" s="36"/>
      <c r="Y67" s="36"/>
      <c r="Z67" s="35"/>
      <c r="AA67" s="35">
        <v>0</v>
      </c>
      <c r="AB67" s="33">
        <f t="shared" si="10"/>
        <v>3353.1079999999997</v>
      </c>
      <c r="AC67" s="37">
        <f t="shared" si="4"/>
        <v>0</v>
      </c>
      <c r="AD67" s="33">
        <f t="shared" si="3"/>
        <v>3353.1079999999997</v>
      </c>
      <c r="AE67" s="38">
        <f t="shared" si="5"/>
        <v>335.31079999999997</v>
      </c>
      <c r="AF67" s="37">
        <v>10.23</v>
      </c>
      <c r="AG67" s="37">
        <f t="shared" si="6"/>
        <v>0</v>
      </c>
      <c r="AH67" s="67">
        <f t="shared" si="7"/>
        <v>3698.6487999999995</v>
      </c>
      <c r="AI67" s="103"/>
      <c r="AJ67" s="103"/>
      <c r="AK67" s="103"/>
      <c r="AL67" s="39"/>
      <c r="AM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</row>
    <row r="68" spans="1:193" s="84" customFormat="1">
      <c r="A68" s="63" t="s">
        <v>92</v>
      </c>
      <c r="B68" s="63" t="s">
        <v>272</v>
      </c>
      <c r="C68" s="63"/>
      <c r="D68" s="63"/>
      <c r="E68" s="63" t="s">
        <v>163</v>
      </c>
      <c r="F68" s="72">
        <v>42422</v>
      </c>
      <c r="G68" s="63"/>
      <c r="H68" s="63"/>
      <c r="I68" s="30">
        <v>739.23</v>
      </c>
      <c r="J68" s="28"/>
      <c r="K68" s="30">
        <f t="shared" ref="K68" si="54">+I68+J68</f>
        <v>739.23</v>
      </c>
      <c r="L68" s="30">
        <f>2798.615+13.099</f>
        <v>2811.7139999999999</v>
      </c>
      <c r="M68" s="30"/>
      <c r="N68" s="31"/>
      <c r="O68" s="31"/>
      <c r="P68" s="32"/>
      <c r="Q68" s="33">
        <f t="shared" ref="Q68" si="55">SUM(K68:O68)-P68</f>
        <v>3550.944</v>
      </c>
      <c r="R68" s="34"/>
      <c r="S68" s="45"/>
      <c r="T68" s="45">
        <v>0</v>
      </c>
      <c r="U68" s="45"/>
      <c r="V68" s="45"/>
      <c r="W68" s="45"/>
      <c r="X68" s="36"/>
      <c r="Y68" s="36"/>
      <c r="Z68" s="35"/>
      <c r="AA68" s="35">
        <v>0</v>
      </c>
      <c r="AB68" s="33">
        <f t="shared" ref="AB68" si="56">+Q68-SUM(R68:AA68)</f>
        <v>3550.944</v>
      </c>
      <c r="AC68" s="37">
        <f t="shared" si="4"/>
        <v>355.09440000000001</v>
      </c>
      <c r="AD68" s="33">
        <f t="shared" ref="AD68" si="57">+AB68-AC68</f>
        <v>3195.8496</v>
      </c>
      <c r="AE68" s="38">
        <f t="shared" si="5"/>
        <v>0</v>
      </c>
      <c r="AF68" s="37">
        <v>10.23</v>
      </c>
      <c r="AG68" s="37">
        <f t="shared" si="6"/>
        <v>0</v>
      </c>
      <c r="AH68" s="67">
        <f t="shared" si="7"/>
        <v>3561.174</v>
      </c>
      <c r="AI68" s="103"/>
      <c r="AJ68" s="103"/>
      <c r="AK68" s="103"/>
      <c r="AL68" s="39"/>
      <c r="AM68" s="94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</row>
    <row r="69" spans="1:193">
      <c r="A69" s="62" t="s">
        <v>94</v>
      </c>
      <c r="B69" s="27" t="s">
        <v>85</v>
      </c>
      <c r="C69" s="27"/>
      <c r="D69" s="27" t="s">
        <v>137</v>
      </c>
      <c r="E69" s="27" t="s">
        <v>181</v>
      </c>
      <c r="F69" s="27"/>
      <c r="G69" s="28"/>
      <c r="H69" s="28"/>
      <c r="I69" s="30">
        <v>608.16</v>
      </c>
      <c r="J69" s="28"/>
      <c r="K69" s="30">
        <f t="shared" si="0"/>
        <v>608.16</v>
      </c>
      <c r="L69" s="30">
        <v>1013.14</v>
      </c>
      <c r="M69" s="30"/>
      <c r="N69" s="31"/>
      <c r="O69" s="31"/>
      <c r="P69" s="32"/>
      <c r="Q69" s="33">
        <f t="shared" si="37"/>
        <v>1621.3</v>
      </c>
      <c r="R69" s="34"/>
      <c r="S69" s="45"/>
      <c r="T69" s="45"/>
      <c r="U69" s="75">
        <f>Q69*4.9%</f>
        <v>79.443700000000007</v>
      </c>
      <c r="V69" s="75">
        <f>Q69*1%</f>
        <v>16.213000000000001</v>
      </c>
      <c r="W69" s="45"/>
      <c r="X69" s="36"/>
      <c r="Y69" s="36"/>
      <c r="Z69" s="35"/>
      <c r="AA69" s="35">
        <v>0</v>
      </c>
      <c r="AB69" s="33">
        <f t="shared" si="10"/>
        <v>1525.6433</v>
      </c>
      <c r="AC69" s="37">
        <f t="shared" si="4"/>
        <v>0</v>
      </c>
      <c r="AD69" s="33">
        <f t="shared" si="3"/>
        <v>1525.6433</v>
      </c>
      <c r="AE69" s="38">
        <f t="shared" si="5"/>
        <v>162.13</v>
      </c>
      <c r="AF69" s="37">
        <v>10.23</v>
      </c>
      <c r="AG69" s="37">
        <f t="shared" si="6"/>
        <v>79.443700000000007</v>
      </c>
      <c r="AH69" s="67">
        <f t="shared" si="7"/>
        <v>1873.1036999999999</v>
      </c>
      <c r="AI69" s="103"/>
      <c r="AJ69" s="103"/>
      <c r="AK69" s="103"/>
      <c r="AL69" s="39"/>
      <c r="AM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9"/>
      <c r="DX69" s="39"/>
      <c r="DY69" s="39"/>
      <c r="DZ69" s="39"/>
      <c r="EA69" s="39"/>
      <c r="EB69" s="39"/>
      <c r="EC69" s="39"/>
      <c r="ED69" s="39"/>
      <c r="EE69" s="39"/>
      <c r="EF69" s="39"/>
      <c r="EG69" s="39"/>
      <c r="EH69" s="39"/>
      <c r="EI69" s="39"/>
      <c r="EJ69" s="39"/>
      <c r="EK69" s="39"/>
      <c r="EL69" s="39"/>
      <c r="EM69" s="39"/>
      <c r="EN69" s="39"/>
      <c r="EO69" s="39"/>
      <c r="EP69" s="39"/>
      <c r="EQ69" s="39"/>
      <c r="ER69" s="39"/>
      <c r="ES69" s="39"/>
      <c r="ET69" s="39"/>
      <c r="EU69" s="39"/>
      <c r="EV69" s="39"/>
      <c r="EW69" s="39"/>
      <c r="EX69" s="39"/>
      <c r="EY69" s="39"/>
      <c r="EZ69" s="39"/>
      <c r="FA69" s="39"/>
      <c r="FB69" s="39"/>
      <c r="FC69" s="39"/>
      <c r="FD69" s="39"/>
      <c r="FE69" s="39"/>
      <c r="FF69" s="39"/>
      <c r="FG69" s="39"/>
      <c r="FH69" s="39"/>
      <c r="FI69" s="39"/>
      <c r="FJ69" s="39"/>
      <c r="FK69" s="39"/>
      <c r="FL69" s="39"/>
      <c r="FM69" s="39"/>
      <c r="FN69" s="39"/>
      <c r="FO69" s="39"/>
      <c r="FP69" s="39"/>
      <c r="FQ69" s="39"/>
      <c r="FR69" s="39"/>
      <c r="FS69" s="39"/>
      <c r="FT69" s="39"/>
      <c r="FU69" s="39"/>
      <c r="FV69" s="39"/>
      <c r="FW69" s="39"/>
      <c r="FX69" s="39"/>
      <c r="FY69" s="39"/>
      <c r="FZ69" s="39"/>
      <c r="GA69" s="39"/>
      <c r="GB69" s="39"/>
      <c r="GC69" s="39"/>
      <c r="GD69" s="39"/>
      <c r="GE69" s="39"/>
      <c r="GF69" s="39"/>
      <c r="GG69" s="39"/>
      <c r="GH69" s="39"/>
      <c r="GI69" s="39"/>
      <c r="GJ69" s="39"/>
      <c r="GK69" s="39"/>
    </row>
    <row r="70" spans="1:193">
      <c r="A70" s="62" t="s">
        <v>94</v>
      </c>
      <c r="B70" s="27" t="s">
        <v>215</v>
      </c>
      <c r="C70" s="27"/>
      <c r="D70" s="27" t="s">
        <v>138</v>
      </c>
      <c r="E70" s="27" t="s">
        <v>181</v>
      </c>
      <c r="F70" s="27"/>
      <c r="G70" s="28"/>
      <c r="H70" s="28"/>
      <c r="I70" s="30">
        <v>608.16</v>
      </c>
      <c r="J70" s="28"/>
      <c r="K70" s="30">
        <f t="shared" si="0"/>
        <v>608.16</v>
      </c>
      <c r="L70" s="30">
        <f>3342.37+5.571</f>
        <v>3347.9409999999998</v>
      </c>
      <c r="M70" s="30"/>
      <c r="N70" s="31"/>
      <c r="O70" s="31"/>
      <c r="P70" s="32"/>
      <c r="Q70" s="33">
        <f t="shared" si="37"/>
        <v>3956.1009999999997</v>
      </c>
      <c r="R70" s="34"/>
      <c r="S70" s="45"/>
      <c r="T70" s="75">
        <v>200</v>
      </c>
      <c r="U70" s="75">
        <f>Q70*4.9%</f>
        <v>193.848949</v>
      </c>
      <c r="V70" s="75">
        <f>Q70*1%</f>
        <v>39.561009999999996</v>
      </c>
      <c r="W70" s="75">
        <v>321.74</v>
      </c>
      <c r="X70" s="36"/>
      <c r="Y70" s="36"/>
      <c r="Z70" s="35"/>
      <c r="AA70" s="35">
        <v>0</v>
      </c>
      <c r="AB70" s="33">
        <f t="shared" si="10"/>
        <v>3200.9510409999993</v>
      </c>
      <c r="AC70" s="37">
        <f t="shared" si="4"/>
        <v>395.61009999999999</v>
      </c>
      <c r="AD70" s="33">
        <f t="shared" si="3"/>
        <v>2805.3409409999995</v>
      </c>
      <c r="AE70" s="38">
        <f t="shared" si="5"/>
        <v>0</v>
      </c>
      <c r="AF70" s="37">
        <v>10.23</v>
      </c>
      <c r="AG70" s="37">
        <f t="shared" si="6"/>
        <v>193.848949</v>
      </c>
      <c r="AH70" s="67">
        <f t="shared" si="7"/>
        <v>4160.1799489999994</v>
      </c>
      <c r="AI70" s="103"/>
      <c r="AJ70" s="103"/>
      <c r="AK70" s="103"/>
      <c r="AL70" s="39"/>
      <c r="AM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</row>
    <row r="71" spans="1:193">
      <c r="A71" s="62" t="s">
        <v>94</v>
      </c>
      <c r="B71" s="27" t="s">
        <v>195</v>
      </c>
      <c r="C71" s="27"/>
      <c r="D71" s="27" t="s">
        <v>140</v>
      </c>
      <c r="E71" s="27" t="s">
        <v>174</v>
      </c>
      <c r="F71" s="27"/>
      <c r="G71" s="28"/>
      <c r="H71" s="28"/>
      <c r="I71" s="30">
        <v>608.16</v>
      </c>
      <c r="J71" s="28"/>
      <c r="K71" s="30">
        <f t="shared" si="0"/>
        <v>608.16</v>
      </c>
      <c r="L71" s="30">
        <v>442.3</v>
      </c>
      <c r="M71" s="30"/>
      <c r="N71" s="31"/>
      <c r="O71" s="31"/>
      <c r="P71" s="32"/>
      <c r="Q71" s="33">
        <f t="shared" si="37"/>
        <v>1050.46</v>
      </c>
      <c r="R71" s="34"/>
      <c r="S71" s="45"/>
      <c r="T71" s="45">
        <v>0</v>
      </c>
      <c r="U71" s="75">
        <f>Q71*4.9%</f>
        <v>51.472540000000002</v>
      </c>
      <c r="V71" s="75">
        <f>Q71*1%</f>
        <v>10.5046</v>
      </c>
      <c r="W71" s="45"/>
      <c r="X71" s="36"/>
      <c r="Y71" s="36"/>
      <c r="Z71" s="35"/>
      <c r="AA71" s="35">
        <v>0</v>
      </c>
      <c r="AB71" s="33">
        <f t="shared" si="10"/>
        <v>988.48286000000007</v>
      </c>
      <c r="AC71" s="37">
        <f t="shared" si="4"/>
        <v>0</v>
      </c>
      <c r="AD71" s="33">
        <f t="shared" si="3"/>
        <v>988.48286000000007</v>
      </c>
      <c r="AE71" s="38">
        <f t="shared" si="5"/>
        <v>105.04600000000001</v>
      </c>
      <c r="AF71" s="37">
        <v>10.23</v>
      </c>
      <c r="AG71" s="37">
        <f t="shared" si="6"/>
        <v>51.472540000000002</v>
      </c>
      <c r="AH71" s="67">
        <f t="shared" si="7"/>
        <v>1217.2085400000001</v>
      </c>
      <c r="AI71" s="103"/>
      <c r="AJ71" s="103"/>
      <c r="AK71" s="103"/>
      <c r="AL71" s="39"/>
      <c r="AM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</row>
    <row r="72" spans="1:193">
      <c r="A72" s="27" t="s">
        <v>71</v>
      </c>
      <c r="B72" s="27" t="s">
        <v>310</v>
      </c>
      <c r="C72" s="27"/>
      <c r="D72" s="27"/>
      <c r="E72" s="27" t="s">
        <v>73</v>
      </c>
      <c r="F72" s="68">
        <v>42443</v>
      </c>
      <c r="G72" s="28"/>
      <c r="H72" s="28"/>
      <c r="I72" s="30">
        <v>333.33</v>
      </c>
      <c r="J72" s="28"/>
      <c r="K72" s="30">
        <f t="shared" si="0"/>
        <v>333.33</v>
      </c>
      <c r="L72" s="30"/>
      <c r="M72" s="30"/>
      <c r="N72" s="31"/>
      <c r="O72" s="31"/>
      <c r="P72" s="32"/>
      <c r="Q72" s="33">
        <f t="shared" si="37"/>
        <v>333.33</v>
      </c>
      <c r="R72" s="34"/>
      <c r="S72" s="45"/>
      <c r="T72" s="45"/>
      <c r="U72" s="75"/>
      <c r="V72" s="75"/>
      <c r="W72" s="45"/>
      <c r="X72" s="36"/>
      <c r="Y72" s="36"/>
      <c r="Z72" s="35"/>
      <c r="AA72" s="35"/>
      <c r="AB72" s="33">
        <f t="shared" ref="AB72" si="58">+Q72-SUM(R72:AA72)</f>
        <v>333.33</v>
      </c>
      <c r="AC72" s="37">
        <f t="shared" ref="AC72" si="59">IF(Q72&gt;3500,Q72*0.1,0)</f>
        <v>0</v>
      </c>
      <c r="AD72" s="33">
        <f t="shared" ref="AD72" si="60">+AB72-AC72</f>
        <v>333.33</v>
      </c>
      <c r="AE72" s="38">
        <f t="shared" ref="AE72" si="61">IF(Q72&lt;3500,Q72*0.1,0)</f>
        <v>33.332999999999998</v>
      </c>
      <c r="AF72" s="37">
        <v>10.23</v>
      </c>
      <c r="AG72" s="37">
        <f t="shared" ref="AG72" si="62">+U72</f>
        <v>0</v>
      </c>
      <c r="AH72" s="67">
        <f t="shared" ref="AH72" si="63">+Q72+AE72+AF72+AG72</f>
        <v>376.89300000000003</v>
      </c>
      <c r="AI72" s="103"/>
      <c r="AJ72" s="103"/>
      <c r="AK72" s="103"/>
      <c r="AL72" s="39"/>
      <c r="AM72" s="125" t="s">
        <v>314</v>
      </c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</row>
    <row r="73" spans="1:193">
      <c r="A73" s="27" t="s">
        <v>91</v>
      </c>
      <c r="B73" s="27" t="s">
        <v>244</v>
      </c>
      <c r="C73" s="27"/>
      <c r="D73" s="27" t="s">
        <v>117</v>
      </c>
      <c r="E73" s="27" t="s">
        <v>171</v>
      </c>
      <c r="F73" s="27"/>
      <c r="G73" s="27"/>
      <c r="H73" s="27"/>
      <c r="I73" s="30">
        <v>577.38</v>
      </c>
      <c r="J73" s="106">
        <v>1047.6199999999999</v>
      </c>
      <c r="K73" s="30">
        <f t="shared" si="0"/>
        <v>1625</v>
      </c>
      <c r="L73" s="30"/>
      <c r="M73" s="30"/>
      <c r="N73" s="30"/>
      <c r="O73" s="30"/>
      <c r="P73" s="32"/>
      <c r="Q73" s="33">
        <f t="shared" si="37"/>
        <v>1625</v>
      </c>
      <c r="R73" s="34"/>
      <c r="S73" s="45"/>
      <c r="T73" s="45">
        <v>0</v>
      </c>
      <c r="U73" s="45"/>
      <c r="V73" s="45"/>
      <c r="W73" s="45"/>
      <c r="X73" s="36"/>
      <c r="Y73" s="36"/>
      <c r="Z73" s="35"/>
      <c r="AA73" s="35">
        <v>0</v>
      </c>
      <c r="AB73" s="33">
        <f t="shared" si="10"/>
        <v>1625</v>
      </c>
      <c r="AC73" s="37">
        <f t="shared" si="4"/>
        <v>0</v>
      </c>
      <c r="AD73" s="33">
        <f t="shared" si="3"/>
        <v>1625</v>
      </c>
      <c r="AE73" s="38">
        <f t="shared" si="5"/>
        <v>162.5</v>
      </c>
      <c r="AF73" s="37">
        <v>10.23</v>
      </c>
      <c r="AG73" s="37">
        <f t="shared" si="6"/>
        <v>0</v>
      </c>
      <c r="AH73" s="67">
        <f t="shared" si="7"/>
        <v>1797.73</v>
      </c>
      <c r="AI73" s="103"/>
      <c r="AJ73" s="103"/>
      <c r="AK73" s="103"/>
      <c r="AL73" s="39"/>
      <c r="AM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</row>
    <row r="74" spans="1:193" s="61" customFormat="1">
      <c r="A74" s="62" t="s">
        <v>92</v>
      </c>
      <c r="B74" s="63" t="s">
        <v>201</v>
      </c>
      <c r="C74" s="63"/>
      <c r="D74" s="63"/>
      <c r="E74" s="63" t="s">
        <v>163</v>
      </c>
      <c r="F74" s="72">
        <v>42416</v>
      </c>
      <c r="G74" s="63"/>
      <c r="H74" s="63"/>
      <c r="I74" s="53">
        <v>739.23</v>
      </c>
      <c r="J74" s="63"/>
      <c r="K74" s="53">
        <f t="shared" si="0"/>
        <v>739.23</v>
      </c>
      <c r="L74" s="53">
        <v>1850.31</v>
      </c>
      <c r="M74" s="53"/>
      <c r="N74" s="53"/>
      <c r="O74" s="53"/>
      <c r="P74" s="32"/>
      <c r="Q74" s="33">
        <f t="shared" ref="Q74" si="64">SUM(K74:O74)-P74</f>
        <v>2589.54</v>
      </c>
      <c r="R74" s="34"/>
      <c r="S74" s="45"/>
      <c r="T74" s="45">
        <v>0</v>
      </c>
      <c r="U74" s="45"/>
      <c r="V74" s="45"/>
      <c r="W74" s="45"/>
      <c r="X74" s="36"/>
      <c r="Y74" s="36"/>
      <c r="Z74" s="35"/>
      <c r="AA74" s="35">
        <v>0</v>
      </c>
      <c r="AB74" s="33">
        <f t="shared" ref="AB74" si="65">+Q74-SUM(R74:AA74)</f>
        <v>2589.54</v>
      </c>
      <c r="AC74" s="37">
        <f t="shared" si="4"/>
        <v>0</v>
      </c>
      <c r="AD74" s="33">
        <f t="shared" ref="AD74" si="66">+AB74-AC74</f>
        <v>2589.54</v>
      </c>
      <c r="AE74" s="38">
        <f t="shared" si="5"/>
        <v>258.95400000000001</v>
      </c>
      <c r="AF74" s="37">
        <v>10.23</v>
      </c>
      <c r="AG74" s="37">
        <f t="shared" si="6"/>
        <v>0</v>
      </c>
      <c r="AH74" s="67">
        <f t="shared" si="7"/>
        <v>2858.7240000000002</v>
      </c>
      <c r="AI74" s="103"/>
      <c r="AJ74" s="103"/>
      <c r="AK74" s="103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  <c r="FT74" s="39"/>
      <c r="FU74" s="39"/>
      <c r="FV74" s="39"/>
      <c r="FW74" s="39"/>
      <c r="FX74" s="39"/>
      <c r="FY74" s="39"/>
      <c r="FZ74" s="39"/>
      <c r="GA74" s="39"/>
      <c r="GB74" s="39"/>
      <c r="GC74" s="39"/>
      <c r="GD74" s="39"/>
      <c r="GE74" s="39"/>
      <c r="GF74" s="39"/>
      <c r="GG74" s="39"/>
      <c r="GH74" s="39"/>
      <c r="GI74" s="39"/>
      <c r="GJ74" s="39"/>
      <c r="GK74" s="39"/>
    </row>
    <row r="75" spans="1:193">
      <c r="A75" s="62" t="s">
        <v>94</v>
      </c>
      <c r="B75" s="27" t="s">
        <v>214</v>
      </c>
      <c r="C75" s="27"/>
      <c r="D75" s="27" t="s">
        <v>139</v>
      </c>
      <c r="E75" s="27" t="s">
        <v>182</v>
      </c>
      <c r="F75" s="27"/>
      <c r="G75" s="28"/>
      <c r="H75" s="28"/>
      <c r="I75" s="30">
        <v>511.28</v>
      </c>
      <c r="J75" s="28"/>
      <c r="K75" s="30">
        <f>+I75+J75</f>
        <v>511.28</v>
      </c>
      <c r="L75" s="30">
        <f>3316.14+7.428</f>
        <v>3323.5679999999998</v>
      </c>
      <c r="M75" s="30"/>
      <c r="N75" s="31"/>
      <c r="O75" s="31"/>
      <c r="P75" s="32"/>
      <c r="Q75" s="33">
        <f>SUM(K75:O75)-P75</f>
        <v>3834.848</v>
      </c>
      <c r="R75" s="34"/>
      <c r="S75" s="45"/>
      <c r="T75" s="75">
        <v>300</v>
      </c>
      <c r="U75" s="45"/>
      <c r="V75" s="45"/>
      <c r="W75" s="45"/>
      <c r="X75" s="36"/>
      <c r="Y75" s="36"/>
      <c r="Z75" s="35"/>
      <c r="AA75" s="35">
        <f>831.77+139.91</f>
        <v>971.68</v>
      </c>
      <c r="AB75" s="33">
        <f>+Q75-SUM(R75:AA75)</f>
        <v>2563.1680000000001</v>
      </c>
      <c r="AC75" s="37">
        <f>IF(Q75&gt;3500,Q75*0.1,0)</f>
        <v>383.48480000000001</v>
      </c>
      <c r="AD75" s="33">
        <f>+AB75-AC75</f>
        <v>2179.6831999999999</v>
      </c>
      <c r="AE75" s="38">
        <f>IF(Q75&lt;3500,Q75*0.1,0)</f>
        <v>0</v>
      </c>
      <c r="AF75" s="37">
        <v>10.23</v>
      </c>
      <c r="AG75" s="37">
        <f>+U75</f>
        <v>0</v>
      </c>
      <c r="AH75" s="67">
        <f>+Q75+AE75+AF75+AG75</f>
        <v>3845.078</v>
      </c>
      <c r="AI75" s="103"/>
      <c r="AJ75" s="103"/>
      <c r="AK75" s="103"/>
      <c r="AL75" s="39"/>
      <c r="AM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</row>
    <row r="76" spans="1:193">
      <c r="A76" s="27" t="s">
        <v>91</v>
      </c>
      <c r="B76" s="27" t="s">
        <v>239</v>
      </c>
      <c r="C76" s="27"/>
      <c r="D76" s="27" t="s">
        <v>99</v>
      </c>
      <c r="E76" s="27" t="s">
        <v>72</v>
      </c>
      <c r="F76" s="27"/>
      <c r="G76" s="27"/>
      <c r="H76" s="27"/>
      <c r="I76" s="30">
        <v>1166.26</v>
      </c>
      <c r="J76" s="29"/>
      <c r="K76" s="30">
        <f t="shared" ref="K76:K97" si="67">+I76+J76</f>
        <v>1166.26</v>
      </c>
      <c r="L76" s="30">
        <v>4505.33</v>
      </c>
      <c r="M76" s="30"/>
      <c r="N76" s="30"/>
      <c r="O76" s="30"/>
      <c r="P76" s="32"/>
      <c r="Q76" s="33">
        <f t="shared" ref="Q76:Q91" si="68">SUM(K76:O76)-P76</f>
        <v>5671.59</v>
      </c>
      <c r="R76" s="34"/>
      <c r="S76" s="45"/>
      <c r="T76" s="45">
        <v>0</v>
      </c>
      <c r="U76" s="45"/>
      <c r="V76" s="45"/>
      <c r="W76" s="45"/>
      <c r="X76" s="36"/>
      <c r="Y76" s="36"/>
      <c r="Z76" s="35"/>
      <c r="AA76" s="35">
        <v>0</v>
      </c>
      <c r="AB76" s="33">
        <f t="shared" si="10"/>
        <v>5671.59</v>
      </c>
      <c r="AC76" s="37">
        <f t="shared" ref="AC76:AC98" si="69">IF(Q76&gt;3500,Q76*0.1,0)</f>
        <v>567.15899999999999</v>
      </c>
      <c r="AD76" s="33">
        <f t="shared" ref="AD76:AD94" si="70">+AB76-AC76</f>
        <v>5104.4310000000005</v>
      </c>
      <c r="AE76" s="38">
        <f t="shared" ref="AE76:AE98" si="71">IF(Q76&lt;3500,Q76*0.1,0)</f>
        <v>0</v>
      </c>
      <c r="AF76" s="37">
        <v>10.23</v>
      </c>
      <c r="AG76" s="37">
        <f t="shared" ref="AG76:AG98" si="72">+U76</f>
        <v>0</v>
      </c>
      <c r="AH76" s="67">
        <f t="shared" ref="AH76:AH98" si="73">+Q76+AE76+AF76+AG76</f>
        <v>5681.82</v>
      </c>
      <c r="AI76" s="103"/>
      <c r="AJ76" s="103"/>
      <c r="AK76" s="103"/>
      <c r="AL76" s="39"/>
      <c r="AM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</row>
    <row r="77" spans="1:193">
      <c r="A77" s="27" t="s">
        <v>93</v>
      </c>
      <c r="B77" s="27" t="s">
        <v>298</v>
      </c>
      <c r="C77" s="27"/>
      <c r="D77" s="27" t="s">
        <v>119</v>
      </c>
      <c r="E77" s="27" t="s">
        <v>168</v>
      </c>
      <c r="F77" s="27"/>
      <c r="G77" s="27"/>
      <c r="H77" s="27"/>
      <c r="I77" s="30">
        <v>1100</v>
      </c>
      <c r="J77" s="27"/>
      <c r="K77" s="30">
        <f t="shared" si="67"/>
        <v>1100</v>
      </c>
      <c r="L77" s="30"/>
      <c r="M77" s="30"/>
      <c r="N77" s="30"/>
      <c r="O77" s="30"/>
      <c r="P77" s="32"/>
      <c r="Q77" s="33">
        <f t="shared" si="68"/>
        <v>1100</v>
      </c>
      <c r="R77" s="34"/>
      <c r="S77" s="45"/>
      <c r="T77" s="45">
        <v>0</v>
      </c>
      <c r="U77" s="45"/>
      <c r="V77" s="45"/>
      <c r="W77" s="45"/>
      <c r="X77" s="36"/>
      <c r="Y77" s="36"/>
      <c r="Z77" s="35"/>
      <c r="AA77" s="35">
        <v>0</v>
      </c>
      <c r="AB77" s="33">
        <f t="shared" si="10"/>
        <v>1100</v>
      </c>
      <c r="AC77" s="37">
        <f t="shared" si="69"/>
        <v>0</v>
      </c>
      <c r="AD77" s="33">
        <f t="shared" si="70"/>
        <v>1100</v>
      </c>
      <c r="AE77" s="38">
        <f t="shared" si="71"/>
        <v>110</v>
      </c>
      <c r="AF77" s="37">
        <v>10.23</v>
      </c>
      <c r="AG77" s="37">
        <f t="shared" si="72"/>
        <v>0</v>
      </c>
      <c r="AH77" s="67">
        <f t="shared" si="73"/>
        <v>1220.23</v>
      </c>
      <c r="AI77" s="103"/>
      <c r="AJ77" s="103"/>
      <c r="AK77" s="103"/>
      <c r="AL77" s="39"/>
      <c r="AM77" s="39"/>
      <c r="AN77" s="111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</row>
    <row r="78" spans="1:193">
      <c r="A78" s="27" t="s">
        <v>71</v>
      </c>
      <c r="B78" s="27" t="s">
        <v>89</v>
      </c>
      <c r="C78" s="27" t="s">
        <v>249</v>
      </c>
      <c r="D78" s="27" t="s">
        <v>158</v>
      </c>
      <c r="E78" s="27" t="s">
        <v>73</v>
      </c>
      <c r="F78" s="27"/>
      <c r="G78" s="28"/>
      <c r="H78" s="28"/>
      <c r="I78" s="30">
        <v>513.33000000000004</v>
      </c>
      <c r="J78" s="28">
        <v>513.33000000000004</v>
      </c>
      <c r="K78" s="30">
        <f t="shared" si="67"/>
        <v>1026.6600000000001</v>
      </c>
      <c r="L78" s="30">
        <v>2589.62</v>
      </c>
      <c r="M78" s="30"/>
      <c r="N78" s="31"/>
      <c r="O78" s="31"/>
      <c r="P78" s="32"/>
      <c r="Q78" s="33">
        <f t="shared" si="68"/>
        <v>3616.2799999999997</v>
      </c>
      <c r="R78" s="34"/>
      <c r="S78" s="45">
        <v>58.91</v>
      </c>
      <c r="T78" s="45">
        <v>0</v>
      </c>
      <c r="U78" s="45"/>
      <c r="V78" s="45"/>
      <c r="W78" s="45"/>
      <c r="X78" s="36"/>
      <c r="Y78" s="36"/>
      <c r="Z78" s="35"/>
      <c r="AA78" s="35">
        <v>0</v>
      </c>
      <c r="AB78" s="33">
        <f t="shared" si="10"/>
        <v>3557.37</v>
      </c>
      <c r="AC78" s="37">
        <f t="shared" si="69"/>
        <v>361.62799999999999</v>
      </c>
      <c r="AD78" s="33">
        <f t="shared" si="70"/>
        <v>3195.7419999999997</v>
      </c>
      <c r="AE78" s="38">
        <f t="shared" si="71"/>
        <v>0</v>
      </c>
      <c r="AF78" s="37">
        <v>10.23</v>
      </c>
      <c r="AG78" s="37">
        <f t="shared" si="72"/>
        <v>0</v>
      </c>
      <c r="AH78" s="67">
        <f t="shared" si="73"/>
        <v>3626.5099999999998</v>
      </c>
      <c r="AI78" s="103"/>
      <c r="AJ78" s="103"/>
      <c r="AK78" s="103"/>
      <c r="AL78" s="39"/>
      <c r="AM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  <c r="EE78" s="39"/>
      <c r="EF78" s="39"/>
      <c r="EG78" s="39"/>
      <c r="EH78" s="39"/>
      <c r="EI78" s="39"/>
      <c r="EJ78" s="39"/>
      <c r="EK78" s="39"/>
      <c r="EL78" s="39"/>
      <c r="EM78" s="39"/>
      <c r="EN78" s="39"/>
      <c r="EO78" s="39"/>
      <c r="EP78" s="39"/>
      <c r="EQ78" s="39"/>
      <c r="ER78" s="39"/>
      <c r="ES78" s="39"/>
      <c r="ET78" s="39"/>
      <c r="EU78" s="39"/>
      <c r="EV78" s="39"/>
      <c r="EW78" s="39"/>
      <c r="EX78" s="39"/>
      <c r="EY78" s="39"/>
      <c r="EZ78" s="39"/>
      <c r="FA78" s="39"/>
      <c r="FB78" s="39"/>
      <c r="FC78" s="39"/>
      <c r="FD78" s="39"/>
      <c r="FE78" s="39"/>
      <c r="FF78" s="39"/>
      <c r="FG78" s="39"/>
      <c r="FH78" s="39"/>
      <c r="FI78" s="39"/>
      <c r="FJ78" s="39"/>
      <c r="FK78" s="39"/>
      <c r="FL78" s="39"/>
      <c r="FM78" s="39"/>
      <c r="FN78" s="39"/>
      <c r="FO78" s="39"/>
      <c r="FP78" s="39"/>
      <c r="FQ78" s="39"/>
      <c r="FR78" s="39"/>
      <c r="FS78" s="39"/>
      <c r="FT78" s="39"/>
      <c r="FU78" s="39"/>
      <c r="FV78" s="39"/>
      <c r="FW78" s="39"/>
      <c r="FX78" s="39"/>
      <c r="FY78" s="39"/>
      <c r="FZ78" s="39"/>
      <c r="GA78" s="39"/>
      <c r="GB78" s="39"/>
      <c r="GC78" s="39"/>
      <c r="GD78" s="39"/>
      <c r="GE78" s="39"/>
      <c r="GF78" s="39"/>
      <c r="GG78" s="39"/>
      <c r="GH78" s="39"/>
      <c r="GI78" s="39"/>
      <c r="GJ78" s="39"/>
      <c r="GK78" s="39"/>
    </row>
    <row r="79" spans="1:193">
      <c r="A79" s="62" t="s">
        <v>94</v>
      </c>
      <c r="B79" s="27" t="s">
        <v>86</v>
      </c>
      <c r="C79" s="27"/>
      <c r="D79" s="27" t="s">
        <v>141</v>
      </c>
      <c r="E79" s="27" t="s">
        <v>183</v>
      </c>
      <c r="F79" s="27"/>
      <c r="G79" s="28"/>
      <c r="H79" s="28"/>
      <c r="I79" s="30">
        <v>543.20000000000005</v>
      </c>
      <c r="J79" s="28"/>
      <c r="K79" s="30">
        <f t="shared" si="67"/>
        <v>543.20000000000005</v>
      </c>
      <c r="L79" s="30">
        <v>916</v>
      </c>
      <c r="M79" s="30"/>
      <c r="N79" s="31"/>
      <c r="O79" s="31"/>
      <c r="P79" s="32"/>
      <c r="Q79" s="33">
        <f t="shared" si="68"/>
        <v>1459.2</v>
      </c>
      <c r="R79" s="34"/>
      <c r="S79" s="45"/>
      <c r="T79" s="45">
        <v>0</v>
      </c>
      <c r="U79" s="75">
        <f>Q79*4.9%</f>
        <v>71.500799999999998</v>
      </c>
      <c r="V79" s="75">
        <f>Q79*1%</f>
        <v>14.592000000000001</v>
      </c>
      <c r="W79" s="45"/>
      <c r="X79" s="36"/>
      <c r="Y79" s="36"/>
      <c r="Z79" s="35"/>
      <c r="AA79" s="35">
        <v>0</v>
      </c>
      <c r="AB79" s="33">
        <f t="shared" si="10"/>
        <v>1373.1072000000001</v>
      </c>
      <c r="AC79" s="37">
        <f t="shared" si="69"/>
        <v>0</v>
      </c>
      <c r="AD79" s="33">
        <f t="shared" si="70"/>
        <v>1373.1072000000001</v>
      </c>
      <c r="AE79" s="38">
        <f t="shared" si="71"/>
        <v>145.92000000000002</v>
      </c>
      <c r="AF79" s="37">
        <v>10.23</v>
      </c>
      <c r="AG79" s="37">
        <f t="shared" si="72"/>
        <v>71.500799999999998</v>
      </c>
      <c r="AH79" s="67">
        <f t="shared" si="73"/>
        <v>1686.8508000000002</v>
      </c>
      <c r="AI79" s="103"/>
      <c r="AJ79" s="103"/>
      <c r="AK79" s="103"/>
      <c r="AL79" s="39"/>
      <c r="AM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39"/>
      <c r="FF79" s="39"/>
      <c r="FG79" s="39"/>
      <c r="FH79" s="39"/>
      <c r="FI79" s="39"/>
      <c r="FJ79" s="39"/>
      <c r="FK79" s="39"/>
      <c r="FL79" s="39"/>
      <c r="FM79" s="39"/>
      <c r="FN79" s="39"/>
      <c r="FO79" s="39"/>
      <c r="FP79" s="39"/>
      <c r="FQ79" s="39"/>
      <c r="FR79" s="39"/>
      <c r="FS79" s="39"/>
      <c r="FT79" s="39"/>
      <c r="FU79" s="39"/>
      <c r="FV79" s="39"/>
      <c r="FW79" s="39"/>
      <c r="FX79" s="39"/>
      <c r="FY79" s="39"/>
      <c r="FZ79" s="39"/>
      <c r="GA79" s="39"/>
      <c r="GB79" s="39"/>
      <c r="GC79" s="39"/>
      <c r="GD79" s="39"/>
      <c r="GE79" s="39"/>
      <c r="GF79" s="39"/>
      <c r="GG79" s="39"/>
      <c r="GH79" s="39"/>
      <c r="GI79" s="39"/>
      <c r="GJ79" s="39"/>
      <c r="GK79" s="39"/>
    </row>
    <row r="80" spans="1:193">
      <c r="A80" s="62" t="s">
        <v>94</v>
      </c>
      <c r="B80" s="27" t="s">
        <v>193</v>
      </c>
      <c r="C80" s="27"/>
      <c r="D80" s="27" t="s">
        <v>142</v>
      </c>
      <c r="E80" s="27" t="s">
        <v>181</v>
      </c>
      <c r="F80" s="27"/>
      <c r="G80" s="28"/>
      <c r="H80" s="28"/>
      <c r="I80" s="30">
        <v>608.16</v>
      </c>
      <c r="J80" s="28"/>
      <c r="K80" s="30">
        <f t="shared" si="67"/>
        <v>608.16</v>
      </c>
      <c r="L80" s="30">
        <f>3182.62+3.736</f>
        <v>3186.3559999999998</v>
      </c>
      <c r="M80" s="30"/>
      <c r="N80" s="31"/>
      <c r="O80" s="31"/>
      <c r="P80" s="32"/>
      <c r="Q80" s="33">
        <f t="shared" si="68"/>
        <v>3794.5159999999996</v>
      </c>
      <c r="R80" s="34"/>
      <c r="S80" s="45"/>
      <c r="T80" s="75">
        <v>200</v>
      </c>
      <c r="U80" s="75">
        <f>Q80*4.9%</f>
        <v>185.93128399999998</v>
      </c>
      <c r="V80" s="75">
        <f>Q80*1%</f>
        <v>37.945159999999994</v>
      </c>
      <c r="W80" s="75">
        <v>257.64</v>
      </c>
      <c r="X80" s="36"/>
      <c r="Y80" s="36"/>
      <c r="Z80" s="35">
        <v>201.24</v>
      </c>
      <c r="AA80" s="35">
        <v>0</v>
      </c>
      <c r="AB80" s="33">
        <f t="shared" si="10"/>
        <v>2911.7595559999995</v>
      </c>
      <c r="AC80" s="37">
        <f t="shared" si="69"/>
        <v>379.45159999999998</v>
      </c>
      <c r="AD80" s="33">
        <f t="shared" si="70"/>
        <v>2532.3079559999996</v>
      </c>
      <c r="AE80" s="38">
        <f t="shared" si="71"/>
        <v>0</v>
      </c>
      <c r="AF80" s="37">
        <v>10.23</v>
      </c>
      <c r="AG80" s="37">
        <f t="shared" si="72"/>
        <v>185.93128399999998</v>
      </c>
      <c r="AH80" s="67">
        <f t="shared" si="73"/>
        <v>3990.6772839999994</v>
      </c>
      <c r="AI80" s="103"/>
      <c r="AJ80" s="103"/>
      <c r="AK80" s="108"/>
      <c r="AL80" s="39"/>
      <c r="AM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39"/>
      <c r="GF80" s="39"/>
      <c r="GG80" s="39"/>
      <c r="GH80" s="39"/>
      <c r="GI80" s="39"/>
      <c r="GJ80" s="39"/>
      <c r="GK80" s="39"/>
    </row>
    <row r="81" spans="1:193">
      <c r="A81" s="62" t="s">
        <v>92</v>
      </c>
      <c r="B81" s="27" t="s">
        <v>211</v>
      </c>
      <c r="C81" s="27"/>
      <c r="D81" s="27" t="s">
        <v>107</v>
      </c>
      <c r="E81" s="27" t="s">
        <v>165</v>
      </c>
      <c r="F81" s="27"/>
      <c r="G81" s="27"/>
      <c r="H81" s="27"/>
      <c r="I81" s="30">
        <v>739.23</v>
      </c>
      <c r="J81" s="27"/>
      <c r="K81" s="30">
        <f t="shared" si="67"/>
        <v>739.23</v>
      </c>
      <c r="L81" s="30">
        <f>2322.36+7.428</f>
        <v>2329.788</v>
      </c>
      <c r="M81" s="30"/>
      <c r="N81" s="31"/>
      <c r="O81" s="31"/>
      <c r="P81" s="32"/>
      <c r="Q81" s="33">
        <f t="shared" si="68"/>
        <v>3069.018</v>
      </c>
      <c r="R81" s="34"/>
      <c r="S81" s="45"/>
      <c r="T81" s="75">
        <v>150</v>
      </c>
      <c r="U81" s="45"/>
      <c r="V81" s="45"/>
      <c r="W81" s="45"/>
      <c r="X81" s="36"/>
      <c r="Y81" s="36"/>
      <c r="Z81" s="35"/>
      <c r="AA81" s="35">
        <v>0</v>
      </c>
      <c r="AB81" s="33">
        <f t="shared" si="10"/>
        <v>2919.018</v>
      </c>
      <c r="AC81" s="37">
        <f t="shared" si="69"/>
        <v>0</v>
      </c>
      <c r="AD81" s="33">
        <f t="shared" si="70"/>
        <v>2919.018</v>
      </c>
      <c r="AE81" s="38">
        <f t="shared" si="71"/>
        <v>306.90180000000004</v>
      </c>
      <c r="AF81" s="37">
        <v>10.23</v>
      </c>
      <c r="AG81" s="37">
        <f t="shared" si="72"/>
        <v>0</v>
      </c>
      <c r="AH81" s="67">
        <f t="shared" si="73"/>
        <v>3386.1498000000001</v>
      </c>
      <c r="AI81" s="103"/>
      <c r="AJ81" s="103"/>
      <c r="AK81" s="103"/>
      <c r="AL81" s="39"/>
      <c r="AM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  <c r="GK81" s="39"/>
    </row>
    <row r="82" spans="1:193">
      <c r="A82" s="27" t="s">
        <v>93</v>
      </c>
      <c r="B82" s="27" t="s">
        <v>309</v>
      </c>
      <c r="C82" s="27"/>
      <c r="D82" s="27" t="s">
        <v>120</v>
      </c>
      <c r="E82" s="27" t="s">
        <v>171</v>
      </c>
      <c r="F82" s="27"/>
      <c r="G82" s="28"/>
      <c r="H82" s="28"/>
      <c r="I82" s="30">
        <v>577.38</v>
      </c>
      <c r="J82" s="106">
        <v>1047.6199999999999</v>
      </c>
      <c r="K82" s="30">
        <f t="shared" si="67"/>
        <v>1625</v>
      </c>
      <c r="L82" s="30">
        <v>218</v>
      </c>
      <c r="M82" s="30"/>
      <c r="N82" s="31"/>
      <c r="O82" s="31"/>
      <c r="P82" s="32"/>
      <c r="Q82" s="33">
        <f t="shared" si="68"/>
        <v>1843</v>
      </c>
      <c r="R82" s="34"/>
      <c r="S82" s="45"/>
      <c r="T82" s="45">
        <v>0</v>
      </c>
      <c r="U82" s="45"/>
      <c r="V82" s="45"/>
      <c r="W82" s="45"/>
      <c r="X82" s="36"/>
      <c r="Y82" s="36"/>
      <c r="Z82" s="35"/>
      <c r="AA82" s="35">
        <f>355.65</f>
        <v>355.65</v>
      </c>
      <c r="AB82" s="33">
        <f t="shared" ref="AB82:AB91" si="74">+Q82-SUM(R82:AA82)</f>
        <v>1487.35</v>
      </c>
      <c r="AC82" s="37">
        <f t="shared" si="69"/>
        <v>0</v>
      </c>
      <c r="AD82" s="33">
        <f t="shared" si="70"/>
        <v>1487.35</v>
      </c>
      <c r="AE82" s="38">
        <f t="shared" si="71"/>
        <v>184.3</v>
      </c>
      <c r="AF82" s="37">
        <v>10.23</v>
      </c>
      <c r="AG82" s="37">
        <f t="shared" si="72"/>
        <v>0</v>
      </c>
      <c r="AH82" s="67">
        <f t="shared" si="73"/>
        <v>2037.53</v>
      </c>
      <c r="AI82" s="103"/>
      <c r="AJ82" s="103"/>
      <c r="AK82" s="103"/>
      <c r="AL82" s="39"/>
      <c r="AM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</row>
    <row r="83" spans="1:193" s="61" customFormat="1">
      <c r="A83" s="63" t="s">
        <v>93</v>
      </c>
      <c r="B83" s="63" t="s">
        <v>286</v>
      </c>
      <c r="C83" s="63"/>
      <c r="D83" s="63"/>
      <c r="E83" s="63" t="s">
        <v>171</v>
      </c>
      <c r="F83" s="72">
        <v>42410</v>
      </c>
      <c r="G83" s="63"/>
      <c r="H83" s="63"/>
      <c r="I83" s="30">
        <v>577.38</v>
      </c>
      <c r="J83" s="106">
        <v>939.29</v>
      </c>
      <c r="K83" s="53">
        <f t="shared" si="67"/>
        <v>1516.67</v>
      </c>
      <c r="L83" s="53"/>
      <c r="M83" s="53"/>
      <c r="N83" s="53"/>
      <c r="O83" s="53"/>
      <c r="P83" s="32"/>
      <c r="Q83" s="33">
        <f t="shared" ref="Q83" si="75">SUM(K83:O83)-P83</f>
        <v>1516.67</v>
      </c>
      <c r="R83" s="34"/>
      <c r="S83" s="45"/>
      <c r="T83" s="45">
        <v>0</v>
      </c>
      <c r="U83" s="45"/>
      <c r="V83" s="45"/>
      <c r="W83" s="45"/>
      <c r="X83" s="36"/>
      <c r="Y83" s="36"/>
      <c r="Z83" s="35"/>
      <c r="AA83" s="35"/>
      <c r="AB83" s="33">
        <f t="shared" ref="AB83" si="76">+Q83-SUM(R83:AA83)</f>
        <v>1516.67</v>
      </c>
      <c r="AC83" s="37">
        <f t="shared" si="69"/>
        <v>0</v>
      </c>
      <c r="AD83" s="33">
        <f t="shared" ref="AD83" si="77">+AB83-AC83</f>
        <v>1516.67</v>
      </c>
      <c r="AE83" s="38">
        <f t="shared" si="71"/>
        <v>151.667</v>
      </c>
      <c r="AF83" s="37">
        <v>10.23</v>
      </c>
      <c r="AG83" s="37">
        <f t="shared" si="72"/>
        <v>0</v>
      </c>
      <c r="AH83" s="67">
        <f t="shared" si="73"/>
        <v>1678.567</v>
      </c>
      <c r="AI83" s="103"/>
      <c r="AJ83" s="103"/>
      <c r="AK83" s="103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39"/>
      <c r="EE83" s="39"/>
      <c r="EF83" s="39"/>
      <c r="EG83" s="39"/>
      <c r="EH83" s="39"/>
      <c r="EI83" s="39"/>
      <c r="EJ83" s="39"/>
      <c r="EK83" s="39"/>
      <c r="EL83" s="39"/>
      <c r="EM83" s="39"/>
      <c r="EN83" s="39"/>
      <c r="EO83" s="39"/>
      <c r="EP83" s="39"/>
      <c r="EQ83" s="39"/>
      <c r="ER83" s="39"/>
      <c r="ES83" s="39"/>
      <c r="ET83" s="39"/>
      <c r="EU83" s="39"/>
      <c r="EV83" s="39"/>
      <c r="EW83" s="39"/>
      <c r="EX83" s="39"/>
      <c r="EY83" s="39"/>
      <c r="EZ83" s="39"/>
      <c r="FA83" s="39"/>
      <c r="FB83" s="39"/>
      <c r="FC83" s="39"/>
      <c r="FD83" s="39"/>
      <c r="FE83" s="39"/>
      <c r="FF83" s="39"/>
      <c r="FG83" s="39"/>
      <c r="FH83" s="39"/>
      <c r="FI83" s="39"/>
      <c r="FJ83" s="39"/>
      <c r="FK83" s="39"/>
      <c r="FL83" s="39"/>
      <c r="FM83" s="39"/>
      <c r="FN83" s="39"/>
      <c r="FO83" s="39"/>
      <c r="FP83" s="39"/>
      <c r="FQ83" s="39"/>
      <c r="FR83" s="39"/>
      <c r="FS83" s="39"/>
      <c r="FT83" s="39"/>
      <c r="FU83" s="39"/>
      <c r="FV83" s="39"/>
      <c r="FW83" s="39"/>
      <c r="FX83" s="39"/>
      <c r="FY83" s="39"/>
      <c r="FZ83" s="39"/>
      <c r="GA83" s="39"/>
      <c r="GB83" s="39"/>
      <c r="GC83" s="39"/>
      <c r="GD83" s="39"/>
      <c r="GE83" s="39"/>
      <c r="GF83" s="39"/>
      <c r="GG83" s="39"/>
      <c r="GH83" s="39"/>
      <c r="GI83" s="39"/>
      <c r="GJ83" s="39"/>
      <c r="GK83" s="39"/>
    </row>
    <row r="84" spans="1:193">
      <c r="A84" s="62" t="s">
        <v>92</v>
      </c>
      <c r="B84" s="27" t="s">
        <v>271</v>
      </c>
      <c r="C84" s="27"/>
      <c r="D84" s="27" t="s">
        <v>106</v>
      </c>
      <c r="E84" s="27" t="s">
        <v>163</v>
      </c>
      <c r="F84" s="27"/>
      <c r="G84" s="27"/>
      <c r="H84" s="27"/>
      <c r="I84" s="30">
        <v>739.23</v>
      </c>
      <c r="J84" s="27"/>
      <c r="K84" s="30">
        <f t="shared" si="67"/>
        <v>739.23</v>
      </c>
      <c r="L84" s="30">
        <f>1602+7.428</f>
        <v>1609.4280000000001</v>
      </c>
      <c r="M84" s="30"/>
      <c r="N84" s="31"/>
      <c r="O84" s="31"/>
      <c r="P84" s="32"/>
      <c r="Q84" s="33">
        <f t="shared" si="68"/>
        <v>2348.6580000000004</v>
      </c>
      <c r="R84" s="34"/>
      <c r="S84" s="45"/>
      <c r="T84" s="45">
        <v>0</v>
      </c>
      <c r="U84" s="45"/>
      <c r="V84" s="45"/>
      <c r="W84" s="45"/>
      <c r="X84" s="36"/>
      <c r="Y84" s="36"/>
      <c r="Z84" s="35"/>
      <c r="AA84" s="35">
        <v>0</v>
      </c>
      <c r="AB84" s="33">
        <f t="shared" si="74"/>
        <v>2348.6580000000004</v>
      </c>
      <c r="AC84" s="37">
        <f t="shared" si="69"/>
        <v>0</v>
      </c>
      <c r="AD84" s="33">
        <f t="shared" si="70"/>
        <v>2348.6580000000004</v>
      </c>
      <c r="AE84" s="38">
        <f t="shared" si="71"/>
        <v>234.86580000000004</v>
      </c>
      <c r="AF84" s="37">
        <v>10.23</v>
      </c>
      <c r="AG84" s="37">
        <f t="shared" si="72"/>
        <v>0</v>
      </c>
      <c r="AH84" s="67">
        <f t="shared" si="73"/>
        <v>2593.7538000000004</v>
      </c>
      <c r="AI84" s="103"/>
      <c r="AJ84" s="103"/>
      <c r="AK84" s="103"/>
      <c r="AL84" s="39"/>
      <c r="AM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39"/>
      <c r="FF84" s="39"/>
      <c r="FG84" s="39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  <c r="GE84" s="39"/>
      <c r="GF84" s="39"/>
      <c r="GG84" s="39"/>
      <c r="GH84" s="39"/>
      <c r="GI84" s="39"/>
      <c r="GJ84" s="39"/>
      <c r="GK84" s="39"/>
    </row>
    <row r="85" spans="1:193">
      <c r="A85" s="62" t="s">
        <v>92</v>
      </c>
      <c r="B85" s="27" t="s">
        <v>79</v>
      </c>
      <c r="C85" s="27"/>
      <c r="D85" s="27" t="s">
        <v>108</v>
      </c>
      <c r="E85" s="27" t="s">
        <v>166</v>
      </c>
      <c r="F85" s="27"/>
      <c r="G85" s="27"/>
      <c r="H85" s="27"/>
      <c r="I85" s="30">
        <v>739.23</v>
      </c>
      <c r="J85" s="27"/>
      <c r="K85" s="30">
        <f t="shared" si="67"/>
        <v>739.23</v>
      </c>
      <c r="L85" s="30">
        <f>1913.98+13.09</f>
        <v>1927.07</v>
      </c>
      <c r="M85" s="30"/>
      <c r="N85" s="30"/>
      <c r="O85" s="30"/>
      <c r="P85" s="32"/>
      <c r="Q85" s="33">
        <f t="shared" si="68"/>
        <v>2666.3</v>
      </c>
      <c r="R85" s="34"/>
      <c r="S85" s="45"/>
      <c r="T85" s="45">
        <v>0</v>
      </c>
      <c r="U85" s="45"/>
      <c r="V85" s="45"/>
      <c r="W85" s="45"/>
      <c r="X85" s="36"/>
      <c r="Y85" s="36"/>
      <c r="Z85" s="35"/>
      <c r="AA85" s="35">
        <v>0</v>
      </c>
      <c r="AB85" s="33">
        <f t="shared" si="74"/>
        <v>2666.3</v>
      </c>
      <c r="AC85" s="37">
        <f t="shared" si="69"/>
        <v>0</v>
      </c>
      <c r="AD85" s="33">
        <f t="shared" si="70"/>
        <v>2666.3</v>
      </c>
      <c r="AE85" s="38">
        <f t="shared" si="71"/>
        <v>266.63000000000005</v>
      </c>
      <c r="AF85" s="37">
        <v>10.23</v>
      </c>
      <c r="AG85" s="37">
        <f t="shared" si="72"/>
        <v>0</v>
      </c>
      <c r="AH85" s="67">
        <f t="shared" si="73"/>
        <v>2943.1600000000003</v>
      </c>
      <c r="AI85" s="103"/>
      <c r="AJ85" s="103"/>
      <c r="AK85" s="103"/>
      <c r="AL85" s="39"/>
      <c r="AM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</row>
    <row r="86" spans="1:193">
      <c r="A86" s="27" t="s">
        <v>71</v>
      </c>
      <c r="B86" s="27" t="s">
        <v>274</v>
      </c>
      <c r="C86" s="27" t="s">
        <v>251</v>
      </c>
      <c r="D86" s="27" t="s">
        <v>159</v>
      </c>
      <c r="E86" s="27" t="s">
        <v>73</v>
      </c>
      <c r="F86" s="27"/>
      <c r="G86" s="28"/>
      <c r="H86" s="28"/>
      <c r="I86" s="30">
        <v>513.33000000000004</v>
      </c>
      <c r="J86" s="28">
        <v>653.33000000000004</v>
      </c>
      <c r="K86" s="30">
        <f t="shared" si="67"/>
        <v>1166.6600000000001</v>
      </c>
      <c r="L86" s="30">
        <v>959.5</v>
      </c>
      <c r="M86" s="30"/>
      <c r="N86" s="31"/>
      <c r="O86" s="31"/>
      <c r="P86" s="32"/>
      <c r="Q86" s="33">
        <f t="shared" si="68"/>
        <v>2126.16</v>
      </c>
      <c r="R86" s="34"/>
      <c r="S86" s="45"/>
      <c r="T86" s="45">
        <v>0</v>
      </c>
      <c r="U86" s="45"/>
      <c r="V86" s="45"/>
      <c r="W86" s="45"/>
      <c r="X86" s="36"/>
      <c r="Y86" s="36"/>
      <c r="Z86" s="35"/>
      <c r="AA86" s="109">
        <f>Q86*0.25</f>
        <v>531.54</v>
      </c>
      <c r="AB86" s="33">
        <f t="shared" si="74"/>
        <v>1594.62</v>
      </c>
      <c r="AC86" s="37">
        <f t="shared" si="69"/>
        <v>0</v>
      </c>
      <c r="AD86" s="33">
        <f t="shared" si="70"/>
        <v>1594.62</v>
      </c>
      <c r="AE86" s="38">
        <f t="shared" si="71"/>
        <v>212.61599999999999</v>
      </c>
      <c r="AF86" s="37">
        <v>10.23</v>
      </c>
      <c r="AG86" s="37">
        <f t="shared" si="72"/>
        <v>0</v>
      </c>
      <c r="AH86" s="67">
        <f t="shared" si="73"/>
        <v>2349.0059999999999</v>
      </c>
      <c r="AI86" s="103"/>
      <c r="AJ86" s="103"/>
      <c r="AK86" s="103"/>
      <c r="AL86" s="39"/>
      <c r="AM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  <c r="DT86" s="39"/>
      <c r="DU86" s="39"/>
      <c r="DV86" s="39"/>
      <c r="DW86" s="39"/>
      <c r="DX86" s="39"/>
      <c r="DY86" s="39"/>
      <c r="DZ86" s="39"/>
      <c r="EA86" s="39"/>
      <c r="EB86" s="39"/>
      <c r="EC86" s="39"/>
      <c r="ED86" s="39"/>
      <c r="EE86" s="39"/>
      <c r="EF86" s="39"/>
      <c r="EG86" s="39"/>
      <c r="EH86" s="39"/>
      <c r="EI86" s="39"/>
      <c r="EJ86" s="39"/>
      <c r="EK86" s="39"/>
      <c r="EL86" s="39"/>
      <c r="EM86" s="39"/>
      <c r="EN86" s="39"/>
      <c r="EO86" s="39"/>
      <c r="EP86" s="39"/>
      <c r="EQ86" s="39"/>
      <c r="ER86" s="39"/>
      <c r="ES86" s="39"/>
      <c r="ET86" s="39"/>
      <c r="EU86" s="39"/>
      <c r="EV86" s="39"/>
      <c r="EW86" s="39"/>
      <c r="EX86" s="39"/>
      <c r="EY86" s="39"/>
      <c r="EZ86" s="39"/>
      <c r="FA86" s="39"/>
      <c r="FB86" s="39"/>
      <c r="FC86" s="39"/>
      <c r="FD86" s="39"/>
      <c r="FE86" s="39"/>
      <c r="FF86" s="39"/>
      <c r="FG86" s="39"/>
      <c r="FH86" s="39"/>
      <c r="FI86" s="39"/>
      <c r="FJ86" s="39"/>
      <c r="FK86" s="39"/>
      <c r="FL86" s="39"/>
      <c r="FM86" s="39"/>
      <c r="FN86" s="39"/>
      <c r="FO86" s="39"/>
      <c r="FP86" s="39"/>
      <c r="FQ86" s="39"/>
      <c r="FR86" s="39"/>
      <c r="FS86" s="39"/>
      <c r="FT86" s="39"/>
      <c r="FU86" s="39"/>
      <c r="FV86" s="39"/>
      <c r="FW86" s="39"/>
      <c r="FX86" s="39"/>
      <c r="FY86" s="39"/>
      <c r="FZ86" s="39"/>
      <c r="GA86" s="39"/>
      <c r="GB86" s="39"/>
      <c r="GC86" s="39"/>
      <c r="GD86" s="39"/>
      <c r="GE86" s="39"/>
      <c r="GF86" s="39"/>
      <c r="GG86" s="39"/>
      <c r="GH86" s="39"/>
      <c r="GI86" s="39"/>
      <c r="GJ86" s="39"/>
      <c r="GK86" s="39"/>
    </row>
    <row r="87" spans="1:193">
      <c r="A87" s="27" t="s">
        <v>70</v>
      </c>
      <c r="B87" s="27" t="s">
        <v>275</v>
      </c>
      <c r="C87" s="27" t="s">
        <v>252</v>
      </c>
      <c r="D87" s="27" t="s">
        <v>125</v>
      </c>
      <c r="E87" s="27" t="s">
        <v>308</v>
      </c>
      <c r="F87" s="27"/>
      <c r="G87" s="28"/>
      <c r="H87" s="28"/>
      <c r="I87" s="30">
        <v>1633.33</v>
      </c>
      <c r="J87" s="28"/>
      <c r="K87" s="30">
        <f t="shared" si="67"/>
        <v>1633.33</v>
      </c>
      <c r="L87" s="30">
        <v>765.34</v>
      </c>
      <c r="M87" s="30"/>
      <c r="N87" s="31"/>
      <c r="O87" s="31"/>
      <c r="P87" s="32"/>
      <c r="Q87" s="33">
        <f t="shared" si="68"/>
        <v>2398.67</v>
      </c>
      <c r="R87" s="34"/>
      <c r="S87" s="45">
        <v>58.91</v>
      </c>
      <c r="T87" s="45">
        <v>0</v>
      </c>
      <c r="U87" s="45"/>
      <c r="V87" s="45"/>
      <c r="W87" s="45"/>
      <c r="X87" s="36"/>
      <c r="Y87" s="36"/>
      <c r="Z87" s="35"/>
      <c r="AA87" s="35">
        <v>0</v>
      </c>
      <c r="AB87" s="33">
        <f t="shared" si="74"/>
        <v>2339.7600000000002</v>
      </c>
      <c r="AC87" s="37">
        <f t="shared" si="69"/>
        <v>0</v>
      </c>
      <c r="AD87" s="33">
        <f t="shared" si="70"/>
        <v>2339.7600000000002</v>
      </c>
      <c r="AE87" s="38">
        <f t="shared" si="71"/>
        <v>239.86700000000002</v>
      </c>
      <c r="AF87" s="37">
        <v>10.23</v>
      </c>
      <c r="AG87" s="37">
        <f t="shared" si="72"/>
        <v>0</v>
      </c>
      <c r="AH87" s="67">
        <f t="shared" si="73"/>
        <v>2648.7670000000003</v>
      </c>
      <c r="AI87" s="103"/>
      <c r="AJ87" s="103"/>
      <c r="AK87" s="103"/>
      <c r="AL87" s="39"/>
      <c r="AM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  <c r="DT87" s="39"/>
      <c r="DU87" s="39"/>
      <c r="DV87" s="39"/>
      <c r="DW87" s="39"/>
      <c r="DX87" s="39"/>
      <c r="DY87" s="39"/>
      <c r="DZ87" s="39"/>
      <c r="EA87" s="39"/>
      <c r="EB87" s="39"/>
      <c r="EC87" s="39"/>
      <c r="ED87" s="39"/>
      <c r="EE87" s="39"/>
      <c r="EF87" s="39"/>
      <c r="EG87" s="39"/>
      <c r="EH87" s="39"/>
      <c r="EI87" s="39"/>
      <c r="EJ87" s="39"/>
      <c r="EK87" s="39"/>
      <c r="EL87" s="39"/>
      <c r="EM87" s="39"/>
      <c r="EN87" s="39"/>
      <c r="EO87" s="39"/>
      <c r="EP87" s="39"/>
      <c r="EQ87" s="39"/>
      <c r="ER87" s="39"/>
      <c r="ES87" s="39"/>
      <c r="ET87" s="39"/>
      <c r="EU87" s="39"/>
      <c r="EV87" s="39"/>
      <c r="EW87" s="39"/>
      <c r="EX87" s="39"/>
      <c r="EY87" s="39"/>
      <c r="EZ87" s="39"/>
      <c r="FA87" s="39"/>
      <c r="FB87" s="39"/>
      <c r="FC87" s="39"/>
      <c r="FD87" s="39"/>
      <c r="FE87" s="39"/>
      <c r="FF87" s="39"/>
      <c r="FG87" s="39"/>
      <c r="FH87" s="39"/>
      <c r="FI87" s="39"/>
      <c r="FJ87" s="39"/>
      <c r="FK87" s="39"/>
      <c r="FL87" s="39"/>
      <c r="FM87" s="39"/>
      <c r="FN87" s="39"/>
      <c r="FO87" s="39"/>
      <c r="FP87" s="39"/>
      <c r="FQ87" s="39"/>
      <c r="FR87" s="39"/>
      <c r="FS87" s="39"/>
      <c r="FT87" s="39"/>
      <c r="FU87" s="39"/>
      <c r="FV87" s="39"/>
      <c r="FW87" s="39"/>
      <c r="FX87" s="39"/>
      <c r="FY87" s="39"/>
      <c r="FZ87" s="39"/>
      <c r="GA87" s="39"/>
      <c r="GB87" s="39"/>
      <c r="GC87" s="39"/>
      <c r="GD87" s="39"/>
      <c r="GE87" s="39"/>
      <c r="GF87" s="39"/>
      <c r="GG87" s="39"/>
      <c r="GH87" s="39"/>
      <c r="GI87" s="39"/>
      <c r="GJ87" s="39"/>
      <c r="GK87" s="39"/>
    </row>
    <row r="88" spans="1:193">
      <c r="A88" s="62" t="s">
        <v>94</v>
      </c>
      <c r="B88" s="27" t="s">
        <v>197</v>
      </c>
      <c r="C88" s="27"/>
      <c r="D88" s="27" t="s">
        <v>143</v>
      </c>
      <c r="E88" s="27" t="s">
        <v>179</v>
      </c>
      <c r="F88" s="27"/>
      <c r="G88" s="28"/>
      <c r="H88" s="28"/>
      <c r="I88" s="30">
        <v>608.16</v>
      </c>
      <c r="J88" s="28"/>
      <c r="K88" s="30">
        <f t="shared" si="67"/>
        <v>608.16</v>
      </c>
      <c r="L88" s="30">
        <f>2970.17+3.714</f>
        <v>2973.884</v>
      </c>
      <c r="M88" s="30"/>
      <c r="N88" s="31"/>
      <c r="O88" s="31"/>
      <c r="P88" s="32"/>
      <c r="Q88" s="33">
        <f t="shared" si="68"/>
        <v>3582.0439999999999</v>
      </c>
      <c r="R88" s="34"/>
      <c r="S88" s="45"/>
      <c r="T88" s="75">
        <v>200</v>
      </c>
      <c r="U88" s="75">
        <f>Q88*4.9%</f>
        <v>175.52015600000001</v>
      </c>
      <c r="V88" s="75">
        <f>Q88*1%</f>
        <v>35.820439999999998</v>
      </c>
      <c r="W88" s="45"/>
      <c r="X88" s="36"/>
      <c r="Y88" s="36"/>
      <c r="Z88" s="35"/>
      <c r="AA88" s="35">
        <v>0</v>
      </c>
      <c r="AB88" s="33">
        <f t="shared" si="74"/>
        <v>3170.7034039999999</v>
      </c>
      <c r="AC88" s="37">
        <f t="shared" si="69"/>
        <v>358.20440000000002</v>
      </c>
      <c r="AD88" s="33">
        <f t="shared" si="70"/>
        <v>2812.4990039999998</v>
      </c>
      <c r="AE88" s="38">
        <f t="shared" si="71"/>
        <v>0</v>
      </c>
      <c r="AF88" s="37">
        <v>10.23</v>
      </c>
      <c r="AG88" s="37">
        <f t="shared" si="72"/>
        <v>175.52015600000001</v>
      </c>
      <c r="AH88" s="67">
        <f t="shared" si="73"/>
        <v>3767.7941559999999</v>
      </c>
      <c r="AI88" s="103"/>
      <c r="AJ88" s="103"/>
      <c r="AK88" s="103"/>
      <c r="AL88" s="39"/>
      <c r="AM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  <c r="DS88" s="39"/>
      <c r="DT88" s="39"/>
      <c r="DU88" s="39"/>
      <c r="DV88" s="39"/>
      <c r="DW88" s="39"/>
      <c r="DX88" s="39"/>
      <c r="DY88" s="39"/>
      <c r="DZ88" s="39"/>
      <c r="EA88" s="39"/>
      <c r="EB88" s="39"/>
      <c r="EC88" s="39"/>
      <c r="ED88" s="39"/>
      <c r="EE88" s="39"/>
      <c r="EF88" s="39"/>
      <c r="EG88" s="39"/>
      <c r="EH88" s="39"/>
      <c r="EI88" s="39"/>
      <c r="EJ88" s="39"/>
      <c r="EK88" s="39"/>
      <c r="EL88" s="39"/>
      <c r="EM88" s="39"/>
      <c r="EN88" s="39"/>
      <c r="EO88" s="39"/>
      <c r="EP88" s="39"/>
      <c r="EQ88" s="39"/>
      <c r="ER88" s="39"/>
      <c r="ES88" s="39"/>
      <c r="ET88" s="39"/>
      <c r="EU88" s="39"/>
      <c r="EV88" s="39"/>
      <c r="EW88" s="39"/>
      <c r="EX88" s="39"/>
      <c r="EY88" s="39"/>
      <c r="EZ88" s="39"/>
      <c r="FA88" s="39"/>
      <c r="FB88" s="39"/>
      <c r="FC88" s="39"/>
      <c r="FD88" s="39"/>
      <c r="FE88" s="39"/>
      <c r="FF88" s="39"/>
      <c r="FG88" s="39"/>
      <c r="FH88" s="39"/>
      <c r="FI88" s="39"/>
      <c r="FJ88" s="39"/>
      <c r="FK88" s="39"/>
      <c r="FL88" s="39"/>
      <c r="FM88" s="39"/>
      <c r="FN88" s="39"/>
      <c r="FO88" s="39"/>
      <c r="FP88" s="39"/>
      <c r="FQ88" s="39"/>
      <c r="FR88" s="39"/>
      <c r="FS88" s="39"/>
      <c r="FT88" s="39"/>
      <c r="FU88" s="39"/>
      <c r="FV88" s="39"/>
      <c r="FW88" s="39"/>
      <c r="FX88" s="39"/>
      <c r="FY88" s="39"/>
      <c r="FZ88" s="39"/>
      <c r="GA88" s="39"/>
      <c r="GB88" s="39"/>
      <c r="GC88" s="39"/>
      <c r="GD88" s="39"/>
      <c r="GE88" s="39"/>
      <c r="GF88" s="39"/>
      <c r="GG88" s="39"/>
      <c r="GH88" s="39"/>
      <c r="GI88" s="39"/>
      <c r="GJ88" s="39"/>
      <c r="GK88" s="39"/>
    </row>
    <row r="89" spans="1:193">
      <c r="A89" s="27" t="s">
        <v>91</v>
      </c>
      <c r="B89" s="27" t="s">
        <v>80</v>
      </c>
      <c r="C89" s="27"/>
      <c r="D89" s="27" t="s">
        <v>110</v>
      </c>
      <c r="E89" s="27" t="s">
        <v>168</v>
      </c>
      <c r="F89" s="27"/>
      <c r="G89" s="27"/>
      <c r="H89" s="27"/>
      <c r="I89" s="30">
        <v>1100</v>
      </c>
      <c r="J89" s="27"/>
      <c r="K89" s="30">
        <f t="shared" si="67"/>
        <v>1100</v>
      </c>
      <c r="L89" s="30"/>
      <c r="M89" s="30"/>
      <c r="N89" s="30"/>
      <c r="O89" s="30"/>
      <c r="P89" s="32"/>
      <c r="Q89" s="33">
        <f t="shared" si="68"/>
        <v>1100</v>
      </c>
      <c r="R89" s="34"/>
      <c r="S89" s="45"/>
      <c r="T89" s="45">
        <v>0</v>
      </c>
      <c r="U89" s="45"/>
      <c r="V89" s="45"/>
      <c r="W89" s="45"/>
      <c r="X89" s="36"/>
      <c r="Y89" s="36"/>
      <c r="Z89" s="35"/>
      <c r="AA89" s="35">
        <v>0</v>
      </c>
      <c r="AB89" s="33">
        <f t="shared" si="74"/>
        <v>1100</v>
      </c>
      <c r="AC89" s="37">
        <f t="shared" si="69"/>
        <v>0</v>
      </c>
      <c r="AD89" s="33">
        <f t="shared" si="70"/>
        <v>1100</v>
      </c>
      <c r="AE89" s="38">
        <f t="shared" si="71"/>
        <v>110</v>
      </c>
      <c r="AF89" s="37">
        <v>10.23</v>
      </c>
      <c r="AG89" s="37">
        <f t="shared" si="72"/>
        <v>0</v>
      </c>
      <c r="AH89" s="67">
        <f t="shared" si="73"/>
        <v>1220.23</v>
      </c>
      <c r="AI89" s="103"/>
      <c r="AJ89" s="103"/>
      <c r="AK89" s="103"/>
      <c r="AL89" s="39"/>
      <c r="AM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9"/>
      <c r="DX89" s="39"/>
      <c r="DY89" s="39"/>
      <c r="DZ89" s="39"/>
      <c r="EA89" s="39"/>
      <c r="EB89" s="39"/>
      <c r="EC89" s="39"/>
      <c r="ED89" s="39"/>
      <c r="EE89" s="39"/>
      <c r="EF89" s="39"/>
      <c r="EG89" s="39"/>
      <c r="EH89" s="39"/>
      <c r="EI89" s="39"/>
      <c r="EJ89" s="39"/>
      <c r="EK89" s="39"/>
      <c r="EL89" s="39"/>
      <c r="EM89" s="39"/>
      <c r="EN89" s="39"/>
      <c r="EO89" s="39"/>
      <c r="EP89" s="39"/>
      <c r="EQ89" s="39"/>
      <c r="ER89" s="39"/>
      <c r="ES89" s="39"/>
      <c r="ET89" s="39"/>
      <c r="EU89" s="39"/>
      <c r="EV89" s="39"/>
      <c r="EW89" s="39"/>
      <c r="EX89" s="39"/>
      <c r="EY89" s="39"/>
      <c r="EZ89" s="39"/>
      <c r="FA89" s="39"/>
      <c r="FB89" s="39"/>
      <c r="FC89" s="39"/>
      <c r="FD89" s="39"/>
      <c r="FE89" s="39"/>
      <c r="FF89" s="39"/>
      <c r="FG89" s="39"/>
      <c r="FH89" s="39"/>
      <c r="FI89" s="39"/>
      <c r="FJ89" s="39"/>
      <c r="FK89" s="39"/>
      <c r="FL89" s="39"/>
      <c r="FM89" s="39"/>
      <c r="FN89" s="39"/>
      <c r="FO89" s="39"/>
      <c r="FP89" s="39"/>
      <c r="FQ89" s="39"/>
      <c r="FR89" s="39"/>
      <c r="FS89" s="39"/>
      <c r="FT89" s="39"/>
      <c r="FU89" s="39"/>
      <c r="FV89" s="39"/>
      <c r="FW89" s="39"/>
      <c r="FX89" s="39"/>
      <c r="FY89" s="39"/>
      <c r="FZ89" s="39"/>
      <c r="GA89" s="39"/>
      <c r="GB89" s="39"/>
      <c r="GC89" s="39"/>
      <c r="GD89" s="39"/>
      <c r="GE89" s="39"/>
      <c r="GF89" s="39"/>
      <c r="GG89" s="39"/>
      <c r="GH89" s="39"/>
      <c r="GI89" s="39"/>
      <c r="GJ89" s="39"/>
      <c r="GK89" s="39"/>
    </row>
    <row r="90" spans="1:193">
      <c r="A90" s="27" t="s">
        <v>71</v>
      </c>
      <c r="B90" s="27" t="s">
        <v>90</v>
      </c>
      <c r="C90" s="27" t="s">
        <v>254</v>
      </c>
      <c r="D90" s="27" t="s">
        <v>160</v>
      </c>
      <c r="E90" s="27" t="s">
        <v>73</v>
      </c>
      <c r="F90" s="27"/>
      <c r="G90" s="28"/>
      <c r="H90" s="28"/>
      <c r="I90" s="30">
        <v>513.33000000000004</v>
      </c>
      <c r="J90" s="28">
        <v>513.33000000000004</v>
      </c>
      <c r="K90" s="30">
        <f t="shared" si="67"/>
        <v>1026.6600000000001</v>
      </c>
      <c r="L90" s="30">
        <v>6650.01</v>
      </c>
      <c r="M90" s="30"/>
      <c r="N90" s="31"/>
      <c r="O90" s="31"/>
      <c r="P90" s="32"/>
      <c r="Q90" s="33">
        <f t="shared" si="68"/>
        <v>7676.67</v>
      </c>
      <c r="R90" s="34"/>
      <c r="S90" s="45"/>
      <c r="T90" s="45">
        <v>0</v>
      </c>
      <c r="U90" s="45"/>
      <c r="V90" s="45"/>
      <c r="W90" s="45"/>
      <c r="X90" s="36"/>
      <c r="Y90" s="36"/>
      <c r="Z90" s="35"/>
      <c r="AA90" s="35">
        <v>0</v>
      </c>
      <c r="AB90" s="33">
        <f t="shared" si="74"/>
        <v>7676.67</v>
      </c>
      <c r="AC90" s="37">
        <f t="shared" si="69"/>
        <v>767.66700000000003</v>
      </c>
      <c r="AD90" s="33">
        <f t="shared" si="70"/>
        <v>6909.0029999999997</v>
      </c>
      <c r="AE90" s="38">
        <f t="shared" si="71"/>
        <v>0</v>
      </c>
      <c r="AF90" s="37">
        <v>10.23</v>
      </c>
      <c r="AG90" s="37">
        <f t="shared" si="72"/>
        <v>0</v>
      </c>
      <c r="AH90" s="67">
        <f t="shared" si="73"/>
        <v>7686.9</v>
      </c>
      <c r="AI90" s="103"/>
      <c r="AJ90" s="103"/>
      <c r="AK90" s="103"/>
      <c r="AL90" s="39"/>
      <c r="AM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Q90" s="39"/>
      <c r="DR90" s="39"/>
      <c r="DS90" s="39"/>
      <c r="DT90" s="39"/>
      <c r="DU90" s="39"/>
      <c r="DV90" s="39"/>
      <c r="DW90" s="39"/>
      <c r="DX90" s="39"/>
      <c r="DY90" s="39"/>
      <c r="DZ90" s="39"/>
      <c r="EA90" s="39"/>
      <c r="EB90" s="39"/>
      <c r="EC90" s="39"/>
      <c r="ED90" s="39"/>
      <c r="EE90" s="39"/>
      <c r="EF90" s="39"/>
      <c r="EG90" s="39"/>
      <c r="EH90" s="39"/>
      <c r="EI90" s="39"/>
      <c r="EJ90" s="39"/>
      <c r="EK90" s="39"/>
      <c r="EL90" s="39"/>
      <c r="EM90" s="39"/>
      <c r="EN90" s="39"/>
      <c r="EO90" s="39"/>
      <c r="EP90" s="39"/>
      <c r="EQ90" s="39"/>
      <c r="ER90" s="39"/>
      <c r="ES90" s="39"/>
      <c r="ET90" s="39"/>
      <c r="EU90" s="39"/>
      <c r="EV90" s="39"/>
      <c r="EW90" s="39"/>
      <c r="EX90" s="39"/>
      <c r="EY90" s="39"/>
      <c r="EZ90" s="39"/>
      <c r="FA90" s="39"/>
      <c r="FB90" s="39"/>
      <c r="FC90" s="39"/>
      <c r="FD90" s="39"/>
      <c r="FE90" s="39"/>
      <c r="FF90" s="39"/>
      <c r="FG90" s="39"/>
      <c r="FH90" s="39"/>
      <c r="FI90" s="39"/>
      <c r="FJ90" s="39"/>
      <c r="FK90" s="39"/>
      <c r="FL90" s="39"/>
      <c r="FM90" s="39"/>
      <c r="FN90" s="39"/>
      <c r="FO90" s="39"/>
      <c r="FP90" s="39"/>
      <c r="FQ90" s="39"/>
      <c r="FR90" s="39"/>
      <c r="FS90" s="39"/>
      <c r="FT90" s="39"/>
      <c r="FU90" s="39"/>
      <c r="FV90" s="39"/>
      <c r="FW90" s="39"/>
      <c r="FX90" s="39"/>
      <c r="FY90" s="39"/>
      <c r="FZ90" s="39"/>
      <c r="GA90" s="39"/>
      <c r="GB90" s="39"/>
      <c r="GC90" s="39"/>
      <c r="GD90" s="39"/>
      <c r="GE90" s="39"/>
      <c r="GF90" s="39"/>
      <c r="GG90" s="39"/>
      <c r="GH90" s="39"/>
      <c r="GI90" s="39"/>
      <c r="GJ90" s="39"/>
      <c r="GK90" s="39"/>
    </row>
    <row r="91" spans="1:193">
      <c r="A91" s="62" t="s">
        <v>92</v>
      </c>
      <c r="B91" s="27" t="s">
        <v>210</v>
      </c>
      <c r="C91" s="27"/>
      <c r="D91" s="27" t="s">
        <v>109</v>
      </c>
      <c r="E91" s="27" t="s">
        <v>166</v>
      </c>
      <c r="F91" s="27"/>
      <c r="G91" s="27"/>
      <c r="H91" s="27"/>
      <c r="I91" s="30">
        <v>739.23</v>
      </c>
      <c r="J91" s="27"/>
      <c r="K91" s="30">
        <f t="shared" si="67"/>
        <v>739.23</v>
      </c>
      <c r="L91" s="30">
        <f>2989.162+13.099</f>
        <v>3002.261</v>
      </c>
      <c r="M91" s="30"/>
      <c r="N91" s="30"/>
      <c r="O91" s="30"/>
      <c r="P91" s="32"/>
      <c r="Q91" s="33">
        <f t="shared" si="68"/>
        <v>3741.491</v>
      </c>
      <c r="R91" s="34"/>
      <c r="S91" s="45"/>
      <c r="T91" s="75">
        <v>500</v>
      </c>
      <c r="U91" s="45"/>
      <c r="V91" s="45"/>
      <c r="W91" s="45"/>
      <c r="X91" s="36"/>
      <c r="Y91" s="36"/>
      <c r="Z91" s="35"/>
      <c r="AA91" s="35">
        <v>0</v>
      </c>
      <c r="AB91" s="33">
        <f t="shared" si="74"/>
        <v>3241.491</v>
      </c>
      <c r="AC91" s="37">
        <f t="shared" si="69"/>
        <v>374.14910000000003</v>
      </c>
      <c r="AD91" s="33">
        <f t="shared" si="70"/>
        <v>2867.3418999999999</v>
      </c>
      <c r="AE91" s="38">
        <f t="shared" si="71"/>
        <v>0</v>
      </c>
      <c r="AF91" s="37">
        <v>10.23</v>
      </c>
      <c r="AG91" s="37">
        <f t="shared" si="72"/>
        <v>0</v>
      </c>
      <c r="AH91" s="67">
        <f t="shared" si="73"/>
        <v>3751.721</v>
      </c>
      <c r="AI91" s="103"/>
      <c r="AJ91" s="103"/>
      <c r="AK91" s="103"/>
      <c r="AL91" s="39"/>
      <c r="AM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39"/>
      <c r="DR91" s="39"/>
      <c r="DS91" s="39"/>
      <c r="DT91" s="39"/>
      <c r="DU91" s="39"/>
      <c r="DV91" s="39"/>
      <c r="DW91" s="39"/>
      <c r="DX91" s="39"/>
      <c r="DY91" s="39"/>
      <c r="DZ91" s="39"/>
      <c r="EA91" s="39"/>
      <c r="EB91" s="39"/>
      <c r="EC91" s="39"/>
      <c r="ED91" s="39"/>
      <c r="EE91" s="39"/>
      <c r="EF91" s="39"/>
      <c r="EG91" s="39"/>
      <c r="EH91" s="39"/>
      <c r="EI91" s="39"/>
      <c r="EJ91" s="39"/>
      <c r="EK91" s="39"/>
      <c r="EL91" s="39"/>
      <c r="EM91" s="39"/>
      <c r="EN91" s="39"/>
      <c r="EO91" s="39"/>
      <c r="EP91" s="39"/>
      <c r="EQ91" s="39"/>
      <c r="ER91" s="39"/>
      <c r="ES91" s="39"/>
      <c r="ET91" s="39"/>
      <c r="EU91" s="39"/>
      <c r="EV91" s="39"/>
      <c r="EW91" s="39"/>
      <c r="EX91" s="39"/>
      <c r="EY91" s="39"/>
      <c r="EZ91" s="39"/>
      <c r="FA91" s="39"/>
      <c r="FB91" s="39"/>
      <c r="FC91" s="39"/>
      <c r="FD91" s="39"/>
      <c r="FE91" s="39"/>
      <c r="FF91" s="39"/>
      <c r="FG91" s="39"/>
      <c r="FH91" s="39"/>
      <c r="FI91" s="39"/>
      <c r="FJ91" s="39"/>
      <c r="FK91" s="39"/>
      <c r="FL91" s="39"/>
      <c r="FM91" s="39"/>
      <c r="FN91" s="39"/>
      <c r="FO91" s="39"/>
      <c r="FP91" s="39"/>
      <c r="FQ91" s="39"/>
      <c r="FR91" s="39"/>
      <c r="FS91" s="39"/>
      <c r="FT91" s="39"/>
      <c r="FU91" s="39"/>
      <c r="FV91" s="39"/>
      <c r="FW91" s="39"/>
      <c r="FX91" s="39"/>
      <c r="FY91" s="39"/>
      <c r="FZ91" s="39"/>
      <c r="GA91" s="39"/>
      <c r="GB91" s="39"/>
      <c r="GC91" s="39"/>
      <c r="GD91" s="39"/>
      <c r="GE91" s="39"/>
      <c r="GF91" s="39"/>
      <c r="GG91" s="39"/>
      <c r="GH91" s="39"/>
      <c r="GI91" s="39"/>
      <c r="GJ91" s="39"/>
      <c r="GK91" s="39"/>
    </row>
    <row r="92" spans="1:193">
      <c r="A92" s="27" t="s">
        <v>71</v>
      </c>
      <c r="B92" s="27" t="s">
        <v>217</v>
      </c>
      <c r="C92" s="27" t="s">
        <v>251</v>
      </c>
      <c r="D92" s="44" t="s">
        <v>218</v>
      </c>
      <c r="E92" s="27" t="s">
        <v>73</v>
      </c>
      <c r="F92" s="27"/>
      <c r="G92" s="28"/>
      <c r="H92" s="28"/>
      <c r="I92" s="30">
        <v>513.33000000000004</v>
      </c>
      <c r="J92" s="28">
        <v>653.33000000000004</v>
      </c>
      <c r="K92" s="30">
        <f t="shared" si="67"/>
        <v>1166.6600000000001</v>
      </c>
      <c r="L92" s="30">
        <v>14466.96</v>
      </c>
      <c r="M92" s="30"/>
      <c r="N92" s="30"/>
      <c r="O92" s="30"/>
      <c r="P92" s="32"/>
      <c r="Q92" s="33">
        <f t="shared" ref="Q92" si="78">SUM(K92:O92)-P92</f>
        <v>15633.619999999999</v>
      </c>
      <c r="R92" s="34"/>
      <c r="S92" s="45"/>
      <c r="T92" s="45"/>
      <c r="U92" s="45"/>
      <c r="V92" s="45"/>
      <c r="W92" s="45"/>
      <c r="X92" s="36"/>
      <c r="Y92" s="36"/>
      <c r="Z92" s="35"/>
      <c r="AA92" s="35">
        <v>291.5</v>
      </c>
      <c r="AB92" s="33">
        <f t="shared" ref="AB92:AB94" si="79">+Q92-SUM(R92:AA92)</f>
        <v>15342.119999999999</v>
      </c>
      <c r="AC92" s="37">
        <f t="shared" si="69"/>
        <v>1563.3620000000001</v>
      </c>
      <c r="AD92" s="33">
        <f t="shared" si="70"/>
        <v>13778.757999999998</v>
      </c>
      <c r="AE92" s="38">
        <f t="shared" si="71"/>
        <v>0</v>
      </c>
      <c r="AF92" s="37">
        <v>10.23</v>
      </c>
      <c r="AG92" s="37">
        <f t="shared" si="72"/>
        <v>0</v>
      </c>
      <c r="AH92" s="67">
        <f t="shared" si="73"/>
        <v>15643.849999999999</v>
      </c>
      <c r="AI92" s="103"/>
      <c r="AJ92" s="103"/>
      <c r="AK92" s="103"/>
      <c r="AL92" s="39"/>
      <c r="AM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39"/>
      <c r="EE92" s="39"/>
      <c r="EF92" s="39"/>
      <c r="EG92" s="39"/>
      <c r="EH92" s="39"/>
      <c r="EI92" s="39"/>
      <c r="EJ92" s="39"/>
      <c r="EK92" s="39"/>
      <c r="EL92" s="39"/>
      <c r="EM92" s="39"/>
      <c r="EN92" s="39"/>
      <c r="EO92" s="39"/>
      <c r="EP92" s="39"/>
      <c r="EQ92" s="39"/>
      <c r="ER92" s="39"/>
      <c r="ES92" s="39"/>
      <c r="ET92" s="39"/>
      <c r="EU92" s="39"/>
      <c r="EV92" s="39"/>
      <c r="EW92" s="39"/>
      <c r="EX92" s="39"/>
      <c r="EY92" s="39"/>
      <c r="EZ92" s="39"/>
      <c r="FA92" s="39"/>
      <c r="FB92" s="39"/>
      <c r="FC92" s="39"/>
      <c r="FD92" s="39"/>
      <c r="FE92" s="39"/>
      <c r="FF92" s="39"/>
      <c r="FG92" s="39"/>
      <c r="FH92" s="39"/>
      <c r="FI92" s="39"/>
      <c r="FJ92" s="39"/>
      <c r="FK92" s="39"/>
      <c r="FL92" s="39"/>
      <c r="FM92" s="39"/>
      <c r="FN92" s="39"/>
      <c r="FO92" s="39"/>
      <c r="FP92" s="39"/>
      <c r="FQ92" s="39"/>
      <c r="FR92" s="39"/>
      <c r="FS92" s="39"/>
      <c r="FT92" s="39"/>
      <c r="FU92" s="39"/>
      <c r="FV92" s="39"/>
      <c r="FW92" s="39"/>
      <c r="FX92" s="39"/>
      <c r="FY92" s="39"/>
      <c r="FZ92" s="39"/>
      <c r="GA92" s="39"/>
      <c r="GB92" s="39"/>
      <c r="GC92" s="39"/>
      <c r="GD92" s="39"/>
      <c r="GE92" s="39"/>
      <c r="GF92" s="39"/>
      <c r="GG92" s="39"/>
      <c r="GH92" s="39"/>
      <c r="GI92" s="39"/>
      <c r="GJ92" s="39"/>
      <c r="GK92" s="39"/>
    </row>
    <row r="93" spans="1:193">
      <c r="A93" s="27" t="s">
        <v>91</v>
      </c>
      <c r="B93" s="63" t="s">
        <v>241</v>
      </c>
      <c r="C93" s="63"/>
      <c r="D93" s="44"/>
      <c r="E93" s="27" t="s">
        <v>242</v>
      </c>
      <c r="F93" s="27"/>
      <c r="G93" s="28"/>
      <c r="H93" s="28"/>
      <c r="I93" s="76">
        <v>1166.26</v>
      </c>
      <c r="J93" s="28"/>
      <c r="K93" s="30">
        <f t="shared" si="67"/>
        <v>1166.26</v>
      </c>
      <c r="L93" s="30"/>
      <c r="M93" s="30"/>
      <c r="N93" s="31"/>
      <c r="O93" s="31"/>
      <c r="P93" s="32"/>
      <c r="Q93" s="33">
        <f t="shared" ref="Q93:Q94" si="80">SUM(K93:O93)-P93</f>
        <v>1166.26</v>
      </c>
      <c r="R93" s="34"/>
      <c r="S93" s="45"/>
      <c r="T93" s="45"/>
      <c r="U93" s="45"/>
      <c r="V93" s="45"/>
      <c r="W93" s="45"/>
      <c r="X93" s="36"/>
      <c r="Y93" s="36"/>
      <c r="Z93" s="35"/>
      <c r="AA93" s="35">
        <v>0</v>
      </c>
      <c r="AB93" s="33">
        <f t="shared" si="79"/>
        <v>1166.26</v>
      </c>
      <c r="AC93" s="37">
        <f t="shared" si="69"/>
        <v>0</v>
      </c>
      <c r="AD93" s="33">
        <f t="shared" si="70"/>
        <v>1166.26</v>
      </c>
      <c r="AE93" s="38">
        <f t="shared" si="71"/>
        <v>116.626</v>
      </c>
      <c r="AF93" s="37">
        <v>10.23</v>
      </c>
      <c r="AG93" s="37">
        <f t="shared" si="72"/>
        <v>0</v>
      </c>
      <c r="AH93" s="67">
        <f t="shared" si="73"/>
        <v>1293.116</v>
      </c>
      <c r="AI93" s="103"/>
      <c r="AJ93" s="103"/>
      <c r="AK93" s="103"/>
      <c r="AL93" s="39"/>
      <c r="AM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  <c r="DK93" s="39"/>
      <c r="DL93" s="39"/>
      <c r="DM93" s="39"/>
      <c r="DN93" s="39"/>
      <c r="DO93" s="39"/>
      <c r="DP93" s="39"/>
      <c r="DQ93" s="39"/>
      <c r="DR93" s="39"/>
      <c r="DS93" s="39"/>
      <c r="DT93" s="39"/>
      <c r="DU93" s="39"/>
      <c r="DV93" s="39"/>
      <c r="DW93" s="39"/>
      <c r="DX93" s="39"/>
      <c r="DY93" s="39"/>
      <c r="DZ93" s="39"/>
      <c r="EA93" s="39"/>
      <c r="EB93" s="39"/>
      <c r="EC93" s="39"/>
      <c r="ED93" s="39"/>
      <c r="EE93" s="39"/>
      <c r="EF93" s="39"/>
      <c r="EG93" s="39"/>
      <c r="EH93" s="39"/>
      <c r="EI93" s="39"/>
      <c r="EJ93" s="39"/>
      <c r="EK93" s="39"/>
      <c r="EL93" s="39"/>
      <c r="EM93" s="39"/>
      <c r="EN93" s="39"/>
      <c r="EO93" s="39"/>
      <c r="EP93" s="39"/>
      <c r="EQ93" s="39"/>
      <c r="ER93" s="39"/>
      <c r="ES93" s="39"/>
      <c r="ET93" s="39"/>
      <c r="EU93" s="39"/>
      <c r="EV93" s="39"/>
      <c r="EW93" s="39"/>
      <c r="EX93" s="39"/>
      <c r="EY93" s="39"/>
      <c r="EZ93" s="39"/>
      <c r="FA93" s="39"/>
      <c r="FB93" s="39"/>
      <c r="FC93" s="39"/>
      <c r="FD93" s="39"/>
      <c r="FE93" s="39"/>
      <c r="FF93" s="39"/>
      <c r="FG93" s="39"/>
      <c r="FH93" s="39"/>
      <c r="FI93" s="39"/>
      <c r="FJ93" s="39"/>
      <c r="FK93" s="39"/>
      <c r="FL93" s="39"/>
      <c r="FM93" s="39"/>
      <c r="FN93" s="39"/>
      <c r="FO93" s="39"/>
      <c r="FP93" s="39"/>
      <c r="FQ93" s="39"/>
      <c r="FR93" s="39"/>
      <c r="FS93" s="39"/>
      <c r="FT93" s="39"/>
      <c r="FU93" s="39"/>
      <c r="FV93" s="39"/>
      <c r="FW93" s="39"/>
      <c r="FX93" s="39"/>
      <c r="FY93" s="39"/>
      <c r="FZ93" s="39"/>
      <c r="GA93" s="39"/>
      <c r="GB93" s="39"/>
      <c r="GC93" s="39"/>
      <c r="GD93" s="39"/>
      <c r="GE93" s="39"/>
      <c r="GF93" s="39"/>
      <c r="GG93" s="39"/>
      <c r="GH93" s="39"/>
      <c r="GI93" s="39"/>
      <c r="GJ93" s="39"/>
      <c r="GK93" s="39"/>
    </row>
    <row r="94" spans="1:193">
      <c r="A94" s="27" t="s">
        <v>71</v>
      </c>
      <c r="B94" s="63" t="s">
        <v>250</v>
      </c>
      <c r="C94" s="27" t="s">
        <v>249</v>
      </c>
      <c r="D94" s="44"/>
      <c r="E94" s="27" t="s">
        <v>73</v>
      </c>
      <c r="F94" s="27"/>
      <c r="G94" s="28"/>
      <c r="H94" s="28"/>
      <c r="I94" s="76">
        <v>513.33000000000004</v>
      </c>
      <c r="J94" s="28">
        <v>513.33000000000004</v>
      </c>
      <c r="K94" s="30">
        <f t="shared" si="67"/>
        <v>1026.6600000000001</v>
      </c>
      <c r="L94" s="30">
        <v>1130.1500000000001</v>
      </c>
      <c r="M94" s="30"/>
      <c r="N94" s="31"/>
      <c r="O94" s="31"/>
      <c r="P94" s="32"/>
      <c r="Q94" s="33">
        <f t="shared" si="80"/>
        <v>2156.8100000000004</v>
      </c>
      <c r="R94" s="34"/>
      <c r="S94" s="45">
        <v>58.91</v>
      </c>
      <c r="T94" s="45"/>
      <c r="U94" s="45"/>
      <c r="V94" s="45"/>
      <c r="W94" s="45"/>
      <c r="X94" s="36"/>
      <c r="Y94" s="36"/>
      <c r="Z94" s="35"/>
      <c r="AA94" s="35">
        <v>0</v>
      </c>
      <c r="AB94" s="33">
        <f t="shared" si="79"/>
        <v>2097.9000000000005</v>
      </c>
      <c r="AC94" s="37">
        <f t="shared" si="69"/>
        <v>0</v>
      </c>
      <c r="AD94" s="33">
        <f t="shared" si="70"/>
        <v>2097.9000000000005</v>
      </c>
      <c r="AE94" s="38">
        <f t="shared" si="71"/>
        <v>215.68100000000004</v>
      </c>
      <c r="AF94" s="37">
        <v>10.23</v>
      </c>
      <c r="AG94" s="37">
        <f t="shared" si="72"/>
        <v>0</v>
      </c>
      <c r="AH94" s="67">
        <f t="shared" si="73"/>
        <v>2382.7210000000005</v>
      </c>
      <c r="AI94" s="103"/>
      <c r="AJ94" s="103"/>
      <c r="AK94" s="103"/>
      <c r="AL94" s="39"/>
      <c r="AM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  <c r="DK94" s="39"/>
      <c r="DL94" s="39"/>
      <c r="DM94" s="39"/>
      <c r="DN94" s="39"/>
      <c r="DO94" s="39"/>
      <c r="DP94" s="39"/>
      <c r="DQ94" s="39"/>
      <c r="DR94" s="39"/>
      <c r="DS94" s="39"/>
      <c r="DT94" s="39"/>
      <c r="DU94" s="39"/>
      <c r="DV94" s="39"/>
      <c r="DW94" s="39"/>
      <c r="DX94" s="39"/>
      <c r="DY94" s="39"/>
      <c r="DZ94" s="39"/>
      <c r="EA94" s="39"/>
      <c r="EB94" s="39"/>
      <c r="EC94" s="39"/>
      <c r="ED94" s="39"/>
      <c r="EE94" s="39"/>
      <c r="EF94" s="39"/>
      <c r="EG94" s="39"/>
      <c r="EH94" s="39"/>
      <c r="EI94" s="39"/>
      <c r="EJ94" s="39"/>
      <c r="EK94" s="39"/>
      <c r="EL94" s="39"/>
      <c r="EM94" s="39"/>
      <c r="EN94" s="39"/>
      <c r="EO94" s="39"/>
      <c r="EP94" s="39"/>
      <c r="EQ94" s="39"/>
      <c r="ER94" s="39"/>
      <c r="ES94" s="39"/>
      <c r="ET94" s="39"/>
      <c r="EU94" s="39"/>
      <c r="EV94" s="39"/>
      <c r="EW94" s="39"/>
      <c r="EX94" s="39"/>
      <c r="EY94" s="39"/>
      <c r="EZ94" s="39"/>
      <c r="FA94" s="39"/>
      <c r="FB94" s="39"/>
      <c r="FC94" s="39"/>
      <c r="FD94" s="39"/>
      <c r="FE94" s="39"/>
      <c r="FF94" s="39"/>
      <c r="FG94" s="39"/>
      <c r="FH94" s="39"/>
      <c r="FI94" s="39"/>
      <c r="FJ94" s="39"/>
      <c r="FK94" s="39"/>
      <c r="FL94" s="39"/>
      <c r="FM94" s="39"/>
      <c r="FN94" s="39"/>
      <c r="FO94" s="39"/>
      <c r="FP94" s="39"/>
      <c r="FQ94" s="39"/>
      <c r="FR94" s="39"/>
      <c r="FS94" s="39"/>
      <c r="FT94" s="39"/>
      <c r="FU94" s="39"/>
      <c r="FV94" s="39"/>
      <c r="FW94" s="39"/>
      <c r="FX94" s="39"/>
      <c r="FY94" s="39"/>
      <c r="FZ94" s="39"/>
      <c r="GA94" s="39"/>
      <c r="GB94" s="39"/>
      <c r="GC94" s="39"/>
      <c r="GD94" s="39"/>
      <c r="GE94" s="39"/>
      <c r="GF94" s="39"/>
      <c r="GG94" s="39"/>
      <c r="GH94" s="39"/>
      <c r="GI94" s="39"/>
      <c r="GJ94" s="39"/>
      <c r="GK94" s="39"/>
    </row>
    <row r="95" spans="1:193" s="39" customFormat="1">
      <c r="A95" s="62" t="s">
        <v>94</v>
      </c>
      <c r="B95" s="63" t="s">
        <v>304</v>
      </c>
      <c r="C95" s="63"/>
      <c r="D95" s="113"/>
      <c r="E95" s="63" t="s">
        <v>174</v>
      </c>
      <c r="F95" s="72">
        <v>42430</v>
      </c>
      <c r="G95" s="63"/>
      <c r="H95" s="63"/>
      <c r="I95" s="53">
        <v>608.16</v>
      </c>
      <c r="J95" s="63"/>
      <c r="K95" s="53">
        <f t="shared" si="67"/>
        <v>608.16</v>
      </c>
      <c r="L95" s="53">
        <v>370</v>
      </c>
      <c r="M95" s="53"/>
      <c r="N95" s="53"/>
      <c r="O95" s="53"/>
      <c r="P95" s="73"/>
      <c r="Q95" s="33">
        <f t="shared" ref="Q95" si="81">SUM(K95:O95)-P95</f>
        <v>978.16</v>
      </c>
      <c r="R95" s="34"/>
      <c r="S95" s="45"/>
      <c r="T95" s="45"/>
      <c r="U95" s="45"/>
      <c r="V95" s="45"/>
      <c r="W95" s="45"/>
      <c r="X95" s="36"/>
      <c r="Y95" s="36"/>
      <c r="Z95" s="35"/>
      <c r="AA95" s="35">
        <v>0</v>
      </c>
      <c r="AB95" s="33">
        <f t="shared" ref="AB95" si="82">+Q95-SUM(R95:AA95)</f>
        <v>978.16</v>
      </c>
      <c r="AC95" s="37">
        <f t="shared" ref="AC95" si="83">IF(Q95&gt;3500,Q95*0.1,0)</f>
        <v>0</v>
      </c>
      <c r="AD95" s="33">
        <f t="shared" ref="AD95" si="84">+AB95-AC95</f>
        <v>978.16</v>
      </c>
      <c r="AE95" s="38">
        <f t="shared" ref="AE95" si="85">IF(Q95&lt;3500,Q95*0.1,0)</f>
        <v>97.816000000000003</v>
      </c>
      <c r="AF95" s="37">
        <v>10.23</v>
      </c>
      <c r="AG95" s="37">
        <f t="shared" ref="AG95" si="86">+U95</f>
        <v>0</v>
      </c>
      <c r="AH95" s="67">
        <f t="shared" ref="AH95" si="87">+Q95+AE95+AF95+AG95</f>
        <v>1086.2059999999999</v>
      </c>
      <c r="AI95" s="103"/>
      <c r="AJ95" s="103"/>
      <c r="AK95" s="103"/>
      <c r="AM95"/>
    </row>
    <row r="96" spans="1:193">
      <c r="A96" s="63" t="s">
        <v>71</v>
      </c>
      <c r="B96" s="63" t="s">
        <v>292</v>
      </c>
      <c r="C96" s="63" t="s">
        <v>251</v>
      </c>
      <c r="D96" s="113"/>
      <c r="E96" s="63" t="s">
        <v>73</v>
      </c>
      <c r="F96" s="72">
        <v>42427</v>
      </c>
      <c r="G96" s="63"/>
      <c r="H96" s="63"/>
      <c r="I96" s="76">
        <v>513.33000000000004</v>
      </c>
      <c r="J96" s="63">
        <v>653.33000000000004</v>
      </c>
      <c r="K96" s="53">
        <f t="shared" si="67"/>
        <v>1166.6600000000001</v>
      </c>
      <c r="L96" s="53"/>
      <c r="M96" s="53"/>
      <c r="N96" s="53"/>
      <c r="O96" s="53"/>
      <c r="P96" s="73"/>
      <c r="Q96" s="33">
        <f t="shared" ref="Q96" si="88">SUM(K96:O96)-P96</f>
        <v>1166.6600000000001</v>
      </c>
      <c r="R96" s="34"/>
      <c r="S96" s="45"/>
      <c r="T96" s="45"/>
      <c r="U96" s="45"/>
      <c r="V96" s="45"/>
      <c r="W96" s="45"/>
      <c r="X96" s="36"/>
      <c r="Y96" s="36"/>
      <c r="Z96" s="35"/>
      <c r="AA96" s="35">
        <v>0</v>
      </c>
      <c r="AB96" s="33">
        <f t="shared" ref="AB96" si="89">+Q96-SUM(R96:AA96)</f>
        <v>1166.6600000000001</v>
      </c>
      <c r="AC96" s="37">
        <f t="shared" si="69"/>
        <v>0</v>
      </c>
      <c r="AD96" s="33">
        <f t="shared" ref="AD96" si="90">+AB96-AC96</f>
        <v>1166.6600000000001</v>
      </c>
      <c r="AE96" s="38">
        <f t="shared" si="71"/>
        <v>116.66600000000001</v>
      </c>
      <c r="AF96" s="37">
        <v>10.23</v>
      </c>
      <c r="AG96" s="37">
        <f t="shared" si="72"/>
        <v>0</v>
      </c>
      <c r="AH96" s="67">
        <f t="shared" si="73"/>
        <v>1293.556</v>
      </c>
      <c r="AI96" s="103"/>
      <c r="AJ96" s="103"/>
      <c r="AK96" s="103"/>
      <c r="AL96" s="39"/>
      <c r="AM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39"/>
      <c r="DS96" s="39"/>
      <c r="DT96" s="39"/>
      <c r="DU96" s="39"/>
      <c r="DV96" s="39"/>
      <c r="DW96" s="39"/>
      <c r="DX96" s="39"/>
      <c r="DY96" s="39"/>
      <c r="DZ96" s="39"/>
      <c r="EA96" s="39"/>
      <c r="EB96" s="39"/>
      <c r="EC96" s="39"/>
      <c r="ED96" s="39"/>
      <c r="EE96" s="39"/>
      <c r="EF96" s="39"/>
      <c r="EG96" s="39"/>
      <c r="EH96" s="39"/>
      <c r="EI96" s="39"/>
      <c r="EJ96" s="39"/>
      <c r="EK96" s="39"/>
      <c r="EL96" s="39"/>
      <c r="EM96" s="39"/>
      <c r="EN96" s="39"/>
      <c r="EO96" s="39"/>
      <c r="EP96" s="39"/>
      <c r="EQ96" s="39"/>
      <c r="ER96" s="39"/>
      <c r="ES96" s="39"/>
      <c r="ET96" s="39"/>
      <c r="EU96" s="39"/>
      <c r="EV96" s="39"/>
      <c r="EW96" s="39"/>
      <c r="EX96" s="39"/>
      <c r="EY96" s="39"/>
      <c r="EZ96" s="39"/>
      <c r="FA96" s="39"/>
      <c r="FB96" s="39"/>
      <c r="FC96" s="39"/>
      <c r="FD96" s="39"/>
      <c r="FE96" s="39"/>
      <c r="FF96" s="39"/>
      <c r="FG96" s="39"/>
      <c r="FH96" s="39"/>
      <c r="FI96" s="39"/>
      <c r="FJ96" s="39"/>
      <c r="FK96" s="39"/>
      <c r="FL96" s="39"/>
      <c r="FM96" s="39"/>
      <c r="FN96" s="39"/>
      <c r="FO96" s="39"/>
      <c r="FP96" s="39"/>
      <c r="FQ96" s="39"/>
      <c r="FR96" s="39"/>
      <c r="FS96" s="39"/>
      <c r="FT96" s="39"/>
      <c r="FU96" s="39"/>
      <c r="FV96" s="39"/>
      <c r="FW96" s="39"/>
      <c r="FX96" s="39"/>
      <c r="FY96" s="39"/>
      <c r="FZ96" s="39"/>
      <c r="GA96" s="39"/>
      <c r="GB96" s="39"/>
      <c r="GC96" s="39"/>
      <c r="GD96" s="39"/>
      <c r="GE96" s="39"/>
      <c r="GF96" s="39"/>
      <c r="GG96" s="39"/>
      <c r="GH96" s="39"/>
      <c r="GI96" s="39"/>
      <c r="GJ96" s="39"/>
      <c r="GK96" s="39"/>
    </row>
    <row r="97" spans="1:193">
      <c r="A97" s="110" t="s">
        <v>71</v>
      </c>
      <c r="B97" s="110" t="s">
        <v>294</v>
      </c>
      <c r="C97" s="63" t="s">
        <v>307</v>
      </c>
      <c r="D97" s="110" t="s">
        <v>293</v>
      </c>
      <c r="E97" s="63" t="s">
        <v>173</v>
      </c>
      <c r="F97" s="27"/>
      <c r="G97" s="27"/>
      <c r="H97" s="27"/>
      <c r="I97" s="30">
        <v>1250</v>
      </c>
      <c r="J97" s="27"/>
      <c r="K97" s="30">
        <f t="shared" si="67"/>
        <v>1250</v>
      </c>
      <c r="L97" s="30"/>
      <c r="M97" s="30"/>
      <c r="N97" s="30"/>
      <c r="O97" s="30"/>
      <c r="P97" s="32"/>
      <c r="Q97" s="33">
        <f t="shared" ref="Q97" si="91">SUM(K97:O97)-P97</f>
        <v>1250</v>
      </c>
      <c r="R97" s="34"/>
      <c r="S97" s="45"/>
      <c r="T97" s="45"/>
      <c r="U97" s="45"/>
      <c r="V97" s="45"/>
      <c r="W97" s="45"/>
      <c r="X97" s="36"/>
      <c r="Y97" s="36"/>
      <c r="Z97" s="35"/>
      <c r="AA97" s="35">
        <v>0</v>
      </c>
      <c r="AB97" s="33">
        <f t="shared" ref="AB97" si="92">+Q97-SUM(R97:AA97)</f>
        <v>1250</v>
      </c>
      <c r="AC97" s="37">
        <f t="shared" ref="AC97" si="93">IF(Q97&gt;3500,Q97*0.1,0)</f>
        <v>0</v>
      </c>
      <c r="AD97" s="33">
        <f t="shared" ref="AD97" si="94">+AB97-AC97</f>
        <v>1250</v>
      </c>
      <c r="AE97" s="38">
        <f t="shared" ref="AE97" si="95">IF(Q97&lt;3500,Q97*0.1,0)</f>
        <v>125</v>
      </c>
      <c r="AF97" s="37">
        <v>10.23</v>
      </c>
      <c r="AG97" s="37">
        <f t="shared" si="72"/>
        <v>0</v>
      </c>
      <c r="AH97" s="67">
        <f t="shared" si="73"/>
        <v>1385.23</v>
      </c>
      <c r="AI97" s="103"/>
      <c r="AJ97" s="103"/>
      <c r="AK97" s="103"/>
      <c r="AL97" s="39"/>
      <c r="AM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  <c r="DG97" s="39"/>
      <c r="DH97" s="39"/>
      <c r="DI97" s="39"/>
      <c r="DJ97" s="39"/>
      <c r="DK97" s="39"/>
      <c r="DL97" s="39"/>
      <c r="DM97" s="39"/>
      <c r="DN97" s="39"/>
      <c r="DO97" s="39"/>
      <c r="DP97" s="39"/>
      <c r="DQ97" s="39"/>
      <c r="DR97" s="39"/>
      <c r="DS97" s="39"/>
      <c r="DT97" s="39"/>
      <c r="DU97" s="39"/>
      <c r="DV97" s="39"/>
      <c r="DW97" s="39"/>
      <c r="DX97" s="39"/>
      <c r="DY97" s="39"/>
      <c r="DZ97" s="39"/>
      <c r="EA97" s="39"/>
      <c r="EB97" s="39"/>
      <c r="EC97" s="39"/>
      <c r="ED97" s="39"/>
      <c r="EE97" s="39"/>
      <c r="EF97" s="39"/>
      <c r="EG97" s="39"/>
      <c r="EH97" s="39"/>
      <c r="EI97" s="39"/>
      <c r="EJ97" s="39"/>
      <c r="EK97" s="39"/>
      <c r="EL97" s="39"/>
      <c r="EM97" s="39"/>
      <c r="EN97" s="39"/>
      <c r="EO97" s="39"/>
      <c r="EP97" s="39"/>
      <c r="EQ97" s="39"/>
      <c r="ER97" s="39"/>
      <c r="ES97" s="39"/>
      <c r="ET97" s="39"/>
      <c r="EU97" s="39"/>
      <c r="EV97" s="39"/>
      <c r="EW97" s="39"/>
      <c r="EX97" s="39"/>
      <c r="EY97" s="39"/>
      <c r="EZ97" s="39"/>
      <c r="FA97" s="39"/>
      <c r="FB97" s="39"/>
      <c r="FC97" s="39"/>
      <c r="FD97" s="39"/>
      <c r="FE97" s="39"/>
      <c r="FF97" s="39"/>
      <c r="FG97" s="39"/>
      <c r="FH97" s="39"/>
      <c r="FI97" s="39"/>
      <c r="FJ97" s="39"/>
      <c r="FK97" s="39"/>
      <c r="FL97" s="39"/>
      <c r="FM97" s="39"/>
      <c r="FN97" s="39"/>
      <c r="FO97" s="39"/>
      <c r="FP97" s="39"/>
      <c r="FQ97" s="39"/>
      <c r="FR97" s="39"/>
      <c r="FS97" s="39"/>
      <c r="FT97" s="39"/>
      <c r="FU97" s="39"/>
      <c r="FV97" s="39"/>
      <c r="FW97" s="39"/>
      <c r="FX97" s="39"/>
      <c r="FY97" s="39"/>
      <c r="FZ97" s="39"/>
      <c r="GA97" s="39"/>
      <c r="GB97" s="39"/>
      <c r="GC97" s="39"/>
      <c r="GD97" s="39"/>
      <c r="GE97" s="39"/>
      <c r="GF97" s="39"/>
      <c r="GG97" s="39"/>
      <c r="GH97" s="39"/>
      <c r="GI97" s="39"/>
      <c r="GJ97" s="39"/>
      <c r="GK97" s="39"/>
    </row>
    <row r="98" spans="1:193">
      <c r="A98" s="46"/>
      <c r="B98" s="27"/>
      <c r="C98" s="27"/>
      <c r="D98" s="28"/>
      <c r="E98" s="27"/>
      <c r="F98" s="27"/>
      <c r="G98" s="27"/>
      <c r="H98" s="27"/>
      <c r="I98" s="30"/>
      <c r="J98" s="27"/>
      <c r="K98" s="30"/>
      <c r="L98" s="30"/>
      <c r="M98" s="30"/>
      <c r="N98" s="30"/>
      <c r="O98" s="30"/>
      <c r="P98" s="32"/>
      <c r="Q98" s="33"/>
      <c r="R98" s="34"/>
      <c r="S98" s="45"/>
      <c r="T98" s="45"/>
      <c r="U98" s="45"/>
      <c r="V98" s="45"/>
      <c r="W98" s="45"/>
      <c r="X98" s="36"/>
      <c r="Y98" s="36"/>
      <c r="Z98" s="36"/>
      <c r="AA98" s="36"/>
      <c r="AB98" s="33"/>
      <c r="AC98" s="37">
        <f t="shared" si="69"/>
        <v>0</v>
      </c>
      <c r="AD98" s="33"/>
      <c r="AE98" s="38">
        <f t="shared" si="71"/>
        <v>0</v>
      </c>
      <c r="AF98" s="37"/>
      <c r="AG98" s="37">
        <f t="shared" si="72"/>
        <v>0</v>
      </c>
      <c r="AH98" s="67">
        <f t="shared" si="73"/>
        <v>0</v>
      </c>
      <c r="AI98" s="103"/>
      <c r="AJ98" s="103"/>
      <c r="AK98" s="103"/>
      <c r="AL98" s="39"/>
      <c r="AM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39"/>
      <c r="DS98" s="39"/>
      <c r="DT98" s="39"/>
      <c r="DU98" s="39"/>
      <c r="DV98" s="39"/>
      <c r="DW98" s="39"/>
      <c r="DX98" s="39"/>
      <c r="DY98" s="39"/>
      <c r="DZ98" s="39"/>
      <c r="EA98" s="39"/>
      <c r="EB98" s="39"/>
      <c r="EC98" s="39"/>
      <c r="ED98" s="39"/>
      <c r="EE98" s="39"/>
      <c r="EF98" s="39"/>
      <c r="EG98" s="39"/>
      <c r="EH98" s="39"/>
      <c r="EI98" s="39"/>
      <c r="EJ98" s="39"/>
      <c r="EK98" s="39"/>
      <c r="EL98" s="39"/>
      <c r="EM98" s="39"/>
      <c r="EN98" s="39"/>
      <c r="EO98" s="39"/>
      <c r="EP98" s="39"/>
      <c r="EQ98" s="39"/>
      <c r="ER98" s="39"/>
      <c r="ES98" s="39"/>
      <c r="ET98" s="39"/>
      <c r="EU98" s="39"/>
      <c r="EV98" s="39"/>
      <c r="EW98" s="39"/>
      <c r="EX98" s="39"/>
      <c r="EY98" s="39"/>
      <c r="EZ98" s="39"/>
      <c r="FA98" s="39"/>
      <c r="FB98" s="39"/>
      <c r="FC98" s="39"/>
      <c r="FD98" s="39"/>
      <c r="FE98" s="39"/>
      <c r="FF98" s="39"/>
      <c r="FG98" s="39"/>
      <c r="FH98" s="39"/>
      <c r="FI98" s="39"/>
      <c r="FJ98" s="39"/>
      <c r="FK98" s="39"/>
      <c r="FL98" s="39"/>
      <c r="FM98" s="39"/>
      <c r="FN98" s="39"/>
      <c r="FO98" s="39"/>
      <c r="FP98" s="39"/>
      <c r="FQ98" s="39"/>
      <c r="FR98" s="39"/>
      <c r="FS98" s="39"/>
      <c r="FT98" s="39"/>
      <c r="FU98" s="39"/>
      <c r="FV98" s="39"/>
      <c r="FW98" s="39"/>
      <c r="FX98" s="39"/>
      <c r="FY98" s="39"/>
      <c r="FZ98" s="39"/>
      <c r="GA98" s="39"/>
      <c r="GB98" s="39"/>
      <c r="GC98" s="39"/>
      <c r="GD98" s="39"/>
      <c r="GE98" s="39"/>
      <c r="GF98" s="39"/>
      <c r="GG98" s="39"/>
      <c r="GH98" s="39"/>
      <c r="GI98" s="39"/>
      <c r="GJ98" s="39"/>
      <c r="GK98" s="39"/>
    </row>
    <row r="99" spans="1:193" s="39" customFormat="1">
      <c r="A99" s="46"/>
      <c r="B99" s="47"/>
      <c r="C99" s="47"/>
      <c r="D99" s="47"/>
      <c r="E99" s="47"/>
      <c r="F99" s="47"/>
      <c r="G99" s="47"/>
      <c r="H99" s="47"/>
      <c r="I99" s="48"/>
      <c r="J99" s="47"/>
      <c r="K99" s="48"/>
      <c r="L99" s="48"/>
      <c r="M99" s="48"/>
      <c r="N99" s="48"/>
      <c r="O99" s="48"/>
      <c r="P99" s="48"/>
      <c r="Q99" s="49"/>
      <c r="R99" s="48"/>
      <c r="S99" s="48"/>
      <c r="T99" s="48"/>
      <c r="U99" s="48"/>
      <c r="V99" s="48"/>
      <c r="W99" s="48"/>
      <c r="X99" s="37"/>
      <c r="Y99" s="37"/>
      <c r="Z99" s="37"/>
      <c r="AA99" s="37"/>
      <c r="AB99" s="50"/>
      <c r="AC99" s="37"/>
      <c r="AD99" s="49"/>
      <c r="AE99" s="37"/>
      <c r="AF99" s="37"/>
      <c r="AG99" s="37"/>
      <c r="AH99" s="49"/>
      <c r="AI99" s="103"/>
      <c r="AJ99" s="103"/>
      <c r="AK99" s="103"/>
    </row>
    <row r="100" spans="1:193" ht="15.75" thickBot="1">
      <c r="B100" s="51" t="s">
        <v>17</v>
      </c>
      <c r="C100" s="51"/>
      <c r="D100" s="51"/>
      <c r="E100" s="51"/>
      <c r="F100" s="51"/>
      <c r="G100" s="51"/>
      <c r="H100" s="51"/>
      <c r="I100" s="77"/>
      <c r="J100" s="51"/>
      <c r="K100" s="52">
        <f>SUM(K7:K99)</f>
        <v>86532.160095238185</v>
      </c>
      <c r="L100" s="52">
        <f>SUM(L7:L99)</f>
        <v>180704.94900000002</v>
      </c>
      <c r="M100" s="52"/>
      <c r="N100" s="52">
        <f>SUM(N7:N99)</f>
        <v>3489.23</v>
      </c>
      <c r="O100" s="52">
        <f>SUM(O7:O99)</f>
        <v>8990.23</v>
      </c>
      <c r="P100" s="52">
        <f>SUM(P7:P99)</f>
        <v>0</v>
      </c>
      <c r="Q100" s="52">
        <f>SUM(Q7:Q99)</f>
        <v>279716.56909523817</v>
      </c>
      <c r="R100" s="52">
        <f>SUM(R7:R99)</f>
        <v>0</v>
      </c>
      <c r="S100" s="52"/>
      <c r="T100" s="71">
        <f t="shared" ref="T100:AK100" si="96">SUM(T7:T99)</f>
        <v>5032.33</v>
      </c>
      <c r="U100" s="71">
        <f t="shared" si="96"/>
        <v>3034.071817</v>
      </c>
      <c r="V100" s="71">
        <f t="shared" si="96"/>
        <v>614.3761199999999</v>
      </c>
      <c r="W100" s="71">
        <f t="shared" si="96"/>
        <v>879.38</v>
      </c>
      <c r="X100" s="52">
        <f t="shared" si="96"/>
        <v>0</v>
      </c>
      <c r="Y100" s="52">
        <f t="shared" si="96"/>
        <v>731.44</v>
      </c>
      <c r="Z100" s="52">
        <f t="shared" si="96"/>
        <v>406.94</v>
      </c>
      <c r="AA100" s="52">
        <f t="shared" si="96"/>
        <v>5972.375</v>
      </c>
      <c r="AB100" s="52">
        <f t="shared" si="96"/>
        <v>262397.64615823817</v>
      </c>
      <c r="AC100" s="52">
        <f t="shared" si="96"/>
        <v>16560.710899999998</v>
      </c>
      <c r="AD100" s="52">
        <f t="shared" si="96"/>
        <v>245836.93525823817</v>
      </c>
      <c r="AE100" s="52">
        <f t="shared" si="96"/>
        <v>11410.94600952381</v>
      </c>
      <c r="AF100" s="52">
        <f t="shared" si="96"/>
        <v>920.70000000000107</v>
      </c>
      <c r="AG100" s="52">
        <f t="shared" si="96"/>
        <v>3034.071817</v>
      </c>
      <c r="AH100" s="52">
        <f t="shared" si="96"/>
        <v>295082.28692176193</v>
      </c>
      <c r="AI100" s="104">
        <f t="shared" si="96"/>
        <v>0</v>
      </c>
      <c r="AJ100" s="104">
        <f t="shared" si="96"/>
        <v>0</v>
      </c>
      <c r="AK100" s="104">
        <f t="shared" si="96"/>
        <v>0</v>
      </c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  <c r="DS100" s="39"/>
      <c r="DT100" s="39"/>
      <c r="DU100" s="39"/>
      <c r="DV100" s="39"/>
      <c r="DW100" s="39"/>
      <c r="DX100" s="39"/>
      <c r="DY100" s="39"/>
      <c r="DZ100" s="39"/>
      <c r="EA100" s="39"/>
      <c r="EB100" s="39"/>
      <c r="EC100" s="39"/>
      <c r="ED100" s="39"/>
      <c r="EE100" s="39"/>
      <c r="EF100" s="39"/>
      <c r="EG100" s="39"/>
      <c r="EH100" s="39"/>
      <c r="EI100" s="39"/>
      <c r="EJ100" s="39"/>
      <c r="EK100" s="39"/>
      <c r="EL100" s="39"/>
      <c r="EM100" s="39"/>
      <c r="EN100" s="39"/>
      <c r="EO100" s="39"/>
      <c r="EP100" s="39"/>
      <c r="EQ100" s="39"/>
      <c r="ER100" s="39"/>
      <c r="ES100" s="39"/>
      <c r="ET100" s="39"/>
      <c r="EU100" s="39"/>
      <c r="EV100" s="39"/>
      <c r="EW100" s="39"/>
      <c r="EX100" s="39"/>
      <c r="EY100" s="39"/>
      <c r="EZ100" s="39"/>
      <c r="FA100" s="39"/>
      <c r="FB100" s="39"/>
      <c r="FC100" s="39"/>
      <c r="FD100" s="39"/>
      <c r="FE100" s="39"/>
      <c r="FF100" s="39"/>
      <c r="FG100" s="39"/>
      <c r="FH100" s="39"/>
      <c r="FI100" s="39"/>
      <c r="FJ100" s="39"/>
      <c r="FK100" s="39"/>
      <c r="FL100" s="39"/>
      <c r="FM100" s="39"/>
      <c r="FN100" s="39"/>
      <c r="FO100" s="39"/>
      <c r="FP100" s="39"/>
      <c r="FQ100" s="39"/>
      <c r="FR100" s="39"/>
      <c r="FS100" s="39"/>
      <c r="FT100" s="39"/>
      <c r="FU100" s="39"/>
      <c r="FV100" s="39"/>
      <c r="FW100" s="39"/>
      <c r="FX100" s="39"/>
      <c r="FY100" s="39"/>
      <c r="FZ100" s="39"/>
      <c r="GA100" s="39"/>
      <c r="GB100" s="39"/>
      <c r="GC100" s="39"/>
      <c r="GD100" s="39"/>
      <c r="GE100" s="39"/>
      <c r="GF100" s="39"/>
      <c r="GG100" s="39"/>
      <c r="GH100" s="39"/>
      <c r="GI100" s="39"/>
      <c r="GJ100" s="39"/>
      <c r="GK100" s="39"/>
    </row>
    <row r="101" spans="1:193" ht="15.75" thickTop="1">
      <c r="AH101" s="24">
        <f>AH100*0.16</f>
        <v>47213.165907481911</v>
      </c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  <c r="DK101" s="39"/>
      <c r="DL101" s="39"/>
      <c r="DM101" s="39"/>
      <c r="DN101" s="39"/>
      <c r="DO101" s="39"/>
      <c r="DP101" s="39"/>
      <c r="DQ101" s="39"/>
      <c r="DR101" s="39"/>
      <c r="DS101" s="39"/>
      <c r="DT101" s="39"/>
      <c r="DU101" s="39"/>
      <c r="DV101" s="39"/>
      <c r="DW101" s="39"/>
      <c r="DX101" s="39"/>
      <c r="DY101" s="39"/>
      <c r="DZ101" s="39"/>
      <c r="EA101" s="39"/>
      <c r="EB101" s="39"/>
      <c r="EC101" s="39"/>
      <c r="ED101" s="39"/>
      <c r="EE101" s="39"/>
      <c r="EF101" s="39"/>
      <c r="EG101" s="39"/>
      <c r="EH101" s="39"/>
      <c r="EI101" s="39"/>
      <c r="EJ101" s="39"/>
      <c r="EK101" s="39"/>
      <c r="EL101" s="39"/>
      <c r="EM101" s="39"/>
      <c r="EN101" s="39"/>
      <c r="EO101" s="39"/>
      <c r="EP101" s="39"/>
      <c r="EQ101" s="39"/>
      <c r="ER101" s="39"/>
      <c r="ES101" s="39"/>
      <c r="ET101" s="39"/>
      <c r="EU101" s="39"/>
      <c r="EV101" s="39"/>
      <c r="EW101" s="39"/>
      <c r="EX101" s="39"/>
      <c r="EY101" s="39"/>
      <c r="EZ101" s="39"/>
      <c r="FA101" s="39"/>
      <c r="FB101" s="39"/>
      <c r="FC101" s="39"/>
      <c r="FD101" s="39"/>
      <c r="FE101" s="39"/>
      <c r="FF101" s="39"/>
      <c r="FG101" s="39"/>
      <c r="FH101" s="39"/>
      <c r="FI101" s="39"/>
      <c r="FJ101" s="39"/>
      <c r="FK101" s="39"/>
      <c r="FL101" s="39"/>
      <c r="FM101" s="39"/>
      <c r="FN101" s="39"/>
      <c r="FO101" s="39"/>
      <c r="FP101" s="39"/>
      <c r="FQ101" s="39"/>
      <c r="FR101" s="39"/>
      <c r="FS101" s="39"/>
      <c r="FT101" s="39"/>
      <c r="FU101" s="39"/>
      <c r="FV101" s="39"/>
      <c r="FW101" s="39"/>
      <c r="FX101" s="39"/>
      <c r="FY101" s="39"/>
      <c r="FZ101" s="39"/>
      <c r="GA101" s="39"/>
      <c r="GB101" s="39"/>
      <c r="GC101" s="39"/>
      <c r="GD101" s="39"/>
      <c r="GE101" s="39"/>
      <c r="GF101" s="39"/>
      <c r="GG101" s="39"/>
      <c r="GH101" s="39"/>
      <c r="GI101" s="39"/>
      <c r="GJ101" s="39"/>
      <c r="GK101" s="39"/>
    </row>
    <row r="102" spans="1:193">
      <c r="A102" s="137" t="s">
        <v>295</v>
      </c>
      <c r="B102" s="137"/>
      <c r="C102" s="69"/>
      <c r="AH102" s="24">
        <f>+AH100+AH101</f>
        <v>342295.45282924385</v>
      </c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  <c r="DK102" s="39"/>
      <c r="DL102" s="39"/>
      <c r="DM102" s="39"/>
      <c r="DN102" s="39"/>
      <c r="DO102" s="39"/>
      <c r="DP102" s="39"/>
      <c r="DQ102" s="39"/>
      <c r="DR102" s="39"/>
      <c r="DS102" s="39"/>
      <c r="DT102" s="39"/>
      <c r="DU102" s="39"/>
      <c r="DV102" s="39"/>
      <c r="DW102" s="39"/>
      <c r="DX102" s="39"/>
      <c r="DY102" s="39"/>
      <c r="DZ102" s="39"/>
      <c r="EA102" s="39"/>
      <c r="EB102" s="39"/>
      <c r="EC102" s="39"/>
      <c r="ED102" s="39"/>
      <c r="EE102" s="39"/>
      <c r="EF102" s="39"/>
      <c r="EG102" s="39"/>
      <c r="EH102" s="39"/>
      <c r="EI102" s="39"/>
      <c r="EJ102" s="39"/>
      <c r="EK102" s="39"/>
      <c r="EL102" s="39"/>
      <c r="EM102" s="39"/>
      <c r="EN102" s="39"/>
      <c r="EO102" s="39"/>
      <c r="EP102" s="39"/>
      <c r="EQ102" s="39"/>
      <c r="ER102" s="39"/>
      <c r="ES102" s="39"/>
      <c r="ET102" s="39"/>
      <c r="EU102" s="39"/>
      <c r="EV102" s="39"/>
      <c r="EW102" s="39"/>
      <c r="EX102" s="39"/>
      <c r="EY102" s="39"/>
      <c r="EZ102" s="39"/>
      <c r="FA102" s="39"/>
      <c r="FB102" s="39"/>
      <c r="FC102" s="39"/>
      <c r="FD102" s="39"/>
      <c r="FE102" s="39"/>
      <c r="FF102" s="39"/>
      <c r="FG102" s="39"/>
      <c r="FH102" s="39"/>
      <c r="FI102" s="39"/>
      <c r="FJ102" s="39"/>
      <c r="FK102" s="39"/>
      <c r="FL102" s="39"/>
      <c r="FM102" s="39"/>
      <c r="FN102" s="39"/>
      <c r="FO102" s="39"/>
      <c r="FP102" s="39"/>
      <c r="FQ102" s="39"/>
      <c r="FR102" s="39"/>
      <c r="FS102" s="39"/>
      <c r="FT102" s="39"/>
      <c r="FU102" s="39"/>
      <c r="FV102" s="39"/>
      <c r="FW102" s="39"/>
      <c r="FX102" s="39"/>
      <c r="FY102" s="39"/>
      <c r="FZ102" s="39"/>
      <c r="GA102" s="39"/>
      <c r="GB102" s="39"/>
      <c r="GC102" s="39"/>
      <c r="GD102" s="39"/>
      <c r="GE102" s="39"/>
      <c r="GF102" s="39"/>
      <c r="GG102" s="39"/>
      <c r="GH102" s="39"/>
      <c r="GI102" s="39"/>
      <c r="GJ102" s="39"/>
      <c r="GK102" s="39"/>
    </row>
    <row r="103" spans="1:193">
      <c r="A103" s="46"/>
      <c r="B103" s="27" t="s">
        <v>296</v>
      </c>
      <c r="C103" s="27"/>
      <c r="D103" s="28"/>
      <c r="E103" s="27"/>
      <c r="F103" s="27"/>
      <c r="G103" s="27"/>
      <c r="H103" s="27"/>
      <c r="I103" s="30"/>
      <c r="J103" s="27"/>
      <c r="K103" s="30"/>
      <c r="L103" s="30">
        <v>443.3</v>
      </c>
      <c r="M103" s="30"/>
      <c r="N103" s="30"/>
      <c r="O103" s="30"/>
      <c r="P103" s="30"/>
      <c r="Q103" s="33">
        <f>SUM(K103:P103)</f>
        <v>443.3</v>
      </c>
      <c r="R103" s="34"/>
      <c r="S103" s="34"/>
      <c r="T103" s="53"/>
      <c r="U103" s="53"/>
      <c r="V103" s="53"/>
      <c r="W103" s="53"/>
      <c r="X103" s="54"/>
      <c r="Y103" s="54"/>
      <c r="Z103" s="54"/>
      <c r="AA103" s="54"/>
      <c r="AB103" s="33">
        <f>+Q103-R103</f>
        <v>443.3</v>
      </c>
      <c r="AC103" s="37">
        <f>+AB103*0.05</f>
        <v>22.165000000000003</v>
      </c>
      <c r="AD103" s="33">
        <f>+AB103-X103-AA103</f>
        <v>443.3</v>
      </c>
      <c r="AE103" s="38">
        <f>IF(AB103&lt;3000,AB103*0.1,0)</f>
        <v>44.330000000000005</v>
      </c>
      <c r="AF103" s="37">
        <v>0</v>
      </c>
      <c r="AG103" s="37"/>
      <c r="AH103" s="33">
        <f>+AB103+AE103+AF103</f>
        <v>487.63</v>
      </c>
      <c r="AI103" s="105"/>
      <c r="AJ103" s="105"/>
      <c r="AK103" s="105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  <c r="DT103" s="39"/>
      <c r="DU103" s="39"/>
      <c r="DV103" s="39"/>
      <c r="DW103" s="39"/>
      <c r="DX103" s="39"/>
      <c r="DY103" s="39"/>
      <c r="DZ103" s="39"/>
      <c r="EA103" s="39"/>
      <c r="EB103" s="39"/>
      <c r="EC103" s="39"/>
      <c r="ED103" s="39"/>
      <c r="EE103" s="39"/>
      <c r="EF103" s="39"/>
      <c r="EG103" s="39"/>
      <c r="EH103" s="39"/>
      <c r="EI103" s="39"/>
      <c r="EJ103" s="39"/>
      <c r="EK103" s="39"/>
      <c r="EL103" s="39"/>
      <c r="EM103" s="39"/>
      <c r="EN103" s="39"/>
      <c r="EO103" s="39"/>
      <c r="EP103" s="39"/>
      <c r="EQ103" s="39"/>
      <c r="ER103" s="39"/>
      <c r="ES103" s="39"/>
      <c r="ET103" s="39"/>
      <c r="EU103" s="39"/>
      <c r="EV103" s="39"/>
      <c r="EW103" s="39"/>
      <c r="EX103" s="39"/>
      <c r="EY103" s="39"/>
      <c r="EZ103" s="39"/>
      <c r="FA103" s="39"/>
      <c r="FB103" s="39"/>
      <c r="FC103" s="39"/>
      <c r="FD103" s="39"/>
      <c r="FE103" s="39"/>
      <c r="FF103" s="39"/>
      <c r="FG103" s="39"/>
      <c r="FH103" s="39"/>
      <c r="FI103" s="39"/>
      <c r="FJ103" s="39"/>
      <c r="FK103" s="39"/>
      <c r="FL103" s="39"/>
      <c r="FM103" s="39"/>
      <c r="FN103" s="39"/>
      <c r="FO103" s="39"/>
      <c r="FP103" s="39"/>
      <c r="FQ103" s="39"/>
      <c r="FR103" s="39"/>
      <c r="FS103" s="39"/>
      <c r="FT103" s="39"/>
      <c r="FU103" s="39"/>
      <c r="FV103" s="39"/>
      <c r="FW103" s="39"/>
      <c r="FX103" s="39"/>
      <c r="FY103" s="39"/>
      <c r="FZ103" s="39"/>
      <c r="GA103" s="39"/>
      <c r="GB103" s="39"/>
      <c r="GC103" s="39"/>
      <c r="GD103" s="39"/>
      <c r="GE103" s="39"/>
      <c r="GF103" s="39"/>
      <c r="GG103" s="39"/>
      <c r="GH103" s="39"/>
      <c r="GI103" s="39"/>
      <c r="GJ103" s="39"/>
      <c r="GK103" s="39"/>
    </row>
    <row r="104" spans="1:193">
      <c r="A104" s="46"/>
      <c r="B104" s="28" t="s">
        <v>297</v>
      </c>
      <c r="C104" s="28"/>
      <c r="D104" s="28"/>
      <c r="E104" s="28"/>
      <c r="F104" s="28"/>
      <c r="G104" s="28"/>
      <c r="H104" s="28"/>
      <c r="I104" s="31"/>
      <c r="J104" s="28"/>
      <c r="K104" s="31"/>
      <c r="L104" s="31">
        <v>2704.48</v>
      </c>
      <c r="M104" s="31"/>
      <c r="N104" s="31"/>
      <c r="O104" s="31"/>
      <c r="P104" s="31"/>
      <c r="Q104" s="33">
        <f>SUM(K104:P104)</f>
        <v>2704.48</v>
      </c>
      <c r="R104" s="34"/>
      <c r="S104" s="34"/>
      <c r="T104" s="53"/>
      <c r="U104" s="53"/>
      <c r="V104" s="53"/>
      <c r="W104" s="53"/>
      <c r="X104" s="54"/>
      <c r="Y104" s="54"/>
      <c r="Z104" s="54"/>
      <c r="AA104" s="54"/>
      <c r="AB104" s="33">
        <f>+Q104-R104</f>
        <v>2704.48</v>
      </c>
      <c r="AC104" s="37">
        <f>+AB104*0.05</f>
        <v>135.22400000000002</v>
      </c>
      <c r="AD104" s="33">
        <f>+AB104-X104-AA104</f>
        <v>2704.48</v>
      </c>
      <c r="AE104" s="38">
        <f>IF(AB104&lt;3000,AB104*0.1,0)</f>
        <v>270.44800000000004</v>
      </c>
      <c r="AF104" s="37">
        <v>0</v>
      </c>
      <c r="AG104" s="37"/>
      <c r="AH104" s="33">
        <f>+AB104+AE104+AF104</f>
        <v>2974.9279999999999</v>
      </c>
      <c r="AI104" s="105"/>
      <c r="AJ104" s="105"/>
      <c r="AK104" s="105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39"/>
      <c r="EK104" s="39"/>
      <c r="EL104" s="39"/>
      <c r="EM104" s="39"/>
      <c r="EN104" s="39"/>
      <c r="EO104" s="39"/>
      <c r="EP104" s="39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39"/>
      <c r="FF104" s="39"/>
      <c r="FG104" s="39"/>
      <c r="FH104" s="39"/>
      <c r="FI104" s="39"/>
      <c r="FJ104" s="39"/>
      <c r="FK104" s="39"/>
      <c r="FL104" s="39"/>
      <c r="FM104" s="39"/>
      <c r="FN104" s="39"/>
      <c r="FO104" s="39"/>
      <c r="FP104" s="39"/>
      <c r="FQ104" s="39"/>
      <c r="FR104" s="39"/>
      <c r="FS104" s="39"/>
      <c r="FT104" s="39"/>
      <c r="FU104" s="39"/>
      <c r="FV104" s="39"/>
      <c r="FW104" s="39"/>
      <c r="FX104" s="39"/>
      <c r="FY104" s="39"/>
      <c r="FZ104" s="39"/>
      <c r="GA104" s="39"/>
      <c r="GB104" s="39"/>
      <c r="GC104" s="39"/>
      <c r="GD104" s="39"/>
      <c r="GE104" s="39"/>
      <c r="GF104" s="39"/>
      <c r="GG104" s="39"/>
      <c r="GH104" s="39"/>
      <c r="GI104" s="39"/>
      <c r="GJ104" s="39"/>
      <c r="GK104" s="39"/>
    </row>
    <row r="105" spans="1:193">
      <c r="AH105" s="24">
        <f>SUM(AH103:AH104)</f>
        <v>3462.558</v>
      </c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39"/>
      <c r="DI105" s="39"/>
      <c r="DJ105" s="39"/>
      <c r="DK105" s="39"/>
      <c r="DL105" s="39"/>
      <c r="DM105" s="39"/>
      <c r="DN105" s="39"/>
      <c r="DO105" s="39"/>
      <c r="DP105" s="39"/>
      <c r="DQ105" s="39"/>
      <c r="DR105" s="39"/>
      <c r="DS105" s="39"/>
      <c r="DT105" s="39"/>
      <c r="DU105" s="39"/>
      <c r="DV105" s="39"/>
      <c r="DW105" s="39"/>
      <c r="DX105" s="39"/>
      <c r="DY105" s="39"/>
      <c r="DZ105" s="39"/>
      <c r="EA105" s="39"/>
      <c r="EB105" s="39"/>
      <c r="EC105" s="39"/>
      <c r="ED105" s="39"/>
      <c r="EE105" s="39"/>
      <c r="EF105" s="39"/>
      <c r="EG105" s="39"/>
      <c r="EH105" s="39"/>
      <c r="EI105" s="39"/>
      <c r="EJ105" s="39"/>
      <c r="EK105" s="39"/>
      <c r="EL105" s="39"/>
      <c r="EM105" s="39"/>
      <c r="EN105" s="39"/>
      <c r="EO105" s="39"/>
      <c r="EP105" s="39"/>
      <c r="EQ105" s="39"/>
      <c r="ER105" s="39"/>
      <c r="ES105" s="39"/>
      <c r="ET105" s="39"/>
      <c r="EU105" s="39"/>
      <c r="EV105" s="39"/>
      <c r="EW105" s="39"/>
      <c r="EX105" s="39"/>
      <c r="EY105" s="39"/>
      <c r="EZ105" s="39"/>
      <c r="FA105" s="39"/>
      <c r="FB105" s="39"/>
      <c r="FC105" s="39"/>
      <c r="FD105" s="39"/>
      <c r="FE105" s="39"/>
      <c r="FF105" s="39"/>
      <c r="FG105" s="39"/>
      <c r="FH105" s="39"/>
      <c r="FI105" s="39"/>
      <c r="FJ105" s="39"/>
      <c r="FK105" s="39"/>
      <c r="FL105" s="39"/>
      <c r="FM105" s="39"/>
      <c r="FN105" s="39"/>
      <c r="FO105" s="39"/>
      <c r="FP105" s="39"/>
      <c r="FQ105" s="39"/>
      <c r="FR105" s="39"/>
      <c r="FS105" s="39"/>
      <c r="FT105" s="39"/>
      <c r="FU105" s="39"/>
      <c r="FV105" s="39"/>
      <c r="FW105" s="39"/>
      <c r="FX105" s="39"/>
      <c r="FY105" s="39"/>
      <c r="FZ105" s="39"/>
      <c r="GA105" s="39"/>
      <c r="GB105" s="39"/>
      <c r="GC105" s="39"/>
      <c r="GD105" s="39"/>
      <c r="GE105" s="39"/>
      <c r="GF105" s="39"/>
      <c r="GG105" s="39"/>
      <c r="GH105" s="39"/>
      <c r="GI105" s="39"/>
      <c r="GJ105" s="39"/>
      <c r="GK105" s="39"/>
    </row>
    <row r="106" spans="1:193">
      <c r="B106" s="55"/>
      <c r="C106" s="55"/>
      <c r="D106" s="55"/>
      <c r="AH106" s="24">
        <f>+AH105*0.16</f>
        <v>554.00927999999999</v>
      </c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39"/>
      <c r="DR106" s="39"/>
      <c r="DS106" s="39"/>
      <c r="DT106" s="39"/>
      <c r="DU106" s="39"/>
      <c r="DV106" s="39"/>
      <c r="DW106" s="39"/>
      <c r="DX106" s="39"/>
      <c r="DY106" s="39"/>
      <c r="DZ106" s="39"/>
      <c r="EA106" s="39"/>
      <c r="EB106" s="39"/>
      <c r="EC106" s="39"/>
      <c r="ED106" s="39"/>
      <c r="EE106" s="39"/>
      <c r="EF106" s="39"/>
      <c r="EG106" s="39"/>
      <c r="EH106" s="39"/>
      <c r="EI106" s="39"/>
      <c r="EJ106" s="39"/>
      <c r="EK106" s="39"/>
      <c r="EL106" s="39"/>
      <c r="EM106" s="39"/>
      <c r="EN106" s="39"/>
      <c r="EO106" s="39"/>
      <c r="EP106" s="39"/>
      <c r="EQ106" s="39"/>
      <c r="ER106" s="39"/>
      <c r="ES106" s="39"/>
      <c r="ET106" s="39"/>
      <c r="EU106" s="39"/>
      <c r="EV106" s="39"/>
      <c r="EW106" s="39"/>
      <c r="EX106" s="39"/>
      <c r="EY106" s="39"/>
      <c r="EZ106" s="39"/>
      <c r="FA106" s="39"/>
      <c r="FB106" s="39"/>
      <c r="FC106" s="39"/>
      <c r="FD106" s="39"/>
      <c r="FE106" s="39"/>
      <c r="FF106" s="39"/>
      <c r="FG106" s="39"/>
      <c r="FH106" s="39"/>
      <c r="FI106" s="39"/>
      <c r="FJ106" s="39"/>
      <c r="FK106" s="39"/>
      <c r="FL106" s="39"/>
      <c r="FM106" s="39"/>
      <c r="FN106" s="39"/>
      <c r="FO106" s="39"/>
      <c r="FP106" s="39"/>
      <c r="FQ106" s="39"/>
      <c r="FR106" s="39"/>
      <c r="FS106" s="39"/>
      <c r="FT106" s="39"/>
      <c r="FU106" s="39"/>
      <c r="FV106" s="39"/>
      <c r="FW106" s="39"/>
      <c r="FX106" s="39"/>
      <c r="FY106" s="39"/>
      <c r="FZ106" s="39"/>
      <c r="GA106" s="39"/>
      <c r="GB106" s="39"/>
      <c r="GC106" s="39"/>
      <c r="GD106" s="39"/>
      <c r="GE106" s="39"/>
      <c r="GF106" s="39"/>
      <c r="GG106" s="39"/>
      <c r="GH106" s="39"/>
      <c r="GI106" s="39"/>
      <c r="GJ106" s="39"/>
      <c r="GK106" s="39"/>
    </row>
    <row r="107" spans="1:193">
      <c r="B107" s="55"/>
      <c r="C107" s="55"/>
      <c r="D107" s="55"/>
      <c r="AH107" s="24">
        <f>+AH105+AH106</f>
        <v>4016.5672800000002</v>
      </c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39"/>
      <c r="DI107" s="39"/>
      <c r="DJ107" s="39"/>
      <c r="DK107" s="39"/>
      <c r="DL107" s="39"/>
      <c r="DM107" s="39"/>
      <c r="DN107" s="39"/>
      <c r="DO107" s="39"/>
      <c r="DP107" s="39"/>
      <c r="DQ107" s="39"/>
      <c r="DR107" s="39"/>
      <c r="DS107" s="39"/>
      <c r="DT107" s="39"/>
      <c r="DU107" s="39"/>
      <c r="DV107" s="39"/>
      <c r="DW107" s="39"/>
      <c r="DX107" s="39"/>
      <c r="DY107" s="39"/>
      <c r="DZ107" s="39"/>
      <c r="EA107" s="39"/>
      <c r="EB107" s="39"/>
      <c r="EC107" s="39"/>
      <c r="ED107" s="39"/>
      <c r="EE107" s="39"/>
      <c r="EF107" s="39"/>
      <c r="EG107" s="39"/>
      <c r="EH107" s="39"/>
      <c r="EI107" s="39"/>
      <c r="EJ107" s="39"/>
      <c r="EK107" s="39"/>
      <c r="EL107" s="39"/>
      <c r="EM107" s="39"/>
      <c r="EN107" s="39"/>
      <c r="EO107" s="39"/>
      <c r="EP107" s="39"/>
      <c r="EQ107" s="39"/>
      <c r="ER107" s="39"/>
      <c r="ES107" s="39"/>
      <c r="ET107" s="39"/>
      <c r="EU107" s="39"/>
      <c r="EV107" s="39"/>
      <c r="EW107" s="39"/>
      <c r="EX107" s="39"/>
      <c r="EY107" s="39"/>
      <c r="EZ107" s="39"/>
      <c r="FA107" s="39"/>
      <c r="FB107" s="39"/>
      <c r="FC107" s="39"/>
      <c r="FD107" s="39"/>
      <c r="FE107" s="39"/>
      <c r="FF107" s="39"/>
      <c r="FG107" s="39"/>
      <c r="FH107" s="39"/>
      <c r="FI107" s="39"/>
      <c r="FJ107" s="39"/>
      <c r="FK107" s="39"/>
      <c r="FL107" s="39"/>
      <c r="FM107" s="39"/>
      <c r="FN107" s="39"/>
      <c r="FO107" s="39"/>
      <c r="FP107" s="39"/>
      <c r="FQ107" s="39"/>
      <c r="FR107" s="39"/>
      <c r="FS107" s="39"/>
      <c r="FT107" s="39"/>
      <c r="FU107" s="39"/>
      <c r="FV107" s="39"/>
      <c r="FW107" s="39"/>
      <c r="FX107" s="39"/>
      <c r="FY107" s="39"/>
      <c r="FZ107" s="39"/>
      <c r="GA107" s="39"/>
      <c r="GB107" s="39"/>
      <c r="GC107" s="39"/>
      <c r="GD107" s="39"/>
      <c r="GE107" s="39"/>
      <c r="GF107" s="39"/>
      <c r="GG107" s="39"/>
      <c r="GH107" s="39"/>
      <c r="GI107" s="39"/>
      <c r="GJ107" s="39"/>
      <c r="GK107" s="39"/>
    </row>
    <row r="108" spans="1:193">
      <c r="B108" s="55"/>
      <c r="C108" s="55"/>
      <c r="D108" s="55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39"/>
      <c r="DQ108" s="39"/>
      <c r="DR108" s="39"/>
      <c r="DS108" s="39"/>
      <c r="DT108" s="39"/>
      <c r="DU108" s="39"/>
      <c r="DV108" s="39"/>
      <c r="DW108" s="39"/>
      <c r="DX108" s="39"/>
      <c r="DY108" s="39"/>
      <c r="DZ108" s="39"/>
      <c r="EA108" s="39"/>
      <c r="EB108" s="39"/>
      <c r="EC108" s="39"/>
      <c r="ED108" s="39"/>
      <c r="EE108" s="39"/>
      <c r="EF108" s="39"/>
      <c r="EG108" s="39"/>
      <c r="EH108" s="39"/>
      <c r="EI108" s="39"/>
      <c r="EJ108" s="39"/>
      <c r="EK108" s="39"/>
      <c r="EL108" s="39"/>
      <c r="EM108" s="39"/>
      <c r="EN108" s="39"/>
      <c r="EO108" s="39"/>
      <c r="EP108" s="39"/>
      <c r="EQ108" s="39"/>
      <c r="ER108" s="39"/>
      <c r="ES108" s="39"/>
      <c r="ET108" s="39"/>
      <c r="EU108" s="39"/>
      <c r="EV108" s="39"/>
      <c r="EW108" s="39"/>
      <c r="EX108" s="39"/>
      <c r="EY108" s="39"/>
      <c r="EZ108" s="39"/>
      <c r="FA108" s="39"/>
      <c r="FB108" s="39"/>
      <c r="FC108" s="39"/>
      <c r="FD108" s="39"/>
      <c r="FE108" s="39"/>
      <c r="FF108" s="39"/>
      <c r="FG108" s="39"/>
      <c r="FH108" s="39"/>
      <c r="FI108" s="39"/>
      <c r="FJ108" s="39"/>
      <c r="FK108" s="39"/>
      <c r="FL108" s="39"/>
      <c r="FM108" s="39"/>
      <c r="FN108" s="39"/>
      <c r="FO108" s="39"/>
      <c r="FP108" s="39"/>
      <c r="FQ108" s="39"/>
      <c r="FR108" s="39"/>
      <c r="FS108" s="39"/>
      <c r="FT108" s="39"/>
      <c r="FU108" s="39"/>
      <c r="FV108" s="39"/>
      <c r="FW108" s="39"/>
      <c r="FX108" s="39"/>
      <c r="FY108" s="39"/>
      <c r="FZ108" s="39"/>
      <c r="GA108" s="39"/>
      <c r="GB108" s="39"/>
      <c r="GC108" s="39"/>
      <c r="GD108" s="39"/>
      <c r="GE108" s="39"/>
      <c r="GF108" s="39"/>
      <c r="GG108" s="39"/>
      <c r="GH108" s="39"/>
      <c r="GI108" s="39"/>
      <c r="GJ108" s="39"/>
      <c r="GK108" s="39"/>
    </row>
    <row r="109" spans="1:193">
      <c r="B109" s="55"/>
      <c r="C109" s="55"/>
      <c r="D109" s="55"/>
      <c r="AH109" s="24">
        <f>+AH102+AH107</f>
        <v>346312.02010924387</v>
      </c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39"/>
      <c r="DQ109" s="39"/>
      <c r="DR109" s="39"/>
      <c r="DS109" s="39"/>
      <c r="DT109" s="39"/>
      <c r="DU109" s="39"/>
      <c r="DV109" s="39"/>
      <c r="DW109" s="39"/>
      <c r="DX109" s="39"/>
      <c r="DY109" s="39"/>
      <c r="DZ109" s="39"/>
      <c r="EA109" s="39"/>
      <c r="EB109" s="39"/>
      <c r="EC109" s="39"/>
      <c r="ED109" s="39"/>
      <c r="EE109" s="39"/>
      <c r="EF109" s="39"/>
      <c r="EG109" s="39"/>
      <c r="EH109" s="39"/>
      <c r="EI109" s="39"/>
      <c r="EJ109" s="39"/>
      <c r="EK109" s="39"/>
      <c r="EL109" s="39"/>
      <c r="EM109" s="39"/>
      <c r="EN109" s="39"/>
      <c r="EO109" s="39"/>
      <c r="EP109" s="39"/>
      <c r="EQ109" s="39"/>
      <c r="ER109" s="39"/>
      <c r="ES109" s="39"/>
      <c r="ET109" s="39"/>
      <c r="EU109" s="39"/>
      <c r="EV109" s="39"/>
      <c r="EW109" s="39"/>
      <c r="EX109" s="39"/>
      <c r="EY109" s="39"/>
      <c r="EZ109" s="39"/>
      <c r="FA109" s="39"/>
      <c r="FB109" s="39"/>
      <c r="FC109" s="39"/>
      <c r="FD109" s="39"/>
      <c r="FE109" s="39"/>
      <c r="FF109" s="39"/>
      <c r="FG109" s="39"/>
      <c r="FH109" s="39"/>
      <c r="FI109" s="39"/>
      <c r="FJ109" s="39"/>
      <c r="FK109" s="39"/>
      <c r="FL109" s="39"/>
      <c r="FM109" s="39"/>
      <c r="FN109" s="39"/>
      <c r="FO109" s="39"/>
      <c r="FP109" s="39"/>
      <c r="FQ109" s="39"/>
      <c r="FR109" s="39"/>
      <c r="FS109" s="39"/>
      <c r="FT109" s="39"/>
      <c r="FU109" s="39"/>
      <c r="FV109" s="39"/>
      <c r="FW109" s="39"/>
      <c r="FX109" s="39"/>
      <c r="FY109" s="39"/>
      <c r="FZ109" s="39"/>
      <c r="GA109" s="39"/>
      <c r="GB109" s="39"/>
      <c r="GC109" s="39"/>
      <c r="GD109" s="39"/>
      <c r="GE109" s="39"/>
      <c r="GF109" s="39"/>
      <c r="GG109" s="39"/>
      <c r="GH109" s="39"/>
      <c r="GI109" s="39"/>
      <c r="GJ109" s="39"/>
      <c r="GK109" s="39"/>
    </row>
    <row r="110" spans="1:193"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39"/>
      <c r="DR110" s="39"/>
      <c r="DS110" s="39"/>
      <c r="DT110" s="39"/>
      <c r="DU110" s="39"/>
      <c r="DV110" s="39"/>
      <c r="DW110" s="39"/>
      <c r="DX110" s="39"/>
      <c r="DY110" s="39"/>
      <c r="DZ110" s="39"/>
      <c r="EA110" s="39"/>
      <c r="EB110" s="39"/>
      <c r="EC110" s="39"/>
      <c r="ED110" s="39"/>
      <c r="EE110" s="39"/>
      <c r="EF110" s="39"/>
      <c r="EG110" s="39"/>
      <c r="EH110" s="39"/>
      <c r="EI110" s="39"/>
      <c r="EJ110" s="39"/>
      <c r="EK110" s="39"/>
      <c r="EL110" s="39"/>
      <c r="EM110" s="39"/>
      <c r="EN110" s="39"/>
      <c r="EO110" s="39"/>
      <c r="EP110" s="39"/>
      <c r="EQ110" s="39"/>
      <c r="ER110" s="39"/>
      <c r="ES110" s="39"/>
      <c r="ET110" s="39"/>
      <c r="EU110" s="39"/>
      <c r="EV110" s="39"/>
      <c r="EW110" s="39"/>
      <c r="EX110" s="39"/>
      <c r="EY110" s="39"/>
      <c r="EZ110" s="39"/>
      <c r="FA110" s="39"/>
      <c r="FB110" s="39"/>
      <c r="FC110" s="39"/>
      <c r="FD110" s="39"/>
      <c r="FE110" s="39"/>
      <c r="FF110" s="39"/>
      <c r="FG110" s="39"/>
      <c r="FH110" s="39"/>
      <c r="FI110" s="39"/>
      <c r="FJ110" s="39"/>
      <c r="FK110" s="39"/>
      <c r="FL110" s="39"/>
      <c r="FM110" s="39"/>
      <c r="FN110" s="39"/>
      <c r="FO110" s="39"/>
      <c r="FP110" s="39"/>
      <c r="FQ110" s="39"/>
      <c r="FR110" s="39"/>
      <c r="FS110" s="39"/>
      <c r="FT110" s="39"/>
      <c r="FU110" s="39"/>
      <c r="FV110" s="39"/>
      <c r="FW110" s="39"/>
      <c r="FX110" s="39"/>
      <c r="FY110" s="39"/>
      <c r="FZ110" s="39"/>
      <c r="GA110" s="39"/>
      <c r="GB110" s="39"/>
      <c r="GC110" s="39"/>
      <c r="GD110" s="39"/>
      <c r="GE110" s="39"/>
      <c r="GF110" s="39"/>
      <c r="GG110" s="39"/>
      <c r="GH110" s="39"/>
      <c r="GI110" s="39"/>
      <c r="GJ110" s="39"/>
      <c r="GK110" s="39"/>
    </row>
    <row r="111" spans="1:193"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  <c r="DG111" s="39"/>
      <c r="DH111" s="39"/>
      <c r="DI111" s="39"/>
      <c r="DJ111" s="39"/>
      <c r="DK111" s="39"/>
      <c r="DL111" s="39"/>
      <c r="DM111" s="39"/>
      <c r="DN111" s="39"/>
      <c r="DO111" s="39"/>
      <c r="DP111" s="39"/>
      <c r="DQ111" s="39"/>
      <c r="DR111" s="39"/>
      <c r="DS111" s="39"/>
      <c r="DT111" s="39"/>
      <c r="DU111" s="39"/>
      <c r="DV111" s="39"/>
      <c r="DW111" s="39"/>
      <c r="DX111" s="39"/>
      <c r="DY111" s="39"/>
      <c r="DZ111" s="39"/>
      <c r="EA111" s="39"/>
      <c r="EB111" s="39"/>
      <c r="EC111" s="39"/>
      <c r="ED111" s="39"/>
      <c r="EE111" s="39"/>
      <c r="EF111" s="39"/>
      <c r="EG111" s="39"/>
      <c r="EH111" s="39"/>
      <c r="EI111" s="39"/>
      <c r="EJ111" s="39"/>
      <c r="EK111" s="39"/>
      <c r="EL111" s="39"/>
      <c r="EM111" s="39"/>
      <c r="EN111" s="39"/>
      <c r="EO111" s="39"/>
      <c r="EP111" s="39"/>
      <c r="EQ111" s="39"/>
      <c r="ER111" s="39"/>
      <c r="ES111" s="39"/>
      <c r="ET111" s="39"/>
      <c r="EU111" s="39"/>
      <c r="EV111" s="39"/>
      <c r="EW111" s="39"/>
      <c r="EX111" s="39"/>
      <c r="EY111" s="39"/>
      <c r="EZ111" s="39"/>
      <c r="FA111" s="39"/>
      <c r="FB111" s="39"/>
      <c r="FC111" s="39"/>
      <c r="FD111" s="39"/>
      <c r="FE111" s="39"/>
      <c r="FF111" s="39"/>
      <c r="FG111" s="39"/>
      <c r="FH111" s="39"/>
      <c r="FI111" s="39"/>
      <c r="FJ111" s="39"/>
      <c r="FK111" s="39"/>
      <c r="FL111" s="39"/>
      <c r="FM111" s="39"/>
      <c r="FN111" s="39"/>
      <c r="FO111" s="39"/>
      <c r="FP111" s="39"/>
      <c r="FQ111" s="39"/>
      <c r="FR111" s="39"/>
      <c r="FS111" s="39"/>
      <c r="FT111" s="39"/>
      <c r="FU111" s="39"/>
      <c r="FV111" s="39"/>
      <c r="FW111" s="39"/>
      <c r="FX111" s="39"/>
      <c r="FY111" s="39"/>
      <c r="FZ111" s="39"/>
      <c r="GA111" s="39"/>
      <c r="GB111" s="39"/>
      <c r="GC111" s="39"/>
      <c r="GD111" s="39"/>
      <c r="GE111" s="39"/>
      <c r="GF111" s="39"/>
      <c r="GG111" s="39"/>
      <c r="GH111" s="39"/>
      <c r="GI111" s="39"/>
      <c r="GJ111" s="39"/>
      <c r="GK111" s="39"/>
    </row>
    <row r="112" spans="1:193"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  <c r="DK112" s="39"/>
      <c r="DL112" s="39"/>
      <c r="DM112" s="39"/>
      <c r="DN112" s="39"/>
      <c r="DO112" s="39"/>
      <c r="DP112" s="39"/>
      <c r="DQ112" s="39"/>
      <c r="DR112" s="39"/>
      <c r="DS112" s="39"/>
      <c r="DT112" s="39"/>
      <c r="DU112" s="39"/>
      <c r="DV112" s="39"/>
      <c r="DW112" s="39"/>
      <c r="DX112" s="39"/>
      <c r="DY112" s="39"/>
      <c r="DZ112" s="39"/>
      <c r="EA112" s="39"/>
      <c r="EB112" s="39"/>
      <c r="EC112" s="39"/>
      <c r="ED112" s="39"/>
      <c r="EE112" s="39"/>
      <c r="EF112" s="39"/>
      <c r="EG112" s="39"/>
      <c r="EH112" s="39"/>
      <c r="EI112" s="39"/>
      <c r="EJ112" s="39"/>
      <c r="EK112" s="39"/>
      <c r="EL112" s="39"/>
      <c r="EM112" s="39"/>
      <c r="EN112" s="39"/>
      <c r="EO112" s="39"/>
      <c r="EP112" s="39"/>
      <c r="EQ112" s="39"/>
      <c r="ER112" s="39"/>
      <c r="ES112" s="39"/>
      <c r="ET112" s="39"/>
      <c r="EU112" s="39"/>
      <c r="EV112" s="39"/>
      <c r="EW112" s="39"/>
      <c r="EX112" s="39"/>
      <c r="EY112" s="39"/>
      <c r="EZ112" s="39"/>
      <c r="FA112" s="39"/>
      <c r="FB112" s="39"/>
      <c r="FC112" s="39"/>
      <c r="FD112" s="39"/>
      <c r="FE112" s="39"/>
      <c r="FF112" s="39"/>
      <c r="FG112" s="39"/>
      <c r="FH112" s="39"/>
      <c r="FI112" s="39"/>
      <c r="FJ112" s="39"/>
      <c r="FK112" s="39"/>
      <c r="FL112" s="39"/>
      <c r="FM112" s="39"/>
      <c r="FN112" s="39"/>
      <c r="FO112" s="39"/>
      <c r="FP112" s="39"/>
      <c r="FQ112" s="39"/>
      <c r="FR112" s="39"/>
      <c r="FS112" s="39"/>
      <c r="FT112" s="39"/>
      <c r="FU112" s="39"/>
      <c r="FV112" s="39"/>
      <c r="FW112" s="39"/>
      <c r="FX112" s="39"/>
      <c r="FY112" s="39"/>
      <c r="FZ112" s="39"/>
      <c r="GA112" s="39"/>
      <c r="GB112" s="39"/>
      <c r="GC112" s="39"/>
      <c r="GD112" s="39"/>
      <c r="GE112" s="39"/>
      <c r="GF112" s="39"/>
      <c r="GG112" s="39"/>
      <c r="GH112" s="39"/>
      <c r="GI112" s="39"/>
      <c r="GJ112" s="39"/>
      <c r="GK112" s="39"/>
    </row>
    <row r="113" spans="1:193"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  <c r="DT113" s="39"/>
      <c r="DU113" s="39"/>
      <c r="DV113" s="39"/>
      <c r="DW113" s="39"/>
      <c r="DX113" s="39"/>
      <c r="DY113" s="39"/>
      <c r="DZ113" s="39"/>
      <c r="EA113" s="39"/>
      <c r="EB113" s="39"/>
      <c r="EC113" s="39"/>
      <c r="ED113" s="39"/>
      <c r="EE113" s="39"/>
      <c r="EF113" s="39"/>
      <c r="EG113" s="39"/>
      <c r="EH113" s="39"/>
      <c r="EI113" s="39"/>
      <c r="EJ113" s="39"/>
      <c r="EK113" s="39"/>
      <c r="EL113" s="39"/>
      <c r="EM113" s="39"/>
      <c r="EN113" s="39"/>
      <c r="EO113" s="39"/>
      <c r="EP113" s="39"/>
      <c r="EQ113" s="39"/>
      <c r="ER113" s="39"/>
      <c r="ES113" s="39"/>
      <c r="ET113" s="39"/>
      <c r="EU113" s="39"/>
      <c r="EV113" s="39"/>
      <c r="EW113" s="39"/>
      <c r="EX113" s="39"/>
      <c r="EY113" s="39"/>
      <c r="EZ113" s="39"/>
      <c r="FA113" s="39"/>
      <c r="FB113" s="39"/>
      <c r="FC113" s="39"/>
      <c r="FD113" s="39"/>
      <c r="FE113" s="39"/>
      <c r="FF113" s="39"/>
      <c r="FG113" s="39"/>
      <c r="FH113" s="39"/>
      <c r="FI113" s="39"/>
      <c r="FJ113" s="39"/>
      <c r="FK113" s="39"/>
      <c r="FL113" s="39"/>
      <c r="FM113" s="39"/>
      <c r="FN113" s="39"/>
      <c r="FO113" s="39"/>
      <c r="FP113" s="39"/>
      <c r="FQ113" s="39"/>
      <c r="FR113" s="39"/>
      <c r="FS113" s="39"/>
      <c r="FT113" s="39"/>
      <c r="FU113" s="39"/>
      <c r="FV113" s="39"/>
      <c r="FW113" s="39"/>
      <c r="FX113" s="39"/>
      <c r="FY113" s="39"/>
      <c r="FZ113" s="39"/>
      <c r="GA113" s="39"/>
      <c r="GB113" s="39"/>
      <c r="GC113" s="39"/>
      <c r="GD113" s="39"/>
      <c r="GE113" s="39"/>
      <c r="GF113" s="39"/>
      <c r="GG113" s="39"/>
      <c r="GH113" s="39"/>
      <c r="GI113" s="39"/>
      <c r="GJ113" s="39"/>
      <c r="GK113" s="39"/>
    </row>
    <row r="114" spans="1:193"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  <c r="DK114" s="39"/>
      <c r="DL114" s="39"/>
      <c r="DM114" s="39"/>
      <c r="DN114" s="39"/>
      <c r="DO114" s="39"/>
      <c r="DP114" s="39"/>
      <c r="DQ114" s="39"/>
      <c r="DR114" s="39"/>
      <c r="DS114" s="39"/>
      <c r="DT114" s="39"/>
      <c r="DU114" s="39"/>
      <c r="DV114" s="39"/>
      <c r="DW114" s="39"/>
      <c r="DX114" s="39"/>
      <c r="DY114" s="39"/>
      <c r="DZ114" s="39"/>
      <c r="EA114" s="39"/>
      <c r="EB114" s="39"/>
      <c r="EC114" s="39"/>
      <c r="ED114" s="39"/>
      <c r="EE114" s="39"/>
      <c r="EF114" s="39"/>
      <c r="EG114" s="39"/>
      <c r="EH114" s="39"/>
      <c r="EI114" s="39"/>
      <c r="EJ114" s="39"/>
      <c r="EK114" s="39"/>
      <c r="EL114" s="39"/>
      <c r="EM114" s="39"/>
      <c r="EN114" s="39"/>
      <c r="EO114" s="39"/>
      <c r="EP114" s="39"/>
      <c r="EQ114" s="39"/>
      <c r="ER114" s="39"/>
      <c r="ES114" s="39"/>
      <c r="ET114" s="39"/>
      <c r="EU114" s="39"/>
      <c r="EV114" s="39"/>
      <c r="EW114" s="39"/>
      <c r="EX114" s="39"/>
      <c r="EY114" s="39"/>
      <c r="EZ114" s="39"/>
      <c r="FA114" s="39"/>
      <c r="FB114" s="39"/>
      <c r="FC114" s="39"/>
      <c r="FD114" s="39"/>
      <c r="FE114" s="39"/>
      <c r="FF114" s="39"/>
      <c r="FG114" s="39"/>
      <c r="FH114" s="39"/>
      <c r="FI114" s="39"/>
      <c r="FJ114" s="39"/>
      <c r="FK114" s="39"/>
      <c r="FL114" s="39"/>
      <c r="FM114" s="39"/>
      <c r="FN114" s="39"/>
      <c r="FO114" s="39"/>
      <c r="FP114" s="39"/>
      <c r="FQ114" s="39"/>
      <c r="FR114" s="39"/>
      <c r="FS114" s="39"/>
      <c r="FT114" s="39"/>
      <c r="FU114" s="39"/>
      <c r="FV114" s="39"/>
      <c r="FW114" s="39"/>
      <c r="FX114" s="39"/>
      <c r="FY114" s="39"/>
      <c r="FZ114" s="39"/>
      <c r="GA114" s="39"/>
      <c r="GB114" s="39"/>
      <c r="GC114" s="39"/>
      <c r="GD114" s="39"/>
      <c r="GE114" s="39"/>
      <c r="GF114" s="39"/>
      <c r="GG114" s="39"/>
      <c r="GH114" s="39"/>
      <c r="GI114" s="39"/>
      <c r="GJ114" s="39"/>
      <c r="GK114" s="39"/>
    </row>
    <row r="115" spans="1:193"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  <c r="DT115" s="39"/>
      <c r="DU115" s="39"/>
      <c r="DV115" s="39"/>
      <c r="DW115" s="39"/>
      <c r="DX115" s="39"/>
      <c r="DY115" s="39"/>
      <c r="DZ115" s="39"/>
      <c r="EA115" s="39"/>
      <c r="EB115" s="39"/>
      <c r="EC115" s="39"/>
      <c r="ED115" s="39"/>
      <c r="EE115" s="39"/>
      <c r="EF115" s="39"/>
      <c r="EG115" s="39"/>
      <c r="EH115" s="39"/>
      <c r="EI115" s="39"/>
      <c r="EJ115" s="39"/>
      <c r="EK115" s="39"/>
      <c r="EL115" s="39"/>
      <c r="EM115" s="39"/>
      <c r="EN115" s="39"/>
      <c r="EO115" s="39"/>
      <c r="EP115" s="39"/>
      <c r="EQ115" s="39"/>
      <c r="ER115" s="39"/>
      <c r="ES115" s="39"/>
      <c r="ET115" s="39"/>
      <c r="EU115" s="39"/>
      <c r="EV115" s="39"/>
      <c r="EW115" s="39"/>
      <c r="EX115" s="39"/>
      <c r="EY115" s="39"/>
      <c r="EZ115" s="39"/>
      <c r="FA115" s="39"/>
      <c r="FB115" s="39"/>
      <c r="FC115" s="39"/>
      <c r="FD115" s="39"/>
      <c r="FE115" s="39"/>
      <c r="FF115" s="39"/>
      <c r="FG115" s="39"/>
      <c r="FH115" s="39"/>
      <c r="FI115" s="39"/>
      <c r="FJ115" s="39"/>
      <c r="FK115" s="39"/>
      <c r="FL115" s="39"/>
      <c r="FM115" s="39"/>
      <c r="FN115" s="39"/>
      <c r="FO115" s="39"/>
      <c r="FP115" s="39"/>
      <c r="FQ115" s="39"/>
      <c r="FR115" s="39"/>
      <c r="FS115" s="39"/>
      <c r="FT115" s="39"/>
      <c r="FU115" s="39"/>
      <c r="FV115" s="39"/>
      <c r="FW115" s="39"/>
      <c r="FX115" s="39"/>
      <c r="FY115" s="39"/>
      <c r="FZ115" s="39"/>
      <c r="GA115" s="39"/>
      <c r="GB115" s="39"/>
      <c r="GC115" s="39"/>
      <c r="GD115" s="39"/>
      <c r="GE115" s="39"/>
      <c r="GF115" s="39"/>
      <c r="GG115" s="39"/>
      <c r="GH115" s="39"/>
      <c r="GI115" s="39"/>
      <c r="GJ115" s="39"/>
      <c r="GK115" s="39"/>
    </row>
    <row r="116" spans="1:193">
      <c r="A116" s="41" t="s">
        <v>57</v>
      </c>
      <c r="B116" s="23"/>
      <c r="C116" s="23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  <c r="DT116" s="39"/>
      <c r="DU116" s="39"/>
      <c r="DV116" s="39"/>
      <c r="DW116" s="39"/>
      <c r="DX116" s="39"/>
      <c r="DY116" s="39"/>
      <c r="DZ116" s="39"/>
      <c r="EA116" s="39"/>
      <c r="EB116" s="39"/>
      <c r="EC116" s="39"/>
      <c r="ED116" s="39"/>
      <c r="EE116" s="39"/>
      <c r="EF116" s="39"/>
      <c r="EG116" s="39"/>
      <c r="EH116" s="39"/>
      <c r="EI116" s="39"/>
      <c r="EJ116" s="39"/>
      <c r="EK116" s="39"/>
      <c r="EL116" s="39"/>
      <c r="EM116" s="39"/>
      <c r="EN116" s="39"/>
      <c r="EO116" s="39"/>
      <c r="EP116" s="39"/>
      <c r="EQ116" s="39"/>
      <c r="ER116" s="39"/>
      <c r="ES116" s="39"/>
      <c r="ET116" s="39"/>
      <c r="EU116" s="39"/>
      <c r="EV116" s="39"/>
      <c r="EW116" s="39"/>
      <c r="EX116" s="39"/>
      <c r="EY116" s="39"/>
      <c r="EZ116" s="39"/>
      <c r="FA116" s="39"/>
      <c r="FB116" s="39"/>
      <c r="FC116" s="39"/>
      <c r="FD116" s="39"/>
      <c r="FE116" s="39"/>
      <c r="FF116" s="39"/>
      <c r="FG116" s="39"/>
      <c r="FH116" s="39"/>
      <c r="FI116" s="39"/>
      <c r="FJ116" s="39"/>
      <c r="FK116" s="39"/>
      <c r="FL116" s="39"/>
      <c r="FM116" s="39"/>
      <c r="FN116" s="39"/>
      <c r="FO116" s="39"/>
      <c r="FP116" s="39"/>
      <c r="FQ116" s="39"/>
      <c r="FR116" s="39"/>
      <c r="FS116" s="39"/>
      <c r="FT116" s="39"/>
      <c r="FU116" s="39"/>
      <c r="FV116" s="39"/>
      <c r="FW116" s="39"/>
      <c r="FX116" s="39"/>
      <c r="FY116" s="39"/>
      <c r="FZ116" s="39"/>
      <c r="GA116" s="39"/>
      <c r="GB116" s="39"/>
      <c r="GC116" s="39"/>
      <c r="GD116" s="39"/>
      <c r="GE116" s="39"/>
      <c r="GF116" s="39"/>
      <c r="GG116" s="39"/>
      <c r="GH116" s="39"/>
      <c r="GI116" s="39"/>
      <c r="GJ116" s="39"/>
      <c r="GK116" s="39"/>
    </row>
    <row r="117" spans="1:193">
      <c r="A117" s="41" t="s">
        <v>58</v>
      </c>
      <c r="B117" s="23"/>
      <c r="C117" s="23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39"/>
      <c r="DR117" s="39"/>
      <c r="DS117" s="39"/>
      <c r="DT117" s="39"/>
      <c r="DU117" s="39"/>
      <c r="DV117" s="39"/>
      <c r="DW117" s="39"/>
      <c r="DX117" s="39"/>
      <c r="DY117" s="39"/>
      <c r="DZ117" s="39"/>
      <c r="EA117" s="39"/>
      <c r="EB117" s="39"/>
      <c r="EC117" s="39"/>
      <c r="ED117" s="39"/>
      <c r="EE117" s="39"/>
      <c r="EF117" s="39"/>
      <c r="EG117" s="39"/>
      <c r="EH117" s="39"/>
      <c r="EI117" s="39"/>
      <c r="EJ117" s="39"/>
      <c r="EK117" s="39"/>
      <c r="EL117" s="39"/>
      <c r="EM117" s="39"/>
      <c r="EN117" s="39"/>
      <c r="EO117" s="39"/>
      <c r="EP117" s="39"/>
      <c r="EQ117" s="39"/>
      <c r="ER117" s="39"/>
      <c r="ES117" s="39"/>
      <c r="ET117" s="39"/>
      <c r="EU117" s="39"/>
      <c r="EV117" s="39"/>
      <c r="EW117" s="39"/>
      <c r="EX117" s="39"/>
      <c r="EY117" s="39"/>
      <c r="EZ117" s="39"/>
      <c r="FA117" s="39"/>
      <c r="FB117" s="39"/>
      <c r="FC117" s="39"/>
      <c r="FD117" s="39"/>
      <c r="FE117" s="39"/>
      <c r="FF117" s="39"/>
      <c r="FG117" s="39"/>
      <c r="FH117" s="39"/>
      <c r="FI117" s="39"/>
      <c r="FJ117" s="39"/>
      <c r="FK117" s="39"/>
      <c r="FL117" s="39"/>
      <c r="FM117" s="39"/>
      <c r="FN117" s="39"/>
      <c r="FO117" s="39"/>
      <c r="FP117" s="39"/>
      <c r="FQ117" s="39"/>
      <c r="FR117" s="39"/>
      <c r="FS117" s="39"/>
      <c r="FT117" s="39"/>
      <c r="FU117" s="39"/>
      <c r="FV117" s="39"/>
      <c r="FW117" s="39"/>
      <c r="FX117" s="39"/>
      <c r="FY117" s="39"/>
      <c r="FZ117" s="39"/>
      <c r="GA117" s="39"/>
      <c r="GB117" s="39"/>
      <c r="GC117" s="39"/>
      <c r="GD117" s="39"/>
      <c r="GE117" s="39"/>
      <c r="GF117" s="39"/>
      <c r="GG117" s="39"/>
      <c r="GH117" s="39"/>
      <c r="GI117" s="39"/>
      <c r="GJ117" s="39"/>
      <c r="GK117" s="39"/>
    </row>
    <row r="118" spans="1:193">
      <c r="A118" s="41" t="s">
        <v>59</v>
      </c>
      <c r="B118" s="23"/>
      <c r="C118" s="23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  <c r="DS118" s="39"/>
      <c r="DT118" s="39"/>
      <c r="DU118" s="39"/>
      <c r="DV118" s="39"/>
      <c r="DW118" s="39"/>
      <c r="DX118" s="39"/>
      <c r="DY118" s="39"/>
      <c r="DZ118" s="39"/>
      <c r="EA118" s="39"/>
      <c r="EB118" s="39"/>
      <c r="EC118" s="39"/>
      <c r="ED118" s="39"/>
      <c r="EE118" s="39"/>
      <c r="EF118" s="39"/>
      <c r="EG118" s="39"/>
      <c r="EH118" s="39"/>
      <c r="EI118" s="39"/>
      <c r="EJ118" s="39"/>
      <c r="EK118" s="39"/>
      <c r="EL118" s="39"/>
      <c r="EM118" s="39"/>
      <c r="EN118" s="39"/>
      <c r="EO118" s="39"/>
      <c r="EP118" s="39"/>
      <c r="EQ118" s="39"/>
      <c r="ER118" s="39"/>
      <c r="ES118" s="39"/>
      <c r="ET118" s="39"/>
      <c r="EU118" s="39"/>
      <c r="EV118" s="39"/>
      <c r="EW118" s="39"/>
      <c r="EX118" s="39"/>
      <c r="EY118" s="39"/>
      <c r="EZ118" s="39"/>
      <c r="FA118" s="39"/>
      <c r="FB118" s="39"/>
      <c r="FC118" s="39"/>
      <c r="FD118" s="39"/>
      <c r="FE118" s="39"/>
      <c r="FF118" s="39"/>
      <c r="FG118" s="39"/>
      <c r="FH118" s="39"/>
      <c r="FI118" s="39"/>
      <c r="FJ118" s="39"/>
      <c r="FK118" s="39"/>
      <c r="FL118" s="39"/>
      <c r="FM118" s="39"/>
      <c r="FN118" s="39"/>
      <c r="FO118" s="39"/>
      <c r="FP118" s="39"/>
      <c r="FQ118" s="39"/>
      <c r="FR118" s="39"/>
      <c r="FS118" s="39"/>
      <c r="FT118" s="39"/>
      <c r="FU118" s="39"/>
      <c r="FV118" s="39"/>
      <c r="FW118" s="39"/>
      <c r="FX118" s="39"/>
      <c r="FY118" s="39"/>
      <c r="FZ118" s="39"/>
      <c r="GA118" s="39"/>
      <c r="GB118" s="39"/>
      <c r="GC118" s="39"/>
      <c r="GD118" s="39"/>
      <c r="GE118" s="39"/>
      <c r="GF118" s="39"/>
      <c r="GG118" s="39"/>
      <c r="GH118" s="39"/>
      <c r="GI118" s="39"/>
      <c r="GJ118" s="39"/>
      <c r="GK118" s="39"/>
    </row>
    <row r="119" spans="1:193">
      <c r="A119" s="41" t="s">
        <v>60</v>
      </c>
      <c r="B119" s="23"/>
      <c r="C119" s="23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  <c r="DK119" s="39"/>
      <c r="DL119" s="39"/>
      <c r="DM119" s="39"/>
      <c r="DN119" s="39"/>
      <c r="DO119" s="39"/>
      <c r="DP119" s="39"/>
      <c r="DQ119" s="39"/>
      <c r="DR119" s="39"/>
      <c r="DS119" s="39"/>
      <c r="DT119" s="39"/>
      <c r="DU119" s="39"/>
      <c r="DV119" s="39"/>
      <c r="DW119" s="39"/>
      <c r="DX119" s="39"/>
      <c r="DY119" s="39"/>
      <c r="DZ119" s="39"/>
      <c r="EA119" s="39"/>
      <c r="EB119" s="39"/>
      <c r="EC119" s="39"/>
      <c r="ED119" s="39"/>
      <c r="EE119" s="39"/>
      <c r="EF119" s="39"/>
      <c r="EG119" s="39"/>
      <c r="EH119" s="39"/>
      <c r="EI119" s="39"/>
      <c r="EJ119" s="39"/>
      <c r="EK119" s="39"/>
      <c r="EL119" s="39"/>
      <c r="EM119" s="39"/>
      <c r="EN119" s="39"/>
      <c r="EO119" s="39"/>
      <c r="EP119" s="39"/>
      <c r="EQ119" s="39"/>
      <c r="ER119" s="39"/>
      <c r="ES119" s="39"/>
      <c r="ET119" s="39"/>
      <c r="EU119" s="39"/>
      <c r="EV119" s="39"/>
      <c r="EW119" s="39"/>
      <c r="EX119" s="39"/>
      <c r="EY119" s="39"/>
      <c r="EZ119" s="39"/>
      <c r="FA119" s="39"/>
      <c r="FB119" s="39"/>
      <c r="FC119" s="39"/>
      <c r="FD119" s="39"/>
      <c r="FE119" s="39"/>
      <c r="FF119" s="39"/>
      <c r="FG119" s="39"/>
      <c r="FH119" s="39"/>
      <c r="FI119" s="39"/>
      <c r="FJ119" s="39"/>
      <c r="FK119" s="39"/>
      <c r="FL119" s="39"/>
      <c r="FM119" s="39"/>
      <c r="FN119" s="39"/>
      <c r="FO119" s="39"/>
      <c r="FP119" s="39"/>
      <c r="FQ119" s="39"/>
      <c r="FR119" s="39"/>
      <c r="FS119" s="39"/>
      <c r="FT119" s="39"/>
      <c r="FU119" s="39"/>
      <c r="FV119" s="39"/>
      <c r="FW119" s="39"/>
      <c r="FX119" s="39"/>
      <c r="FY119" s="39"/>
      <c r="FZ119" s="39"/>
      <c r="GA119" s="39"/>
      <c r="GB119" s="39"/>
      <c r="GC119" s="39"/>
      <c r="GD119" s="39"/>
      <c r="GE119" s="39"/>
      <c r="GF119" s="39"/>
      <c r="GG119" s="39"/>
      <c r="GH119" s="39"/>
      <c r="GI119" s="39"/>
      <c r="GJ119" s="39"/>
      <c r="GK119" s="39"/>
    </row>
    <row r="120" spans="1:193">
      <c r="A120" s="41" t="s">
        <v>61</v>
      </c>
      <c r="B120" s="23"/>
      <c r="C120" s="23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  <c r="DK120" s="39"/>
      <c r="DL120" s="39"/>
      <c r="DM120" s="39"/>
      <c r="DN120" s="39"/>
      <c r="DO120" s="39"/>
      <c r="DP120" s="39"/>
      <c r="DQ120" s="39"/>
      <c r="DR120" s="39"/>
      <c r="DS120" s="39"/>
      <c r="DT120" s="39"/>
      <c r="DU120" s="39"/>
      <c r="DV120" s="39"/>
      <c r="DW120" s="39"/>
      <c r="DX120" s="39"/>
      <c r="DY120" s="39"/>
      <c r="DZ120" s="39"/>
      <c r="EA120" s="39"/>
      <c r="EB120" s="39"/>
      <c r="EC120" s="39"/>
      <c r="ED120" s="39"/>
      <c r="EE120" s="39"/>
      <c r="EF120" s="39"/>
      <c r="EG120" s="39"/>
      <c r="EH120" s="39"/>
      <c r="EI120" s="39"/>
      <c r="EJ120" s="39"/>
      <c r="EK120" s="39"/>
      <c r="EL120" s="39"/>
      <c r="EM120" s="39"/>
      <c r="EN120" s="39"/>
      <c r="EO120" s="39"/>
      <c r="EP120" s="39"/>
      <c r="EQ120" s="39"/>
      <c r="ER120" s="39"/>
      <c r="ES120" s="39"/>
      <c r="ET120" s="39"/>
      <c r="EU120" s="39"/>
      <c r="EV120" s="39"/>
      <c r="EW120" s="39"/>
      <c r="EX120" s="39"/>
      <c r="EY120" s="39"/>
      <c r="EZ120" s="39"/>
      <c r="FA120" s="39"/>
      <c r="FB120" s="39"/>
      <c r="FC120" s="39"/>
      <c r="FD120" s="39"/>
      <c r="FE120" s="39"/>
      <c r="FF120" s="39"/>
      <c r="FG120" s="39"/>
      <c r="FH120" s="39"/>
      <c r="FI120" s="39"/>
      <c r="FJ120" s="39"/>
      <c r="FK120" s="39"/>
      <c r="FL120" s="39"/>
      <c r="FM120" s="39"/>
      <c r="FN120" s="39"/>
      <c r="FO120" s="39"/>
      <c r="FP120" s="39"/>
      <c r="FQ120" s="39"/>
      <c r="FR120" s="39"/>
      <c r="FS120" s="39"/>
      <c r="FT120" s="39"/>
      <c r="FU120" s="39"/>
      <c r="FV120" s="39"/>
      <c r="FW120" s="39"/>
      <c r="FX120" s="39"/>
      <c r="FY120" s="39"/>
      <c r="FZ120" s="39"/>
      <c r="GA120" s="39"/>
      <c r="GB120" s="39"/>
      <c r="GC120" s="39"/>
      <c r="GD120" s="39"/>
      <c r="GE120" s="39"/>
      <c r="GF120" s="39"/>
      <c r="GG120" s="39"/>
      <c r="GH120" s="39"/>
      <c r="GI120" s="39"/>
      <c r="GJ120" s="39"/>
      <c r="GK120" s="39"/>
    </row>
    <row r="121" spans="1:193">
      <c r="A121" s="41" t="s">
        <v>62</v>
      </c>
      <c r="B121" s="23"/>
      <c r="C121" s="23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39"/>
      <c r="DI121" s="39"/>
      <c r="DJ121" s="39"/>
      <c r="DK121" s="39"/>
      <c r="DL121" s="39"/>
      <c r="DM121" s="39"/>
      <c r="DN121" s="39"/>
      <c r="DO121" s="39"/>
      <c r="DP121" s="39"/>
      <c r="DQ121" s="39"/>
      <c r="DR121" s="39"/>
      <c r="DS121" s="39"/>
      <c r="DT121" s="39"/>
      <c r="DU121" s="39"/>
      <c r="DV121" s="39"/>
      <c r="DW121" s="39"/>
      <c r="DX121" s="39"/>
      <c r="DY121" s="39"/>
      <c r="DZ121" s="39"/>
      <c r="EA121" s="39"/>
      <c r="EB121" s="39"/>
      <c r="EC121" s="39"/>
      <c r="ED121" s="39"/>
      <c r="EE121" s="39"/>
      <c r="EF121" s="39"/>
      <c r="EG121" s="39"/>
      <c r="EH121" s="39"/>
      <c r="EI121" s="39"/>
      <c r="EJ121" s="39"/>
      <c r="EK121" s="39"/>
      <c r="EL121" s="39"/>
      <c r="EM121" s="39"/>
      <c r="EN121" s="39"/>
      <c r="EO121" s="39"/>
      <c r="EP121" s="39"/>
      <c r="EQ121" s="39"/>
      <c r="ER121" s="39"/>
      <c r="ES121" s="39"/>
      <c r="ET121" s="39"/>
      <c r="EU121" s="39"/>
      <c r="EV121" s="39"/>
      <c r="EW121" s="39"/>
      <c r="EX121" s="39"/>
      <c r="EY121" s="39"/>
      <c r="EZ121" s="39"/>
      <c r="FA121" s="39"/>
      <c r="FB121" s="39"/>
      <c r="FC121" s="39"/>
      <c r="FD121" s="39"/>
      <c r="FE121" s="39"/>
      <c r="FF121" s="39"/>
      <c r="FG121" s="39"/>
      <c r="FH121" s="39"/>
      <c r="FI121" s="39"/>
      <c r="FJ121" s="39"/>
      <c r="FK121" s="39"/>
      <c r="FL121" s="39"/>
      <c r="FM121" s="39"/>
      <c r="FN121" s="39"/>
      <c r="FO121" s="39"/>
      <c r="FP121" s="39"/>
      <c r="FQ121" s="39"/>
      <c r="FR121" s="39"/>
      <c r="FS121" s="39"/>
      <c r="FT121" s="39"/>
      <c r="FU121" s="39"/>
      <c r="FV121" s="39"/>
      <c r="FW121" s="39"/>
      <c r="FX121" s="39"/>
      <c r="FY121" s="39"/>
      <c r="FZ121" s="39"/>
      <c r="GA121" s="39"/>
      <c r="GB121" s="39"/>
      <c r="GC121" s="39"/>
      <c r="GD121" s="39"/>
      <c r="GE121" s="39"/>
      <c r="GF121" s="39"/>
      <c r="GG121" s="39"/>
      <c r="GH121" s="39"/>
      <c r="GI121" s="39"/>
      <c r="GJ121" s="39"/>
      <c r="GK121" s="39"/>
    </row>
    <row r="122" spans="1:193"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  <c r="DF122" s="39"/>
      <c r="DG122" s="39"/>
      <c r="DH122" s="39"/>
      <c r="DI122" s="39"/>
      <c r="DJ122" s="39"/>
      <c r="DK122" s="39"/>
      <c r="DL122" s="39"/>
      <c r="DM122" s="39"/>
      <c r="DN122" s="39"/>
      <c r="DO122" s="39"/>
      <c r="DP122" s="39"/>
      <c r="DQ122" s="39"/>
      <c r="DR122" s="39"/>
      <c r="DS122" s="39"/>
      <c r="DT122" s="39"/>
      <c r="DU122" s="39"/>
      <c r="DV122" s="39"/>
      <c r="DW122" s="39"/>
      <c r="DX122" s="39"/>
      <c r="DY122" s="39"/>
      <c r="DZ122" s="39"/>
      <c r="EA122" s="39"/>
      <c r="EB122" s="39"/>
      <c r="EC122" s="39"/>
      <c r="ED122" s="39"/>
      <c r="EE122" s="39"/>
      <c r="EF122" s="39"/>
      <c r="EG122" s="39"/>
      <c r="EH122" s="39"/>
      <c r="EI122" s="39"/>
      <c r="EJ122" s="39"/>
      <c r="EK122" s="39"/>
      <c r="EL122" s="39"/>
      <c r="EM122" s="39"/>
      <c r="EN122" s="39"/>
      <c r="EO122" s="39"/>
      <c r="EP122" s="39"/>
      <c r="EQ122" s="39"/>
      <c r="ER122" s="39"/>
      <c r="ES122" s="39"/>
      <c r="ET122" s="39"/>
      <c r="EU122" s="39"/>
      <c r="EV122" s="39"/>
      <c r="EW122" s="39"/>
      <c r="EX122" s="39"/>
      <c r="EY122" s="39"/>
      <c r="EZ122" s="39"/>
      <c r="FA122" s="39"/>
      <c r="FB122" s="39"/>
      <c r="FC122" s="39"/>
      <c r="FD122" s="39"/>
      <c r="FE122" s="39"/>
      <c r="FF122" s="39"/>
      <c r="FG122" s="39"/>
      <c r="FH122" s="39"/>
      <c r="FI122" s="39"/>
      <c r="FJ122" s="39"/>
      <c r="FK122" s="39"/>
      <c r="FL122" s="39"/>
      <c r="FM122" s="39"/>
      <c r="FN122" s="39"/>
      <c r="FO122" s="39"/>
      <c r="FP122" s="39"/>
      <c r="FQ122" s="39"/>
      <c r="FR122" s="39"/>
      <c r="FS122" s="39"/>
      <c r="FT122" s="39"/>
      <c r="FU122" s="39"/>
      <c r="FV122" s="39"/>
      <c r="FW122" s="39"/>
      <c r="FX122" s="39"/>
      <c r="FY122" s="39"/>
      <c r="FZ122" s="39"/>
      <c r="GA122" s="39"/>
      <c r="GB122" s="39"/>
      <c r="GC122" s="39"/>
      <c r="GD122" s="39"/>
      <c r="GE122" s="39"/>
      <c r="GF122" s="39"/>
      <c r="GG122" s="39"/>
      <c r="GH122" s="39"/>
      <c r="GI122" s="39"/>
      <c r="GJ122" s="39"/>
      <c r="GK122" s="39"/>
    </row>
    <row r="123" spans="1:193"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  <c r="DG123" s="39"/>
      <c r="DH123" s="39"/>
      <c r="DI123" s="39"/>
      <c r="DJ123" s="39"/>
      <c r="DK123" s="39"/>
      <c r="DL123" s="39"/>
      <c r="DM123" s="39"/>
      <c r="DN123" s="39"/>
      <c r="DO123" s="39"/>
      <c r="DP123" s="39"/>
      <c r="DQ123" s="39"/>
      <c r="DR123" s="39"/>
      <c r="DS123" s="39"/>
      <c r="DT123" s="39"/>
      <c r="DU123" s="39"/>
      <c r="DV123" s="39"/>
      <c r="DW123" s="39"/>
      <c r="DX123" s="39"/>
      <c r="DY123" s="39"/>
      <c r="DZ123" s="39"/>
      <c r="EA123" s="39"/>
      <c r="EB123" s="39"/>
      <c r="EC123" s="39"/>
      <c r="ED123" s="39"/>
      <c r="EE123" s="39"/>
      <c r="EF123" s="39"/>
      <c r="EG123" s="39"/>
      <c r="EH123" s="39"/>
      <c r="EI123" s="39"/>
      <c r="EJ123" s="39"/>
      <c r="EK123" s="39"/>
      <c r="EL123" s="39"/>
      <c r="EM123" s="39"/>
      <c r="EN123" s="39"/>
      <c r="EO123" s="39"/>
      <c r="EP123" s="39"/>
      <c r="EQ123" s="39"/>
      <c r="ER123" s="39"/>
      <c r="ES123" s="39"/>
      <c r="ET123" s="39"/>
      <c r="EU123" s="39"/>
      <c r="EV123" s="39"/>
      <c r="EW123" s="39"/>
      <c r="EX123" s="39"/>
      <c r="EY123" s="39"/>
      <c r="EZ123" s="39"/>
      <c r="FA123" s="39"/>
      <c r="FB123" s="39"/>
      <c r="FC123" s="39"/>
      <c r="FD123" s="39"/>
      <c r="FE123" s="39"/>
      <c r="FF123" s="39"/>
      <c r="FG123" s="39"/>
      <c r="FH123" s="39"/>
      <c r="FI123" s="39"/>
      <c r="FJ123" s="39"/>
      <c r="FK123" s="39"/>
      <c r="FL123" s="39"/>
      <c r="FM123" s="39"/>
      <c r="FN123" s="39"/>
      <c r="FO123" s="39"/>
      <c r="FP123" s="39"/>
      <c r="FQ123" s="39"/>
      <c r="FR123" s="39"/>
      <c r="FS123" s="39"/>
      <c r="FT123" s="39"/>
      <c r="FU123" s="39"/>
      <c r="FV123" s="39"/>
      <c r="FW123" s="39"/>
      <c r="FX123" s="39"/>
      <c r="FY123" s="39"/>
      <c r="FZ123" s="39"/>
      <c r="GA123" s="39"/>
      <c r="GB123" s="39"/>
      <c r="GC123" s="39"/>
      <c r="GD123" s="39"/>
      <c r="GE123" s="39"/>
      <c r="GF123" s="39"/>
      <c r="GG123" s="39"/>
      <c r="GH123" s="39"/>
      <c r="GI123" s="39"/>
      <c r="GJ123" s="39"/>
      <c r="GK123" s="39"/>
    </row>
    <row r="125" spans="1:193">
      <c r="B125" s="27"/>
      <c r="C125" s="70"/>
    </row>
    <row r="126" spans="1:193">
      <c r="B126" s="27"/>
      <c r="C126" s="70"/>
    </row>
    <row r="127" spans="1:193">
      <c r="B127" s="27"/>
      <c r="C127" s="70"/>
    </row>
  </sheetData>
  <sheetProtection selectLockedCells="1" selectUnlockedCells="1"/>
  <autoFilter ref="A5:AM98">
    <filterColumn colId="34" showButton="0"/>
  </autoFilter>
  <mergeCells count="36">
    <mergeCell ref="AM5:AM6"/>
    <mergeCell ref="A102:B102"/>
    <mergeCell ref="AH5:AH6"/>
    <mergeCell ref="AI5:AJ5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N5:N6"/>
    <mergeCell ref="O5:O6"/>
    <mergeCell ref="P5:P6"/>
    <mergeCell ref="Q5:Q6"/>
    <mergeCell ref="R5:R6"/>
    <mergeCell ref="T5:T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B123"/>
  <sheetViews>
    <sheetView workbookViewId="0">
      <pane xSplit="2" ySplit="6" topLeftCell="C9" activePane="bottomRight" state="frozen"/>
      <selection pane="topRight" activeCell="C1" sqref="C1"/>
      <selection pane="bottomLeft" activeCell="A7" sqref="A7"/>
      <selection pane="bottomRight" activeCell="E31" sqref="E31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2" width="13.5703125" style="23" customWidth="1"/>
    <col min="33" max="33" width="15.42578125" style="24" customWidth="1"/>
    <col min="34" max="35" width="0" style="41" hidden="1" customWidth="1"/>
    <col min="36" max="36" width="15.28515625" style="41" hidden="1" customWidth="1"/>
    <col min="37" max="38" width="0" style="41" hidden="1" customWidth="1"/>
    <col min="39" max="39" width="13.85546875" style="41" customWidth="1"/>
    <col min="40" max="40" width="34.85546875" style="41" customWidth="1"/>
    <col min="41" max="54" width="11.5703125" style="39"/>
    <col min="55" max="16384" width="11.5703125" style="41"/>
  </cols>
  <sheetData>
    <row r="1" spans="1:54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5"/>
      <c r="AH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54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5"/>
      <c r="AH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54" s="17" customFormat="1">
      <c r="A3" s="20" t="s">
        <v>260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5"/>
      <c r="AH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54" s="22" customFormat="1">
      <c r="A4" s="22" t="s">
        <v>259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54" s="22" customFormat="1" ht="28.5" customHeight="1">
      <c r="A5" s="128" t="s">
        <v>39</v>
      </c>
      <c r="B5" s="130" t="s">
        <v>40</v>
      </c>
      <c r="C5" s="128"/>
      <c r="D5" s="130" t="s">
        <v>41</v>
      </c>
      <c r="E5" s="130" t="s">
        <v>0</v>
      </c>
      <c r="F5" s="128" t="s">
        <v>246</v>
      </c>
      <c r="G5" s="131" t="s">
        <v>67</v>
      </c>
      <c r="H5" s="131" t="s">
        <v>65</v>
      </c>
      <c r="I5" s="132" t="s">
        <v>66</v>
      </c>
      <c r="J5" s="126" t="s">
        <v>68</v>
      </c>
      <c r="K5" s="131" t="s">
        <v>34</v>
      </c>
      <c r="L5" s="126" t="s">
        <v>75</v>
      </c>
      <c r="M5" s="95"/>
      <c r="N5" s="131" t="s">
        <v>35</v>
      </c>
      <c r="O5" s="131" t="s">
        <v>36</v>
      </c>
      <c r="P5" s="131" t="s">
        <v>63</v>
      </c>
      <c r="Q5" s="131" t="s">
        <v>37</v>
      </c>
      <c r="R5" s="131" t="s">
        <v>38</v>
      </c>
      <c r="S5" s="88"/>
      <c r="T5" s="134" t="s">
        <v>186</v>
      </c>
      <c r="U5" s="134" t="s">
        <v>213</v>
      </c>
      <c r="V5" s="134" t="s">
        <v>212</v>
      </c>
      <c r="W5" s="134" t="s">
        <v>187</v>
      </c>
      <c r="X5" s="131" t="s">
        <v>30</v>
      </c>
      <c r="Y5" s="131" t="s">
        <v>56</v>
      </c>
      <c r="Z5" s="131" t="s">
        <v>55</v>
      </c>
      <c r="AA5" s="131" t="s">
        <v>32</v>
      </c>
      <c r="AB5" s="131" t="s">
        <v>64</v>
      </c>
      <c r="AC5" s="131" t="s">
        <v>27</v>
      </c>
      <c r="AD5" s="131" t="s">
        <v>31</v>
      </c>
      <c r="AE5" s="131" t="s">
        <v>26</v>
      </c>
      <c r="AF5" s="131" t="s">
        <v>28</v>
      </c>
      <c r="AG5" s="131" t="s">
        <v>29</v>
      </c>
      <c r="AH5" s="131" t="s">
        <v>188</v>
      </c>
      <c r="AI5" s="131" t="s">
        <v>189</v>
      </c>
      <c r="AJ5" s="141" t="s">
        <v>190</v>
      </c>
      <c r="AK5" s="142"/>
      <c r="AL5" s="136" t="s">
        <v>191</v>
      </c>
      <c r="AM5" s="136" t="s">
        <v>257</v>
      </c>
      <c r="AN5" s="136" t="s">
        <v>258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54" s="66" customFormat="1" ht="39" customHeight="1">
      <c r="A6" s="129"/>
      <c r="B6" s="130"/>
      <c r="C6" s="129"/>
      <c r="D6" s="130"/>
      <c r="E6" s="130"/>
      <c r="F6" s="129"/>
      <c r="G6" s="131"/>
      <c r="H6" s="131"/>
      <c r="I6" s="133"/>
      <c r="J6" s="127"/>
      <c r="K6" s="131"/>
      <c r="L6" s="127"/>
      <c r="M6" s="96" t="s">
        <v>288</v>
      </c>
      <c r="N6" s="131"/>
      <c r="O6" s="131"/>
      <c r="P6" s="131"/>
      <c r="Q6" s="131"/>
      <c r="R6" s="131"/>
      <c r="S6" s="89" t="s">
        <v>276</v>
      </c>
      <c r="T6" s="135"/>
      <c r="U6" s="135"/>
      <c r="V6" s="135"/>
      <c r="W6" s="135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64" t="s">
        <v>66</v>
      </c>
      <c r="AK6" s="64" t="s">
        <v>68</v>
      </c>
      <c r="AL6" s="136"/>
      <c r="AM6" s="136"/>
      <c r="AN6" s="136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</row>
    <row r="7" spans="1:54" s="40" customFormat="1">
      <c r="A7" s="27" t="s">
        <v>91</v>
      </c>
      <c r="B7" s="27" t="s">
        <v>238</v>
      </c>
      <c r="C7" s="27"/>
      <c r="D7" s="27" t="s">
        <v>95</v>
      </c>
      <c r="E7" s="27" t="s">
        <v>72</v>
      </c>
      <c r="F7" s="27"/>
      <c r="G7" s="28"/>
      <c r="H7" s="28"/>
      <c r="I7" s="30">
        <v>1166.26</v>
      </c>
      <c r="J7" s="29"/>
      <c r="K7" s="30">
        <f t="shared" ref="K7:K38" si="0">+I7+J7</f>
        <v>1166.26</v>
      </c>
      <c r="L7" s="30">
        <v>3954.17</v>
      </c>
      <c r="M7" s="30">
        <v>0</v>
      </c>
      <c r="N7" s="31"/>
      <c r="O7" s="31"/>
      <c r="P7" s="32"/>
      <c r="Q7" s="33">
        <f t="shared" ref="Q7:Q38" si="1">SUM(K7:O7)-P7</f>
        <v>5120.43</v>
      </c>
      <c r="R7" s="34"/>
      <c r="S7" s="45"/>
      <c r="T7" s="45">
        <v>0</v>
      </c>
      <c r="U7" s="45"/>
      <c r="V7" s="45"/>
      <c r="W7" s="45"/>
      <c r="X7" s="36"/>
      <c r="Y7" s="36"/>
      <c r="Z7" s="35"/>
      <c r="AA7" s="35">
        <v>0</v>
      </c>
      <c r="AB7" s="33">
        <f t="shared" ref="AB7:AB13" si="2">+Q7-SUM(R7:AA7)</f>
        <v>5120.43</v>
      </c>
      <c r="AC7" s="37">
        <f>IF(Q7&gt;4500,Q7*0.1,0)</f>
        <v>512.04300000000001</v>
      </c>
      <c r="AD7" s="33">
        <f t="shared" ref="AD7:AD13" si="3">+AB7-AC7</f>
        <v>4608.3870000000006</v>
      </c>
      <c r="AE7" s="38">
        <f t="shared" ref="AE7:AE38" si="4">IF(Q7&lt;4500,Q7*0.1,0)</f>
        <v>0</v>
      </c>
      <c r="AF7" s="37">
        <v>10.23</v>
      </c>
      <c r="AG7" s="67">
        <f t="shared" ref="AG7:AG38" si="5">+Q7+AE7+AF7</f>
        <v>5130.66</v>
      </c>
      <c r="AH7" s="39"/>
      <c r="AI7" s="56"/>
      <c r="AJ7" s="39"/>
      <c r="AK7" s="39"/>
      <c r="AL7" s="56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</row>
    <row r="8" spans="1:54">
      <c r="A8" s="27" t="s">
        <v>71</v>
      </c>
      <c r="B8" s="27" t="s">
        <v>219</v>
      </c>
      <c r="C8" s="27" t="s">
        <v>252</v>
      </c>
      <c r="D8" s="27" t="s">
        <v>145</v>
      </c>
      <c r="E8" s="27" t="s">
        <v>74</v>
      </c>
      <c r="F8" s="27"/>
      <c r="G8" s="28"/>
      <c r="H8" s="28"/>
      <c r="I8" s="30">
        <v>1633.33</v>
      </c>
      <c r="J8" s="28"/>
      <c r="K8" s="30">
        <f t="shared" si="0"/>
        <v>1633.33</v>
      </c>
      <c r="L8" s="30">
        <v>60706.45</v>
      </c>
      <c r="M8" s="30"/>
      <c r="N8" s="31"/>
      <c r="O8" s="31"/>
      <c r="P8" s="32"/>
      <c r="Q8" s="33">
        <f t="shared" si="1"/>
        <v>62339.78</v>
      </c>
      <c r="R8" s="34"/>
      <c r="S8" s="45"/>
      <c r="T8" s="45">
        <v>0</v>
      </c>
      <c r="U8" s="45"/>
      <c r="V8" s="45"/>
      <c r="W8" s="45"/>
      <c r="X8" s="36"/>
      <c r="Y8" s="36"/>
      <c r="Z8" s="35"/>
      <c r="AA8" s="35">
        <v>0</v>
      </c>
      <c r="AB8" s="33">
        <f t="shared" si="2"/>
        <v>62339.78</v>
      </c>
      <c r="AC8" s="37">
        <f>IF(Q8&gt;4500,Q8*0.1,0)</f>
        <v>6233.9780000000001</v>
      </c>
      <c r="AD8" s="33">
        <f t="shared" si="3"/>
        <v>56105.801999999996</v>
      </c>
      <c r="AE8" s="38">
        <f t="shared" si="4"/>
        <v>0</v>
      </c>
      <c r="AF8" s="37">
        <v>10.23</v>
      </c>
      <c r="AG8" s="67">
        <f t="shared" si="5"/>
        <v>62350.01</v>
      </c>
      <c r="AH8" s="39"/>
      <c r="AI8" s="56"/>
      <c r="AJ8" s="39"/>
      <c r="AK8" s="39"/>
      <c r="AL8" s="56"/>
      <c r="AM8" s="39"/>
      <c r="AN8" s="39"/>
    </row>
    <row r="9" spans="1:54">
      <c r="A9" s="62" t="s">
        <v>94</v>
      </c>
      <c r="B9" s="27" t="s">
        <v>196</v>
      </c>
      <c r="C9" s="27"/>
      <c r="D9" s="27" t="s">
        <v>126</v>
      </c>
      <c r="E9" s="27" t="s">
        <v>174</v>
      </c>
      <c r="F9" s="27"/>
      <c r="G9" s="28"/>
      <c r="H9" s="28"/>
      <c r="I9" s="30">
        <v>608.16</v>
      </c>
      <c r="J9" s="28"/>
      <c r="K9" s="30">
        <f t="shared" si="0"/>
        <v>608.16</v>
      </c>
      <c r="L9" s="30">
        <v>4993.21</v>
      </c>
      <c r="M9" s="30"/>
      <c r="N9" s="31"/>
      <c r="O9" s="31"/>
      <c r="P9" s="32"/>
      <c r="Q9" s="33">
        <f t="shared" si="1"/>
        <v>5601.37</v>
      </c>
      <c r="R9" s="34"/>
      <c r="S9" s="45"/>
      <c r="T9" s="45"/>
      <c r="U9" s="75">
        <f>Q9*4.9%</f>
        <v>274.46713</v>
      </c>
      <c r="V9" s="75">
        <f>Q9*1%</f>
        <v>56.0137</v>
      </c>
      <c r="W9" s="45"/>
      <c r="X9" s="36"/>
      <c r="Y9" s="36"/>
      <c r="Z9" s="35"/>
      <c r="AA9" s="35">
        <v>0</v>
      </c>
      <c r="AB9" s="33">
        <f t="shared" si="2"/>
        <v>5270.8891700000004</v>
      </c>
      <c r="AC9" s="37">
        <f>IF(Q9&gt;4500,Q9*0.1,0)</f>
        <v>560.13700000000006</v>
      </c>
      <c r="AD9" s="33">
        <f t="shared" si="3"/>
        <v>4710.7521700000007</v>
      </c>
      <c r="AE9" s="38">
        <f t="shared" si="4"/>
        <v>0</v>
      </c>
      <c r="AF9" s="37">
        <v>10.23</v>
      </c>
      <c r="AG9" s="67">
        <f t="shared" si="5"/>
        <v>5611.5999999999995</v>
      </c>
      <c r="AH9" s="39"/>
      <c r="AI9" s="56"/>
      <c r="AJ9" s="39"/>
      <c r="AK9" s="39"/>
      <c r="AL9" s="56"/>
      <c r="AM9" s="39"/>
      <c r="AN9" s="39"/>
    </row>
    <row r="10" spans="1:54">
      <c r="A10" s="62" t="s">
        <v>92</v>
      </c>
      <c r="B10" s="27" t="s">
        <v>205</v>
      </c>
      <c r="C10" s="27"/>
      <c r="D10" s="27" t="s">
        <v>206</v>
      </c>
      <c r="E10" s="27" t="s">
        <v>167</v>
      </c>
      <c r="F10" s="27"/>
      <c r="G10" s="28"/>
      <c r="H10" s="28"/>
      <c r="I10" s="30">
        <v>739.23</v>
      </c>
      <c r="J10" s="28"/>
      <c r="K10" s="30">
        <f t="shared" si="0"/>
        <v>739.23</v>
      </c>
      <c r="L10" s="30"/>
      <c r="M10" s="30"/>
      <c r="N10" s="31"/>
      <c r="O10" s="31"/>
      <c r="P10" s="32"/>
      <c r="Q10" s="33">
        <f t="shared" si="1"/>
        <v>739.23</v>
      </c>
      <c r="R10" s="34"/>
      <c r="S10" s="45"/>
      <c r="T10" s="45"/>
      <c r="U10" s="45"/>
      <c r="V10" s="45"/>
      <c r="W10" s="45"/>
      <c r="X10" s="36"/>
      <c r="Y10" s="36"/>
      <c r="Z10" s="35"/>
      <c r="AA10" s="35"/>
      <c r="AB10" s="33">
        <f t="shared" si="2"/>
        <v>739.23</v>
      </c>
      <c r="AC10" s="37"/>
      <c r="AD10" s="33">
        <f t="shared" si="3"/>
        <v>739.23</v>
      </c>
      <c r="AE10" s="38">
        <f t="shared" si="4"/>
        <v>73.923000000000002</v>
      </c>
      <c r="AF10" s="37">
        <v>10.23</v>
      </c>
      <c r="AG10" s="67">
        <f t="shared" si="5"/>
        <v>823.38300000000004</v>
      </c>
      <c r="AH10" s="39"/>
      <c r="AI10" s="56"/>
      <c r="AJ10" s="39"/>
      <c r="AK10" s="39"/>
      <c r="AL10" s="56"/>
      <c r="AM10" s="39"/>
      <c r="AN10" s="39"/>
    </row>
    <row r="11" spans="1:54">
      <c r="A11" s="27" t="s">
        <v>91</v>
      </c>
      <c r="B11" s="27" t="s">
        <v>235</v>
      </c>
      <c r="C11" s="27"/>
      <c r="D11" s="27" t="s">
        <v>96</v>
      </c>
      <c r="E11" s="27" t="s">
        <v>72</v>
      </c>
      <c r="F11" s="27"/>
      <c r="G11" s="27"/>
      <c r="H11" s="27"/>
      <c r="I11" s="30">
        <v>1166.6600000000001</v>
      </c>
      <c r="J11" s="29"/>
      <c r="K11" s="30">
        <f t="shared" si="0"/>
        <v>1166.6600000000001</v>
      </c>
      <c r="L11" s="30">
        <v>1433.64</v>
      </c>
      <c r="M11" s="30"/>
      <c r="N11" s="30"/>
      <c r="O11" s="30"/>
      <c r="P11" s="32"/>
      <c r="Q11" s="33">
        <f t="shared" si="1"/>
        <v>2600.3000000000002</v>
      </c>
      <c r="R11" s="34"/>
      <c r="S11" s="45"/>
      <c r="T11" s="45">
        <v>0</v>
      </c>
      <c r="U11" s="45"/>
      <c r="V11" s="45"/>
      <c r="W11" s="45"/>
      <c r="X11" s="36"/>
      <c r="Y11" s="36"/>
      <c r="Z11" s="35"/>
      <c r="AA11" s="35">
        <v>0</v>
      </c>
      <c r="AB11" s="33">
        <f t="shared" si="2"/>
        <v>2600.3000000000002</v>
      </c>
      <c r="AC11" s="37">
        <f t="shared" ref="AC11:AC42" si="6">IF(Q11&gt;4500,Q11*0.1,0)</f>
        <v>0</v>
      </c>
      <c r="AD11" s="33">
        <f t="shared" si="3"/>
        <v>2600.3000000000002</v>
      </c>
      <c r="AE11" s="38">
        <f t="shared" si="4"/>
        <v>260.03000000000003</v>
      </c>
      <c r="AF11" s="37">
        <v>10.23</v>
      </c>
      <c r="AG11" s="67">
        <f t="shared" si="5"/>
        <v>2870.5600000000004</v>
      </c>
      <c r="AH11" s="39"/>
      <c r="AI11" s="56"/>
      <c r="AJ11" s="39"/>
      <c r="AK11" s="39"/>
      <c r="AL11" s="56"/>
      <c r="AM11" s="39"/>
      <c r="AN11" s="39"/>
    </row>
    <row r="12" spans="1:54">
      <c r="A12" s="27" t="s">
        <v>71</v>
      </c>
      <c r="B12" s="27" t="s">
        <v>87</v>
      </c>
      <c r="C12" s="27" t="s">
        <v>252</v>
      </c>
      <c r="D12" s="27">
        <v>16</v>
      </c>
      <c r="E12" s="27" t="s">
        <v>184</v>
      </c>
      <c r="F12" s="27"/>
      <c r="G12" s="28"/>
      <c r="H12" s="28"/>
      <c r="I12" s="30">
        <v>1633.33</v>
      </c>
      <c r="J12" s="28"/>
      <c r="K12" s="30">
        <f t="shared" si="0"/>
        <v>1633.33</v>
      </c>
      <c r="L12" s="30">
        <v>13631.88</v>
      </c>
      <c r="M12" s="30"/>
      <c r="N12" s="31"/>
      <c r="O12" s="31"/>
      <c r="P12" s="32"/>
      <c r="Q12" s="33">
        <f t="shared" si="1"/>
        <v>15265.21</v>
      </c>
      <c r="R12" s="34"/>
      <c r="S12" s="45"/>
      <c r="T12" s="45">
        <v>0</v>
      </c>
      <c r="U12" s="45"/>
      <c r="V12" s="45"/>
      <c r="W12" s="45"/>
      <c r="X12" s="36"/>
      <c r="Y12" s="36"/>
      <c r="Z12" s="35"/>
      <c r="AA12" s="35">
        <v>0</v>
      </c>
      <c r="AB12" s="33">
        <f t="shared" si="2"/>
        <v>15265.21</v>
      </c>
      <c r="AC12" s="37">
        <f t="shared" si="6"/>
        <v>1526.521</v>
      </c>
      <c r="AD12" s="33">
        <f t="shared" si="3"/>
        <v>13738.688999999998</v>
      </c>
      <c r="AE12" s="38">
        <f t="shared" si="4"/>
        <v>0</v>
      </c>
      <c r="AF12" s="37">
        <v>10.23</v>
      </c>
      <c r="AG12" s="67">
        <f t="shared" si="5"/>
        <v>15275.439999999999</v>
      </c>
      <c r="AH12" s="39"/>
      <c r="AI12" s="56"/>
      <c r="AJ12" s="39"/>
      <c r="AK12" s="39"/>
      <c r="AL12" s="56"/>
      <c r="AM12" s="39"/>
      <c r="AN12" s="39"/>
    </row>
    <row r="13" spans="1:54" s="84" customFormat="1">
      <c r="A13" s="79" t="s">
        <v>91</v>
      </c>
      <c r="B13" s="79" t="s">
        <v>269</v>
      </c>
      <c r="C13" s="79"/>
      <c r="D13" s="79"/>
      <c r="E13" s="79" t="s">
        <v>270</v>
      </c>
      <c r="F13" s="87">
        <v>42422</v>
      </c>
      <c r="G13" s="79"/>
      <c r="H13" s="79"/>
      <c r="I13" s="80">
        <v>0</v>
      </c>
      <c r="J13" s="79">
        <v>483.75</v>
      </c>
      <c r="K13" s="80">
        <f t="shared" si="0"/>
        <v>483.75</v>
      </c>
      <c r="L13" s="80">
        <v>0</v>
      </c>
      <c r="M13" s="80"/>
      <c r="N13" s="80"/>
      <c r="O13" s="80"/>
      <c r="P13" s="81"/>
      <c r="Q13" s="82">
        <f t="shared" si="1"/>
        <v>483.75</v>
      </c>
      <c r="R13" s="80"/>
      <c r="S13" s="45"/>
      <c r="T13" s="80"/>
      <c r="U13" s="80"/>
      <c r="V13" s="80"/>
      <c r="W13" s="80"/>
      <c r="X13" s="83"/>
      <c r="Y13" s="83"/>
      <c r="Z13" s="79"/>
      <c r="AA13" s="79"/>
      <c r="AB13" s="82">
        <f t="shared" si="2"/>
        <v>483.75</v>
      </c>
      <c r="AC13" s="83">
        <f t="shared" si="6"/>
        <v>0</v>
      </c>
      <c r="AD13" s="82">
        <f t="shared" si="3"/>
        <v>483.75</v>
      </c>
      <c r="AE13" s="83">
        <f t="shared" si="4"/>
        <v>48.375</v>
      </c>
      <c r="AF13" s="83">
        <v>10.23</v>
      </c>
      <c r="AG13" s="82">
        <f t="shared" si="5"/>
        <v>542.35500000000002</v>
      </c>
      <c r="AI13" s="85"/>
      <c r="AL13" s="85"/>
      <c r="AM13" s="84">
        <v>1456104819</v>
      </c>
      <c r="AN13" s="78" t="s">
        <v>282</v>
      </c>
    </row>
    <row r="14" spans="1:54" s="39" customFormat="1">
      <c r="A14" s="63" t="s">
        <v>70</v>
      </c>
      <c r="B14" s="63" t="s">
        <v>203</v>
      </c>
      <c r="C14" s="63" t="s">
        <v>248</v>
      </c>
      <c r="D14" s="63"/>
      <c r="E14" s="63" t="s">
        <v>173</v>
      </c>
      <c r="F14" s="72">
        <v>42417</v>
      </c>
      <c r="G14" s="63"/>
      <c r="H14" s="63"/>
      <c r="I14" s="53">
        <v>513.33000000000004</v>
      </c>
      <c r="J14" s="63">
        <v>653.33000000000004</v>
      </c>
      <c r="K14" s="53">
        <f t="shared" si="0"/>
        <v>1166.6600000000001</v>
      </c>
      <c r="L14" s="53">
        <v>164</v>
      </c>
      <c r="M14" s="53"/>
      <c r="N14" s="53"/>
      <c r="O14" s="53"/>
      <c r="P14" s="73"/>
      <c r="Q14" s="33">
        <f t="shared" si="1"/>
        <v>1330.66</v>
      </c>
      <c r="R14" s="34"/>
      <c r="S14" s="45"/>
      <c r="T14" s="45">
        <v>0</v>
      </c>
      <c r="U14" s="45"/>
      <c r="V14" s="45"/>
      <c r="W14" s="45"/>
      <c r="X14" s="36"/>
      <c r="Y14" s="36"/>
      <c r="Z14" s="35"/>
      <c r="AA14" s="35">
        <v>0</v>
      </c>
      <c r="AB14" s="33">
        <f t="shared" ref="AB14" si="7">+Q14-SUM(R14:AA14)</f>
        <v>1330.66</v>
      </c>
      <c r="AC14" s="37">
        <f t="shared" ref="AC14" si="8">IF(Q14&gt;4500,Q14*0.1,0)</f>
        <v>0</v>
      </c>
      <c r="AD14" s="33">
        <f t="shared" ref="AD14" si="9">+AB14-AC14</f>
        <v>1330.66</v>
      </c>
      <c r="AE14" s="38">
        <f t="shared" ref="AE14" si="10">IF(Q14&lt;4500,Q14*0.1,0)</f>
        <v>133.066</v>
      </c>
      <c r="AF14" s="37">
        <v>10.23</v>
      </c>
      <c r="AG14" s="67">
        <f t="shared" ref="AG14" si="11">+Q14+AE14+AF14</f>
        <v>1473.9560000000001</v>
      </c>
      <c r="AI14" s="56"/>
      <c r="AL14" s="56"/>
    </row>
    <row r="15" spans="1:54">
      <c r="A15" s="27" t="s">
        <v>71</v>
      </c>
      <c r="B15" s="27" t="s">
        <v>222</v>
      </c>
      <c r="C15" s="27" t="s">
        <v>249</v>
      </c>
      <c r="D15" s="27" t="s">
        <v>146</v>
      </c>
      <c r="E15" s="27" t="s">
        <v>73</v>
      </c>
      <c r="F15" s="57"/>
      <c r="G15" s="28"/>
      <c r="H15" s="28"/>
      <c r="I15" s="30">
        <v>513.33000000000004</v>
      </c>
      <c r="J15" s="28">
        <v>653.33000000000004</v>
      </c>
      <c r="K15" s="30">
        <f t="shared" si="0"/>
        <v>1166.6600000000001</v>
      </c>
      <c r="L15" s="30">
        <v>1508.49</v>
      </c>
      <c r="M15" s="30"/>
      <c r="N15" s="31"/>
      <c r="O15" s="31"/>
      <c r="P15" s="32"/>
      <c r="Q15" s="33">
        <f t="shared" si="1"/>
        <v>2675.15</v>
      </c>
      <c r="R15" s="34"/>
      <c r="S15" s="45"/>
      <c r="T15" s="45">
        <v>0</v>
      </c>
      <c r="U15" s="45"/>
      <c r="V15" s="45"/>
      <c r="W15" s="45"/>
      <c r="X15" s="36"/>
      <c r="Y15" s="36"/>
      <c r="Z15" s="35"/>
      <c r="AA15" s="35">
        <v>368.35</v>
      </c>
      <c r="AB15" s="33">
        <f t="shared" ref="AB15:AB45" si="12">+Q15-SUM(R15:AA15)</f>
        <v>2306.8000000000002</v>
      </c>
      <c r="AC15" s="37">
        <f t="shared" si="6"/>
        <v>0</v>
      </c>
      <c r="AD15" s="33">
        <f t="shared" ref="AD15:AD44" si="13">+AB15-AC15</f>
        <v>2306.8000000000002</v>
      </c>
      <c r="AE15" s="38">
        <f t="shared" si="4"/>
        <v>267.51500000000004</v>
      </c>
      <c r="AF15" s="37">
        <v>10.23</v>
      </c>
      <c r="AG15" s="67">
        <f t="shared" si="5"/>
        <v>2952.895</v>
      </c>
      <c r="AH15" s="39"/>
      <c r="AI15" s="56"/>
      <c r="AJ15" s="39"/>
      <c r="AK15" s="39"/>
      <c r="AL15" s="56"/>
      <c r="AM15" s="39"/>
      <c r="AN15" s="39"/>
    </row>
    <row r="16" spans="1:54">
      <c r="A16" s="62" t="s">
        <v>94</v>
      </c>
      <c r="B16" s="63" t="s">
        <v>234</v>
      </c>
      <c r="C16" s="63"/>
      <c r="D16" s="27" t="s">
        <v>127</v>
      </c>
      <c r="E16" s="27" t="s">
        <v>174</v>
      </c>
      <c r="F16" s="27"/>
      <c r="G16" s="28"/>
      <c r="H16" s="28"/>
      <c r="I16" s="30">
        <v>608.16</v>
      </c>
      <c r="J16" s="28"/>
      <c r="K16" s="30">
        <f t="shared" si="0"/>
        <v>608.16</v>
      </c>
      <c r="L16" s="30"/>
      <c r="M16" s="30"/>
      <c r="N16" s="31"/>
      <c r="O16" s="31"/>
      <c r="P16" s="32"/>
      <c r="Q16" s="33">
        <f t="shared" si="1"/>
        <v>608.16</v>
      </c>
      <c r="R16" s="34"/>
      <c r="S16" s="45"/>
      <c r="T16" s="75">
        <v>150</v>
      </c>
      <c r="U16" s="75">
        <f>Q16*4.9%</f>
        <v>29.79984</v>
      </c>
      <c r="V16" s="75">
        <f>Q16*1%</f>
        <v>6.0815999999999999</v>
      </c>
      <c r="W16" s="45"/>
      <c r="X16" s="36"/>
      <c r="Y16" s="36"/>
      <c r="Z16" s="35"/>
      <c r="AA16" s="35">
        <v>0</v>
      </c>
      <c r="AB16" s="33">
        <f t="shared" si="12"/>
        <v>422.27855999999997</v>
      </c>
      <c r="AC16" s="37">
        <f t="shared" si="6"/>
        <v>0</v>
      </c>
      <c r="AD16" s="33">
        <f t="shared" si="13"/>
        <v>422.27855999999997</v>
      </c>
      <c r="AE16" s="38">
        <f t="shared" si="4"/>
        <v>60.816000000000003</v>
      </c>
      <c r="AF16" s="37">
        <v>10.23</v>
      </c>
      <c r="AG16" s="67">
        <f t="shared" si="5"/>
        <v>679.20600000000002</v>
      </c>
      <c r="AH16" s="39"/>
      <c r="AI16" s="56"/>
      <c r="AJ16" s="39"/>
      <c r="AK16" s="39"/>
      <c r="AL16" s="56"/>
      <c r="AM16" s="39"/>
      <c r="AN16" s="39"/>
    </row>
    <row r="17" spans="1:54">
      <c r="A17" s="27" t="s">
        <v>70</v>
      </c>
      <c r="B17" s="27" t="s">
        <v>247</v>
      </c>
      <c r="C17" s="27" t="s">
        <v>248</v>
      </c>
      <c r="D17" s="27" t="s">
        <v>144</v>
      </c>
      <c r="E17" s="27" t="s">
        <v>73</v>
      </c>
      <c r="F17" s="68">
        <v>42326</v>
      </c>
      <c r="G17" s="28"/>
      <c r="H17" s="28"/>
      <c r="I17" s="30">
        <v>513.33000000000004</v>
      </c>
      <c r="J17" s="28"/>
      <c r="K17" s="30">
        <f t="shared" si="0"/>
        <v>513.33000000000004</v>
      </c>
      <c r="L17" s="30">
        <v>513.33000000000004</v>
      </c>
      <c r="M17" s="30">
        <v>66.069999999999993</v>
      </c>
      <c r="N17" s="31"/>
      <c r="O17" s="31"/>
      <c r="P17" s="32"/>
      <c r="Q17" s="33">
        <f t="shared" si="1"/>
        <v>1092.73</v>
      </c>
      <c r="R17" s="34"/>
      <c r="S17" s="45"/>
      <c r="T17" s="45">
        <v>0</v>
      </c>
      <c r="U17" s="45"/>
      <c r="V17" s="45"/>
      <c r="W17" s="45"/>
      <c r="X17" s="36"/>
      <c r="Y17" s="36"/>
      <c r="Z17" s="35"/>
      <c r="AA17" s="97">
        <f>+Q17*0.25+125</f>
        <v>398.1825</v>
      </c>
      <c r="AB17" s="33">
        <f t="shared" si="12"/>
        <v>694.54750000000001</v>
      </c>
      <c r="AC17" s="37">
        <f t="shared" si="6"/>
        <v>0</v>
      </c>
      <c r="AD17" s="33">
        <f t="shared" si="13"/>
        <v>694.54750000000001</v>
      </c>
      <c r="AE17" s="38">
        <f t="shared" si="4"/>
        <v>109.27300000000001</v>
      </c>
      <c r="AF17" s="37">
        <v>10.23</v>
      </c>
      <c r="AG17" s="67">
        <f t="shared" si="5"/>
        <v>1212.2329999999999</v>
      </c>
      <c r="AH17" s="39"/>
      <c r="AI17" s="91"/>
      <c r="AJ17" s="39"/>
      <c r="AK17" s="39"/>
      <c r="AL17" s="56"/>
      <c r="AM17" s="39"/>
      <c r="AN17" s="39">
        <f>622.79+125</f>
        <v>747.79</v>
      </c>
      <c r="AO17" s="39" t="s">
        <v>278</v>
      </c>
    </row>
    <row r="18" spans="1:54">
      <c r="A18" s="27" t="s">
        <v>69</v>
      </c>
      <c r="B18" s="27" t="s">
        <v>277</v>
      </c>
      <c r="C18" s="27"/>
      <c r="D18" s="27" t="s">
        <v>111</v>
      </c>
      <c r="E18" s="27" t="s">
        <v>169</v>
      </c>
      <c r="F18" s="27"/>
      <c r="G18" s="28"/>
      <c r="H18" s="28"/>
      <c r="I18" s="30">
        <v>933.33</v>
      </c>
      <c r="J18" s="28"/>
      <c r="K18" s="30">
        <f t="shared" si="0"/>
        <v>933.33</v>
      </c>
      <c r="L18" s="30">
        <v>550</v>
      </c>
      <c r="M18" s="30"/>
      <c r="N18" s="31"/>
      <c r="O18" s="31"/>
      <c r="P18" s="32"/>
      <c r="Q18" s="33">
        <f t="shared" si="1"/>
        <v>1483.33</v>
      </c>
      <c r="R18" s="34"/>
      <c r="S18" s="45">
        <v>58.91</v>
      </c>
      <c r="T18" s="45">
        <v>0</v>
      </c>
      <c r="U18" s="45"/>
      <c r="V18" s="45"/>
      <c r="W18" s="45"/>
      <c r="X18" s="36"/>
      <c r="Y18" s="36"/>
      <c r="Z18" s="90"/>
      <c r="AA18" s="35">
        <v>0</v>
      </c>
      <c r="AB18" s="33">
        <f t="shared" si="12"/>
        <v>1424.4199999999998</v>
      </c>
      <c r="AC18" s="37">
        <f t="shared" si="6"/>
        <v>0</v>
      </c>
      <c r="AD18" s="33">
        <f t="shared" si="13"/>
        <v>1424.4199999999998</v>
      </c>
      <c r="AE18" s="38">
        <f t="shared" si="4"/>
        <v>148.333</v>
      </c>
      <c r="AF18" s="37">
        <v>10.23</v>
      </c>
      <c r="AG18" s="67">
        <f t="shared" si="5"/>
        <v>1641.893</v>
      </c>
      <c r="AH18" s="39"/>
      <c r="AI18" s="56"/>
      <c r="AJ18" s="39"/>
      <c r="AK18" s="39"/>
      <c r="AL18" s="56"/>
      <c r="AM18" s="39"/>
      <c r="AN18" s="39" t="s">
        <v>283</v>
      </c>
    </row>
    <row r="19" spans="1:54">
      <c r="A19" s="27" t="s">
        <v>71</v>
      </c>
      <c r="B19" s="27" t="s">
        <v>261</v>
      </c>
      <c r="C19" s="27" t="s">
        <v>251</v>
      </c>
      <c r="D19" s="27" t="s">
        <v>147</v>
      </c>
      <c r="E19" s="27" t="s">
        <v>73</v>
      </c>
      <c r="F19" s="27"/>
      <c r="G19" s="28"/>
      <c r="H19" s="28"/>
      <c r="I19" s="30">
        <v>513.33000000000004</v>
      </c>
      <c r="J19" s="28"/>
      <c r="K19" s="30">
        <f t="shared" si="0"/>
        <v>513.33000000000004</v>
      </c>
      <c r="L19" s="30">
        <f>513.33+10425.49</f>
        <v>10938.82</v>
      </c>
      <c r="M19" s="30"/>
      <c r="N19" s="31"/>
      <c r="O19" s="31"/>
      <c r="P19" s="32"/>
      <c r="Q19" s="33">
        <f t="shared" si="1"/>
        <v>11452.15</v>
      </c>
      <c r="R19" s="34"/>
      <c r="S19" s="45">
        <v>58.91</v>
      </c>
      <c r="T19" s="75">
        <v>500</v>
      </c>
      <c r="U19" s="45"/>
      <c r="V19" s="45"/>
      <c r="W19" s="45"/>
      <c r="X19" s="36"/>
      <c r="Y19" s="36">
        <v>167.44</v>
      </c>
      <c r="Z19" s="35"/>
      <c r="AA19" s="43">
        <v>1697.06</v>
      </c>
      <c r="AB19" s="33">
        <f t="shared" si="12"/>
        <v>9028.74</v>
      </c>
      <c r="AC19" s="37">
        <f t="shared" si="6"/>
        <v>1145.2149999999999</v>
      </c>
      <c r="AD19" s="33">
        <f t="shared" si="13"/>
        <v>7883.5249999999996</v>
      </c>
      <c r="AE19" s="38">
        <f t="shared" si="4"/>
        <v>0</v>
      </c>
      <c r="AF19" s="37">
        <v>10.23</v>
      </c>
      <c r="AG19" s="67">
        <f t="shared" si="5"/>
        <v>11462.38</v>
      </c>
      <c r="AH19" s="39"/>
      <c r="AI19" s="56"/>
      <c r="AJ19" s="39"/>
      <c r="AK19" s="39"/>
      <c r="AL19" s="56"/>
      <c r="AM19" s="39"/>
      <c r="AN19" s="39"/>
    </row>
    <row r="20" spans="1:54">
      <c r="A20" s="27" t="s">
        <v>91</v>
      </c>
      <c r="B20" s="27" t="s">
        <v>237</v>
      </c>
      <c r="C20" s="27"/>
      <c r="D20" s="27" t="s">
        <v>97</v>
      </c>
      <c r="E20" s="27" t="s">
        <v>72</v>
      </c>
      <c r="F20" s="27"/>
      <c r="G20" s="27"/>
      <c r="H20" s="27"/>
      <c r="I20" s="30">
        <v>1166.26</v>
      </c>
      <c r="J20" s="29"/>
      <c r="K20" s="30">
        <f t="shared" si="0"/>
        <v>1166.26</v>
      </c>
      <c r="L20" s="30"/>
      <c r="M20" s="30"/>
      <c r="N20" s="30"/>
      <c r="O20" s="30"/>
      <c r="P20" s="32"/>
      <c r="Q20" s="33">
        <f t="shared" si="1"/>
        <v>1166.26</v>
      </c>
      <c r="R20" s="34"/>
      <c r="S20" s="45"/>
      <c r="T20" s="45">
        <v>0</v>
      </c>
      <c r="U20" s="45"/>
      <c r="V20" s="45"/>
      <c r="W20" s="45"/>
      <c r="X20" s="36"/>
      <c r="Y20" s="36"/>
      <c r="Z20" s="35"/>
      <c r="AA20" s="35">
        <v>0</v>
      </c>
      <c r="AB20" s="33">
        <f t="shared" si="12"/>
        <v>1166.26</v>
      </c>
      <c r="AC20" s="37">
        <f t="shared" si="6"/>
        <v>0</v>
      </c>
      <c r="AD20" s="33">
        <f t="shared" si="13"/>
        <v>1166.26</v>
      </c>
      <c r="AE20" s="38">
        <f t="shared" si="4"/>
        <v>116.626</v>
      </c>
      <c r="AF20" s="37">
        <v>10.23</v>
      </c>
      <c r="AG20" s="67">
        <f t="shared" si="5"/>
        <v>1293.116</v>
      </c>
      <c r="AH20" s="39"/>
      <c r="AI20" s="56"/>
      <c r="AJ20" s="39"/>
      <c r="AK20" s="39"/>
      <c r="AL20" s="56"/>
      <c r="AM20" s="39"/>
      <c r="AN20" s="39"/>
    </row>
    <row r="21" spans="1:54">
      <c r="A21" s="62" t="s">
        <v>94</v>
      </c>
      <c r="B21" s="27" t="s">
        <v>198</v>
      </c>
      <c r="C21" s="27"/>
      <c r="D21" s="27" t="s">
        <v>128</v>
      </c>
      <c r="E21" s="27" t="s">
        <v>162</v>
      </c>
      <c r="F21" s="27"/>
      <c r="G21" s="28"/>
      <c r="H21" s="28"/>
      <c r="I21" s="30">
        <v>511.28</v>
      </c>
      <c r="J21" s="28"/>
      <c r="K21" s="30">
        <f t="shared" si="0"/>
        <v>511.28</v>
      </c>
      <c r="L21" s="30">
        <v>2243.33</v>
      </c>
      <c r="M21" s="30"/>
      <c r="N21" s="31"/>
      <c r="O21" s="31"/>
      <c r="P21" s="32"/>
      <c r="Q21" s="33">
        <f t="shared" si="1"/>
        <v>2754.6099999999997</v>
      </c>
      <c r="R21" s="34"/>
      <c r="S21" s="45"/>
      <c r="T21" s="75">
        <v>0</v>
      </c>
      <c r="U21" s="75">
        <f>Q21*4.9%</f>
        <v>134.97588999999999</v>
      </c>
      <c r="V21" s="75">
        <f>Q21*1%</f>
        <v>27.546099999999996</v>
      </c>
      <c r="W21" s="45"/>
      <c r="X21" s="36"/>
      <c r="Y21" s="36"/>
      <c r="Z21" s="35"/>
      <c r="AA21" s="35">
        <v>0</v>
      </c>
      <c r="AB21" s="33">
        <f t="shared" si="12"/>
        <v>2592.0880099999995</v>
      </c>
      <c r="AC21" s="37">
        <f t="shared" si="6"/>
        <v>0</v>
      </c>
      <c r="AD21" s="33">
        <f t="shared" si="13"/>
        <v>2592.0880099999995</v>
      </c>
      <c r="AE21" s="38">
        <f t="shared" si="4"/>
        <v>275.46099999999996</v>
      </c>
      <c r="AF21" s="37">
        <v>10.23</v>
      </c>
      <c r="AG21" s="67">
        <f t="shared" si="5"/>
        <v>3040.3009999999995</v>
      </c>
      <c r="AH21" s="39"/>
      <c r="AI21" s="56"/>
      <c r="AJ21" s="39"/>
      <c r="AK21" s="39"/>
      <c r="AL21" s="56"/>
      <c r="AM21" s="39"/>
      <c r="AN21" s="39"/>
    </row>
    <row r="22" spans="1:54">
      <c r="A22" s="27" t="s">
        <v>71</v>
      </c>
      <c r="B22" s="27" t="s">
        <v>267</v>
      </c>
      <c r="C22" s="27" t="s">
        <v>252</v>
      </c>
      <c r="D22" s="27">
        <v>18</v>
      </c>
      <c r="E22" s="27" t="s">
        <v>185</v>
      </c>
      <c r="F22" s="27"/>
      <c r="G22" s="28"/>
      <c r="H22" s="28"/>
      <c r="I22" s="30">
        <v>1633.33</v>
      </c>
      <c r="J22" s="28"/>
      <c r="K22" s="30">
        <f t="shared" si="0"/>
        <v>1633.33</v>
      </c>
      <c r="L22" s="30">
        <v>13971.02</v>
      </c>
      <c r="M22" s="30"/>
      <c r="N22" s="31"/>
      <c r="O22" s="31"/>
      <c r="P22" s="32"/>
      <c r="Q22" s="33">
        <f t="shared" si="1"/>
        <v>15604.35</v>
      </c>
      <c r="R22" s="34"/>
      <c r="S22" s="45"/>
      <c r="T22" s="75">
        <v>700</v>
      </c>
      <c r="U22" s="45"/>
      <c r="V22" s="45"/>
      <c r="W22" s="45"/>
      <c r="X22" s="36"/>
      <c r="Y22" s="36"/>
      <c r="Z22" s="35">
        <v>205.7</v>
      </c>
      <c r="AA22" s="35">
        <v>0</v>
      </c>
      <c r="AB22" s="33">
        <f t="shared" si="12"/>
        <v>14698.65</v>
      </c>
      <c r="AC22" s="37">
        <f t="shared" si="6"/>
        <v>1560.4350000000002</v>
      </c>
      <c r="AD22" s="33">
        <f t="shared" si="13"/>
        <v>13138.215</v>
      </c>
      <c r="AE22" s="38">
        <f t="shared" si="4"/>
        <v>0</v>
      </c>
      <c r="AF22" s="37">
        <v>10.23</v>
      </c>
      <c r="AG22" s="67">
        <f t="shared" si="5"/>
        <v>15614.58</v>
      </c>
      <c r="AH22" s="39"/>
      <c r="AI22" s="56"/>
      <c r="AJ22" s="39"/>
      <c r="AK22" s="39"/>
      <c r="AL22" s="56"/>
      <c r="AM22" s="39"/>
      <c r="AN22" s="39"/>
    </row>
    <row r="23" spans="1:54">
      <c r="A23" s="27" t="s">
        <v>94</v>
      </c>
      <c r="B23" s="27" t="s">
        <v>268</v>
      </c>
      <c r="C23" s="27"/>
      <c r="D23" s="27" t="s">
        <v>129</v>
      </c>
      <c r="E23" s="27" t="s">
        <v>175</v>
      </c>
      <c r="F23" s="27"/>
      <c r="G23" s="28"/>
      <c r="H23" s="28"/>
      <c r="I23" s="30">
        <v>1100</v>
      </c>
      <c r="J23" s="28"/>
      <c r="K23" s="30">
        <f t="shared" si="0"/>
        <v>1100</v>
      </c>
      <c r="L23" s="30">
        <v>314.3</v>
      </c>
      <c r="M23" s="30"/>
      <c r="N23" s="31"/>
      <c r="O23" s="31"/>
      <c r="P23" s="32"/>
      <c r="Q23" s="33">
        <f t="shared" si="1"/>
        <v>1414.3</v>
      </c>
      <c r="R23" s="34"/>
      <c r="S23" s="45"/>
      <c r="T23" s="75">
        <f>+Q23*1%</f>
        <v>14.143000000000001</v>
      </c>
      <c r="U23" s="75">
        <f>+Q23*4.9%</f>
        <v>69.300700000000006</v>
      </c>
      <c r="V23" s="45"/>
      <c r="W23" s="45"/>
      <c r="X23" s="36"/>
      <c r="Y23" s="36"/>
      <c r="Z23" s="35"/>
      <c r="AA23" s="35">
        <v>0</v>
      </c>
      <c r="AB23" s="33">
        <f t="shared" si="12"/>
        <v>1330.8562999999999</v>
      </c>
      <c r="AC23" s="37">
        <f t="shared" si="6"/>
        <v>0</v>
      </c>
      <c r="AD23" s="33">
        <f t="shared" si="13"/>
        <v>1330.8562999999999</v>
      </c>
      <c r="AE23" s="38">
        <f t="shared" si="4"/>
        <v>141.43</v>
      </c>
      <c r="AF23" s="37">
        <v>10.23</v>
      </c>
      <c r="AG23" s="67">
        <f t="shared" si="5"/>
        <v>1565.96</v>
      </c>
      <c r="AH23" s="39"/>
      <c r="AI23" s="56"/>
      <c r="AJ23" s="39"/>
      <c r="AK23" s="39"/>
      <c r="AL23" s="56"/>
      <c r="AM23" s="39"/>
      <c r="AN23" s="39"/>
    </row>
    <row r="24" spans="1:54">
      <c r="A24" s="27" t="s">
        <v>69</v>
      </c>
      <c r="B24" s="27" t="s">
        <v>228</v>
      </c>
      <c r="C24" s="27"/>
      <c r="D24" s="27" t="s">
        <v>113</v>
      </c>
      <c r="E24" s="27" t="s">
        <v>169</v>
      </c>
      <c r="F24" s="27"/>
      <c r="G24" s="28"/>
      <c r="H24" s="28"/>
      <c r="I24" s="30">
        <v>933.33</v>
      </c>
      <c r="J24" s="28"/>
      <c r="K24" s="30">
        <f t="shared" si="0"/>
        <v>933.33</v>
      </c>
      <c r="L24" s="30">
        <v>550</v>
      </c>
      <c r="M24" s="30"/>
      <c r="N24" s="31"/>
      <c r="O24" s="31"/>
      <c r="P24" s="32"/>
      <c r="Q24" s="33">
        <f t="shared" si="1"/>
        <v>1483.33</v>
      </c>
      <c r="R24" s="34"/>
      <c r="S24" s="45">
        <v>38.28</v>
      </c>
      <c r="T24" s="45">
        <v>0</v>
      </c>
      <c r="U24" s="45"/>
      <c r="V24" s="45"/>
      <c r="W24" s="45"/>
      <c r="X24" s="36"/>
      <c r="Y24" s="36"/>
      <c r="Z24" s="35"/>
      <c r="AA24" s="35">
        <f>357.73+148.47</f>
        <v>506.20000000000005</v>
      </c>
      <c r="AB24" s="33">
        <f t="shared" si="12"/>
        <v>938.84999999999991</v>
      </c>
      <c r="AC24" s="37">
        <f t="shared" si="6"/>
        <v>0</v>
      </c>
      <c r="AD24" s="33">
        <f t="shared" si="13"/>
        <v>938.84999999999991</v>
      </c>
      <c r="AE24" s="38">
        <f t="shared" si="4"/>
        <v>148.333</v>
      </c>
      <c r="AF24" s="37">
        <v>10.23</v>
      </c>
      <c r="AG24" s="67">
        <f t="shared" si="5"/>
        <v>1641.893</v>
      </c>
      <c r="AH24" s="39"/>
      <c r="AI24" s="56"/>
      <c r="AJ24" s="39"/>
      <c r="AK24" s="39"/>
      <c r="AL24" s="56"/>
      <c r="AM24" s="39"/>
      <c r="AN24" s="39" t="s">
        <v>283</v>
      </c>
    </row>
    <row r="25" spans="1:54">
      <c r="A25" s="27" t="s">
        <v>70</v>
      </c>
      <c r="B25" s="27" t="s">
        <v>245</v>
      </c>
      <c r="C25" s="27" t="s">
        <v>248</v>
      </c>
      <c r="D25" s="27" t="s">
        <v>122</v>
      </c>
      <c r="E25" s="27" t="s">
        <v>73</v>
      </c>
      <c r="F25" s="68">
        <v>42432</v>
      </c>
      <c r="G25" s="28"/>
      <c r="H25" s="28"/>
      <c r="I25" s="30">
        <v>513.33000000000004</v>
      </c>
      <c r="J25" s="28">
        <v>653.33000000000004</v>
      </c>
      <c r="K25" s="30">
        <f t="shared" si="0"/>
        <v>1166.6600000000001</v>
      </c>
      <c r="L25" s="30">
        <f>1792.44+1000+1500</f>
        <v>4292.4400000000005</v>
      </c>
      <c r="M25" s="30"/>
      <c r="N25" s="31"/>
      <c r="O25" s="31"/>
      <c r="P25" s="32"/>
      <c r="Q25" s="33">
        <f t="shared" si="1"/>
        <v>5459.1</v>
      </c>
      <c r="R25" s="34"/>
      <c r="S25" s="45"/>
      <c r="T25" s="45">
        <v>0</v>
      </c>
      <c r="U25" s="45"/>
      <c r="V25" s="45"/>
      <c r="W25" s="45"/>
      <c r="X25" s="36"/>
      <c r="Y25" s="36"/>
      <c r="Z25" s="35"/>
      <c r="AA25" s="35">
        <f>797.62</f>
        <v>797.62</v>
      </c>
      <c r="AB25" s="33">
        <f t="shared" si="12"/>
        <v>4661.4800000000005</v>
      </c>
      <c r="AC25" s="37">
        <f t="shared" si="6"/>
        <v>545.91000000000008</v>
      </c>
      <c r="AD25" s="33">
        <f t="shared" si="13"/>
        <v>4115.5700000000006</v>
      </c>
      <c r="AE25" s="38">
        <f t="shared" si="4"/>
        <v>0</v>
      </c>
      <c r="AF25" s="37">
        <v>10.23</v>
      </c>
      <c r="AG25" s="67">
        <f t="shared" si="5"/>
        <v>5469.33</v>
      </c>
      <c r="AH25" s="39"/>
      <c r="AI25" s="56"/>
      <c r="AJ25" s="39"/>
      <c r="AK25" s="39"/>
      <c r="AL25" s="56"/>
      <c r="AM25" s="39"/>
      <c r="AN25" s="39"/>
    </row>
    <row r="26" spans="1:54">
      <c r="A26" s="62" t="s">
        <v>92</v>
      </c>
      <c r="B26" s="27" t="s">
        <v>209</v>
      </c>
      <c r="C26" s="27"/>
      <c r="D26" s="27" t="s">
        <v>100</v>
      </c>
      <c r="E26" s="27" t="s">
        <v>161</v>
      </c>
      <c r="F26" s="27"/>
      <c r="G26" s="27"/>
      <c r="H26" s="27"/>
      <c r="I26" s="76">
        <v>739.23</v>
      </c>
      <c r="J26" s="27"/>
      <c r="K26" s="30">
        <f t="shared" si="0"/>
        <v>739.23</v>
      </c>
      <c r="L26" s="30">
        <v>2507.88</v>
      </c>
      <c r="M26" s="30"/>
      <c r="N26" s="30"/>
      <c r="O26" s="30"/>
      <c r="P26" s="32"/>
      <c r="Q26" s="33">
        <f t="shared" si="1"/>
        <v>3247.11</v>
      </c>
      <c r="R26" s="34"/>
      <c r="S26" s="45"/>
      <c r="T26" s="45">
        <v>0</v>
      </c>
      <c r="U26" s="45"/>
      <c r="V26" s="45"/>
      <c r="W26" s="45"/>
      <c r="X26" s="36"/>
      <c r="Y26" s="36"/>
      <c r="Z26" s="35"/>
      <c r="AA26" s="35">
        <v>0</v>
      </c>
      <c r="AB26" s="33">
        <f t="shared" si="12"/>
        <v>3247.11</v>
      </c>
      <c r="AC26" s="37">
        <f t="shared" si="6"/>
        <v>0</v>
      </c>
      <c r="AD26" s="33">
        <f t="shared" si="13"/>
        <v>3247.11</v>
      </c>
      <c r="AE26" s="38">
        <f t="shared" si="4"/>
        <v>324.71100000000001</v>
      </c>
      <c r="AF26" s="37">
        <v>10.23</v>
      </c>
      <c r="AG26" s="67">
        <f t="shared" si="5"/>
        <v>3582.0509999999999</v>
      </c>
      <c r="AH26" s="39"/>
      <c r="AI26" s="56"/>
      <c r="AJ26" s="39"/>
      <c r="AK26" s="39"/>
      <c r="AL26" s="56"/>
      <c r="AM26" s="39"/>
      <c r="AN26" s="39"/>
    </row>
    <row r="27" spans="1:54">
      <c r="A27" s="27" t="s">
        <v>70</v>
      </c>
      <c r="B27" s="27" t="s">
        <v>220</v>
      </c>
      <c r="C27" s="27" t="s">
        <v>248</v>
      </c>
      <c r="D27" s="27" t="s">
        <v>121</v>
      </c>
      <c r="E27" s="27" t="s">
        <v>173</v>
      </c>
      <c r="F27" s="68">
        <v>42304</v>
      </c>
      <c r="G27" s="28"/>
      <c r="H27" s="28"/>
      <c r="I27" s="30">
        <v>513.33000000000004</v>
      </c>
      <c r="J27" s="28"/>
      <c r="K27" s="30">
        <f t="shared" si="0"/>
        <v>513.33000000000004</v>
      </c>
      <c r="L27" s="30">
        <v>513.33000000000004</v>
      </c>
      <c r="M27" s="30">
        <v>66.069999999999993</v>
      </c>
      <c r="N27" s="31"/>
      <c r="O27" s="31"/>
      <c r="P27" s="32"/>
      <c r="Q27" s="33">
        <f t="shared" si="1"/>
        <v>1092.73</v>
      </c>
      <c r="R27" s="34"/>
      <c r="S27" s="45"/>
      <c r="T27" s="45">
        <v>0</v>
      </c>
      <c r="U27" s="45"/>
      <c r="V27" s="45"/>
      <c r="W27" s="45"/>
      <c r="X27" s="36"/>
      <c r="Y27" s="36"/>
      <c r="Z27" s="35"/>
      <c r="AA27" s="35">
        <v>0</v>
      </c>
      <c r="AB27" s="33">
        <f t="shared" si="12"/>
        <v>1092.73</v>
      </c>
      <c r="AC27" s="37">
        <f t="shared" si="6"/>
        <v>0</v>
      </c>
      <c r="AD27" s="33">
        <f t="shared" si="13"/>
        <v>1092.73</v>
      </c>
      <c r="AE27" s="38">
        <f t="shared" si="4"/>
        <v>109.27300000000001</v>
      </c>
      <c r="AF27" s="37">
        <v>10.23</v>
      </c>
      <c r="AG27" s="67">
        <f t="shared" si="5"/>
        <v>1212.2329999999999</v>
      </c>
      <c r="AH27" s="39"/>
      <c r="AI27" s="56"/>
      <c r="AJ27" s="39"/>
      <c r="AK27" s="39"/>
      <c r="AL27" s="56"/>
      <c r="AM27" s="39"/>
      <c r="AN27" s="39"/>
    </row>
    <row r="28" spans="1:54" s="40" customFormat="1">
      <c r="A28" s="27" t="s">
        <v>92</v>
      </c>
      <c r="B28" s="27" t="s">
        <v>240</v>
      </c>
      <c r="C28" s="27"/>
      <c r="D28" s="27" t="s">
        <v>114</v>
      </c>
      <c r="E28" s="27" t="s">
        <v>167</v>
      </c>
      <c r="F28" s="27"/>
      <c r="G28" s="27"/>
      <c r="H28" s="27"/>
      <c r="I28" s="30">
        <v>1100</v>
      </c>
      <c r="J28" s="27"/>
      <c r="K28" s="30">
        <f t="shared" si="0"/>
        <v>1100</v>
      </c>
      <c r="L28" s="30">
        <v>1052.97</v>
      </c>
      <c r="M28" s="30"/>
      <c r="N28" s="30"/>
      <c r="O28" s="30"/>
      <c r="P28" s="32"/>
      <c r="Q28" s="33">
        <f t="shared" si="1"/>
        <v>2152.9700000000003</v>
      </c>
      <c r="R28" s="34"/>
      <c r="S28" s="45"/>
      <c r="T28" s="45">
        <v>0</v>
      </c>
      <c r="U28" s="45"/>
      <c r="V28" s="45"/>
      <c r="W28" s="45"/>
      <c r="X28" s="36"/>
      <c r="Y28" s="36"/>
      <c r="Z28" s="35"/>
      <c r="AA28" s="35">
        <v>0</v>
      </c>
      <c r="AB28" s="33">
        <f t="shared" si="12"/>
        <v>2152.9700000000003</v>
      </c>
      <c r="AC28" s="37">
        <f t="shared" si="6"/>
        <v>0</v>
      </c>
      <c r="AD28" s="33">
        <f t="shared" si="13"/>
        <v>2152.9700000000003</v>
      </c>
      <c r="AE28" s="38">
        <f t="shared" si="4"/>
        <v>215.29700000000003</v>
      </c>
      <c r="AF28" s="37">
        <v>10.23</v>
      </c>
      <c r="AG28" s="67">
        <f t="shared" si="5"/>
        <v>2378.4970000000003</v>
      </c>
      <c r="AH28" s="39"/>
      <c r="AI28" s="56"/>
      <c r="AJ28" s="39"/>
      <c r="AK28" s="39"/>
      <c r="AL28" s="56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</row>
    <row r="29" spans="1:54">
      <c r="A29" s="27" t="s">
        <v>69</v>
      </c>
      <c r="B29" s="27" t="s">
        <v>227</v>
      </c>
      <c r="C29" s="27"/>
      <c r="D29" s="27" t="s">
        <v>112</v>
      </c>
      <c r="E29" s="27" t="s">
        <v>170</v>
      </c>
      <c r="F29" s="27"/>
      <c r="G29" s="27"/>
      <c r="H29" s="27"/>
      <c r="I29" s="30">
        <v>933.33</v>
      </c>
      <c r="J29" s="27"/>
      <c r="K29" s="30">
        <f t="shared" si="0"/>
        <v>933.33</v>
      </c>
      <c r="L29" s="30">
        <v>550</v>
      </c>
      <c r="M29" s="30"/>
      <c r="N29" s="30"/>
      <c r="O29" s="30"/>
      <c r="P29" s="32"/>
      <c r="Q29" s="33">
        <f t="shared" si="1"/>
        <v>1483.33</v>
      </c>
      <c r="R29" s="34"/>
      <c r="S29" s="45">
        <v>58.91</v>
      </c>
      <c r="T29" s="45">
        <v>0</v>
      </c>
      <c r="U29" s="45"/>
      <c r="V29" s="45"/>
      <c r="W29" s="45"/>
      <c r="X29" s="36"/>
      <c r="Y29" s="36"/>
      <c r="Z29" s="35"/>
      <c r="AA29" s="35">
        <v>0</v>
      </c>
      <c r="AB29" s="33">
        <f t="shared" si="12"/>
        <v>1424.4199999999998</v>
      </c>
      <c r="AC29" s="37">
        <f t="shared" si="6"/>
        <v>0</v>
      </c>
      <c r="AD29" s="33">
        <f t="shared" si="13"/>
        <v>1424.4199999999998</v>
      </c>
      <c r="AE29" s="38">
        <f t="shared" si="4"/>
        <v>148.333</v>
      </c>
      <c r="AF29" s="37">
        <v>10.23</v>
      </c>
      <c r="AG29" s="67">
        <f t="shared" si="5"/>
        <v>1641.893</v>
      </c>
      <c r="AH29" s="39"/>
      <c r="AI29" s="56"/>
      <c r="AJ29" s="39"/>
      <c r="AK29" s="39"/>
      <c r="AL29" s="56"/>
      <c r="AM29" s="39"/>
      <c r="AN29" s="39" t="s">
        <v>283</v>
      </c>
    </row>
    <row r="30" spans="1:54">
      <c r="A30" s="27" t="s">
        <v>253</v>
      </c>
      <c r="B30" s="27" t="s">
        <v>207</v>
      </c>
      <c r="C30" s="27"/>
      <c r="D30" s="27" t="s">
        <v>115</v>
      </c>
      <c r="E30" s="27" t="s">
        <v>171</v>
      </c>
      <c r="F30" s="27"/>
      <c r="G30" s="27"/>
      <c r="H30" s="27"/>
      <c r="I30" s="30">
        <v>1516.67</v>
      </c>
      <c r="J30" s="27"/>
      <c r="K30" s="30">
        <f t="shared" si="0"/>
        <v>1516.67</v>
      </c>
      <c r="L30" s="30"/>
      <c r="M30" s="30"/>
      <c r="N30" s="30"/>
      <c r="O30" s="30"/>
      <c r="P30" s="32"/>
      <c r="Q30" s="33">
        <f t="shared" si="1"/>
        <v>1516.67</v>
      </c>
      <c r="R30" s="34"/>
      <c r="S30" s="45"/>
      <c r="T30" s="75">
        <v>200</v>
      </c>
      <c r="U30" s="45"/>
      <c r="V30" s="45"/>
      <c r="W30" s="45"/>
      <c r="X30" s="36"/>
      <c r="Y30" s="36"/>
      <c r="Z30" s="35"/>
      <c r="AA30" s="35">
        <v>0</v>
      </c>
      <c r="AB30" s="33">
        <f t="shared" si="12"/>
        <v>1316.67</v>
      </c>
      <c r="AC30" s="37">
        <f t="shared" si="6"/>
        <v>0</v>
      </c>
      <c r="AD30" s="33">
        <f t="shared" si="13"/>
        <v>1316.67</v>
      </c>
      <c r="AE30" s="38">
        <f t="shared" si="4"/>
        <v>151.667</v>
      </c>
      <c r="AF30" s="37">
        <v>10.23</v>
      </c>
      <c r="AG30" s="67">
        <f t="shared" si="5"/>
        <v>1678.567</v>
      </c>
      <c r="AH30" s="39"/>
      <c r="AI30" s="56"/>
      <c r="AJ30" s="39"/>
      <c r="AK30" s="39"/>
      <c r="AL30" s="56"/>
      <c r="AM30" s="39"/>
      <c r="AN30" s="39" t="s">
        <v>280</v>
      </c>
    </row>
    <row r="31" spans="1:54" s="40" customFormat="1">
      <c r="A31" s="62" t="s">
        <v>94</v>
      </c>
      <c r="B31" s="27" t="s">
        <v>231</v>
      </c>
      <c r="C31" s="27"/>
      <c r="D31" s="27" t="s">
        <v>130</v>
      </c>
      <c r="E31" s="27" t="s">
        <v>174</v>
      </c>
      <c r="F31" s="27"/>
      <c r="G31" s="28"/>
      <c r="H31" s="28"/>
      <c r="I31" s="30">
        <v>608.16</v>
      </c>
      <c r="J31" s="28"/>
      <c r="K31" s="30">
        <f t="shared" si="0"/>
        <v>608.16</v>
      </c>
      <c r="L31" s="30">
        <v>3595.22</v>
      </c>
      <c r="M31" s="30"/>
      <c r="N31" s="31"/>
      <c r="O31" s="31"/>
      <c r="P31" s="32"/>
      <c r="Q31" s="33">
        <f t="shared" si="1"/>
        <v>4203.38</v>
      </c>
      <c r="R31" s="34"/>
      <c r="S31" s="45"/>
      <c r="T31" s="75">
        <v>500</v>
      </c>
      <c r="U31" s="75">
        <f>Q31*4.9%</f>
        <v>205.96562</v>
      </c>
      <c r="V31" s="75">
        <f>Q31*1%</f>
        <v>42.033799999999999</v>
      </c>
      <c r="W31" s="45"/>
      <c r="X31" s="36"/>
      <c r="Y31" s="36"/>
      <c r="Z31" s="35"/>
      <c r="AA31" s="35">
        <v>0</v>
      </c>
      <c r="AB31" s="33">
        <f t="shared" si="12"/>
        <v>3455.38058</v>
      </c>
      <c r="AC31" s="37">
        <f t="shared" si="6"/>
        <v>0</v>
      </c>
      <c r="AD31" s="33">
        <f t="shared" si="13"/>
        <v>3455.38058</v>
      </c>
      <c r="AE31" s="38">
        <f t="shared" si="4"/>
        <v>420.33800000000002</v>
      </c>
      <c r="AF31" s="37">
        <v>10.23</v>
      </c>
      <c r="AG31" s="67">
        <f t="shared" si="5"/>
        <v>4633.9479999999994</v>
      </c>
      <c r="AH31" s="39"/>
      <c r="AI31" s="56"/>
      <c r="AJ31" s="39"/>
      <c r="AK31" s="39"/>
      <c r="AL31" s="56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</row>
    <row r="32" spans="1:54" s="40" customFormat="1">
      <c r="A32" s="62" t="s">
        <v>94</v>
      </c>
      <c r="B32" s="27" t="s">
        <v>229</v>
      </c>
      <c r="C32" s="27"/>
      <c r="D32" s="27" t="s">
        <v>131</v>
      </c>
      <c r="E32" s="27" t="s">
        <v>176</v>
      </c>
      <c r="F32" s="27"/>
      <c r="G32" s="28"/>
      <c r="H32" s="28"/>
      <c r="I32" s="30">
        <v>608.16</v>
      </c>
      <c r="J32" s="28"/>
      <c r="K32" s="30">
        <f t="shared" si="0"/>
        <v>608.16</v>
      </c>
      <c r="L32" s="30">
        <v>2998.94</v>
      </c>
      <c r="M32" s="30"/>
      <c r="N32" s="31"/>
      <c r="O32" s="31"/>
      <c r="P32" s="32"/>
      <c r="Q32" s="33">
        <f t="shared" si="1"/>
        <v>3607.1</v>
      </c>
      <c r="R32" s="34"/>
      <c r="S32" s="45"/>
      <c r="T32" s="75">
        <v>1000</v>
      </c>
      <c r="U32" s="75">
        <f>Q32*4.9%</f>
        <v>176.74790000000002</v>
      </c>
      <c r="V32" s="75">
        <f>Q32*1%</f>
        <v>36.070999999999998</v>
      </c>
      <c r="W32" s="45">
        <v>300</v>
      </c>
      <c r="X32" s="36"/>
      <c r="Y32" s="36"/>
      <c r="Z32" s="90"/>
      <c r="AA32" s="35">
        <v>0</v>
      </c>
      <c r="AB32" s="33">
        <f t="shared" si="12"/>
        <v>2094.2811000000002</v>
      </c>
      <c r="AC32" s="37">
        <f t="shared" si="6"/>
        <v>0</v>
      </c>
      <c r="AD32" s="33">
        <f t="shared" si="13"/>
        <v>2094.2811000000002</v>
      </c>
      <c r="AE32" s="38">
        <f t="shared" si="4"/>
        <v>360.71000000000004</v>
      </c>
      <c r="AF32" s="37">
        <v>10.23</v>
      </c>
      <c r="AG32" s="67">
        <f t="shared" si="5"/>
        <v>3978.04</v>
      </c>
      <c r="AH32" s="39"/>
      <c r="AI32" s="56"/>
      <c r="AJ32" s="39"/>
      <c r="AK32" s="39"/>
      <c r="AL32" s="56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</row>
    <row r="33" spans="1:54" s="40" customFormat="1">
      <c r="A33" s="27" t="s">
        <v>91</v>
      </c>
      <c r="B33" s="27" t="s">
        <v>236</v>
      </c>
      <c r="C33" s="27"/>
      <c r="D33" s="27" t="s">
        <v>98</v>
      </c>
      <c r="E33" s="27" t="s">
        <v>72</v>
      </c>
      <c r="F33" s="27"/>
      <c r="G33" s="27"/>
      <c r="H33" s="27"/>
      <c r="I33" s="30">
        <v>1166.26</v>
      </c>
      <c r="J33" s="29"/>
      <c r="K33" s="30">
        <f t="shared" si="0"/>
        <v>1166.26</v>
      </c>
      <c r="L33" s="30">
        <v>1218.03</v>
      </c>
      <c r="M33" s="30"/>
      <c r="N33" s="30"/>
      <c r="O33" s="30"/>
      <c r="P33" s="32"/>
      <c r="Q33" s="33">
        <f t="shared" si="1"/>
        <v>2384.29</v>
      </c>
      <c r="R33" s="34"/>
      <c r="S33" s="45"/>
      <c r="T33" s="45">
        <v>0</v>
      </c>
      <c r="U33" s="45"/>
      <c r="V33" s="45"/>
      <c r="W33" s="45"/>
      <c r="X33" s="36"/>
      <c r="Y33" s="36"/>
      <c r="Z33" s="35"/>
      <c r="AA33" s="35">
        <v>0</v>
      </c>
      <c r="AB33" s="33">
        <f t="shared" si="12"/>
        <v>2384.29</v>
      </c>
      <c r="AC33" s="37">
        <f t="shared" si="6"/>
        <v>0</v>
      </c>
      <c r="AD33" s="33">
        <f t="shared" si="13"/>
        <v>2384.29</v>
      </c>
      <c r="AE33" s="38">
        <f t="shared" si="4"/>
        <v>238.429</v>
      </c>
      <c r="AF33" s="37">
        <v>10.23</v>
      </c>
      <c r="AG33" s="67">
        <f t="shared" si="5"/>
        <v>2632.9490000000001</v>
      </c>
      <c r="AH33" s="39"/>
      <c r="AI33" s="56"/>
      <c r="AJ33" s="39"/>
      <c r="AK33" s="39"/>
      <c r="AL33" s="56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</row>
    <row r="34" spans="1:54" s="84" customFormat="1">
      <c r="A34" s="79" t="s">
        <v>92</v>
      </c>
      <c r="B34" s="79" t="s">
        <v>281</v>
      </c>
      <c r="C34" s="79"/>
      <c r="D34" s="79"/>
      <c r="E34" s="79" t="s">
        <v>167</v>
      </c>
      <c r="F34" s="87">
        <v>42422</v>
      </c>
      <c r="G34" s="79"/>
      <c r="H34" s="79"/>
      <c r="I34" s="80">
        <v>0</v>
      </c>
      <c r="J34" s="86">
        <v>475.39</v>
      </c>
      <c r="K34" s="80">
        <f t="shared" si="0"/>
        <v>475.39</v>
      </c>
      <c r="L34" s="80">
        <v>0</v>
      </c>
      <c r="M34" s="80"/>
      <c r="N34" s="80"/>
      <c r="O34" s="80"/>
      <c r="P34" s="81"/>
      <c r="Q34" s="82">
        <f t="shared" si="1"/>
        <v>475.39</v>
      </c>
      <c r="R34" s="80"/>
      <c r="S34" s="80"/>
      <c r="T34" s="80"/>
      <c r="U34" s="80"/>
      <c r="V34" s="80"/>
      <c r="W34" s="80"/>
      <c r="X34" s="83"/>
      <c r="Y34" s="83"/>
      <c r="Z34" s="79"/>
      <c r="AA34" s="79"/>
      <c r="AB34" s="82">
        <f t="shared" si="12"/>
        <v>475.39</v>
      </c>
      <c r="AC34" s="83">
        <f t="shared" si="6"/>
        <v>0</v>
      </c>
      <c r="AD34" s="82">
        <f t="shared" si="13"/>
        <v>475.39</v>
      </c>
      <c r="AE34" s="83">
        <f t="shared" si="4"/>
        <v>47.539000000000001</v>
      </c>
      <c r="AF34" s="83">
        <v>10.23</v>
      </c>
      <c r="AG34" s="82">
        <f t="shared" si="5"/>
        <v>533.15899999999999</v>
      </c>
      <c r="AI34" s="85"/>
      <c r="AL34" s="85"/>
      <c r="AM34" s="84">
        <v>1182316935</v>
      </c>
      <c r="AN34" s="78" t="s">
        <v>282</v>
      </c>
    </row>
    <row r="35" spans="1:54" s="39" customFormat="1">
      <c r="A35" s="63" t="s">
        <v>71</v>
      </c>
      <c r="B35" s="63" t="s">
        <v>204</v>
      </c>
      <c r="C35" s="63" t="s">
        <v>249</v>
      </c>
      <c r="D35" s="63"/>
      <c r="E35" s="63" t="s">
        <v>73</v>
      </c>
      <c r="F35" s="72">
        <v>42415</v>
      </c>
      <c r="G35" s="63"/>
      <c r="H35" s="63"/>
      <c r="I35" s="53">
        <v>513.33000000000004</v>
      </c>
      <c r="J35" s="74">
        <v>653.33000000000004</v>
      </c>
      <c r="K35" s="53">
        <f t="shared" si="0"/>
        <v>1166.6600000000001</v>
      </c>
      <c r="L35" s="53"/>
      <c r="M35" s="53"/>
      <c r="N35" s="53"/>
      <c r="O35" s="53"/>
      <c r="P35" s="73"/>
      <c r="Q35" s="33">
        <f t="shared" ref="Q35" si="14">SUM(K35:O35)-P35</f>
        <v>1166.6600000000001</v>
      </c>
      <c r="R35" s="34"/>
      <c r="S35" s="45"/>
      <c r="T35" s="45">
        <v>0</v>
      </c>
      <c r="U35" s="45"/>
      <c r="V35" s="45"/>
      <c r="W35" s="45"/>
      <c r="X35" s="36"/>
      <c r="Y35" s="36"/>
      <c r="Z35" s="35"/>
      <c r="AA35" s="35">
        <v>0</v>
      </c>
      <c r="AB35" s="33">
        <f t="shared" ref="AB35" si="15">+Q35-SUM(R35:AA35)</f>
        <v>1166.6600000000001</v>
      </c>
      <c r="AC35" s="37">
        <f t="shared" ref="AC35" si="16">IF(Q35&gt;4500,Q35*0.1,0)</f>
        <v>0</v>
      </c>
      <c r="AD35" s="33">
        <f t="shared" ref="AD35" si="17">+AB35-AC35</f>
        <v>1166.6600000000001</v>
      </c>
      <c r="AE35" s="38">
        <f t="shared" ref="AE35" si="18">IF(Q35&lt;4500,Q35*0.1,0)</f>
        <v>116.66600000000001</v>
      </c>
      <c r="AF35" s="37">
        <v>10.23</v>
      </c>
      <c r="AG35" s="67">
        <f t="shared" ref="AG35" si="19">+Q35+AE35+AF35</f>
        <v>1293.556</v>
      </c>
      <c r="AI35" s="56"/>
      <c r="AL35" s="56"/>
    </row>
    <row r="36" spans="1:54">
      <c r="A36" s="27" t="s">
        <v>71</v>
      </c>
      <c r="B36" s="27" t="s">
        <v>226</v>
      </c>
      <c r="C36" s="27" t="s">
        <v>249</v>
      </c>
      <c r="D36" s="27" t="s">
        <v>148</v>
      </c>
      <c r="E36" s="27" t="s">
        <v>73</v>
      </c>
      <c r="F36" s="27"/>
      <c r="G36" s="28"/>
      <c r="H36" s="28"/>
      <c r="I36" s="53">
        <v>513.33000000000004</v>
      </c>
      <c r="J36" s="28"/>
      <c r="K36" s="30">
        <f t="shared" si="0"/>
        <v>513.33000000000004</v>
      </c>
      <c r="L36" s="30">
        <f>479+10921.01</f>
        <v>11400.01</v>
      </c>
      <c r="M36" s="30"/>
      <c r="N36" s="31"/>
      <c r="O36" s="31"/>
      <c r="P36" s="32"/>
      <c r="Q36" s="33">
        <f t="shared" si="1"/>
        <v>11913.34</v>
      </c>
      <c r="R36" s="34"/>
      <c r="S36" s="45">
        <v>58.91</v>
      </c>
      <c r="T36" s="45">
        <v>0</v>
      </c>
      <c r="U36" s="45"/>
      <c r="V36" s="45"/>
      <c r="W36" s="45"/>
      <c r="X36" s="36"/>
      <c r="Y36" s="36"/>
      <c r="Z36" s="35"/>
      <c r="AA36" s="35">
        <v>349.07</v>
      </c>
      <c r="AB36" s="33">
        <f t="shared" si="12"/>
        <v>11505.36</v>
      </c>
      <c r="AC36" s="37">
        <f t="shared" si="6"/>
        <v>1191.3340000000001</v>
      </c>
      <c r="AD36" s="33">
        <f t="shared" si="13"/>
        <v>10314.026</v>
      </c>
      <c r="AE36" s="38">
        <f t="shared" si="4"/>
        <v>0</v>
      </c>
      <c r="AF36" s="37">
        <v>10.23</v>
      </c>
      <c r="AG36" s="67">
        <f t="shared" si="5"/>
        <v>11923.57</v>
      </c>
      <c r="AH36" s="39"/>
      <c r="AI36" s="56"/>
      <c r="AJ36" s="39"/>
      <c r="AK36" s="39"/>
      <c r="AL36" s="56"/>
      <c r="AM36" s="39"/>
      <c r="AN36" s="39"/>
    </row>
    <row r="37" spans="1:54">
      <c r="A37" s="27" t="s">
        <v>71</v>
      </c>
      <c r="B37" s="27" t="s">
        <v>223</v>
      </c>
      <c r="C37" s="27" t="s">
        <v>249</v>
      </c>
      <c r="D37" s="27" t="s">
        <v>149</v>
      </c>
      <c r="E37" s="27" t="s">
        <v>73</v>
      </c>
      <c r="F37" s="27"/>
      <c r="G37" s="28"/>
      <c r="H37" s="28"/>
      <c r="I37" s="53">
        <v>513.33000000000004</v>
      </c>
      <c r="J37" s="28"/>
      <c r="K37" s="30">
        <f t="shared" si="0"/>
        <v>513.33000000000004</v>
      </c>
      <c r="L37" s="30">
        <v>782.63</v>
      </c>
      <c r="M37" s="30"/>
      <c r="N37" s="31"/>
      <c r="O37" s="31"/>
      <c r="P37" s="32"/>
      <c r="Q37" s="33">
        <f t="shared" si="1"/>
        <v>1295.96</v>
      </c>
      <c r="R37" s="34"/>
      <c r="S37" s="45">
        <v>58.91</v>
      </c>
      <c r="T37" s="45">
        <v>0</v>
      </c>
      <c r="U37" s="45"/>
      <c r="V37" s="45"/>
      <c r="W37" s="45"/>
      <c r="X37" s="36"/>
      <c r="Y37" s="36"/>
      <c r="Z37" s="35"/>
      <c r="AA37" s="35">
        <v>0</v>
      </c>
      <c r="AB37" s="33">
        <f t="shared" si="12"/>
        <v>1237.05</v>
      </c>
      <c r="AC37" s="37">
        <f t="shared" si="6"/>
        <v>0</v>
      </c>
      <c r="AD37" s="33">
        <f t="shared" si="13"/>
        <v>1237.05</v>
      </c>
      <c r="AE37" s="38">
        <f t="shared" si="4"/>
        <v>129.596</v>
      </c>
      <c r="AF37" s="37">
        <v>10.23</v>
      </c>
      <c r="AG37" s="67">
        <f t="shared" si="5"/>
        <v>1435.7860000000001</v>
      </c>
      <c r="AH37" s="39"/>
      <c r="AI37" s="56"/>
      <c r="AJ37" s="39"/>
      <c r="AK37" s="39"/>
      <c r="AL37" s="56"/>
      <c r="AM37" s="39"/>
      <c r="AN37" s="39"/>
    </row>
    <row r="38" spans="1:54">
      <c r="A38" s="62" t="s">
        <v>92</v>
      </c>
      <c r="B38" s="27" t="s">
        <v>230</v>
      </c>
      <c r="C38" s="27"/>
      <c r="D38" s="27" t="s">
        <v>101</v>
      </c>
      <c r="E38" s="27" t="s">
        <v>162</v>
      </c>
      <c r="F38" s="27"/>
      <c r="G38" s="27"/>
      <c r="H38" s="27"/>
      <c r="I38" s="30">
        <v>739.23</v>
      </c>
      <c r="J38" s="27"/>
      <c r="K38" s="30">
        <f t="shared" si="0"/>
        <v>739.23</v>
      </c>
      <c r="L38" s="30">
        <v>1893.56</v>
      </c>
      <c r="M38" s="30"/>
      <c r="N38" s="30"/>
      <c r="O38" s="30"/>
      <c r="P38" s="32"/>
      <c r="Q38" s="33">
        <f t="shared" si="1"/>
        <v>2632.79</v>
      </c>
      <c r="R38" s="34"/>
      <c r="S38" s="45"/>
      <c r="T38" s="45">
        <v>0</v>
      </c>
      <c r="U38" s="45"/>
      <c r="V38" s="45"/>
      <c r="W38" s="45"/>
      <c r="X38" s="36"/>
      <c r="Y38" s="36"/>
      <c r="Z38" s="35"/>
      <c r="AA38" s="35">
        <v>0</v>
      </c>
      <c r="AB38" s="33">
        <f t="shared" si="12"/>
        <v>2632.79</v>
      </c>
      <c r="AC38" s="37">
        <f t="shared" si="6"/>
        <v>0</v>
      </c>
      <c r="AD38" s="33">
        <f t="shared" si="13"/>
        <v>2632.79</v>
      </c>
      <c r="AE38" s="38">
        <f t="shared" si="4"/>
        <v>263.279</v>
      </c>
      <c r="AF38" s="37">
        <v>10.23</v>
      </c>
      <c r="AG38" s="67">
        <f t="shared" si="5"/>
        <v>2906.299</v>
      </c>
      <c r="AH38" s="39"/>
      <c r="AI38" s="56"/>
      <c r="AJ38" s="39"/>
      <c r="AK38" s="39"/>
      <c r="AL38" s="56"/>
      <c r="AM38" s="39"/>
      <c r="AN38" s="39"/>
    </row>
    <row r="39" spans="1:54">
      <c r="A39" s="27" t="s">
        <v>71</v>
      </c>
      <c r="B39" s="27" t="s">
        <v>224</v>
      </c>
      <c r="C39" s="27" t="s">
        <v>251</v>
      </c>
      <c r="D39" s="27" t="s">
        <v>150</v>
      </c>
      <c r="E39" s="27" t="s">
        <v>73</v>
      </c>
      <c r="F39" s="27"/>
      <c r="G39" s="28"/>
      <c r="H39" s="28"/>
      <c r="I39" s="53">
        <v>513.33000000000004</v>
      </c>
      <c r="J39" s="28"/>
      <c r="K39" s="30">
        <f t="shared" ref="K39:K71" si="20">+I39+J39</f>
        <v>513.33000000000004</v>
      </c>
      <c r="L39" s="30">
        <f>182.34+5581.29</f>
        <v>5763.63</v>
      </c>
      <c r="M39" s="30"/>
      <c r="N39" s="31"/>
      <c r="O39" s="31"/>
      <c r="P39" s="32"/>
      <c r="Q39" s="33">
        <f t="shared" ref="Q39:Q71" si="21">SUM(K39:O39)-P39</f>
        <v>6276.96</v>
      </c>
      <c r="R39" s="34"/>
      <c r="S39" s="45">
        <v>58.91</v>
      </c>
      <c r="T39" s="45">
        <v>0</v>
      </c>
      <c r="U39" s="45"/>
      <c r="V39" s="45"/>
      <c r="W39" s="45"/>
      <c r="X39" s="36"/>
      <c r="Y39" s="36"/>
      <c r="Z39" s="35"/>
      <c r="AA39" s="35">
        <v>0</v>
      </c>
      <c r="AB39" s="33">
        <f t="shared" si="12"/>
        <v>6218.05</v>
      </c>
      <c r="AC39" s="37">
        <f t="shared" si="6"/>
        <v>627.69600000000003</v>
      </c>
      <c r="AD39" s="33">
        <f t="shared" si="13"/>
        <v>5590.3540000000003</v>
      </c>
      <c r="AE39" s="38">
        <f t="shared" ref="AE39:AE72" si="22">IF(Q39&lt;4500,Q39*0.1,0)</f>
        <v>0</v>
      </c>
      <c r="AF39" s="37">
        <v>10.23</v>
      </c>
      <c r="AG39" s="67">
        <f t="shared" ref="AG39:AG72" si="23">+Q39+AE39+AF39</f>
        <v>6287.19</v>
      </c>
      <c r="AH39" s="39"/>
      <c r="AI39" s="56"/>
      <c r="AJ39" s="39"/>
      <c r="AK39" s="39"/>
      <c r="AL39" s="56"/>
      <c r="AM39" s="39"/>
      <c r="AN39" s="39"/>
    </row>
    <row r="40" spans="1:54">
      <c r="A40" s="27" t="s">
        <v>71</v>
      </c>
      <c r="B40" s="27" t="s">
        <v>255</v>
      </c>
      <c r="C40" s="27" t="s">
        <v>254</v>
      </c>
      <c r="D40" s="27" t="s">
        <v>151</v>
      </c>
      <c r="E40" s="27" t="s">
        <v>73</v>
      </c>
      <c r="F40" s="27"/>
      <c r="G40" s="28"/>
      <c r="H40" s="28"/>
      <c r="I40" s="30">
        <v>513.33000000000004</v>
      </c>
      <c r="J40" s="28"/>
      <c r="K40" s="30">
        <f t="shared" si="20"/>
        <v>513.33000000000004</v>
      </c>
      <c r="L40" s="30">
        <f>513.33+7214.56+1000</f>
        <v>8727.89</v>
      </c>
      <c r="M40" s="30"/>
      <c r="N40" s="31"/>
      <c r="O40" s="31"/>
      <c r="P40" s="32"/>
      <c r="Q40" s="33">
        <f t="shared" si="21"/>
        <v>9241.2199999999993</v>
      </c>
      <c r="R40" s="34"/>
      <c r="S40" s="45"/>
      <c r="T40" s="45">
        <v>0</v>
      </c>
      <c r="U40" s="45"/>
      <c r="V40" s="45"/>
      <c r="W40" s="45"/>
      <c r="X40" s="36"/>
      <c r="Y40" s="36"/>
      <c r="Z40" s="35"/>
      <c r="AA40" s="35">
        <v>208.6</v>
      </c>
      <c r="AB40" s="33">
        <f t="shared" si="12"/>
        <v>9032.619999999999</v>
      </c>
      <c r="AC40" s="37">
        <f t="shared" si="6"/>
        <v>924.12199999999996</v>
      </c>
      <c r="AD40" s="33">
        <f t="shared" si="13"/>
        <v>8108.4979999999987</v>
      </c>
      <c r="AE40" s="38">
        <f t="shared" si="22"/>
        <v>0</v>
      </c>
      <c r="AF40" s="37">
        <v>10.23</v>
      </c>
      <c r="AG40" s="67">
        <f t="shared" si="23"/>
        <v>9251.4499999999989</v>
      </c>
      <c r="AH40" s="39"/>
      <c r="AI40" s="56"/>
      <c r="AJ40" s="39"/>
      <c r="AK40" s="39"/>
      <c r="AL40" s="56"/>
      <c r="AM40" s="39"/>
      <c r="AN40" s="39"/>
    </row>
    <row r="41" spans="1:54">
      <c r="A41" s="27" t="s">
        <v>70</v>
      </c>
      <c r="B41" s="27" t="s">
        <v>84</v>
      </c>
      <c r="C41" s="27" t="s">
        <v>248</v>
      </c>
      <c r="D41" s="27" t="s">
        <v>123</v>
      </c>
      <c r="E41" s="27" t="s">
        <v>173</v>
      </c>
      <c r="F41" s="27"/>
      <c r="G41" s="28"/>
      <c r="H41" s="28"/>
      <c r="I41" s="30">
        <v>513.33000000000004</v>
      </c>
      <c r="J41" s="28"/>
      <c r="K41" s="30">
        <f t="shared" si="20"/>
        <v>513.33000000000004</v>
      </c>
      <c r="L41" s="30"/>
      <c r="M41" s="30">
        <v>56.63</v>
      </c>
      <c r="N41" s="31"/>
      <c r="O41" s="31"/>
      <c r="P41" s="32"/>
      <c r="Q41" s="33">
        <f t="shared" si="21"/>
        <v>569.96</v>
      </c>
      <c r="R41" s="34"/>
      <c r="S41" s="45">
        <v>58.91</v>
      </c>
      <c r="T41" s="45">
        <v>0</v>
      </c>
      <c r="U41" s="45"/>
      <c r="V41" s="45"/>
      <c r="W41" s="45"/>
      <c r="X41" s="36"/>
      <c r="Y41" s="36"/>
      <c r="Z41" s="35"/>
      <c r="AA41" s="35">
        <v>0</v>
      </c>
      <c r="AB41" s="33">
        <f t="shared" si="12"/>
        <v>511.05000000000007</v>
      </c>
      <c r="AC41" s="37">
        <f t="shared" si="6"/>
        <v>0</v>
      </c>
      <c r="AD41" s="33">
        <f t="shared" si="13"/>
        <v>511.05000000000007</v>
      </c>
      <c r="AE41" s="38">
        <f t="shared" si="22"/>
        <v>56.996000000000009</v>
      </c>
      <c r="AF41" s="37">
        <v>10.23</v>
      </c>
      <c r="AG41" s="67">
        <f t="shared" si="23"/>
        <v>637.18600000000004</v>
      </c>
      <c r="AH41" s="39"/>
      <c r="AI41" s="56"/>
      <c r="AJ41" s="39"/>
      <c r="AK41" s="39"/>
      <c r="AL41" s="56"/>
      <c r="AM41" s="39"/>
      <c r="AN41" s="39"/>
    </row>
    <row r="42" spans="1:54">
      <c r="A42" s="27" t="s">
        <v>71</v>
      </c>
      <c r="B42" s="27" t="s">
        <v>256</v>
      </c>
      <c r="C42" s="27" t="s">
        <v>254</v>
      </c>
      <c r="D42" s="27" t="s">
        <v>152</v>
      </c>
      <c r="E42" s="27" t="s">
        <v>73</v>
      </c>
      <c r="F42" s="27"/>
      <c r="G42" s="28"/>
      <c r="H42" s="28"/>
      <c r="I42" s="30">
        <v>513.33000000000004</v>
      </c>
      <c r="J42" s="28"/>
      <c r="K42" s="30">
        <f t="shared" si="20"/>
        <v>513.33000000000004</v>
      </c>
      <c r="L42" s="30">
        <f>513.33+3459.51+1000</f>
        <v>4972.84</v>
      </c>
      <c r="M42" s="30"/>
      <c r="N42" s="31"/>
      <c r="O42" s="31"/>
      <c r="P42" s="32"/>
      <c r="Q42" s="33">
        <f t="shared" si="21"/>
        <v>5486.17</v>
      </c>
      <c r="R42" s="34"/>
      <c r="S42" s="45"/>
      <c r="T42" s="45">
        <v>0</v>
      </c>
      <c r="U42" s="45"/>
      <c r="V42" s="45"/>
      <c r="W42" s="45"/>
      <c r="X42" s="36"/>
      <c r="Y42" s="36"/>
      <c r="Z42" s="35"/>
      <c r="AA42" s="35">
        <v>0</v>
      </c>
      <c r="AB42" s="33">
        <f t="shared" si="12"/>
        <v>5486.17</v>
      </c>
      <c r="AC42" s="37">
        <f t="shared" si="6"/>
        <v>548.61700000000008</v>
      </c>
      <c r="AD42" s="33">
        <f t="shared" si="13"/>
        <v>4937.5529999999999</v>
      </c>
      <c r="AE42" s="38">
        <f t="shared" si="22"/>
        <v>0</v>
      </c>
      <c r="AF42" s="37">
        <v>10.23</v>
      </c>
      <c r="AG42" s="67">
        <f t="shared" si="23"/>
        <v>5496.4</v>
      </c>
      <c r="AH42" s="39"/>
      <c r="AI42" s="56"/>
      <c r="AJ42" s="39"/>
      <c r="AK42" s="39"/>
      <c r="AL42" s="56"/>
      <c r="AM42" s="39"/>
      <c r="AN42" s="39"/>
    </row>
    <row r="43" spans="1:54">
      <c r="A43" s="27" t="s">
        <v>91</v>
      </c>
      <c r="B43" s="27" t="s">
        <v>81</v>
      </c>
      <c r="C43" s="27"/>
      <c r="D43" s="27" t="s">
        <v>116</v>
      </c>
      <c r="E43" s="27" t="s">
        <v>172</v>
      </c>
      <c r="F43" s="27"/>
      <c r="G43" s="27"/>
      <c r="H43" s="27"/>
      <c r="I43" s="30">
        <v>1633.33</v>
      </c>
      <c r="J43" s="27"/>
      <c r="K43" s="30">
        <f t="shared" si="20"/>
        <v>1633.33</v>
      </c>
      <c r="L43" s="30"/>
      <c r="M43" s="30"/>
      <c r="N43" s="30"/>
      <c r="O43" s="30"/>
      <c r="P43" s="32"/>
      <c r="Q43" s="33">
        <f t="shared" si="21"/>
        <v>1633.33</v>
      </c>
      <c r="R43" s="34"/>
      <c r="S43" s="45"/>
      <c r="T43" s="45">
        <v>0</v>
      </c>
      <c r="U43" s="45"/>
      <c r="V43" s="45"/>
      <c r="W43" s="45"/>
      <c r="X43" s="36"/>
      <c r="Y43" s="36"/>
      <c r="Z43" s="35"/>
      <c r="AA43" s="35">
        <v>0</v>
      </c>
      <c r="AB43" s="33">
        <f t="shared" si="12"/>
        <v>1633.33</v>
      </c>
      <c r="AC43" s="37">
        <f t="shared" ref="AC43:AC75" si="24">IF(Q43&gt;4500,Q43*0.1,0)</f>
        <v>0</v>
      </c>
      <c r="AD43" s="33">
        <f t="shared" si="13"/>
        <v>1633.33</v>
      </c>
      <c r="AE43" s="38">
        <f t="shared" si="22"/>
        <v>163.333</v>
      </c>
      <c r="AF43" s="37">
        <v>10.23</v>
      </c>
      <c r="AG43" s="67">
        <f t="shared" si="23"/>
        <v>1806.893</v>
      </c>
      <c r="AH43" s="39"/>
      <c r="AI43" s="56"/>
      <c r="AJ43" s="39"/>
      <c r="AK43" s="39"/>
      <c r="AL43" s="56"/>
      <c r="AM43" s="39"/>
      <c r="AN43" s="39"/>
    </row>
    <row r="44" spans="1:54">
      <c r="A44" s="27" t="s">
        <v>71</v>
      </c>
      <c r="B44" s="27" t="s">
        <v>262</v>
      </c>
      <c r="C44" s="27"/>
      <c r="D44" s="27" t="s">
        <v>154</v>
      </c>
      <c r="E44" s="27" t="s">
        <v>73</v>
      </c>
      <c r="F44" s="27"/>
      <c r="G44" s="28"/>
      <c r="H44" s="28"/>
      <c r="I44" s="30">
        <v>513.33000000000004</v>
      </c>
      <c r="J44" s="28"/>
      <c r="K44" s="30">
        <f t="shared" si="20"/>
        <v>513.33000000000004</v>
      </c>
      <c r="L44" s="30">
        <f>513.33+14319.74</f>
        <v>14833.07</v>
      </c>
      <c r="M44" s="30"/>
      <c r="N44" s="31"/>
      <c r="O44" s="31"/>
      <c r="P44" s="32"/>
      <c r="Q44" s="33">
        <f t="shared" si="21"/>
        <v>15346.4</v>
      </c>
      <c r="R44" s="34"/>
      <c r="S44" s="45"/>
      <c r="T44" s="45">
        <v>0</v>
      </c>
      <c r="U44" s="45"/>
      <c r="V44" s="45"/>
      <c r="W44" s="45"/>
      <c r="X44" s="36"/>
      <c r="Y44" s="36"/>
      <c r="Z44" s="35"/>
      <c r="AA44" s="35">
        <v>0</v>
      </c>
      <c r="AB44" s="33">
        <f t="shared" si="12"/>
        <v>15346.4</v>
      </c>
      <c r="AC44" s="37">
        <f t="shared" si="24"/>
        <v>1534.64</v>
      </c>
      <c r="AD44" s="33">
        <f t="shared" si="13"/>
        <v>13811.76</v>
      </c>
      <c r="AE44" s="38">
        <f t="shared" si="22"/>
        <v>0</v>
      </c>
      <c r="AF44" s="37">
        <v>10.23</v>
      </c>
      <c r="AG44" s="67">
        <f t="shared" si="23"/>
        <v>15356.63</v>
      </c>
      <c r="AH44" s="39"/>
      <c r="AI44" s="56"/>
      <c r="AJ44" s="39"/>
      <c r="AK44" s="39"/>
      <c r="AL44" s="56"/>
      <c r="AM44" s="39"/>
      <c r="AN44" s="39"/>
    </row>
    <row r="45" spans="1:54" s="61" customFormat="1">
      <c r="A45" s="57" t="s">
        <v>93</v>
      </c>
      <c r="B45" s="57" t="s">
        <v>200</v>
      </c>
      <c r="C45" s="57"/>
      <c r="D45" s="57"/>
      <c r="E45" s="57" t="s">
        <v>171</v>
      </c>
      <c r="F45" s="98">
        <v>42413</v>
      </c>
      <c r="G45" s="57"/>
      <c r="H45" s="57"/>
      <c r="I45" s="58">
        <v>1400</v>
      </c>
      <c r="J45" s="57"/>
      <c r="K45" s="58">
        <f t="shared" si="20"/>
        <v>1400</v>
      </c>
      <c r="L45" s="58"/>
      <c r="M45" s="58"/>
      <c r="N45" s="58"/>
      <c r="O45" s="58"/>
      <c r="P45" s="92"/>
      <c r="Q45" s="59">
        <f t="shared" si="21"/>
        <v>1400</v>
      </c>
      <c r="R45" s="58"/>
      <c r="S45" s="58"/>
      <c r="T45" s="58"/>
      <c r="U45" s="58"/>
      <c r="V45" s="58"/>
      <c r="W45" s="58"/>
      <c r="X45" s="60"/>
      <c r="Y45" s="60"/>
      <c r="Z45" s="57"/>
      <c r="AA45" s="57"/>
      <c r="AB45" s="59">
        <f t="shared" si="12"/>
        <v>1400</v>
      </c>
      <c r="AC45" s="60">
        <f t="shared" si="24"/>
        <v>0</v>
      </c>
      <c r="AD45" s="59">
        <f t="shared" ref="AD45:AD76" si="25">+AB45-AC45</f>
        <v>1400</v>
      </c>
      <c r="AE45" s="60">
        <f t="shared" si="22"/>
        <v>140</v>
      </c>
      <c r="AF45" s="60">
        <v>10.23</v>
      </c>
      <c r="AG45" s="59">
        <f t="shared" si="23"/>
        <v>1550.23</v>
      </c>
      <c r="AI45" s="93"/>
      <c r="AL45" s="93"/>
      <c r="AM45" s="61" t="s">
        <v>289</v>
      </c>
    </row>
    <row r="46" spans="1:54">
      <c r="A46" s="62" t="s">
        <v>94</v>
      </c>
      <c r="B46" s="27" t="s">
        <v>192</v>
      </c>
      <c r="C46" s="27"/>
      <c r="D46" s="27" t="s">
        <v>132</v>
      </c>
      <c r="E46" s="27" t="s">
        <v>174</v>
      </c>
      <c r="F46" s="27"/>
      <c r="G46" s="28"/>
      <c r="H46" s="28"/>
      <c r="I46" s="30">
        <v>608.16</v>
      </c>
      <c r="J46" s="28"/>
      <c r="K46" s="30">
        <f t="shared" si="20"/>
        <v>608.16</v>
      </c>
      <c r="L46" s="30">
        <v>309.60000000000002</v>
      </c>
      <c r="M46" s="30"/>
      <c r="N46" s="31"/>
      <c r="O46" s="31"/>
      <c r="P46" s="32"/>
      <c r="Q46" s="33">
        <f t="shared" si="21"/>
        <v>917.76</v>
      </c>
      <c r="R46" s="34"/>
      <c r="S46" s="45"/>
      <c r="T46" s="75">
        <v>100</v>
      </c>
      <c r="U46" s="75">
        <f>Q46*4.9%</f>
        <v>44.970240000000004</v>
      </c>
      <c r="V46" s="75">
        <f>Q46*1%</f>
        <v>9.1776</v>
      </c>
      <c r="W46" s="45"/>
      <c r="X46" s="36"/>
      <c r="Y46" s="36"/>
      <c r="Z46" s="35"/>
      <c r="AA46" s="35">
        <v>0</v>
      </c>
      <c r="AB46" s="33">
        <f t="shared" ref="AB46:AB78" si="26">+Q46-SUM(R46:AA46)</f>
        <v>763.61216000000002</v>
      </c>
      <c r="AC46" s="37">
        <f t="shared" si="24"/>
        <v>0</v>
      </c>
      <c r="AD46" s="33">
        <f t="shared" si="25"/>
        <v>763.61216000000002</v>
      </c>
      <c r="AE46" s="38">
        <f t="shared" si="22"/>
        <v>91.77600000000001</v>
      </c>
      <c r="AF46" s="37">
        <v>10.23</v>
      </c>
      <c r="AG46" s="67">
        <f t="shared" si="23"/>
        <v>1019.7660000000001</v>
      </c>
      <c r="AH46" s="39"/>
      <c r="AI46" s="56"/>
      <c r="AJ46" s="39"/>
      <c r="AK46" s="39"/>
      <c r="AL46" s="56"/>
      <c r="AM46" s="39"/>
      <c r="AN46" s="39"/>
    </row>
    <row r="47" spans="1:54" s="61" customFormat="1">
      <c r="A47" s="57" t="s">
        <v>91</v>
      </c>
      <c r="B47" s="57" t="s">
        <v>264</v>
      </c>
      <c r="C47" s="57"/>
      <c r="D47" s="57" t="s">
        <v>265</v>
      </c>
      <c r="E47" s="57" t="s">
        <v>174</v>
      </c>
      <c r="F47" s="57"/>
      <c r="G47" s="57"/>
      <c r="H47" s="57"/>
      <c r="I47" s="58">
        <v>608.16</v>
      </c>
      <c r="J47" s="57"/>
      <c r="K47" s="58">
        <f t="shared" si="20"/>
        <v>608.16</v>
      </c>
      <c r="L47" s="58">
        <v>801.03</v>
      </c>
      <c r="M47" s="58"/>
      <c r="N47" s="58"/>
      <c r="O47" s="58"/>
      <c r="P47" s="92"/>
      <c r="Q47" s="59">
        <f t="shared" si="21"/>
        <v>1409.19</v>
      </c>
      <c r="R47" s="58"/>
      <c r="S47" s="58"/>
      <c r="T47" s="58"/>
      <c r="U47" s="58"/>
      <c r="V47" s="58"/>
      <c r="W47" s="58"/>
      <c r="X47" s="60"/>
      <c r="Y47" s="60"/>
      <c r="Z47" s="57"/>
      <c r="AA47" s="57"/>
      <c r="AB47" s="59">
        <f t="shared" si="26"/>
        <v>1409.19</v>
      </c>
      <c r="AC47" s="60">
        <f t="shared" si="24"/>
        <v>0</v>
      </c>
      <c r="AD47" s="59">
        <f t="shared" si="25"/>
        <v>1409.19</v>
      </c>
      <c r="AE47" s="60">
        <f t="shared" si="22"/>
        <v>140.91900000000001</v>
      </c>
      <c r="AF47" s="60">
        <v>10.23</v>
      </c>
      <c r="AG47" s="59">
        <f t="shared" si="23"/>
        <v>1560.3390000000002</v>
      </c>
      <c r="AI47" s="93"/>
      <c r="AL47" s="93"/>
      <c r="AM47" s="61">
        <v>2948910731</v>
      </c>
      <c r="AN47" s="94" t="s">
        <v>284</v>
      </c>
    </row>
    <row r="48" spans="1:54">
      <c r="A48" s="62" t="s">
        <v>94</v>
      </c>
      <c r="B48" s="27" t="s">
        <v>194</v>
      </c>
      <c r="C48" s="27"/>
      <c r="D48" s="27" t="s">
        <v>133</v>
      </c>
      <c r="E48" s="27" t="s">
        <v>177</v>
      </c>
      <c r="F48" s="27"/>
      <c r="G48" s="28"/>
      <c r="H48" s="28"/>
      <c r="I48" s="30">
        <v>608.16</v>
      </c>
      <c r="J48" s="28"/>
      <c r="K48" s="30">
        <f t="shared" si="20"/>
        <v>608.16</v>
      </c>
      <c r="L48" s="30">
        <v>1886.62</v>
      </c>
      <c r="M48" s="30"/>
      <c r="N48" s="31"/>
      <c r="O48" s="31"/>
      <c r="P48" s="32"/>
      <c r="Q48" s="33">
        <f t="shared" si="21"/>
        <v>2494.7799999999997</v>
      </c>
      <c r="R48" s="34"/>
      <c r="S48" s="45"/>
      <c r="T48" s="45"/>
      <c r="U48" s="75">
        <f>Q48*4.9%</f>
        <v>122.24422</v>
      </c>
      <c r="V48" s="75">
        <f>Q48*1%</f>
        <v>24.947799999999997</v>
      </c>
      <c r="W48" s="45"/>
      <c r="X48" s="36"/>
      <c r="Y48" s="36"/>
      <c r="Z48" s="35"/>
      <c r="AA48" s="35">
        <v>0</v>
      </c>
      <c r="AB48" s="33">
        <f t="shared" si="26"/>
        <v>2347.5879799999998</v>
      </c>
      <c r="AC48" s="37">
        <f t="shared" si="24"/>
        <v>0</v>
      </c>
      <c r="AD48" s="33">
        <f t="shared" si="25"/>
        <v>2347.5879799999998</v>
      </c>
      <c r="AE48" s="38">
        <f t="shared" si="22"/>
        <v>249.47799999999998</v>
      </c>
      <c r="AF48" s="37">
        <v>10.23</v>
      </c>
      <c r="AG48" s="67">
        <f t="shared" si="23"/>
        <v>2754.4879999999998</v>
      </c>
      <c r="AH48" s="39"/>
      <c r="AI48" s="56"/>
      <c r="AJ48" s="39"/>
      <c r="AK48" s="39"/>
      <c r="AL48" s="56"/>
      <c r="AM48" s="39"/>
      <c r="AN48" s="39"/>
    </row>
    <row r="49" spans="1:54">
      <c r="A49" s="62" t="s">
        <v>92</v>
      </c>
      <c r="B49" s="27" t="s">
        <v>233</v>
      </c>
      <c r="C49" s="27"/>
      <c r="D49" s="27" t="s">
        <v>102</v>
      </c>
      <c r="E49" s="27" t="s">
        <v>163</v>
      </c>
      <c r="F49" s="27"/>
      <c r="G49" s="27"/>
      <c r="H49" s="27"/>
      <c r="I49" s="30">
        <v>739.23</v>
      </c>
      <c r="J49" s="27"/>
      <c r="K49" s="30">
        <f t="shared" si="20"/>
        <v>739.23</v>
      </c>
      <c r="L49" s="30">
        <v>2866.06</v>
      </c>
      <c r="M49" s="30"/>
      <c r="N49" s="30"/>
      <c r="O49" s="30"/>
      <c r="P49" s="32"/>
      <c r="Q49" s="33">
        <f t="shared" si="21"/>
        <v>3605.29</v>
      </c>
      <c r="R49" s="34"/>
      <c r="S49" s="45"/>
      <c r="T49" s="45">
        <v>0</v>
      </c>
      <c r="U49" s="45"/>
      <c r="V49" s="45"/>
      <c r="W49" s="45"/>
      <c r="X49" s="36"/>
      <c r="Y49" s="36"/>
      <c r="Z49" s="35"/>
      <c r="AA49" s="35">
        <v>0</v>
      </c>
      <c r="AB49" s="33">
        <f t="shared" si="26"/>
        <v>3605.29</v>
      </c>
      <c r="AC49" s="37">
        <f t="shared" si="24"/>
        <v>0</v>
      </c>
      <c r="AD49" s="33">
        <f t="shared" si="25"/>
        <v>3605.29</v>
      </c>
      <c r="AE49" s="38">
        <f t="shared" si="22"/>
        <v>360.529</v>
      </c>
      <c r="AF49" s="37">
        <v>10.23</v>
      </c>
      <c r="AG49" s="67">
        <f t="shared" si="23"/>
        <v>3976.049</v>
      </c>
      <c r="AH49" s="39"/>
      <c r="AI49" s="56"/>
      <c r="AJ49" s="39"/>
      <c r="AK49" s="39"/>
      <c r="AL49" s="56"/>
      <c r="AM49" s="39"/>
      <c r="AN49" s="39"/>
    </row>
    <row r="50" spans="1:54" s="61" customFormat="1">
      <c r="A50" s="62" t="s">
        <v>94</v>
      </c>
      <c r="B50" s="63" t="s">
        <v>202</v>
      </c>
      <c r="C50" s="63"/>
      <c r="D50" s="63"/>
      <c r="E50" s="63" t="s">
        <v>163</v>
      </c>
      <c r="F50" s="72">
        <v>42416</v>
      </c>
      <c r="G50" s="63"/>
      <c r="H50" s="63"/>
      <c r="I50" s="53">
        <v>739.23</v>
      </c>
      <c r="J50" s="63"/>
      <c r="K50" s="53">
        <f t="shared" si="20"/>
        <v>739.23</v>
      </c>
      <c r="L50" s="53">
        <v>2438.48</v>
      </c>
      <c r="M50" s="53"/>
      <c r="N50" s="53"/>
      <c r="O50" s="53"/>
      <c r="P50" s="73"/>
      <c r="Q50" s="59">
        <f t="shared" si="21"/>
        <v>3177.71</v>
      </c>
      <c r="R50" s="58"/>
      <c r="S50" s="45"/>
      <c r="T50" s="58"/>
      <c r="U50" s="58"/>
      <c r="V50" s="58">
        <f>Q50*1%</f>
        <v>31.777100000000001</v>
      </c>
      <c r="W50" s="58"/>
      <c r="X50" s="60"/>
      <c r="Y50" s="60"/>
      <c r="Z50" s="57"/>
      <c r="AA50" s="57"/>
      <c r="AB50" s="59">
        <f t="shared" si="26"/>
        <v>3145.9329000000002</v>
      </c>
      <c r="AC50" s="60">
        <f t="shared" si="24"/>
        <v>0</v>
      </c>
      <c r="AD50" s="59">
        <f t="shared" si="25"/>
        <v>3145.9329000000002</v>
      </c>
      <c r="AE50" s="60">
        <f t="shared" si="22"/>
        <v>317.77100000000002</v>
      </c>
      <c r="AF50" s="37">
        <v>10.23</v>
      </c>
      <c r="AG50" s="67">
        <f t="shared" si="23"/>
        <v>3505.7110000000002</v>
      </c>
      <c r="AH50" s="39"/>
      <c r="AI50" s="56"/>
      <c r="AJ50" s="39"/>
      <c r="AK50" s="39"/>
      <c r="AL50" s="56"/>
      <c r="AM50" s="39">
        <v>1296641458</v>
      </c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</row>
    <row r="51" spans="1:54">
      <c r="A51" s="27" t="s">
        <v>71</v>
      </c>
      <c r="B51" s="27" t="s">
        <v>88</v>
      </c>
      <c r="C51" s="27" t="s">
        <v>254</v>
      </c>
      <c r="D51" s="27" t="s">
        <v>153</v>
      </c>
      <c r="E51" s="27" t="s">
        <v>73</v>
      </c>
      <c r="F51" s="27"/>
      <c r="G51" s="28"/>
      <c r="H51" s="28"/>
      <c r="I51" s="30">
        <v>513.33000000000004</v>
      </c>
      <c r="J51" s="28"/>
      <c r="K51" s="30">
        <f t="shared" si="20"/>
        <v>513.33000000000004</v>
      </c>
      <c r="L51" s="30">
        <f>513.33+20087.68</f>
        <v>20601.010000000002</v>
      </c>
      <c r="M51" s="30"/>
      <c r="N51" s="31"/>
      <c r="O51" s="31"/>
      <c r="P51" s="32"/>
      <c r="Q51" s="33">
        <f t="shared" si="21"/>
        <v>21114.340000000004</v>
      </c>
      <c r="R51" s="34"/>
      <c r="S51" s="45">
        <v>58.91</v>
      </c>
      <c r="T51" s="45">
        <v>0</v>
      </c>
      <c r="U51" s="45"/>
      <c r="V51" s="45"/>
      <c r="W51" s="45"/>
      <c r="X51" s="36"/>
      <c r="Y51" s="36"/>
      <c r="Z51" s="35"/>
      <c r="AA51" s="35">
        <v>0</v>
      </c>
      <c r="AB51" s="33">
        <f t="shared" si="26"/>
        <v>21055.430000000004</v>
      </c>
      <c r="AC51" s="37">
        <f t="shared" si="24"/>
        <v>2111.4340000000007</v>
      </c>
      <c r="AD51" s="33">
        <f t="shared" si="25"/>
        <v>18943.996000000003</v>
      </c>
      <c r="AE51" s="38">
        <f t="shared" si="22"/>
        <v>0</v>
      </c>
      <c r="AF51" s="37">
        <v>10.23</v>
      </c>
      <c r="AG51" s="67">
        <f t="shared" si="23"/>
        <v>21124.570000000003</v>
      </c>
      <c r="AH51" s="39"/>
      <c r="AI51" s="56"/>
      <c r="AJ51" s="39"/>
      <c r="AK51" s="39"/>
      <c r="AL51" s="56"/>
      <c r="AM51" s="39"/>
      <c r="AN51" s="39"/>
    </row>
    <row r="52" spans="1:54">
      <c r="A52" s="27" t="s">
        <v>71</v>
      </c>
      <c r="B52" s="27" t="s">
        <v>221</v>
      </c>
      <c r="C52" s="27" t="s">
        <v>251</v>
      </c>
      <c r="D52" s="27">
        <v>30</v>
      </c>
      <c r="E52" s="27" t="s">
        <v>73</v>
      </c>
      <c r="F52" s="27"/>
      <c r="G52" s="28"/>
      <c r="H52" s="28"/>
      <c r="I52" s="53">
        <v>513.33000000000004</v>
      </c>
      <c r="J52" s="28"/>
      <c r="K52" s="30">
        <f t="shared" si="20"/>
        <v>513.33000000000004</v>
      </c>
      <c r="L52" s="30">
        <f>148.48+9126.81</f>
        <v>9275.2899999999991</v>
      </c>
      <c r="M52" s="30"/>
      <c r="N52" s="31"/>
      <c r="O52" s="31"/>
      <c r="P52" s="32"/>
      <c r="Q52" s="33">
        <f t="shared" si="21"/>
        <v>9788.619999999999</v>
      </c>
      <c r="R52" s="34"/>
      <c r="S52" s="45"/>
      <c r="T52" s="45">
        <v>0</v>
      </c>
      <c r="U52" s="45"/>
      <c r="V52" s="45"/>
      <c r="W52" s="45"/>
      <c r="X52" s="36"/>
      <c r="Y52" s="36"/>
      <c r="Z52" s="35"/>
      <c r="AA52" s="35">
        <v>0</v>
      </c>
      <c r="AB52" s="33">
        <f t="shared" si="26"/>
        <v>9788.619999999999</v>
      </c>
      <c r="AC52" s="37">
        <f t="shared" si="24"/>
        <v>978.86199999999997</v>
      </c>
      <c r="AD52" s="33">
        <f t="shared" si="25"/>
        <v>8809.7579999999998</v>
      </c>
      <c r="AE52" s="38">
        <f t="shared" si="22"/>
        <v>0</v>
      </c>
      <c r="AF52" s="37">
        <v>10.23</v>
      </c>
      <c r="AG52" s="67">
        <f t="shared" si="23"/>
        <v>9798.8499999999985</v>
      </c>
      <c r="AH52" s="39"/>
      <c r="AI52" s="56"/>
      <c r="AJ52" s="39"/>
      <c r="AK52" s="39"/>
      <c r="AL52" s="56"/>
      <c r="AM52" s="39"/>
      <c r="AN52" s="39"/>
    </row>
    <row r="53" spans="1:54">
      <c r="A53" s="27" t="s">
        <v>71</v>
      </c>
      <c r="B53" s="27" t="s">
        <v>216</v>
      </c>
      <c r="C53" s="27" t="s">
        <v>249</v>
      </c>
      <c r="D53" s="27" t="s">
        <v>155</v>
      </c>
      <c r="E53" s="27" t="s">
        <v>73</v>
      </c>
      <c r="F53" s="68">
        <v>42408</v>
      </c>
      <c r="G53" s="28"/>
      <c r="H53" s="28"/>
      <c r="I53" s="30">
        <v>513.33000000000004</v>
      </c>
      <c r="J53" s="28">
        <v>653.33000000000004</v>
      </c>
      <c r="K53" s="30">
        <f t="shared" si="20"/>
        <v>1166.6600000000001</v>
      </c>
      <c r="L53" s="30">
        <v>-653.33000000000004</v>
      </c>
      <c r="M53" s="30"/>
      <c r="N53" s="31"/>
      <c r="O53" s="31"/>
      <c r="P53" s="32"/>
      <c r="Q53" s="33">
        <f t="shared" si="21"/>
        <v>513.33000000000004</v>
      </c>
      <c r="R53" s="34"/>
      <c r="S53" s="45"/>
      <c r="T53" s="45">
        <v>0</v>
      </c>
      <c r="U53" s="45"/>
      <c r="V53" s="45"/>
      <c r="W53" s="45"/>
      <c r="X53" s="36"/>
      <c r="Y53" s="36"/>
      <c r="Z53" s="90"/>
      <c r="AA53" s="90">
        <f>+Q53*0.25</f>
        <v>128.33250000000001</v>
      </c>
      <c r="AB53" s="33">
        <f t="shared" si="26"/>
        <v>384.99750000000006</v>
      </c>
      <c r="AC53" s="37">
        <f t="shared" si="24"/>
        <v>0</v>
      </c>
      <c r="AD53" s="33">
        <f t="shared" si="25"/>
        <v>384.99750000000006</v>
      </c>
      <c r="AE53" s="38">
        <f t="shared" si="22"/>
        <v>51.333000000000006</v>
      </c>
      <c r="AF53" s="37">
        <v>10.23</v>
      </c>
      <c r="AG53" s="67">
        <f t="shared" si="23"/>
        <v>574.89300000000003</v>
      </c>
      <c r="AH53" s="39"/>
      <c r="AI53" s="56"/>
      <c r="AJ53" s="39"/>
      <c r="AK53" s="39"/>
      <c r="AL53" s="56"/>
      <c r="AM53" s="39"/>
      <c r="AN53" s="39">
        <v>129.37</v>
      </c>
      <c r="AO53" s="39" t="s">
        <v>279</v>
      </c>
    </row>
    <row r="54" spans="1:54">
      <c r="A54" s="27" t="s">
        <v>70</v>
      </c>
      <c r="B54" s="27" t="s">
        <v>225</v>
      </c>
      <c r="C54" s="27" t="s">
        <v>248</v>
      </c>
      <c r="D54" s="27" t="s">
        <v>124</v>
      </c>
      <c r="E54" s="27" t="s">
        <v>173</v>
      </c>
      <c r="F54" s="68">
        <v>42352</v>
      </c>
      <c r="G54" s="28"/>
      <c r="H54" s="28"/>
      <c r="I54" s="30">
        <v>513.33000000000004</v>
      </c>
      <c r="J54" s="28">
        <v>653.33000000000004</v>
      </c>
      <c r="K54" s="30">
        <f t="shared" si="20"/>
        <v>1166.6600000000001</v>
      </c>
      <c r="L54" s="30"/>
      <c r="M54" s="30"/>
      <c r="N54" s="31"/>
      <c r="O54" s="31"/>
      <c r="P54" s="32"/>
      <c r="Q54" s="33">
        <f t="shared" si="21"/>
        <v>1166.6600000000001</v>
      </c>
      <c r="R54" s="34"/>
      <c r="S54" s="45"/>
      <c r="T54" s="45">
        <v>0</v>
      </c>
      <c r="U54" s="45"/>
      <c r="V54" s="45"/>
      <c r="W54" s="45"/>
      <c r="X54" s="36"/>
      <c r="Y54" s="36"/>
      <c r="Z54" s="35"/>
      <c r="AA54" s="35">
        <v>0</v>
      </c>
      <c r="AB54" s="33">
        <f t="shared" si="26"/>
        <v>1166.6600000000001</v>
      </c>
      <c r="AC54" s="37">
        <f t="shared" si="24"/>
        <v>0</v>
      </c>
      <c r="AD54" s="33">
        <f t="shared" si="25"/>
        <v>1166.6600000000001</v>
      </c>
      <c r="AE54" s="38">
        <f t="shared" si="22"/>
        <v>116.66600000000001</v>
      </c>
      <c r="AF54" s="37">
        <v>10.23</v>
      </c>
      <c r="AG54" s="67">
        <f t="shared" si="23"/>
        <v>1293.556</v>
      </c>
      <c r="AH54" s="39"/>
      <c r="AI54" s="56"/>
      <c r="AJ54" s="39"/>
      <c r="AK54" s="39"/>
      <c r="AL54" s="56"/>
      <c r="AM54" s="39"/>
      <c r="AN54" s="39"/>
    </row>
    <row r="55" spans="1:54" s="84" customFormat="1">
      <c r="A55" s="79" t="s">
        <v>71</v>
      </c>
      <c r="B55" s="79" t="s">
        <v>285</v>
      </c>
      <c r="C55" s="79"/>
      <c r="D55" s="79"/>
      <c r="E55" s="79" t="s">
        <v>73</v>
      </c>
      <c r="F55" s="87">
        <v>42055</v>
      </c>
      <c r="G55" s="79"/>
      <c r="H55" s="79"/>
      <c r="I55" s="80">
        <v>513.33000000000004</v>
      </c>
      <c r="J55" s="79">
        <v>653.33000000000004</v>
      </c>
      <c r="K55" s="80">
        <f t="shared" si="20"/>
        <v>1166.6600000000001</v>
      </c>
      <c r="L55" s="80"/>
      <c r="M55" s="80"/>
      <c r="N55" s="80"/>
      <c r="O55" s="80"/>
      <c r="P55" s="81"/>
      <c r="Q55" s="82">
        <f t="shared" si="21"/>
        <v>1166.6600000000001</v>
      </c>
      <c r="R55" s="80"/>
      <c r="S55" s="80"/>
      <c r="T55" s="80"/>
      <c r="U55" s="80"/>
      <c r="V55" s="80"/>
      <c r="W55" s="80"/>
      <c r="X55" s="83"/>
      <c r="Y55" s="83"/>
      <c r="Z55" s="79"/>
      <c r="AA55" s="79"/>
      <c r="AB55" s="82">
        <f t="shared" si="26"/>
        <v>1166.6600000000001</v>
      </c>
      <c r="AC55" s="83">
        <f t="shared" si="24"/>
        <v>0</v>
      </c>
      <c r="AD55" s="82">
        <f t="shared" si="25"/>
        <v>1166.6600000000001</v>
      </c>
      <c r="AE55" s="83">
        <f t="shared" si="22"/>
        <v>116.66600000000001</v>
      </c>
      <c r="AF55" s="83">
        <v>10.23</v>
      </c>
      <c r="AG55" s="82">
        <f t="shared" si="23"/>
        <v>1293.556</v>
      </c>
      <c r="AI55" s="85"/>
      <c r="AL55" s="85"/>
      <c r="AM55" s="84">
        <v>1905307865</v>
      </c>
      <c r="AN55" s="78" t="s">
        <v>266</v>
      </c>
    </row>
    <row r="56" spans="1:54">
      <c r="A56" s="27" t="s">
        <v>71</v>
      </c>
      <c r="B56" s="27" t="s">
        <v>263</v>
      </c>
      <c r="C56" s="27" t="s">
        <v>251</v>
      </c>
      <c r="D56" s="27" t="s">
        <v>156</v>
      </c>
      <c r="E56" s="27" t="s">
        <v>73</v>
      </c>
      <c r="F56" s="27"/>
      <c r="G56" s="28"/>
      <c r="H56" s="28"/>
      <c r="I56" s="30">
        <v>513.33000000000004</v>
      </c>
      <c r="J56" s="28"/>
      <c r="K56" s="30">
        <f t="shared" si="20"/>
        <v>513.33000000000004</v>
      </c>
      <c r="L56" s="30">
        <v>513.33000000000004</v>
      </c>
      <c r="M56" s="30">
        <v>66.010000000000005</v>
      </c>
      <c r="N56" s="31"/>
      <c r="O56" s="31"/>
      <c r="P56" s="32"/>
      <c r="Q56" s="33">
        <f t="shared" si="21"/>
        <v>1092.67</v>
      </c>
      <c r="R56" s="34"/>
      <c r="S56" s="45"/>
      <c r="T56" s="45">
        <v>0</v>
      </c>
      <c r="U56" s="45"/>
      <c r="V56" s="45"/>
      <c r="W56" s="45"/>
      <c r="X56" s="36"/>
      <c r="Y56" s="36"/>
      <c r="Z56" s="35"/>
      <c r="AA56" s="35">
        <v>86.56</v>
      </c>
      <c r="AB56" s="33">
        <f t="shared" si="26"/>
        <v>1006.1100000000001</v>
      </c>
      <c r="AC56" s="37">
        <f t="shared" si="24"/>
        <v>0</v>
      </c>
      <c r="AD56" s="33">
        <f t="shared" si="25"/>
        <v>1006.1100000000001</v>
      </c>
      <c r="AE56" s="38">
        <f t="shared" si="22"/>
        <v>109.26700000000001</v>
      </c>
      <c r="AF56" s="37">
        <v>10.23</v>
      </c>
      <c r="AG56" s="67">
        <f t="shared" si="23"/>
        <v>1212.1670000000001</v>
      </c>
      <c r="AH56" s="39"/>
      <c r="AI56" s="56"/>
      <c r="AJ56" s="39"/>
      <c r="AK56" s="39"/>
      <c r="AL56" s="56"/>
      <c r="AM56" s="39"/>
      <c r="AN56" s="39"/>
    </row>
    <row r="57" spans="1:54">
      <c r="A57" s="27" t="s">
        <v>94</v>
      </c>
      <c r="B57" s="27" t="s">
        <v>243</v>
      </c>
      <c r="C57" s="27"/>
      <c r="D57" s="27" t="s">
        <v>134</v>
      </c>
      <c r="E57" s="27" t="s">
        <v>178</v>
      </c>
      <c r="F57" s="27"/>
      <c r="G57" s="28"/>
      <c r="H57" s="28"/>
      <c r="I57" s="30">
        <v>1100</v>
      </c>
      <c r="J57" s="28"/>
      <c r="K57" s="30">
        <f t="shared" si="20"/>
        <v>1100</v>
      </c>
      <c r="L57" s="30">
        <v>307.39999999999998</v>
      </c>
      <c r="M57" s="30"/>
      <c r="N57" s="31"/>
      <c r="O57" s="31"/>
      <c r="P57" s="32"/>
      <c r="Q57" s="33">
        <f t="shared" si="21"/>
        <v>1407.4</v>
      </c>
      <c r="R57" s="34"/>
      <c r="S57" s="45"/>
      <c r="T57" s="75">
        <f>+Q57*1%</f>
        <v>14.074000000000002</v>
      </c>
      <c r="U57" s="75">
        <f>+Q57*4.9%</f>
        <v>68.962600000000009</v>
      </c>
      <c r="V57" s="45"/>
      <c r="W57" s="45"/>
      <c r="X57" s="36"/>
      <c r="Y57" s="36"/>
      <c r="Z57" s="35"/>
      <c r="AA57" s="35">
        <v>0</v>
      </c>
      <c r="AB57" s="33">
        <f t="shared" si="26"/>
        <v>1324.3634000000002</v>
      </c>
      <c r="AC57" s="37">
        <f t="shared" si="24"/>
        <v>0</v>
      </c>
      <c r="AD57" s="33">
        <f t="shared" si="25"/>
        <v>1324.3634000000002</v>
      </c>
      <c r="AE57" s="38">
        <f t="shared" si="22"/>
        <v>140.74</v>
      </c>
      <c r="AF57" s="37">
        <v>10.23</v>
      </c>
      <c r="AG57" s="67">
        <f t="shared" si="23"/>
        <v>1558.3700000000001</v>
      </c>
      <c r="AH57" s="39"/>
      <c r="AI57" s="56"/>
      <c r="AJ57" s="39"/>
      <c r="AK57" s="39"/>
      <c r="AL57" s="56"/>
      <c r="AM57" s="39"/>
      <c r="AN57" s="39"/>
    </row>
    <row r="58" spans="1:54">
      <c r="A58" s="62" t="s">
        <v>92</v>
      </c>
      <c r="B58" s="27" t="s">
        <v>77</v>
      </c>
      <c r="C58" s="27"/>
      <c r="D58" s="27" t="s">
        <v>103</v>
      </c>
      <c r="E58" s="27" t="s">
        <v>163</v>
      </c>
      <c r="F58" s="27"/>
      <c r="G58" s="27"/>
      <c r="H58" s="27"/>
      <c r="I58" s="30">
        <v>739.23</v>
      </c>
      <c r="J58" s="27"/>
      <c r="K58" s="30">
        <f t="shared" si="20"/>
        <v>739.23</v>
      </c>
      <c r="L58" s="30"/>
      <c r="M58" s="30"/>
      <c r="N58" s="30"/>
      <c r="O58" s="30"/>
      <c r="P58" s="32"/>
      <c r="Q58" s="33">
        <f t="shared" si="21"/>
        <v>739.23</v>
      </c>
      <c r="R58" s="34"/>
      <c r="S58" s="45"/>
      <c r="T58" s="45">
        <v>0</v>
      </c>
      <c r="U58" s="45"/>
      <c r="V58" s="45"/>
      <c r="W58" s="45"/>
      <c r="X58" s="36"/>
      <c r="Y58" s="36"/>
      <c r="Z58" s="35"/>
      <c r="AA58" s="35">
        <v>0</v>
      </c>
      <c r="AB58" s="33">
        <f t="shared" si="26"/>
        <v>739.23</v>
      </c>
      <c r="AC58" s="37">
        <f t="shared" si="24"/>
        <v>0</v>
      </c>
      <c r="AD58" s="33">
        <f t="shared" si="25"/>
        <v>739.23</v>
      </c>
      <c r="AE58" s="38">
        <f t="shared" si="22"/>
        <v>73.923000000000002</v>
      </c>
      <c r="AF58" s="37">
        <v>10.23</v>
      </c>
      <c r="AG58" s="67">
        <f t="shared" si="23"/>
        <v>823.38300000000004</v>
      </c>
      <c r="AH58" s="39"/>
      <c r="AI58" s="56"/>
      <c r="AJ58" s="39"/>
      <c r="AK58" s="39"/>
      <c r="AL58" s="56"/>
      <c r="AM58" s="39"/>
      <c r="AN58" s="39"/>
    </row>
    <row r="59" spans="1:54">
      <c r="A59" s="62" t="s">
        <v>94</v>
      </c>
      <c r="B59" s="27" t="s">
        <v>208</v>
      </c>
      <c r="C59" s="27"/>
      <c r="D59" s="27" t="s">
        <v>135</v>
      </c>
      <c r="E59" s="27" t="s">
        <v>179</v>
      </c>
      <c r="F59" s="27"/>
      <c r="G59" s="28"/>
      <c r="H59" s="28"/>
      <c r="I59" s="30">
        <v>608.16</v>
      </c>
      <c r="J59" s="28"/>
      <c r="K59" s="30">
        <f t="shared" si="20"/>
        <v>608.16</v>
      </c>
      <c r="L59" s="30"/>
      <c r="M59" s="30"/>
      <c r="N59" s="31"/>
      <c r="O59" s="31"/>
      <c r="P59" s="32"/>
      <c r="Q59" s="33">
        <f t="shared" si="21"/>
        <v>608.16</v>
      </c>
      <c r="R59" s="34"/>
      <c r="S59" s="45"/>
      <c r="T59" s="45"/>
      <c r="U59" s="75">
        <f>Q59*4.9%</f>
        <v>29.79984</v>
      </c>
      <c r="V59" s="75">
        <f>Q59*1%</f>
        <v>6.0815999999999999</v>
      </c>
      <c r="W59" s="45"/>
      <c r="X59" s="36"/>
      <c r="Y59" s="36"/>
      <c r="Z59" s="35"/>
      <c r="AA59" s="35">
        <v>0</v>
      </c>
      <c r="AB59" s="33">
        <f t="shared" si="26"/>
        <v>572.27855999999997</v>
      </c>
      <c r="AC59" s="37">
        <f t="shared" si="24"/>
        <v>0</v>
      </c>
      <c r="AD59" s="33">
        <f t="shared" si="25"/>
        <v>572.27855999999997</v>
      </c>
      <c r="AE59" s="38">
        <f t="shared" si="22"/>
        <v>60.816000000000003</v>
      </c>
      <c r="AF59" s="37">
        <v>10.23</v>
      </c>
      <c r="AG59" s="67">
        <f t="shared" si="23"/>
        <v>679.20600000000002</v>
      </c>
      <c r="AH59" s="39"/>
      <c r="AI59" s="56"/>
      <c r="AJ59" s="39"/>
      <c r="AK59" s="39"/>
      <c r="AL59" s="56"/>
      <c r="AM59" s="39"/>
      <c r="AN59" s="39"/>
    </row>
    <row r="60" spans="1:54">
      <c r="A60" s="62" t="s">
        <v>94</v>
      </c>
      <c r="B60" s="27" t="s">
        <v>199</v>
      </c>
      <c r="C60" s="27"/>
      <c r="D60" s="27" t="s">
        <v>136</v>
      </c>
      <c r="E60" s="27" t="s">
        <v>180</v>
      </c>
      <c r="F60" s="27"/>
      <c r="G60" s="28"/>
      <c r="H60" s="28"/>
      <c r="I60" s="30">
        <v>511.28</v>
      </c>
      <c r="J60" s="28"/>
      <c r="K60" s="30">
        <f t="shared" si="20"/>
        <v>511.28</v>
      </c>
      <c r="L60" s="30">
        <v>1441.8</v>
      </c>
      <c r="M60" s="30"/>
      <c r="N60" s="31"/>
      <c r="O60" s="31"/>
      <c r="P60" s="32"/>
      <c r="Q60" s="33">
        <f t="shared" si="21"/>
        <v>1953.08</v>
      </c>
      <c r="R60" s="34"/>
      <c r="S60" s="45"/>
      <c r="T60" s="75">
        <v>100</v>
      </c>
      <c r="U60" s="75">
        <f>Q60*4.9%</f>
        <v>95.700919999999996</v>
      </c>
      <c r="V60" s="75">
        <f>Q60*1%</f>
        <v>19.530799999999999</v>
      </c>
      <c r="W60" s="45"/>
      <c r="X60" s="36"/>
      <c r="Y60" s="36"/>
      <c r="Z60" s="35"/>
      <c r="AA60" s="35">
        <v>0</v>
      </c>
      <c r="AB60" s="33">
        <f t="shared" si="26"/>
        <v>1737.8482799999999</v>
      </c>
      <c r="AC60" s="37">
        <f t="shared" si="24"/>
        <v>0</v>
      </c>
      <c r="AD60" s="33">
        <f t="shared" si="25"/>
        <v>1737.8482799999999</v>
      </c>
      <c r="AE60" s="38">
        <f t="shared" si="22"/>
        <v>195.30799999999999</v>
      </c>
      <c r="AF60" s="37">
        <v>10.23</v>
      </c>
      <c r="AG60" s="67">
        <f t="shared" si="23"/>
        <v>2158.6179999999999</v>
      </c>
      <c r="AH60" s="39"/>
      <c r="AI60" s="56"/>
      <c r="AJ60" s="39"/>
      <c r="AK60" s="39"/>
      <c r="AL60" s="56"/>
      <c r="AM60" s="39"/>
      <c r="AN60" s="39"/>
    </row>
    <row r="61" spans="1:54">
      <c r="A61" s="27" t="s">
        <v>71</v>
      </c>
      <c r="B61" s="27" t="s">
        <v>287</v>
      </c>
      <c r="C61" s="27" t="s">
        <v>254</v>
      </c>
      <c r="D61" s="27" t="s">
        <v>157</v>
      </c>
      <c r="E61" s="27" t="s">
        <v>73</v>
      </c>
      <c r="F61" s="27"/>
      <c r="G61" s="28"/>
      <c r="H61" s="28"/>
      <c r="I61" s="30">
        <v>513.33000000000004</v>
      </c>
      <c r="J61" s="28"/>
      <c r="K61" s="30">
        <f t="shared" si="20"/>
        <v>513.33000000000004</v>
      </c>
      <c r="L61" s="30"/>
      <c r="M61" s="30">
        <v>66.069999999999993</v>
      </c>
      <c r="N61" s="31"/>
      <c r="O61" s="31"/>
      <c r="P61" s="32"/>
      <c r="Q61" s="33">
        <f t="shared" si="21"/>
        <v>579.40000000000009</v>
      </c>
      <c r="R61" s="34"/>
      <c r="S61" s="45"/>
      <c r="T61" s="45">
        <v>0</v>
      </c>
      <c r="U61" s="45"/>
      <c r="V61" s="45"/>
      <c r="W61" s="45"/>
      <c r="X61" s="36"/>
      <c r="Y61" s="36"/>
      <c r="Z61" s="35"/>
      <c r="AA61" s="35">
        <v>0</v>
      </c>
      <c r="AB61" s="33">
        <f t="shared" si="26"/>
        <v>579.40000000000009</v>
      </c>
      <c r="AC61" s="37">
        <f t="shared" si="24"/>
        <v>0</v>
      </c>
      <c r="AD61" s="33">
        <f t="shared" si="25"/>
        <v>579.40000000000009</v>
      </c>
      <c r="AE61" s="38">
        <f t="shared" si="22"/>
        <v>57.940000000000012</v>
      </c>
      <c r="AF61" s="37">
        <v>10.23</v>
      </c>
      <c r="AG61" s="67">
        <f t="shared" si="23"/>
        <v>647.57000000000016</v>
      </c>
      <c r="AH61" s="39"/>
      <c r="AI61" s="56"/>
      <c r="AJ61" s="39"/>
      <c r="AK61" s="39"/>
      <c r="AL61" s="56"/>
      <c r="AM61" s="39"/>
      <c r="AN61" s="39"/>
    </row>
    <row r="62" spans="1:54">
      <c r="A62" s="62" t="s">
        <v>92</v>
      </c>
      <c r="B62" s="27" t="s">
        <v>78</v>
      </c>
      <c r="C62" s="27"/>
      <c r="D62" s="27" t="s">
        <v>104</v>
      </c>
      <c r="E62" s="27" t="s">
        <v>164</v>
      </c>
      <c r="F62" s="27"/>
      <c r="G62" s="27"/>
      <c r="H62" s="28"/>
      <c r="I62" s="30">
        <v>739.23</v>
      </c>
      <c r="J62" s="28"/>
      <c r="K62" s="30">
        <f t="shared" si="20"/>
        <v>739.23</v>
      </c>
      <c r="L62" s="30">
        <v>4006.07</v>
      </c>
      <c r="M62" s="30"/>
      <c r="N62" s="42"/>
      <c r="O62" s="31"/>
      <c r="P62" s="32"/>
      <c r="Q62" s="33">
        <f t="shared" si="21"/>
        <v>4745.3</v>
      </c>
      <c r="R62" s="34"/>
      <c r="S62" s="45"/>
      <c r="T62" s="45">
        <v>0</v>
      </c>
      <c r="U62" s="45"/>
      <c r="V62" s="45"/>
      <c r="W62" s="45"/>
      <c r="X62" s="36"/>
      <c r="Y62" s="36"/>
      <c r="Z62" s="35"/>
      <c r="AA62" s="35">
        <v>0</v>
      </c>
      <c r="AB62" s="33">
        <f t="shared" si="26"/>
        <v>4745.3</v>
      </c>
      <c r="AC62" s="37">
        <f t="shared" si="24"/>
        <v>474.53000000000003</v>
      </c>
      <c r="AD62" s="33">
        <f t="shared" si="25"/>
        <v>4270.7700000000004</v>
      </c>
      <c r="AE62" s="38">
        <f t="shared" si="22"/>
        <v>0</v>
      </c>
      <c r="AF62" s="37">
        <v>10.23</v>
      </c>
      <c r="AG62" s="67">
        <f t="shared" si="23"/>
        <v>4755.53</v>
      </c>
      <c r="AH62" s="39"/>
      <c r="AI62" s="56"/>
      <c r="AJ62" s="39"/>
      <c r="AK62" s="39"/>
      <c r="AL62" s="56"/>
      <c r="AM62" s="39"/>
      <c r="AN62" s="39"/>
    </row>
    <row r="63" spans="1:54">
      <c r="A63" s="62" t="s">
        <v>92</v>
      </c>
      <c r="B63" s="27" t="s">
        <v>232</v>
      </c>
      <c r="C63" s="27"/>
      <c r="D63" s="27" t="s">
        <v>105</v>
      </c>
      <c r="E63" s="27" t="s">
        <v>163</v>
      </c>
      <c r="F63" s="27"/>
      <c r="G63" s="27"/>
      <c r="H63" s="28"/>
      <c r="I63" s="30">
        <v>739.23</v>
      </c>
      <c r="J63" s="28"/>
      <c r="K63" s="30">
        <f t="shared" si="20"/>
        <v>739.23</v>
      </c>
      <c r="L63" s="30">
        <v>3036.32</v>
      </c>
      <c r="M63" s="30"/>
      <c r="N63" s="31"/>
      <c r="O63" s="31"/>
      <c r="P63" s="32"/>
      <c r="Q63" s="33">
        <f t="shared" si="21"/>
        <v>3775.55</v>
      </c>
      <c r="R63" s="34"/>
      <c r="S63" s="45"/>
      <c r="T63" s="45">
        <v>0</v>
      </c>
      <c r="U63" s="45"/>
      <c r="V63" s="45"/>
      <c r="W63" s="45"/>
      <c r="X63" s="36"/>
      <c r="Y63" s="36"/>
      <c r="Z63" s="35"/>
      <c r="AA63" s="35">
        <v>0</v>
      </c>
      <c r="AB63" s="33">
        <f t="shared" si="26"/>
        <v>3775.55</v>
      </c>
      <c r="AC63" s="37">
        <f t="shared" si="24"/>
        <v>0</v>
      </c>
      <c r="AD63" s="33">
        <f t="shared" si="25"/>
        <v>3775.55</v>
      </c>
      <c r="AE63" s="38">
        <f t="shared" si="22"/>
        <v>377.55500000000006</v>
      </c>
      <c r="AF63" s="37">
        <v>10.23</v>
      </c>
      <c r="AG63" s="67">
        <f t="shared" si="23"/>
        <v>4163.335</v>
      </c>
      <c r="AH63" s="39"/>
      <c r="AI63" s="56"/>
      <c r="AJ63" s="39"/>
      <c r="AK63" s="39"/>
      <c r="AL63" s="56"/>
      <c r="AM63" s="39"/>
      <c r="AN63" s="39"/>
    </row>
    <row r="64" spans="1:54" s="84" customFormat="1">
      <c r="A64" s="79" t="s">
        <v>92</v>
      </c>
      <c r="B64" s="79" t="s">
        <v>272</v>
      </c>
      <c r="C64" s="79"/>
      <c r="D64" s="79"/>
      <c r="E64" s="79" t="s">
        <v>163</v>
      </c>
      <c r="F64" s="87">
        <v>42422</v>
      </c>
      <c r="G64" s="79"/>
      <c r="H64" s="79"/>
      <c r="I64" s="80">
        <v>0</v>
      </c>
      <c r="J64" s="79">
        <v>1136.73</v>
      </c>
      <c r="K64" s="80">
        <f t="shared" si="20"/>
        <v>1136.73</v>
      </c>
      <c r="L64" s="80">
        <v>0</v>
      </c>
      <c r="M64" s="80"/>
      <c r="N64" s="80"/>
      <c r="O64" s="80"/>
      <c r="P64" s="80"/>
      <c r="Q64" s="82">
        <f t="shared" si="21"/>
        <v>1136.73</v>
      </c>
      <c r="R64" s="80"/>
      <c r="S64" s="45"/>
      <c r="T64" s="80"/>
      <c r="U64" s="80"/>
      <c r="V64" s="80"/>
      <c r="W64" s="80"/>
      <c r="X64" s="83"/>
      <c r="Y64" s="83"/>
      <c r="Z64" s="79"/>
      <c r="AA64" s="79"/>
      <c r="AB64" s="82">
        <f t="shared" si="26"/>
        <v>1136.73</v>
      </c>
      <c r="AC64" s="83">
        <f t="shared" si="24"/>
        <v>0</v>
      </c>
      <c r="AD64" s="82">
        <f t="shared" si="25"/>
        <v>1136.73</v>
      </c>
      <c r="AE64" s="83">
        <f t="shared" si="22"/>
        <v>113.673</v>
      </c>
      <c r="AF64" s="83">
        <v>10.23</v>
      </c>
      <c r="AG64" s="82">
        <f t="shared" si="23"/>
        <v>1260.633</v>
      </c>
      <c r="AI64" s="85"/>
      <c r="AL64" s="85"/>
      <c r="AM64" s="84">
        <v>2857006349</v>
      </c>
      <c r="AN64" s="78" t="s">
        <v>282</v>
      </c>
    </row>
    <row r="65" spans="1:54">
      <c r="A65" s="62" t="s">
        <v>94</v>
      </c>
      <c r="B65" s="27" t="s">
        <v>85</v>
      </c>
      <c r="C65" s="27"/>
      <c r="D65" s="27" t="s">
        <v>137</v>
      </c>
      <c r="E65" s="27" t="s">
        <v>181</v>
      </c>
      <c r="F65" s="27"/>
      <c r="G65" s="28"/>
      <c r="H65" s="28"/>
      <c r="I65" s="30">
        <v>608.16</v>
      </c>
      <c r="J65" s="28"/>
      <c r="K65" s="30">
        <f t="shared" si="20"/>
        <v>608.16</v>
      </c>
      <c r="L65" s="30">
        <v>1276.27</v>
      </c>
      <c r="M65" s="30"/>
      <c r="N65" s="31"/>
      <c r="O65" s="31"/>
      <c r="P65" s="32"/>
      <c r="Q65" s="33">
        <f t="shared" si="21"/>
        <v>1884.4299999999998</v>
      </c>
      <c r="R65" s="34"/>
      <c r="S65" s="45"/>
      <c r="T65" s="45"/>
      <c r="U65" s="75">
        <f>Q65*4.9%</f>
        <v>92.337069999999997</v>
      </c>
      <c r="V65" s="75">
        <f>Q65*1%</f>
        <v>18.8443</v>
      </c>
      <c r="W65" s="45"/>
      <c r="X65" s="36"/>
      <c r="Y65" s="36"/>
      <c r="Z65" s="35"/>
      <c r="AA65" s="35">
        <v>0</v>
      </c>
      <c r="AB65" s="33">
        <f t="shared" si="26"/>
        <v>1773.2486299999998</v>
      </c>
      <c r="AC65" s="37">
        <f t="shared" si="24"/>
        <v>0</v>
      </c>
      <c r="AD65" s="33">
        <f t="shared" si="25"/>
        <v>1773.2486299999998</v>
      </c>
      <c r="AE65" s="38">
        <f t="shared" si="22"/>
        <v>188.44299999999998</v>
      </c>
      <c r="AF65" s="37">
        <v>10.23</v>
      </c>
      <c r="AG65" s="67">
        <f t="shared" si="23"/>
        <v>2083.1029999999996</v>
      </c>
      <c r="AH65" s="39"/>
      <c r="AI65" s="56"/>
      <c r="AJ65" s="39"/>
      <c r="AK65" s="39"/>
      <c r="AL65" s="56"/>
      <c r="AM65" s="39"/>
      <c r="AN65" s="39"/>
    </row>
    <row r="66" spans="1:54">
      <c r="A66" s="62" t="s">
        <v>94</v>
      </c>
      <c r="B66" s="27" t="s">
        <v>215</v>
      </c>
      <c r="C66" s="27"/>
      <c r="D66" s="27" t="s">
        <v>138</v>
      </c>
      <c r="E66" s="27" t="s">
        <v>174</v>
      </c>
      <c r="F66" s="27"/>
      <c r="G66" s="28"/>
      <c r="H66" s="28"/>
      <c r="I66" s="30">
        <v>608.16</v>
      </c>
      <c r="J66" s="28"/>
      <c r="K66" s="30">
        <f t="shared" si="20"/>
        <v>608.16</v>
      </c>
      <c r="L66" s="30">
        <v>3235.87</v>
      </c>
      <c r="M66" s="30"/>
      <c r="N66" s="31"/>
      <c r="O66" s="31"/>
      <c r="P66" s="32"/>
      <c r="Q66" s="33">
        <f t="shared" si="21"/>
        <v>3844.0299999999997</v>
      </c>
      <c r="R66" s="34"/>
      <c r="S66" s="45"/>
      <c r="T66" s="75">
        <v>200</v>
      </c>
      <c r="U66" s="75">
        <f>Q66*4.9%</f>
        <v>188.35747000000001</v>
      </c>
      <c r="V66" s="75">
        <f>Q66*1%</f>
        <v>38.440300000000001</v>
      </c>
      <c r="W66" s="75">
        <v>321.74</v>
      </c>
      <c r="X66" s="36"/>
      <c r="Y66" s="36"/>
      <c r="Z66" s="35"/>
      <c r="AA66" s="35">
        <v>0</v>
      </c>
      <c r="AB66" s="33">
        <f t="shared" si="26"/>
        <v>3095.4922299999998</v>
      </c>
      <c r="AC66" s="37">
        <f t="shared" si="24"/>
        <v>0</v>
      </c>
      <c r="AD66" s="33">
        <f t="shared" si="25"/>
        <v>3095.4922299999998</v>
      </c>
      <c r="AE66" s="38">
        <f t="shared" si="22"/>
        <v>384.40300000000002</v>
      </c>
      <c r="AF66" s="37">
        <v>10.23</v>
      </c>
      <c r="AG66" s="67">
        <f t="shared" si="23"/>
        <v>4238.6629999999996</v>
      </c>
      <c r="AH66" s="39"/>
      <c r="AI66" s="56"/>
      <c r="AJ66" s="39"/>
      <c r="AK66" s="39"/>
      <c r="AL66" s="56"/>
      <c r="AM66" s="39"/>
      <c r="AN66" s="39"/>
    </row>
    <row r="67" spans="1:54">
      <c r="A67" s="27" t="s">
        <v>93</v>
      </c>
      <c r="B67" s="27" t="s">
        <v>82</v>
      </c>
      <c r="C67" s="27"/>
      <c r="D67" s="27" t="s">
        <v>118</v>
      </c>
      <c r="E67" s="27" t="s">
        <v>171</v>
      </c>
      <c r="F67" s="27"/>
      <c r="G67" s="28"/>
      <c r="H67" s="28"/>
      <c r="I67" s="30">
        <v>1400</v>
      </c>
      <c r="J67" s="28"/>
      <c r="K67" s="30">
        <f t="shared" si="20"/>
        <v>1400</v>
      </c>
      <c r="L67" s="30">
        <f>355.65+140</f>
        <v>495.65</v>
      </c>
      <c r="M67" s="30"/>
      <c r="N67" s="31"/>
      <c r="O67" s="31"/>
      <c r="P67" s="32"/>
      <c r="Q67" s="33">
        <f t="shared" si="21"/>
        <v>1895.65</v>
      </c>
      <c r="R67" s="34"/>
      <c r="S67" s="45"/>
      <c r="T67" s="45">
        <v>0</v>
      </c>
      <c r="U67" s="45"/>
      <c r="V67" s="45"/>
      <c r="W67" s="45"/>
      <c r="X67" s="36"/>
      <c r="Y67" s="36"/>
      <c r="Z67" s="35"/>
      <c r="AA67" s="35">
        <v>0</v>
      </c>
      <c r="AB67" s="33">
        <f t="shared" si="26"/>
        <v>1895.65</v>
      </c>
      <c r="AC67" s="37">
        <f t="shared" si="24"/>
        <v>0</v>
      </c>
      <c r="AD67" s="33">
        <f t="shared" si="25"/>
        <v>1895.65</v>
      </c>
      <c r="AE67" s="38">
        <f t="shared" si="22"/>
        <v>189.56500000000003</v>
      </c>
      <c r="AF67" s="37">
        <v>10.23</v>
      </c>
      <c r="AG67" s="67">
        <f t="shared" si="23"/>
        <v>2095.4450000000002</v>
      </c>
      <c r="AH67" s="39"/>
      <c r="AI67" s="56"/>
      <c r="AJ67" s="39"/>
      <c r="AK67" s="39"/>
      <c r="AL67" s="56"/>
      <c r="AM67" s="39"/>
      <c r="AN67" s="39"/>
    </row>
    <row r="68" spans="1:54">
      <c r="A68" s="62" t="s">
        <v>94</v>
      </c>
      <c r="B68" s="27" t="s">
        <v>195</v>
      </c>
      <c r="C68" s="27"/>
      <c r="D68" s="27" t="s">
        <v>140</v>
      </c>
      <c r="E68" s="27" t="s">
        <v>174</v>
      </c>
      <c r="F68" s="27"/>
      <c r="G68" s="28"/>
      <c r="H68" s="28"/>
      <c r="I68" s="30">
        <v>608.16</v>
      </c>
      <c r="J68" s="28"/>
      <c r="K68" s="30">
        <f t="shared" si="20"/>
        <v>608.16</v>
      </c>
      <c r="L68" s="30">
        <v>527.79999999999995</v>
      </c>
      <c r="M68" s="30"/>
      <c r="N68" s="31"/>
      <c r="O68" s="31"/>
      <c r="P68" s="32"/>
      <c r="Q68" s="33">
        <f t="shared" si="21"/>
        <v>1135.96</v>
      </c>
      <c r="R68" s="34"/>
      <c r="S68" s="45"/>
      <c r="T68" s="45">
        <v>0</v>
      </c>
      <c r="U68" s="75">
        <f>Q68*4.9%</f>
        <v>55.662040000000005</v>
      </c>
      <c r="V68" s="75">
        <f>Q68*1%</f>
        <v>11.3596</v>
      </c>
      <c r="W68" s="45"/>
      <c r="X68" s="36"/>
      <c r="Y68" s="36"/>
      <c r="Z68" s="35"/>
      <c r="AA68" s="35">
        <v>0</v>
      </c>
      <c r="AB68" s="33">
        <f t="shared" si="26"/>
        <v>1068.9383600000001</v>
      </c>
      <c r="AC68" s="37">
        <f t="shared" si="24"/>
        <v>0</v>
      </c>
      <c r="AD68" s="33">
        <f t="shared" si="25"/>
        <v>1068.9383600000001</v>
      </c>
      <c r="AE68" s="38">
        <f t="shared" si="22"/>
        <v>113.596</v>
      </c>
      <c r="AF68" s="37">
        <v>10.23</v>
      </c>
      <c r="AG68" s="67">
        <f t="shared" si="23"/>
        <v>1259.7860000000001</v>
      </c>
      <c r="AH68" s="39"/>
      <c r="AI68" s="56"/>
      <c r="AJ68" s="39"/>
      <c r="AK68" s="39"/>
      <c r="AL68" s="56"/>
      <c r="AM68" s="39"/>
      <c r="AN68" s="39"/>
    </row>
    <row r="69" spans="1:54">
      <c r="A69" s="27" t="s">
        <v>91</v>
      </c>
      <c r="B69" s="27" t="s">
        <v>244</v>
      </c>
      <c r="C69" s="27"/>
      <c r="D69" s="27" t="s">
        <v>117</v>
      </c>
      <c r="E69" s="27" t="s">
        <v>171</v>
      </c>
      <c r="F69" s="27"/>
      <c r="G69" s="27"/>
      <c r="H69" s="27"/>
      <c r="I69" s="30">
        <v>1400</v>
      </c>
      <c r="J69" s="27"/>
      <c r="K69" s="30">
        <f t="shared" si="20"/>
        <v>1400</v>
      </c>
      <c r="L69" s="30"/>
      <c r="M69" s="30"/>
      <c r="N69" s="30"/>
      <c r="O69" s="30"/>
      <c r="P69" s="32"/>
      <c r="Q69" s="33">
        <f t="shared" si="21"/>
        <v>1400</v>
      </c>
      <c r="R69" s="34"/>
      <c r="S69" s="45"/>
      <c r="T69" s="45">
        <v>0</v>
      </c>
      <c r="U69" s="45"/>
      <c r="V69" s="45"/>
      <c r="W69" s="45"/>
      <c r="X69" s="36"/>
      <c r="Y69" s="36"/>
      <c r="Z69" s="35"/>
      <c r="AA69" s="35">
        <v>0</v>
      </c>
      <c r="AB69" s="33">
        <f t="shared" si="26"/>
        <v>1400</v>
      </c>
      <c r="AC69" s="37">
        <f t="shared" si="24"/>
        <v>0</v>
      </c>
      <c r="AD69" s="33">
        <f t="shared" si="25"/>
        <v>1400</v>
      </c>
      <c r="AE69" s="38">
        <f t="shared" si="22"/>
        <v>140</v>
      </c>
      <c r="AF69" s="37">
        <v>10.23</v>
      </c>
      <c r="AG69" s="67">
        <f t="shared" si="23"/>
        <v>1550.23</v>
      </c>
      <c r="AH69" s="39"/>
      <c r="AI69" s="56"/>
      <c r="AJ69" s="39"/>
      <c r="AK69" s="39"/>
      <c r="AL69" s="56"/>
      <c r="AM69" s="39"/>
      <c r="AN69" s="39" t="s">
        <v>290</v>
      </c>
    </row>
    <row r="70" spans="1:54" s="61" customFormat="1">
      <c r="A70" s="62" t="s">
        <v>92</v>
      </c>
      <c r="B70" s="63" t="s">
        <v>201</v>
      </c>
      <c r="C70" s="63"/>
      <c r="D70" s="63"/>
      <c r="E70" s="63" t="s">
        <v>163</v>
      </c>
      <c r="F70" s="72">
        <v>42416</v>
      </c>
      <c r="G70" s="63"/>
      <c r="H70" s="63"/>
      <c r="I70" s="53">
        <v>739.23</v>
      </c>
      <c r="J70" s="63"/>
      <c r="K70" s="53">
        <f t="shared" si="20"/>
        <v>739.23</v>
      </c>
      <c r="L70" s="53">
        <v>1692.78</v>
      </c>
      <c r="M70" s="53"/>
      <c r="N70" s="53"/>
      <c r="O70" s="53"/>
      <c r="P70" s="73"/>
      <c r="Q70" s="59">
        <f t="shared" si="21"/>
        <v>2432.0100000000002</v>
      </c>
      <c r="R70" s="58"/>
      <c r="S70" s="45"/>
      <c r="T70" s="58"/>
      <c r="U70" s="58"/>
      <c r="V70" s="58"/>
      <c r="W70" s="58"/>
      <c r="X70" s="60"/>
      <c r="Y70" s="60"/>
      <c r="Z70" s="57"/>
      <c r="AA70" s="57"/>
      <c r="AB70" s="59">
        <f t="shared" si="26"/>
        <v>2432.0100000000002</v>
      </c>
      <c r="AC70" s="60">
        <f t="shared" si="24"/>
        <v>0</v>
      </c>
      <c r="AD70" s="59">
        <f t="shared" si="25"/>
        <v>2432.0100000000002</v>
      </c>
      <c r="AE70" s="60">
        <f t="shared" si="22"/>
        <v>243.20100000000002</v>
      </c>
      <c r="AF70" s="37">
        <v>10.23</v>
      </c>
      <c r="AG70" s="67">
        <f t="shared" si="23"/>
        <v>2685.4410000000003</v>
      </c>
      <c r="AH70" s="39"/>
      <c r="AI70" s="56"/>
      <c r="AJ70" s="39"/>
      <c r="AK70" s="39"/>
      <c r="AL70" s="56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</row>
    <row r="71" spans="1:54">
      <c r="A71" s="62" t="s">
        <v>94</v>
      </c>
      <c r="B71" s="27" t="s">
        <v>214</v>
      </c>
      <c r="C71" s="27"/>
      <c r="D71" s="27" t="s">
        <v>139</v>
      </c>
      <c r="E71" s="27" t="s">
        <v>182</v>
      </c>
      <c r="F71" s="27"/>
      <c r="G71" s="28"/>
      <c r="H71" s="28"/>
      <c r="I71" s="30">
        <v>511.28</v>
      </c>
      <c r="J71" s="28"/>
      <c r="K71" s="30">
        <f t="shared" si="20"/>
        <v>511.28</v>
      </c>
      <c r="L71" s="30">
        <f>1826.28+250+200</f>
        <v>2276.2799999999997</v>
      </c>
      <c r="M71" s="30"/>
      <c r="N71" s="31"/>
      <c r="O71" s="31"/>
      <c r="P71" s="32"/>
      <c r="Q71" s="33">
        <f t="shared" si="21"/>
        <v>2787.5599999999995</v>
      </c>
      <c r="R71" s="34"/>
      <c r="S71" s="45"/>
      <c r="T71" s="75">
        <v>300</v>
      </c>
      <c r="U71" s="45"/>
      <c r="V71" s="45"/>
      <c r="W71" s="45"/>
      <c r="X71" s="36"/>
      <c r="Y71" s="36"/>
      <c r="Z71" s="35"/>
      <c r="AA71" s="35">
        <f>831.77+139.91</f>
        <v>971.68</v>
      </c>
      <c r="AB71" s="33">
        <f t="shared" si="26"/>
        <v>1515.8799999999997</v>
      </c>
      <c r="AC71" s="37">
        <f t="shared" si="24"/>
        <v>0</v>
      </c>
      <c r="AD71" s="33">
        <f t="shared" si="25"/>
        <v>1515.8799999999997</v>
      </c>
      <c r="AE71" s="38">
        <f t="shared" si="22"/>
        <v>278.75599999999997</v>
      </c>
      <c r="AF71" s="37">
        <v>10.23</v>
      </c>
      <c r="AG71" s="67">
        <f t="shared" si="23"/>
        <v>3076.5459999999994</v>
      </c>
      <c r="AH71" s="39"/>
      <c r="AI71" s="56"/>
      <c r="AJ71" s="39"/>
      <c r="AK71" s="39"/>
      <c r="AL71" s="56"/>
      <c r="AM71" s="39"/>
      <c r="AN71" s="39"/>
    </row>
    <row r="72" spans="1:54">
      <c r="A72" s="27" t="s">
        <v>91</v>
      </c>
      <c r="B72" s="27" t="s">
        <v>239</v>
      </c>
      <c r="C72" s="27"/>
      <c r="D72" s="27" t="s">
        <v>99</v>
      </c>
      <c r="E72" s="27" t="s">
        <v>72</v>
      </c>
      <c r="F72" s="27"/>
      <c r="G72" s="27"/>
      <c r="H72" s="27"/>
      <c r="I72" s="30">
        <v>1166.26</v>
      </c>
      <c r="J72" s="29"/>
      <c r="K72" s="30">
        <f t="shared" ref="K72:K90" si="27">+I72+J72</f>
        <v>1166.26</v>
      </c>
      <c r="L72" s="30">
        <v>784.32</v>
      </c>
      <c r="M72" s="30"/>
      <c r="N72" s="30"/>
      <c r="O72" s="30"/>
      <c r="P72" s="32"/>
      <c r="Q72" s="33">
        <f t="shared" ref="Q72:Q87" si="28">SUM(K72:O72)-P72</f>
        <v>1950.58</v>
      </c>
      <c r="R72" s="34"/>
      <c r="S72" s="45"/>
      <c r="T72" s="45">
        <v>0</v>
      </c>
      <c r="U72" s="45"/>
      <c r="V72" s="45"/>
      <c r="W72" s="45"/>
      <c r="X72" s="36"/>
      <c r="Y72" s="36"/>
      <c r="Z72" s="35"/>
      <c r="AA72" s="35">
        <v>0</v>
      </c>
      <c r="AB72" s="33">
        <f t="shared" si="26"/>
        <v>1950.58</v>
      </c>
      <c r="AC72" s="37">
        <f t="shared" si="24"/>
        <v>0</v>
      </c>
      <c r="AD72" s="33">
        <f t="shared" si="25"/>
        <v>1950.58</v>
      </c>
      <c r="AE72" s="38">
        <f t="shared" si="22"/>
        <v>195.05799999999999</v>
      </c>
      <c r="AF72" s="37">
        <v>10.23</v>
      </c>
      <c r="AG72" s="67">
        <f t="shared" si="23"/>
        <v>2155.8679999999999</v>
      </c>
      <c r="AH72" s="39"/>
      <c r="AI72" s="56"/>
      <c r="AJ72" s="39"/>
      <c r="AK72" s="39"/>
      <c r="AL72" s="56"/>
      <c r="AM72" s="39"/>
      <c r="AN72" s="39"/>
    </row>
    <row r="73" spans="1:54">
      <c r="A73" s="27" t="s">
        <v>93</v>
      </c>
      <c r="B73" s="27" t="s">
        <v>273</v>
      </c>
      <c r="C73" s="27"/>
      <c r="D73" s="27" t="s">
        <v>119</v>
      </c>
      <c r="E73" s="27" t="s">
        <v>168</v>
      </c>
      <c r="F73" s="27"/>
      <c r="G73" s="27"/>
      <c r="H73" s="27"/>
      <c r="I73" s="30">
        <v>1100</v>
      </c>
      <c r="J73" s="27"/>
      <c r="K73" s="30">
        <f t="shared" si="27"/>
        <v>1100</v>
      </c>
      <c r="L73" s="30"/>
      <c r="M73" s="30"/>
      <c r="N73" s="30"/>
      <c r="O73" s="30"/>
      <c r="P73" s="32"/>
      <c r="Q73" s="33">
        <f t="shared" si="28"/>
        <v>1100</v>
      </c>
      <c r="R73" s="34"/>
      <c r="S73" s="45"/>
      <c r="T73" s="45">
        <v>0</v>
      </c>
      <c r="U73" s="45"/>
      <c r="V73" s="45"/>
      <c r="W73" s="45"/>
      <c r="X73" s="36"/>
      <c r="Y73" s="36"/>
      <c r="Z73" s="35"/>
      <c r="AA73" s="35">
        <v>0</v>
      </c>
      <c r="AB73" s="33">
        <f t="shared" si="26"/>
        <v>1100</v>
      </c>
      <c r="AC73" s="37">
        <f t="shared" si="24"/>
        <v>0</v>
      </c>
      <c r="AD73" s="33">
        <f t="shared" si="25"/>
        <v>1100</v>
      </c>
      <c r="AE73" s="38">
        <f t="shared" ref="AE73:AE87" si="29">IF(Q73&lt;4500,Q73*0.1,0)</f>
        <v>110</v>
      </c>
      <c r="AF73" s="37">
        <v>10.23</v>
      </c>
      <c r="AG73" s="67">
        <f t="shared" ref="AG73:AG87" si="30">+Q73+AE73+AF73</f>
        <v>1220.23</v>
      </c>
      <c r="AH73" s="39"/>
      <c r="AI73" s="56"/>
      <c r="AJ73" s="39"/>
      <c r="AK73" s="39"/>
      <c r="AL73" s="56"/>
      <c r="AM73" s="39"/>
      <c r="AN73" s="39"/>
    </row>
    <row r="74" spans="1:54">
      <c r="A74" s="27" t="s">
        <v>71</v>
      </c>
      <c r="B74" s="27" t="s">
        <v>89</v>
      </c>
      <c r="C74" s="27" t="s">
        <v>249</v>
      </c>
      <c r="D74" s="27" t="s">
        <v>158</v>
      </c>
      <c r="E74" s="27" t="s">
        <v>73</v>
      </c>
      <c r="F74" s="27"/>
      <c r="G74" s="28"/>
      <c r="H74" s="28"/>
      <c r="I74" s="30">
        <v>513.33000000000004</v>
      </c>
      <c r="J74" s="28"/>
      <c r="K74" s="30">
        <f t="shared" si="27"/>
        <v>513.33000000000004</v>
      </c>
      <c r="L74" s="30">
        <f>513.33+4055.1</f>
        <v>4568.43</v>
      </c>
      <c r="M74" s="30"/>
      <c r="N74" s="31"/>
      <c r="O74" s="31"/>
      <c r="P74" s="32"/>
      <c r="Q74" s="33">
        <f t="shared" si="28"/>
        <v>5081.76</v>
      </c>
      <c r="R74" s="34"/>
      <c r="S74" s="45">
        <v>58.91</v>
      </c>
      <c r="T74" s="45">
        <v>0</v>
      </c>
      <c r="U74" s="45"/>
      <c r="V74" s="45"/>
      <c r="W74" s="45"/>
      <c r="X74" s="36"/>
      <c r="Y74" s="36"/>
      <c r="Z74" s="35"/>
      <c r="AA74" s="35">
        <v>0</v>
      </c>
      <c r="AB74" s="33">
        <f t="shared" si="26"/>
        <v>5022.8500000000004</v>
      </c>
      <c r="AC74" s="37">
        <f t="shared" si="24"/>
        <v>508.17600000000004</v>
      </c>
      <c r="AD74" s="33">
        <f t="shared" si="25"/>
        <v>4514.674</v>
      </c>
      <c r="AE74" s="38">
        <f t="shared" si="29"/>
        <v>0</v>
      </c>
      <c r="AF74" s="37">
        <v>10.23</v>
      </c>
      <c r="AG74" s="67">
        <f t="shared" si="30"/>
        <v>5091.99</v>
      </c>
      <c r="AH74" s="39"/>
      <c r="AI74" s="56"/>
      <c r="AJ74" s="39"/>
      <c r="AK74" s="39"/>
      <c r="AL74" s="56"/>
      <c r="AM74" s="39"/>
      <c r="AN74" s="39"/>
    </row>
    <row r="75" spans="1:54">
      <c r="A75" s="62" t="s">
        <v>94</v>
      </c>
      <c r="B75" s="27" t="s">
        <v>86</v>
      </c>
      <c r="C75" s="27"/>
      <c r="D75" s="27" t="s">
        <v>141</v>
      </c>
      <c r="E75" s="27" t="s">
        <v>183</v>
      </c>
      <c r="F75" s="27"/>
      <c r="G75" s="28"/>
      <c r="H75" s="28"/>
      <c r="I75" s="30">
        <v>543.20000000000005</v>
      </c>
      <c r="J75" s="28"/>
      <c r="K75" s="30">
        <f t="shared" si="27"/>
        <v>543.20000000000005</v>
      </c>
      <c r="L75" s="30">
        <v>1059.4000000000001</v>
      </c>
      <c r="M75" s="30"/>
      <c r="N75" s="31"/>
      <c r="O75" s="31"/>
      <c r="P75" s="32"/>
      <c r="Q75" s="33">
        <f t="shared" si="28"/>
        <v>1602.6000000000001</v>
      </c>
      <c r="R75" s="34"/>
      <c r="S75" s="45"/>
      <c r="T75" s="45">
        <v>0</v>
      </c>
      <c r="U75" s="75">
        <f>Q75*4.9%</f>
        <v>78.527400000000014</v>
      </c>
      <c r="V75" s="75">
        <f>Q75*1%</f>
        <v>16.026000000000003</v>
      </c>
      <c r="W75" s="45"/>
      <c r="X75" s="36"/>
      <c r="Y75" s="36"/>
      <c r="Z75" s="35"/>
      <c r="AA75" s="35">
        <v>0</v>
      </c>
      <c r="AB75" s="33">
        <f t="shared" si="26"/>
        <v>1508.0466000000001</v>
      </c>
      <c r="AC75" s="37">
        <f t="shared" si="24"/>
        <v>0</v>
      </c>
      <c r="AD75" s="33">
        <f t="shared" si="25"/>
        <v>1508.0466000000001</v>
      </c>
      <c r="AE75" s="38">
        <f t="shared" si="29"/>
        <v>160.26000000000002</v>
      </c>
      <c r="AF75" s="37">
        <v>10.23</v>
      </c>
      <c r="AG75" s="67">
        <f t="shared" si="30"/>
        <v>1773.0900000000001</v>
      </c>
      <c r="AH75" s="39"/>
      <c r="AI75" s="56"/>
      <c r="AJ75" s="39"/>
      <c r="AK75" s="39"/>
      <c r="AL75" s="56"/>
      <c r="AM75" s="39"/>
      <c r="AN75" s="39"/>
    </row>
    <row r="76" spans="1:54">
      <c r="A76" s="62" t="s">
        <v>94</v>
      </c>
      <c r="B76" s="27" t="s">
        <v>193</v>
      </c>
      <c r="C76" s="27"/>
      <c r="D76" s="27" t="s">
        <v>142</v>
      </c>
      <c r="E76" s="27" t="s">
        <v>174</v>
      </c>
      <c r="F76" s="27"/>
      <c r="G76" s="28"/>
      <c r="H76" s="28"/>
      <c r="I76" s="30">
        <v>608.16</v>
      </c>
      <c r="J76" s="28"/>
      <c r="K76" s="30">
        <f t="shared" si="27"/>
        <v>608.16</v>
      </c>
      <c r="L76" s="30">
        <v>1325.5</v>
      </c>
      <c r="M76" s="30"/>
      <c r="N76" s="31"/>
      <c r="O76" s="31"/>
      <c r="P76" s="32"/>
      <c r="Q76" s="33">
        <f t="shared" si="28"/>
        <v>1933.6599999999999</v>
      </c>
      <c r="R76" s="34"/>
      <c r="S76" s="45"/>
      <c r="T76" s="75">
        <v>200</v>
      </c>
      <c r="U76" s="75">
        <f>Q76*4.9%</f>
        <v>94.749339999999989</v>
      </c>
      <c r="V76" s="75">
        <f>Q76*1%</f>
        <v>19.336600000000001</v>
      </c>
      <c r="W76" s="75">
        <v>257.64</v>
      </c>
      <c r="X76" s="36"/>
      <c r="Y76" s="36"/>
      <c r="Z76" s="35">
        <v>201.24</v>
      </c>
      <c r="AA76" s="35">
        <v>0</v>
      </c>
      <c r="AB76" s="33">
        <f t="shared" si="26"/>
        <v>1160.6940599999998</v>
      </c>
      <c r="AC76" s="37">
        <f t="shared" ref="AC76:AC87" si="31">IF(Q76&gt;4500,Q76*0.1,0)</f>
        <v>0</v>
      </c>
      <c r="AD76" s="33">
        <f t="shared" si="25"/>
        <v>1160.6940599999998</v>
      </c>
      <c r="AE76" s="38">
        <f t="shared" si="29"/>
        <v>193.36599999999999</v>
      </c>
      <c r="AF76" s="37">
        <v>10.23</v>
      </c>
      <c r="AG76" s="67">
        <f t="shared" si="30"/>
        <v>2137.2559999999999</v>
      </c>
      <c r="AH76" s="39"/>
      <c r="AI76" s="56"/>
      <c r="AJ76" s="39"/>
      <c r="AK76" s="39"/>
      <c r="AL76" s="56"/>
      <c r="AM76" s="39"/>
      <c r="AN76" s="39"/>
    </row>
    <row r="77" spans="1:54">
      <c r="A77" s="62" t="s">
        <v>92</v>
      </c>
      <c r="B77" s="27" t="s">
        <v>211</v>
      </c>
      <c r="C77" s="27"/>
      <c r="D77" s="27" t="s">
        <v>107</v>
      </c>
      <c r="E77" s="27" t="s">
        <v>165</v>
      </c>
      <c r="F77" s="27"/>
      <c r="G77" s="27"/>
      <c r="H77" s="27"/>
      <c r="I77" s="30">
        <v>739.23</v>
      </c>
      <c r="J77" s="27"/>
      <c r="K77" s="30">
        <f t="shared" si="27"/>
        <v>739.23</v>
      </c>
      <c r="L77" s="30">
        <v>1998.23</v>
      </c>
      <c r="M77" s="30"/>
      <c r="N77" s="31"/>
      <c r="O77" s="31"/>
      <c r="P77" s="32"/>
      <c r="Q77" s="33">
        <f t="shared" si="28"/>
        <v>2737.46</v>
      </c>
      <c r="R77" s="34"/>
      <c r="S77" s="45"/>
      <c r="T77" s="75">
        <v>150</v>
      </c>
      <c r="U77" s="45"/>
      <c r="V77" s="45"/>
      <c r="W77" s="45"/>
      <c r="X77" s="36"/>
      <c r="Y77" s="36"/>
      <c r="Z77" s="35"/>
      <c r="AA77" s="35">
        <v>0</v>
      </c>
      <c r="AB77" s="33">
        <f t="shared" si="26"/>
        <v>2587.46</v>
      </c>
      <c r="AC77" s="37">
        <f t="shared" si="31"/>
        <v>0</v>
      </c>
      <c r="AD77" s="33">
        <f t="shared" ref="AD77:AD87" si="32">+AB77-AC77</f>
        <v>2587.46</v>
      </c>
      <c r="AE77" s="38">
        <f t="shared" si="29"/>
        <v>273.74600000000004</v>
      </c>
      <c r="AF77" s="37">
        <v>10.23</v>
      </c>
      <c r="AG77" s="67">
        <f t="shared" si="30"/>
        <v>3021.4360000000001</v>
      </c>
      <c r="AH77" s="39"/>
      <c r="AI77" s="56"/>
      <c r="AJ77" s="39"/>
      <c r="AK77" s="39"/>
      <c r="AL77" s="56"/>
      <c r="AM77" s="39"/>
      <c r="AN77" s="39"/>
    </row>
    <row r="78" spans="1:54">
      <c r="A78" s="27" t="s">
        <v>93</v>
      </c>
      <c r="B78" s="27" t="s">
        <v>83</v>
      </c>
      <c r="C78" s="27"/>
      <c r="D78" s="27" t="s">
        <v>120</v>
      </c>
      <c r="E78" s="27" t="s">
        <v>171</v>
      </c>
      <c r="F78" s="27"/>
      <c r="G78" s="28"/>
      <c r="H78" s="28"/>
      <c r="I78" s="30">
        <v>1400</v>
      </c>
      <c r="J78" s="28"/>
      <c r="K78" s="30">
        <f t="shared" si="27"/>
        <v>1400</v>
      </c>
      <c r="L78" s="30"/>
      <c r="M78" s="30"/>
      <c r="N78" s="31"/>
      <c r="O78" s="31"/>
      <c r="P78" s="32"/>
      <c r="Q78" s="33">
        <f t="shared" si="28"/>
        <v>1400</v>
      </c>
      <c r="R78" s="34"/>
      <c r="S78" s="45"/>
      <c r="T78" s="45">
        <v>0</v>
      </c>
      <c r="U78" s="45"/>
      <c r="V78" s="45"/>
      <c r="W78" s="45"/>
      <c r="X78" s="36"/>
      <c r="Y78" s="36"/>
      <c r="Z78" s="35"/>
      <c r="AA78" s="35">
        <f>355.65+71.38</f>
        <v>427.03</v>
      </c>
      <c r="AB78" s="33">
        <f t="shared" si="26"/>
        <v>972.97</v>
      </c>
      <c r="AC78" s="37">
        <f t="shared" si="31"/>
        <v>0</v>
      </c>
      <c r="AD78" s="33">
        <f t="shared" si="32"/>
        <v>972.97</v>
      </c>
      <c r="AE78" s="38">
        <f t="shared" si="29"/>
        <v>140</v>
      </c>
      <c r="AF78" s="37">
        <v>10.23</v>
      </c>
      <c r="AG78" s="67">
        <f t="shared" si="30"/>
        <v>1550.23</v>
      </c>
      <c r="AH78" s="39"/>
      <c r="AI78" s="56"/>
      <c r="AJ78" s="39"/>
      <c r="AK78" s="39"/>
      <c r="AL78" s="56"/>
      <c r="AM78" s="39"/>
      <c r="AN78" s="39"/>
    </row>
    <row r="79" spans="1:54" s="61" customFormat="1">
      <c r="A79" s="63" t="s">
        <v>93</v>
      </c>
      <c r="B79" s="63" t="s">
        <v>286</v>
      </c>
      <c r="C79" s="63"/>
      <c r="D79" s="63"/>
      <c r="E79" s="63" t="s">
        <v>171</v>
      </c>
      <c r="F79" s="72">
        <v>42410</v>
      </c>
      <c r="G79" s="63"/>
      <c r="H79" s="63"/>
      <c r="I79" s="53">
        <v>1400</v>
      </c>
      <c r="J79" s="63"/>
      <c r="K79" s="53">
        <f t="shared" si="27"/>
        <v>1400</v>
      </c>
      <c r="L79" s="53"/>
      <c r="M79" s="53"/>
      <c r="N79" s="53"/>
      <c r="O79" s="53"/>
      <c r="P79" s="73"/>
      <c r="Q79" s="59">
        <f t="shared" si="28"/>
        <v>1400</v>
      </c>
      <c r="R79" s="58"/>
      <c r="S79" s="45"/>
      <c r="T79" s="58"/>
      <c r="U79" s="58"/>
      <c r="V79" s="58"/>
      <c r="W79" s="58"/>
      <c r="X79" s="60"/>
      <c r="Y79" s="60"/>
      <c r="Z79" s="57"/>
      <c r="AA79" s="57"/>
      <c r="AB79" s="59">
        <f t="shared" ref="AB79:AB87" si="33">+Q79-SUM(R79:AA79)</f>
        <v>1400</v>
      </c>
      <c r="AC79" s="60">
        <f t="shared" si="31"/>
        <v>0</v>
      </c>
      <c r="AD79" s="59">
        <f t="shared" si="32"/>
        <v>1400</v>
      </c>
      <c r="AE79" s="60">
        <f t="shared" si="29"/>
        <v>140</v>
      </c>
      <c r="AF79" s="37">
        <v>10.23</v>
      </c>
      <c r="AG79" s="67">
        <f t="shared" si="30"/>
        <v>1550.23</v>
      </c>
      <c r="AH79" s="39"/>
      <c r="AI79" s="56"/>
      <c r="AJ79" s="39"/>
      <c r="AK79" s="39"/>
      <c r="AL79" s="56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</row>
    <row r="80" spans="1:54">
      <c r="A80" s="62" t="s">
        <v>92</v>
      </c>
      <c r="B80" s="27" t="s">
        <v>271</v>
      </c>
      <c r="C80" s="27"/>
      <c r="D80" s="27" t="s">
        <v>106</v>
      </c>
      <c r="E80" s="27" t="s">
        <v>163</v>
      </c>
      <c r="F80" s="27"/>
      <c r="G80" s="27"/>
      <c r="H80" s="27"/>
      <c r="I80" s="30">
        <v>739.23</v>
      </c>
      <c r="J80" s="27"/>
      <c r="K80" s="30">
        <f t="shared" si="27"/>
        <v>739.23</v>
      </c>
      <c r="L80" s="30">
        <v>774.3</v>
      </c>
      <c r="M80" s="30"/>
      <c r="N80" s="31"/>
      <c r="O80" s="31"/>
      <c r="P80" s="32"/>
      <c r="Q80" s="33">
        <f t="shared" si="28"/>
        <v>1513.53</v>
      </c>
      <c r="R80" s="34"/>
      <c r="S80" s="45"/>
      <c r="T80" s="45">
        <v>0</v>
      </c>
      <c r="U80" s="45"/>
      <c r="V80" s="45"/>
      <c r="W80" s="45"/>
      <c r="X80" s="36"/>
      <c r="Y80" s="36"/>
      <c r="Z80" s="35"/>
      <c r="AA80" s="35">
        <v>0</v>
      </c>
      <c r="AB80" s="33">
        <f t="shared" si="33"/>
        <v>1513.53</v>
      </c>
      <c r="AC80" s="37">
        <f t="shared" si="31"/>
        <v>0</v>
      </c>
      <c r="AD80" s="33">
        <f t="shared" si="32"/>
        <v>1513.53</v>
      </c>
      <c r="AE80" s="38">
        <f t="shared" si="29"/>
        <v>151.35300000000001</v>
      </c>
      <c r="AF80" s="37">
        <v>10.23</v>
      </c>
      <c r="AG80" s="67">
        <f t="shared" si="30"/>
        <v>1675.1130000000001</v>
      </c>
      <c r="AH80" s="39"/>
      <c r="AI80" s="56"/>
      <c r="AJ80" s="39"/>
      <c r="AK80" s="39"/>
      <c r="AL80" s="56"/>
      <c r="AM80" s="39"/>
      <c r="AN80" s="39"/>
    </row>
    <row r="81" spans="1:40">
      <c r="A81" s="62" t="s">
        <v>92</v>
      </c>
      <c r="B81" s="27" t="s">
        <v>79</v>
      </c>
      <c r="C81" s="27"/>
      <c r="D81" s="27" t="s">
        <v>108</v>
      </c>
      <c r="E81" s="27" t="s">
        <v>166</v>
      </c>
      <c r="F81" s="27"/>
      <c r="G81" s="27"/>
      <c r="H81" s="27"/>
      <c r="I81" s="30">
        <v>739.23</v>
      </c>
      <c r="J81" s="27"/>
      <c r="K81" s="30">
        <f t="shared" si="27"/>
        <v>739.23</v>
      </c>
      <c r="L81" s="30">
        <v>1939.52</v>
      </c>
      <c r="M81" s="30"/>
      <c r="N81" s="30"/>
      <c r="O81" s="30"/>
      <c r="P81" s="32"/>
      <c r="Q81" s="33">
        <f t="shared" si="28"/>
        <v>2678.75</v>
      </c>
      <c r="R81" s="34"/>
      <c r="S81" s="45"/>
      <c r="T81" s="45">
        <v>0</v>
      </c>
      <c r="U81" s="45"/>
      <c r="V81" s="45"/>
      <c r="W81" s="45"/>
      <c r="X81" s="36"/>
      <c r="Y81" s="36"/>
      <c r="Z81" s="35"/>
      <c r="AA81" s="35">
        <v>0</v>
      </c>
      <c r="AB81" s="33">
        <f t="shared" si="33"/>
        <v>2678.75</v>
      </c>
      <c r="AC81" s="37">
        <f t="shared" si="31"/>
        <v>0</v>
      </c>
      <c r="AD81" s="33">
        <f t="shared" si="32"/>
        <v>2678.75</v>
      </c>
      <c r="AE81" s="38">
        <f t="shared" si="29"/>
        <v>267.875</v>
      </c>
      <c r="AF81" s="37">
        <v>10.23</v>
      </c>
      <c r="AG81" s="67">
        <f t="shared" si="30"/>
        <v>2956.855</v>
      </c>
      <c r="AH81" s="39"/>
      <c r="AI81" s="56"/>
      <c r="AJ81" s="39"/>
      <c r="AK81" s="39"/>
      <c r="AL81" s="56"/>
      <c r="AM81" s="39"/>
      <c r="AN81" s="39"/>
    </row>
    <row r="82" spans="1:40">
      <c r="A82" s="27" t="s">
        <v>71</v>
      </c>
      <c r="B82" s="27" t="s">
        <v>274</v>
      </c>
      <c r="C82" s="27" t="s">
        <v>251</v>
      </c>
      <c r="D82" s="27" t="s">
        <v>159</v>
      </c>
      <c r="E82" s="27" t="s">
        <v>73</v>
      </c>
      <c r="F82" s="27"/>
      <c r="G82" s="28"/>
      <c r="H82" s="28"/>
      <c r="I82" s="30">
        <v>513.33000000000004</v>
      </c>
      <c r="J82" s="28">
        <v>653.33000000000004</v>
      </c>
      <c r="K82" s="30">
        <f t="shared" si="27"/>
        <v>1166.6600000000001</v>
      </c>
      <c r="L82" s="30">
        <v>639.69000000000005</v>
      </c>
      <c r="M82" s="30"/>
      <c r="N82" s="31"/>
      <c r="O82" s="31"/>
      <c r="P82" s="32"/>
      <c r="Q82" s="33">
        <f t="shared" si="28"/>
        <v>1806.3500000000001</v>
      </c>
      <c r="R82" s="34"/>
      <c r="S82" s="45"/>
      <c r="T82" s="45">
        <v>0</v>
      </c>
      <c r="U82" s="45"/>
      <c r="V82" s="45"/>
      <c r="W82" s="45"/>
      <c r="X82" s="36"/>
      <c r="Y82" s="36"/>
      <c r="Z82" s="35"/>
      <c r="AA82" s="35">
        <f>488.83+560.34</f>
        <v>1049.17</v>
      </c>
      <c r="AB82" s="33">
        <f t="shared" si="33"/>
        <v>757.18000000000006</v>
      </c>
      <c r="AC82" s="37">
        <f t="shared" si="31"/>
        <v>0</v>
      </c>
      <c r="AD82" s="33">
        <f t="shared" si="32"/>
        <v>757.18000000000006</v>
      </c>
      <c r="AE82" s="38">
        <f t="shared" si="29"/>
        <v>180.63500000000002</v>
      </c>
      <c r="AF82" s="37">
        <v>10.23</v>
      </c>
      <c r="AG82" s="67">
        <f t="shared" si="30"/>
        <v>1997.2150000000001</v>
      </c>
      <c r="AH82" s="39"/>
      <c r="AI82" s="56"/>
      <c r="AJ82" s="39"/>
      <c r="AK82" s="39"/>
      <c r="AL82" s="56"/>
      <c r="AM82" s="39"/>
      <c r="AN82" s="39"/>
    </row>
    <row r="83" spans="1:40">
      <c r="A83" s="27" t="s">
        <v>70</v>
      </c>
      <c r="B83" s="27" t="s">
        <v>275</v>
      </c>
      <c r="C83" s="27" t="s">
        <v>248</v>
      </c>
      <c r="D83" s="27" t="s">
        <v>125</v>
      </c>
      <c r="E83" s="27" t="s">
        <v>173</v>
      </c>
      <c r="F83" s="27"/>
      <c r="G83" s="28"/>
      <c r="H83" s="28"/>
      <c r="I83" s="30">
        <v>1166.67</v>
      </c>
      <c r="J83" s="28"/>
      <c r="K83" s="30">
        <f t="shared" si="27"/>
        <v>1166.67</v>
      </c>
      <c r="L83" s="30">
        <v>2500</v>
      </c>
      <c r="M83" s="30"/>
      <c r="N83" s="31"/>
      <c r="O83" s="31"/>
      <c r="P83" s="32"/>
      <c r="Q83" s="33">
        <f t="shared" si="28"/>
        <v>3666.67</v>
      </c>
      <c r="R83" s="34"/>
      <c r="S83" s="45">
        <v>58.91</v>
      </c>
      <c r="T83" s="45">
        <v>0</v>
      </c>
      <c r="U83" s="45"/>
      <c r="V83" s="45"/>
      <c r="W83" s="45"/>
      <c r="X83" s="36"/>
      <c r="Y83" s="36"/>
      <c r="Z83" s="35"/>
      <c r="AA83" s="35">
        <v>0</v>
      </c>
      <c r="AB83" s="33">
        <f t="shared" si="33"/>
        <v>3607.76</v>
      </c>
      <c r="AC83" s="37">
        <f t="shared" si="31"/>
        <v>0</v>
      </c>
      <c r="AD83" s="33">
        <f t="shared" si="32"/>
        <v>3607.76</v>
      </c>
      <c r="AE83" s="38">
        <f t="shared" si="29"/>
        <v>366.66700000000003</v>
      </c>
      <c r="AF83" s="37">
        <v>10.23</v>
      </c>
      <c r="AG83" s="67">
        <f t="shared" si="30"/>
        <v>4043.567</v>
      </c>
      <c r="AH83" s="39"/>
      <c r="AI83" s="56"/>
      <c r="AJ83" s="39"/>
      <c r="AK83" s="39"/>
      <c r="AL83" s="56"/>
      <c r="AM83" s="39"/>
      <c r="AN83" s="39"/>
    </row>
    <row r="84" spans="1:40">
      <c r="A84" s="62" t="s">
        <v>94</v>
      </c>
      <c r="B84" s="27" t="s">
        <v>197</v>
      </c>
      <c r="C84" s="27"/>
      <c r="D84" s="27" t="s">
        <v>143</v>
      </c>
      <c r="E84" s="27" t="s">
        <v>179</v>
      </c>
      <c r="F84" s="27"/>
      <c r="G84" s="28"/>
      <c r="H84" s="28"/>
      <c r="I84" s="30">
        <v>608.16</v>
      </c>
      <c r="J84" s="28"/>
      <c r="K84" s="30">
        <f t="shared" si="27"/>
        <v>608.16</v>
      </c>
      <c r="L84" s="30">
        <v>3752</v>
      </c>
      <c r="M84" s="30"/>
      <c r="N84" s="31"/>
      <c r="O84" s="31"/>
      <c r="P84" s="32"/>
      <c r="Q84" s="33">
        <f t="shared" si="28"/>
        <v>4360.16</v>
      </c>
      <c r="R84" s="34"/>
      <c r="S84" s="45"/>
      <c r="T84" s="75">
        <v>200</v>
      </c>
      <c r="U84" s="75">
        <f>Q84*4.9%</f>
        <v>213.64784</v>
      </c>
      <c r="V84" s="75">
        <f>Q84*1%</f>
        <v>43.601599999999998</v>
      </c>
      <c r="W84" s="45"/>
      <c r="X84" s="36"/>
      <c r="Y84" s="36"/>
      <c r="Z84" s="35"/>
      <c r="AA84" s="35">
        <v>0</v>
      </c>
      <c r="AB84" s="33">
        <f t="shared" si="33"/>
        <v>3902.9105599999998</v>
      </c>
      <c r="AC84" s="37">
        <f t="shared" si="31"/>
        <v>0</v>
      </c>
      <c r="AD84" s="33">
        <f t="shared" si="32"/>
        <v>3902.9105599999998</v>
      </c>
      <c r="AE84" s="38">
        <f t="shared" si="29"/>
        <v>436.01600000000002</v>
      </c>
      <c r="AF84" s="37">
        <v>10.23</v>
      </c>
      <c r="AG84" s="67">
        <f t="shared" si="30"/>
        <v>4806.405999999999</v>
      </c>
      <c r="AH84" s="39"/>
      <c r="AI84" s="56"/>
      <c r="AJ84" s="39"/>
      <c r="AK84" s="39"/>
      <c r="AL84" s="56"/>
      <c r="AM84" s="39"/>
      <c r="AN84" s="39"/>
    </row>
    <row r="85" spans="1:40">
      <c r="A85" s="27" t="s">
        <v>91</v>
      </c>
      <c r="B85" s="27" t="s">
        <v>80</v>
      </c>
      <c r="C85" s="27"/>
      <c r="D85" s="27" t="s">
        <v>110</v>
      </c>
      <c r="E85" s="27" t="s">
        <v>168</v>
      </c>
      <c r="F85" s="27"/>
      <c r="G85" s="27"/>
      <c r="H85" s="27"/>
      <c r="I85" s="30">
        <v>1100</v>
      </c>
      <c r="J85" s="27"/>
      <c r="K85" s="30">
        <f t="shared" si="27"/>
        <v>1100</v>
      </c>
      <c r="L85" s="30"/>
      <c r="M85" s="30"/>
      <c r="N85" s="30"/>
      <c r="O85" s="30"/>
      <c r="P85" s="32"/>
      <c r="Q85" s="33">
        <f t="shared" si="28"/>
        <v>1100</v>
      </c>
      <c r="R85" s="34"/>
      <c r="S85" s="45"/>
      <c r="T85" s="45">
        <v>0</v>
      </c>
      <c r="U85" s="45"/>
      <c r="V85" s="45"/>
      <c r="W85" s="45"/>
      <c r="X85" s="36"/>
      <c r="Y85" s="36"/>
      <c r="Z85" s="35"/>
      <c r="AA85" s="35">
        <v>0</v>
      </c>
      <c r="AB85" s="33">
        <f t="shared" si="33"/>
        <v>1100</v>
      </c>
      <c r="AC85" s="37">
        <f t="shared" si="31"/>
        <v>0</v>
      </c>
      <c r="AD85" s="33">
        <f t="shared" si="32"/>
        <v>1100</v>
      </c>
      <c r="AE85" s="38">
        <f t="shared" si="29"/>
        <v>110</v>
      </c>
      <c r="AF85" s="37">
        <v>10.23</v>
      </c>
      <c r="AG85" s="67">
        <f t="shared" si="30"/>
        <v>1220.23</v>
      </c>
      <c r="AH85" s="39"/>
      <c r="AI85" s="56"/>
      <c r="AJ85" s="39"/>
      <c r="AK85" s="39"/>
      <c r="AL85" s="56"/>
      <c r="AM85" s="39"/>
      <c r="AN85" s="39"/>
    </row>
    <row r="86" spans="1:40">
      <c r="A86" s="27" t="s">
        <v>71</v>
      </c>
      <c r="B86" s="27" t="s">
        <v>90</v>
      </c>
      <c r="C86" s="27" t="s">
        <v>254</v>
      </c>
      <c r="D86" s="27" t="s">
        <v>160</v>
      </c>
      <c r="E86" s="27" t="s">
        <v>73</v>
      </c>
      <c r="F86" s="27"/>
      <c r="G86" s="28"/>
      <c r="H86" s="28"/>
      <c r="I86" s="30">
        <v>513.33000000000004</v>
      </c>
      <c r="J86" s="28">
        <v>653.33000000000004</v>
      </c>
      <c r="K86" s="30">
        <f t="shared" si="27"/>
        <v>1166.6600000000001</v>
      </c>
      <c r="L86" s="30"/>
      <c r="M86" s="30"/>
      <c r="N86" s="31"/>
      <c r="O86" s="31"/>
      <c r="P86" s="32"/>
      <c r="Q86" s="33">
        <f t="shared" si="28"/>
        <v>1166.6600000000001</v>
      </c>
      <c r="R86" s="34"/>
      <c r="S86" s="45"/>
      <c r="T86" s="45">
        <v>0</v>
      </c>
      <c r="U86" s="45"/>
      <c r="V86" s="45"/>
      <c r="W86" s="45"/>
      <c r="X86" s="36"/>
      <c r="Y86" s="36"/>
      <c r="Z86" s="35"/>
      <c r="AA86" s="35">
        <v>0</v>
      </c>
      <c r="AB86" s="33">
        <f t="shared" si="33"/>
        <v>1166.6600000000001</v>
      </c>
      <c r="AC86" s="37">
        <f t="shared" si="31"/>
        <v>0</v>
      </c>
      <c r="AD86" s="33">
        <f t="shared" si="32"/>
        <v>1166.6600000000001</v>
      </c>
      <c r="AE86" s="38">
        <f t="shared" si="29"/>
        <v>116.66600000000001</v>
      </c>
      <c r="AF86" s="37">
        <v>10.23</v>
      </c>
      <c r="AG86" s="67">
        <f t="shared" si="30"/>
        <v>1293.556</v>
      </c>
      <c r="AH86" s="39"/>
      <c r="AI86" s="56"/>
      <c r="AJ86" s="39"/>
      <c r="AK86" s="39"/>
      <c r="AL86" s="56"/>
      <c r="AM86" s="39"/>
      <c r="AN86" s="39"/>
    </row>
    <row r="87" spans="1:40">
      <c r="A87" s="62" t="s">
        <v>92</v>
      </c>
      <c r="B87" s="27" t="s">
        <v>210</v>
      </c>
      <c r="C87" s="27"/>
      <c r="D87" s="27" t="s">
        <v>109</v>
      </c>
      <c r="E87" s="27" t="s">
        <v>166</v>
      </c>
      <c r="F87" s="27"/>
      <c r="G87" s="27"/>
      <c r="H87" s="27"/>
      <c r="I87" s="30">
        <v>739.23</v>
      </c>
      <c r="J87" s="27"/>
      <c r="K87" s="30">
        <f t="shared" si="27"/>
        <v>739.23</v>
      </c>
      <c r="L87" s="30">
        <v>2851</v>
      </c>
      <c r="M87" s="30"/>
      <c r="N87" s="30"/>
      <c r="O87" s="30"/>
      <c r="P87" s="32"/>
      <c r="Q87" s="33">
        <f t="shared" si="28"/>
        <v>3590.23</v>
      </c>
      <c r="R87" s="34"/>
      <c r="S87" s="45"/>
      <c r="T87" s="75">
        <v>500</v>
      </c>
      <c r="U87" s="45"/>
      <c r="V87" s="45"/>
      <c r="W87" s="45"/>
      <c r="X87" s="36"/>
      <c r="Y87" s="36"/>
      <c r="Z87" s="35"/>
      <c r="AA87" s="35">
        <v>0</v>
      </c>
      <c r="AB87" s="33">
        <f t="shared" si="33"/>
        <v>3090.23</v>
      </c>
      <c r="AC87" s="37">
        <f t="shared" si="31"/>
        <v>0</v>
      </c>
      <c r="AD87" s="33">
        <f t="shared" si="32"/>
        <v>3090.23</v>
      </c>
      <c r="AE87" s="38">
        <f t="shared" si="29"/>
        <v>359.02300000000002</v>
      </c>
      <c r="AF87" s="37">
        <v>10.23</v>
      </c>
      <c r="AG87" s="67">
        <f t="shared" si="30"/>
        <v>3959.4830000000002</v>
      </c>
      <c r="AH87" s="39"/>
      <c r="AI87" s="56"/>
      <c r="AJ87" s="39"/>
      <c r="AK87" s="39"/>
      <c r="AL87" s="56"/>
      <c r="AM87" s="39"/>
      <c r="AN87" s="39"/>
    </row>
    <row r="88" spans="1:40">
      <c r="A88" s="27" t="s">
        <v>71</v>
      </c>
      <c r="B88" s="27" t="s">
        <v>217</v>
      </c>
      <c r="C88" s="27" t="s">
        <v>251</v>
      </c>
      <c r="D88" s="44" t="s">
        <v>218</v>
      </c>
      <c r="E88" s="27" t="s">
        <v>73</v>
      </c>
      <c r="F88" s="27"/>
      <c r="G88" s="28"/>
      <c r="H88" s="28"/>
      <c r="I88" s="30">
        <v>513.33000000000004</v>
      </c>
      <c r="J88" s="28">
        <v>653.33000000000004</v>
      </c>
      <c r="K88" s="30">
        <f t="shared" si="27"/>
        <v>1166.6600000000001</v>
      </c>
      <c r="L88" s="30"/>
      <c r="M88" s="30"/>
      <c r="N88" s="30"/>
      <c r="O88" s="30"/>
      <c r="P88" s="32"/>
      <c r="Q88" s="33">
        <f t="shared" ref="Q88" si="34">SUM(K88:O88)-P88</f>
        <v>1166.6600000000001</v>
      </c>
      <c r="R88" s="34"/>
      <c r="S88" s="45"/>
      <c r="T88" s="45"/>
      <c r="U88" s="45"/>
      <c r="V88" s="45"/>
      <c r="W88" s="45"/>
      <c r="X88" s="36"/>
      <c r="Y88" s="36"/>
      <c r="Z88" s="35"/>
      <c r="AA88" s="35">
        <v>291.5</v>
      </c>
      <c r="AB88" s="33">
        <f t="shared" ref="AB88" si="35">+Q88-SUM(R88:AA88)</f>
        <v>875.16000000000008</v>
      </c>
      <c r="AC88" s="37">
        <f t="shared" ref="AC88" si="36">IF(Q88&gt;4500,Q88*0.1,0)</f>
        <v>0</v>
      </c>
      <c r="AD88" s="33">
        <f t="shared" ref="AD88" si="37">+AB88-AC88</f>
        <v>875.16000000000008</v>
      </c>
      <c r="AE88" s="38">
        <f t="shared" ref="AE88" si="38">IF(Q88&lt;4500,Q88*0.1,0)</f>
        <v>116.66600000000001</v>
      </c>
      <c r="AF88" s="37">
        <v>10.23</v>
      </c>
      <c r="AG88" s="67">
        <f t="shared" ref="AG88" si="39">+Q88+AE88+AF88</f>
        <v>1293.556</v>
      </c>
      <c r="AH88" s="39"/>
      <c r="AI88" s="56"/>
      <c r="AJ88" s="39"/>
      <c r="AK88" s="39"/>
      <c r="AL88" s="56"/>
      <c r="AM88" s="39"/>
      <c r="AN88" s="39"/>
    </row>
    <row r="89" spans="1:40">
      <c r="A89" s="27" t="s">
        <v>91</v>
      </c>
      <c r="B89" s="63" t="s">
        <v>241</v>
      </c>
      <c r="C89" s="63"/>
      <c r="D89" s="44"/>
      <c r="E89" s="27" t="s">
        <v>242</v>
      </c>
      <c r="F89" s="27"/>
      <c r="G89" s="28"/>
      <c r="H89" s="28"/>
      <c r="I89" s="76">
        <v>1166.26</v>
      </c>
      <c r="J89" s="28"/>
      <c r="K89" s="30">
        <f t="shared" si="27"/>
        <v>1166.26</v>
      </c>
      <c r="L89" s="30">
        <v>2280.46</v>
      </c>
      <c r="M89" s="30"/>
      <c r="N89" s="31"/>
      <c r="O89" s="31"/>
      <c r="P89" s="32"/>
      <c r="Q89" s="33">
        <f t="shared" ref="Q89" si="40">SUM(K89:O89)-P89</f>
        <v>3446.7200000000003</v>
      </c>
      <c r="R89" s="34"/>
      <c r="S89" s="45"/>
      <c r="T89" s="45"/>
      <c r="U89" s="45"/>
      <c r="V89" s="45"/>
      <c r="W89" s="45"/>
      <c r="X89" s="36"/>
      <c r="Y89" s="36"/>
      <c r="Z89" s="35"/>
      <c r="AA89" s="35">
        <v>0</v>
      </c>
      <c r="AB89" s="33">
        <f t="shared" ref="AB89" si="41">+Q89-SUM(R89:AA89)</f>
        <v>3446.7200000000003</v>
      </c>
      <c r="AC89" s="37">
        <f t="shared" ref="AC89" si="42">IF(Q89&gt;4500,Q89*0.1,0)</f>
        <v>0</v>
      </c>
      <c r="AD89" s="33">
        <f t="shared" ref="AD89" si="43">+AB89-AC89</f>
        <v>3446.7200000000003</v>
      </c>
      <c r="AE89" s="38">
        <f t="shared" ref="AE89" si="44">IF(Q89&lt;4500,Q89*0.1,0)</f>
        <v>344.67200000000003</v>
      </c>
      <c r="AF89" s="37">
        <v>10.23</v>
      </c>
      <c r="AG89" s="67">
        <f t="shared" ref="AG89" si="45">+Q89+AE89+AF89</f>
        <v>3801.6220000000003</v>
      </c>
      <c r="AH89" s="39"/>
      <c r="AI89" s="56"/>
      <c r="AJ89" s="39"/>
      <c r="AK89" s="39"/>
      <c r="AL89" s="56"/>
      <c r="AM89" s="39"/>
      <c r="AN89" s="39"/>
    </row>
    <row r="90" spans="1:40">
      <c r="A90" s="27" t="s">
        <v>71</v>
      </c>
      <c r="B90" s="63" t="s">
        <v>250</v>
      </c>
      <c r="C90" s="27" t="s">
        <v>249</v>
      </c>
      <c r="D90" s="44"/>
      <c r="E90" s="27" t="s">
        <v>73</v>
      </c>
      <c r="F90" s="27"/>
      <c r="G90" s="28"/>
      <c r="H90" s="28"/>
      <c r="I90" s="76">
        <v>1166.26</v>
      </c>
      <c r="J90" s="28"/>
      <c r="K90" s="30">
        <f t="shared" si="27"/>
        <v>1166.26</v>
      </c>
      <c r="L90" s="30"/>
      <c r="M90" s="30"/>
      <c r="N90" s="31"/>
      <c r="O90" s="31"/>
      <c r="P90" s="32"/>
      <c r="Q90" s="33">
        <f t="shared" ref="Q90" si="46">SUM(K90:O90)-P90</f>
        <v>1166.26</v>
      </c>
      <c r="R90" s="34"/>
      <c r="S90" s="45">
        <v>58.91</v>
      </c>
      <c r="T90" s="45"/>
      <c r="U90" s="45"/>
      <c r="V90" s="45"/>
      <c r="W90" s="45"/>
      <c r="X90" s="36"/>
      <c r="Y90" s="36"/>
      <c r="Z90" s="35"/>
      <c r="AA90" s="35">
        <v>0</v>
      </c>
      <c r="AB90" s="33">
        <f t="shared" ref="AB90" si="47">+Q90-SUM(R90:AA90)</f>
        <v>1107.3499999999999</v>
      </c>
      <c r="AC90" s="37">
        <f t="shared" ref="AC90" si="48">IF(Q90&gt;4500,Q90*0.1,0)</f>
        <v>0</v>
      </c>
      <c r="AD90" s="33">
        <f t="shared" ref="AD90" si="49">+AB90-AC90</f>
        <v>1107.3499999999999</v>
      </c>
      <c r="AE90" s="38">
        <f t="shared" ref="AE90" si="50">IF(Q90&lt;4500,Q90*0.1,0)</f>
        <v>116.626</v>
      </c>
      <c r="AF90" s="37">
        <v>10.23</v>
      </c>
      <c r="AG90" s="67">
        <f t="shared" ref="AG90" si="51">+Q90+AE90+AF90</f>
        <v>1293.116</v>
      </c>
      <c r="AH90" s="39"/>
      <c r="AI90" s="56"/>
      <c r="AJ90" s="39"/>
      <c r="AK90" s="39"/>
      <c r="AL90" s="56"/>
      <c r="AM90" s="39"/>
      <c r="AN90" s="39"/>
    </row>
    <row r="91" spans="1:40">
      <c r="A91" s="27"/>
      <c r="B91" s="27"/>
      <c r="C91" s="27"/>
      <c r="D91" s="44"/>
      <c r="E91" s="27"/>
      <c r="F91" s="27"/>
      <c r="G91" s="28"/>
      <c r="H91" s="28"/>
      <c r="I91" s="30"/>
      <c r="J91" s="28"/>
      <c r="K91" s="30"/>
      <c r="L91" s="30"/>
      <c r="M91" s="30"/>
      <c r="N91" s="31"/>
      <c r="O91" s="31"/>
      <c r="P91" s="32"/>
      <c r="Q91" s="33"/>
      <c r="R91" s="34"/>
      <c r="S91" s="45"/>
      <c r="T91" s="45"/>
      <c r="U91" s="45"/>
      <c r="V91" s="45"/>
      <c r="W91" s="45"/>
      <c r="X91" s="36"/>
      <c r="Y91" s="36"/>
      <c r="Z91" s="45"/>
      <c r="AA91" s="35"/>
      <c r="AB91" s="33"/>
      <c r="AC91" s="37"/>
      <c r="AD91" s="33"/>
      <c r="AE91" s="38"/>
      <c r="AF91" s="37"/>
      <c r="AG91" s="67"/>
      <c r="AH91" s="39"/>
      <c r="AI91" s="56"/>
      <c r="AJ91" s="39"/>
      <c r="AK91" s="39"/>
      <c r="AL91" s="39"/>
      <c r="AM91" s="39"/>
      <c r="AN91" s="39"/>
    </row>
    <row r="92" spans="1:40">
      <c r="A92" s="27"/>
      <c r="B92" s="27"/>
      <c r="C92" s="27"/>
      <c r="D92" s="44"/>
      <c r="E92" s="27"/>
      <c r="F92" s="27"/>
      <c r="G92" s="28"/>
      <c r="H92" s="28"/>
      <c r="I92" s="30"/>
      <c r="J92" s="28"/>
      <c r="K92" s="30"/>
      <c r="L92" s="30"/>
      <c r="M92" s="30"/>
      <c r="N92" s="31"/>
      <c r="O92" s="31"/>
      <c r="P92" s="32"/>
      <c r="Q92" s="33"/>
      <c r="R92" s="34"/>
      <c r="S92" s="45"/>
      <c r="T92" s="45"/>
      <c r="U92" s="45"/>
      <c r="V92" s="45"/>
      <c r="W92" s="45"/>
      <c r="X92" s="36"/>
      <c r="Y92" s="36"/>
      <c r="Z92" s="45"/>
      <c r="AA92" s="35"/>
      <c r="AB92" s="33"/>
      <c r="AC92" s="37"/>
      <c r="AD92" s="33"/>
      <c r="AE92" s="38"/>
      <c r="AF92" s="37"/>
      <c r="AG92" s="67"/>
      <c r="AH92" s="39"/>
      <c r="AI92" s="56">
        <f t="shared" ref="AI92:AI94" si="52">+AD92-AH92</f>
        <v>0</v>
      </c>
      <c r="AJ92" s="39"/>
      <c r="AK92" s="39"/>
      <c r="AL92" s="39"/>
      <c r="AM92" s="39"/>
      <c r="AN92" s="39"/>
    </row>
    <row r="93" spans="1:40">
      <c r="A93" s="46"/>
      <c r="B93" s="27"/>
      <c r="C93" s="27"/>
      <c r="D93" s="28"/>
      <c r="E93" s="27"/>
      <c r="F93" s="27"/>
      <c r="G93" s="27"/>
      <c r="H93" s="27"/>
      <c r="I93" s="30"/>
      <c r="J93" s="27"/>
      <c r="K93" s="30"/>
      <c r="L93" s="30"/>
      <c r="M93" s="30"/>
      <c r="N93" s="30"/>
      <c r="O93" s="30"/>
      <c r="P93" s="32"/>
      <c r="Q93" s="33"/>
      <c r="R93" s="34"/>
      <c r="S93" s="45"/>
      <c r="T93" s="45"/>
      <c r="U93" s="45"/>
      <c r="V93" s="45"/>
      <c r="W93" s="45"/>
      <c r="X93" s="36"/>
      <c r="Y93" s="36"/>
      <c r="Z93" s="45"/>
      <c r="AA93" s="43"/>
      <c r="AB93" s="33"/>
      <c r="AC93" s="37"/>
      <c r="AD93" s="33"/>
      <c r="AE93" s="38"/>
      <c r="AF93" s="37"/>
      <c r="AG93" s="67"/>
      <c r="AH93" s="39"/>
      <c r="AI93" s="56">
        <f t="shared" si="52"/>
        <v>0</v>
      </c>
      <c r="AJ93" s="39"/>
      <c r="AK93" s="39"/>
      <c r="AL93" s="39"/>
      <c r="AM93" s="39"/>
      <c r="AN93" s="39"/>
    </row>
    <row r="94" spans="1:40">
      <c r="A94" s="46"/>
      <c r="B94" s="27"/>
      <c r="C94" s="27"/>
      <c r="D94" s="28"/>
      <c r="E94" s="27"/>
      <c r="F94" s="27"/>
      <c r="G94" s="27"/>
      <c r="H94" s="27"/>
      <c r="I94" s="30"/>
      <c r="J94" s="27"/>
      <c r="K94" s="30"/>
      <c r="L94" s="30"/>
      <c r="M94" s="30"/>
      <c r="N94" s="30"/>
      <c r="O94" s="30"/>
      <c r="P94" s="32"/>
      <c r="Q94" s="33"/>
      <c r="R94" s="34"/>
      <c r="S94" s="45"/>
      <c r="T94" s="45"/>
      <c r="U94" s="45"/>
      <c r="V94" s="45"/>
      <c r="W94" s="45"/>
      <c r="X94" s="36"/>
      <c r="Y94" s="36"/>
      <c r="Z94" s="36"/>
      <c r="AA94" s="36"/>
      <c r="AB94" s="33"/>
      <c r="AC94" s="37"/>
      <c r="AD94" s="33"/>
      <c r="AE94" s="38"/>
      <c r="AF94" s="37"/>
      <c r="AG94" s="67"/>
      <c r="AH94" s="39"/>
      <c r="AI94" s="56">
        <f t="shared" si="52"/>
        <v>0</v>
      </c>
      <c r="AJ94" s="39"/>
      <c r="AK94" s="39"/>
      <c r="AL94" s="39"/>
      <c r="AM94" s="39"/>
      <c r="AN94" s="39"/>
    </row>
    <row r="95" spans="1:40" s="39" customFormat="1">
      <c r="A95" s="46"/>
      <c r="B95" s="47"/>
      <c r="C95" s="47"/>
      <c r="D95" s="47"/>
      <c r="E95" s="47"/>
      <c r="F95" s="47"/>
      <c r="G95" s="47"/>
      <c r="H95" s="47"/>
      <c r="I95" s="48"/>
      <c r="J95" s="47"/>
      <c r="K95" s="48"/>
      <c r="L95" s="48"/>
      <c r="M95" s="48"/>
      <c r="N95" s="48"/>
      <c r="O95" s="48"/>
      <c r="P95" s="48"/>
      <c r="Q95" s="49"/>
      <c r="R95" s="48"/>
      <c r="S95" s="48"/>
      <c r="T95" s="48"/>
      <c r="U95" s="48"/>
      <c r="V95" s="48"/>
      <c r="W95" s="48"/>
      <c r="X95" s="37"/>
      <c r="Y95" s="37"/>
      <c r="Z95" s="37"/>
      <c r="AA95" s="37"/>
      <c r="AB95" s="50"/>
      <c r="AC95" s="37"/>
      <c r="AD95" s="49"/>
      <c r="AE95" s="37"/>
      <c r="AF95" s="37"/>
      <c r="AG95" s="49"/>
    </row>
    <row r="96" spans="1:40" ht="15.75" thickBot="1">
      <c r="B96" s="51" t="s">
        <v>17</v>
      </c>
      <c r="C96" s="51"/>
      <c r="D96" s="51"/>
      <c r="E96" s="51"/>
      <c r="F96" s="51"/>
      <c r="G96" s="51"/>
      <c r="H96" s="51"/>
      <c r="I96" s="77"/>
      <c r="J96" s="51"/>
      <c r="K96" s="52">
        <f t="shared" ref="K96:R96" si="53">SUM(K7:K95)</f>
        <v>73736.400000000081</v>
      </c>
      <c r="L96" s="52">
        <f t="shared" si="53"/>
        <v>261382.26</v>
      </c>
      <c r="M96" s="52"/>
      <c r="N96" s="52">
        <f t="shared" si="53"/>
        <v>0</v>
      </c>
      <c r="O96" s="52">
        <f t="shared" si="53"/>
        <v>0</v>
      </c>
      <c r="P96" s="52">
        <f t="shared" si="53"/>
        <v>0</v>
      </c>
      <c r="Q96" s="52">
        <f t="shared" si="53"/>
        <v>335439.50999999989</v>
      </c>
      <c r="R96" s="52">
        <f t="shared" si="53"/>
        <v>0</v>
      </c>
      <c r="S96" s="52"/>
      <c r="T96" s="71">
        <f t="shared" ref="T96:AL96" si="54">SUM(T7:T95)</f>
        <v>4828.2170000000006</v>
      </c>
      <c r="U96" s="71">
        <f t="shared" si="54"/>
        <v>1976.21606</v>
      </c>
      <c r="V96" s="71">
        <f t="shared" si="54"/>
        <v>406.86950000000002</v>
      </c>
      <c r="W96" s="71">
        <f t="shared" si="54"/>
        <v>879.38</v>
      </c>
      <c r="X96" s="52">
        <f t="shared" si="54"/>
        <v>0</v>
      </c>
      <c r="Y96" s="52">
        <f t="shared" si="54"/>
        <v>167.44</v>
      </c>
      <c r="Z96" s="52">
        <f t="shared" si="54"/>
        <v>406.94</v>
      </c>
      <c r="AA96" s="52">
        <f t="shared" si="54"/>
        <v>7279.3550000000005</v>
      </c>
      <c r="AB96" s="52">
        <f t="shared" si="54"/>
        <v>318808.80243999982</v>
      </c>
      <c r="AC96" s="52">
        <f t="shared" si="54"/>
        <v>20983.65</v>
      </c>
      <c r="AD96" s="52">
        <f t="shared" si="54"/>
        <v>297825.15243999998</v>
      </c>
      <c r="AE96" s="52">
        <f t="shared" si="54"/>
        <v>12560.300999999996</v>
      </c>
      <c r="AF96" s="52">
        <f t="shared" si="54"/>
        <v>859.32000000000096</v>
      </c>
      <c r="AG96" s="52">
        <f t="shared" si="54"/>
        <v>348859.13099999994</v>
      </c>
      <c r="AH96" s="52">
        <f t="shared" si="54"/>
        <v>0</v>
      </c>
      <c r="AI96" s="52">
        <f t="shared" si="54"/>
        <v>0</v>
      </c>
      <c r="AJ96" s="52">
        <f t="shared" si="54"/>
        <v>0</v>
      </c>
      <c r="AK96" s="52">
        <f t="shared" si="54"/>
        <v>0</v>
      </c>
      <c r="AL96" s="52">
        <f t="shared" si="54"/>
        <v>0</v>
      </c>
    </row>
    <row r="97" spans="1:38" ht="15.75" thickTop="1">
      <c r="AG97" s="24">
        <f>AG96*0.16</f>
        <v>55817.460959999989</v>
      </c>
      <c r="AH97" s="24"/>
      <c r="AI97" s="24"/>
      <c r="AJ97" s="24"/>
      <c r="AK97" s="24"/>
      <c r="AL97" s="24"/>
    </row>
    <row r="98" spans="1:38">
      <c r="A98" s="137" t="s">
        <v>33</v>
      </c>
      <c r="B98" s="137"/>
      <c r="C98" s="69"/>
      <c r="AG98" s="24">
        <f>+AG96+AG97</f>
        <v>404676.59195999993</v>
      </c>
      <c r="AH98" s="24"/>
      <c r="AI98" s="24"/>
      <c r="AJ98" s="24"/>
      <c r="AK98" s="24"/>
      <c r="AL98" s="24"/>
    </row>
    <row r="99" spans="1:38">
      <c r="A99" s="46"/>
      <c r="B99" s="27"/>
      <c r="C99" s="27"/>
      <c r="D99" s="28"/>
      <c r="E99" s="27"/>
      <c r="F99" s="27"/>
      <c r="G99" s="27"/>
      <c r="H99" s="27"/>
      <c r="I99" s="30"/>
      <c r="J99" s="27"/>
      <c r="K99" s="30"/>
      <c r="L99" s="30"/>
      <c r="M99" s="30"/>
      <c r="N99" s="30"/>
      <c r="O99" s="30"/>
      <c r="P99" s="30"/>
      <c r="Q99" s="33">
        <f>SUM(K99:P99)</f>
        <v>0</v>
      </c>
      <c r="R99" s="34"/>
      <c r="S99" s="34"/>
      <c r="T99" s="53"/>
      <c r="U99" s="53"/>
      <c r="V99" s="53"/>
      <c r="W99" s="53"/>
      <c r="X99" s="54"/>
      <c r="Y99" s="54"/>
      <c r="Z99" s="54"/>
      <c r="AA99" s="54"/>
      <c r="AB99" s="33">
        <f>+Q99-R99</f>
        <v>0</v>
      </c>
      <c r="AC99" s="37">
        <f>+AB99*0.05</f>
        <v>0</v>
      </c>
      <c r="AD99" s="33">
        <f>+AB99-X99-AA99</f>
        <v>0</v>
      </c>
      <c r="AE99" s="38">
        <f>IF(AB99&lt;3000,AB99*0.1,0)</f>
        <v>0</v>
      </c>
      <c r="AF99" s="37">
        <v>0</v>
      </c>
      <c r="AG99" s="33">
        <f>+AB99+AE99+AF99</f>
        <v>0</v>
      </c>
      <c r="AH99" s="33">
        <f t="shared" ref="AH99:AL99" si="55">+AC99+AF99+AG99</f>
        <v>0</v>
      </c>
      <c r="AI99" s="33">
        <f t="shared" si="55"/>
        <v>0</v>
      </c>
      <c r="AJ99" s="33">
        <f t="shared" si="55"/>
        <v>0</v>
      </c>
      <c r="AK99" s="33">
        <f t="shared" si="55"/>
        <v>0</v>
      </c>
      <c r="AL99" s="33">
        <f t="shared" si="55"/>
        <v>0</v>
      </c>
    </row>
    <row r="100" spans="1:38">
      <c r="A100" s="46"/>
      <c r="B100" s="28"/>
      <c r="C100" s="28"/>
      <c r="D100" s="28"/>
      <c r="E100" s="28"/>
      <c r="F100" s="28"/>
      <c r="G100" s="28"/>
      <c r="H100" s="28"/>
      <c r="I100" s="31"/>
      <c r="J100" s="28"/>
      <c r="K100" s="31"/>
      <c r="L100" s="31"/>
      <c r="M100" s="31"/>
      <c r="N100" s="31"/>
      <c r="O100" s="31"/>
      <c r="P100" s="31"/>
      <c r="Q100" s="33">
        <f>SUM(K100:P100)</f>
        <v>0</v>
      </c>
      <c r="R100" s="34"/>
      <c r="S100" s="34"/>
      <c r="T100" s="53"/>
      <c r="U100" s="53"/>
      <c r="V100" s="53"/>
      <c r="W100" s="53"/>
      <c r="X100" s="54"/>
      <c r="Y100" s="54"/>
      <c r="Z100" s="54"/>
      <c r="AA100" s="54"/>
      <c r="AB100" s="33">
        <f>+Q100-R100</f>
        <v>0</v>
      </c>
      <c r="AC100" s="37">
        <f>+AB100*0.05</f>
        <v>0</v>
      </c>
      <c r="AD100" s="33">
        <f>+AB100-X100-AA100</f>
        <v>0</v>
      </c>
      <c r="AE100" s="38">
        <f>IF(AB100&lt;3000,AB100*0.1,0)</f>
        <v>0</v>
      </c>
      <c r="AF100" s="37">
        <v>0</v>
      </c>
      <c r="AG100" s="33">
        <f>+AB100+AE100+AF100</f>
        <v>0</v>
      </c>
      <c r="AH100" s="33">
        <f t="shared" ref="AH100:AL100" si="56">+AC100+AF100+AG100</f>
        <v>0</v>
      </c>
      <c r="AI100" s="33">
        <f t="shared" si="56"/>
        <v>0</v>
      </c>
      <c r="AJ100" s="33">
        <f t="shared" si="56"/>
        <v>0</v>
      </c>
      <c r="AK100" s="33">
        <f t="shared" si="56"/>
        <v>0</v>
      </c>
      <c r="AL100" s="33">
        <f t="shared" si="56"/>
        <v>0</v>
      </c>
    </row>
    <row r="101" spans="1:38">
      <c r="AG101" s="24">
        <f>SUM(AG99:AG100)</f>
        <v>0</v>
      </c>
    </row>
    <row r="102" spans="1:38">
      <c r="B102" s="55" t="s">
        <v>18</v>
      </c>
      <c r="C102" s="55"/>
      <c r="D102" s="55"/>
      <c r="AG102" s="24">
        <f>+AG101*0.16</f>
        <v>0</v>
      </c>
    </row>
    <row r="103" spans="1:38">
      <c r="B103" s="55"/>
      <c r="C103" s="55"/>
      <c r="D103" s="55"/>
      <c r="AG103" s="24">
        <f>+AG101+AG102</f>
        <v>0</v>
      </c>
    </row>
    <row r="104" spans="1:38">
      <c r="B104" s="55"/>
      <c r="C104" s="55"/>
      <c r="D104" s="55"/>
    </row>
    <row r="105" spans="1:38">
      <c r="B105" s="55" t="s">
        <v>19</v>
      </c>
      <c r="C105" s="55"/>
      <c r="D105" s="55"/>
      <c r="AG105" s="24">
        <f>+AG98+AG103</f>
        <v>404676.59195999993</v>
      </c>
    </row>
    <row r="112" spans="1:38">
      <c r="A112" s="41" t="s">
        <v>57</v>
      </c>
      <c r="B112" s="23"/>
      <c r="C112" s="23"/>
    </row>
    <row r="113" spans="1:3">
      <c r="A113" s="41" t="s">
        <v>58</v>
      </c>
      <c r="B113" s="23"/>
      <c r="C113" s="23"/>
    </row>
    <row r="114" spans="1:3">
      <c r="A114" s="41" t="s">
        <v>59</v>
      </c>
      <c r="B114" s="23"/>
      <c r="C114" s="23"/>
    </row>
    <row r="115" spans="1:3">
      <c r="A115" s="41" t="s">
        <v>60</v>
      </c>
      <c r="B115" s="23"/>
      <c r="C115" s="23"/>
    </row>
    <row r="116" spans="1:3">
      <c r="A116" s="41" t="s">
        <v>61</v>
      </c>
      <c r="B116" s="23"/>
      <c r="C116" s="23"/>
    </row>
    <row r="117" spans="1:3">
      <c r="A117" s="41" t="s">
        <v>62</v>
      </c>
      <c r="B117" s="23"/>
      <c r="C117" s="23"/>
    </row>
    <row r="121" spans="1:3">
      <c r="B121" s="27"/>
      <c r="C121" s="70"/>
    </row>
    <row r="122" spans="1:3">
      <c r="B122" s="27"/>
      <c r="C122" s="70"/>
    </row>
    <row r="123" spans="1:3">
      <c r="B123" s="27"/>
      <c r="C123" s="70"/>
    </row>
  </sheetData>
  <sheetProtection selectLockedCells="1" selectUnlockedCells="1"/>
  <autoFilter ref="A5:AL94">
    <filterColumn colId="35" showButton="0"/>
  </autoFilter>
  <mergeCells count="38">
    <mergeCell ref="A98:B98"/>
    <mergeCell ref="AA5:AA6"/>
    <mergeCell ref="AD5:AD6"/>
    <mergeCell ref="N5:N6"/>
    <mergeCell ref="P5:P6"/>
    <mergeCell ref="H5:H6"/>
    <mergeCell ref="Y5:Y6"/>
    <mergeCell ref="Z5:Z6"/>
    <mergeCell ref="A5:A6"/>
    <mergeCell ref="D5:D6"/>
    <mergeCell ref="B5:B6"/>
    <mergeCell ref="E5:E6"/>
    <mergeCell ref="I5:I6"/>
    <mergeCell ref="J5:J6"/>
    <mergeCell ref="L5:L6"/>
    <mergeCell ref="T5:T6"/>
    <mergeCell ref="R5:R6"/>
    <mergeCell ref="AB5:AB6"/>
    <mergeCell ref="X5:X6"/>
    <mergeCell ref="U5:U6"/>
    <mergeCell ref="V5:V6"/>
    <mergeCell ref="W5:W6"/>
    <mergeCell ref="C5:C6"/>
    <mergeCell ref="F5:F6"/>
    <mergeCell ref="AM5:AM6"/>
    <mergeCell ref="AN5:AN6"/>
    <mergeCell ref="AL5:AL6"/>
    <mergeCell ref="AH5:AH6"/>
    <mergeCell ref="AI5:AI6"/>
    <mergeCell ref="AJ5:AK5"/>
    <mergeCell ref="AG5:AG6"/>
    <mergeCell ref="AE5:AE6"/>
    <mergeCell ref="AC5:AC6"/>
    <mergeCell ref="AF5:AF6"/>
    <mergeCell ref="O5:O6"/>
    <mergeCell ref="G5:G6"/>
    <mergeCell ref="K5:K6"/>
    <mergeCell ref="Q5:Q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46</v>
      </c>
    </row>
    <row r="7" spans="1:3">
      <c r="B7" t="s">
        <v>45</v>
      </c>
      <c r="C7" t="s">
        <v>44</v>
      </c>
    </row>
    <row r="8" spans="1:3">
      <c r="A8" t="s">
        <v>42</v>
      </c>
      <c r="B8" s="4">
        <v>14667.23</v>
      </c>
      <c r="C8" s="4">
        <f>+B8/24</f>
        <v>611.13458333333335</v>
      </c>
    </row>
    <row r="9" spans="1:3">
      <c r="A9" t="s">
        <v>43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24</v>
      </c>
      <c r="B1" s="1"/>
    </row>
    <row r="2" spans="1:7" ht="18">
      <c r="A2" s="2" t="s">
        <v>25</v>
      </c>
      <c r="B2" s="2"/>
    </row>
    <row r="3" spans="1:7" ht="15">
      <c r="A3" s="3" t="s">
        <v>47</v>
      </c>
      <c r="B3" s="3"/>
    </row>
    <row r="5" spans="1:7">
      <c r="C5" s="4">
        <v>73.400000000000006</v>
      </c>
      <c r="D5" s="11" t="s">
        <v>53</v>
      </c>
    </row>
    <row r="6" spans="1:7" ht="15">
      <c r="A6" s="5" t="s">
        <v>5</v>
      </c>
      <c r="B6" s="5" t="s">
        <v>50</v>
      </c>
      <c r="C6" s="6" t="s">
        <v>48</v>
      </c>
      <c r="G6" s="4">
        <v>316.81</v>
      </c>
    </row>
    <row r="7" spans="1:7" ht="15">
      <c r="A7" s="5" t="s">
        <v>10</v>
      </c>
      <c r="B7" s="5" t="s">
        <v>52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23</v>
      </c>
      <c r="B8" s="10" t="s">
        <v>51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22</v>
      </c>
      <c r="B9" s="5" t="s">
        <v>52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52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52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51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51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52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52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52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52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52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54</v>
      </c>
    </row>
    <row r="19" spans="1:7" ht="15">
      <c r="A19" s="5" t="s">
        <v>8</v>
      </c>
      <c r="B19" s="5" t="s">
        <v>52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49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51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52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20</v>
      </c>
      <c r="B23" s="5" t="s">
        <v>52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52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21</v>
      </c>
      <c r="B25" s="5" t="s">
        <v>52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52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 NOMINA COM</vt:lpstr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2016-03-18T16:58:21Z</dcterms:modified>
</cp:coreProperties>
</file>