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SEMANAL\"/>
    </mc:Choice>
  </mc:AlternateContent>
  <bookViews>
    <workbookView xWindow="0" yWindow="0" windowWidth="28800" windowHeight="114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</sheets>
  <definedNames>
    <definedName name="_xlnm._FilterDatabase" localSheetId="1" hidden="1">'FORMATO NOMINA'!$A$5:$AL$94</definedName>
    <definedName name="_xlnm._FilterDatabase" localSheetId="0" hidden="1">'FORMATO NOMINA COM'!$A$5:$AM$97</definedName>
  </definedNames>
  <calcPr calcId="152511"/>
</workbook>
</file>

<file path=xl/calcChain.xml><?xml version="1.0" encoding="utf-8"?>
<calcChain xmlns="http://schemas.openxmlformats.org/spreadsheetml/2006/main">
  <c r="AG94" i="4" l="1"/>
  <c r="AC94" i="4"/>
  <c r="AB94" i="4"/>
  <c r="AD94" i="4" s="1"/>
  <c r="Q94" i="4"/>
  <c r="AE94" i="4" s="1"/>
  <c r="AH94" i="4" s="1"/>
  <c r="AA81" i="4"/>
  <c r="L74" i="4" l="1"/>
  <c r="AG58" i="4" l="1"/>
  <c r="J58" i="4"/>
  <c r="I58" i="4"/>
  <c r="K58" i="4" s="1"/>
  <c r="Q58" i="4" s="1"/>
  <c r="I34" i="4"/>
  <c r="AE58" i="4" l="1"/>
  <c r="AH58" i="4" s="1"/>
  <c r="AC58" i="4"/>
  <c r="AB58" i="4"/>
  <c r="L61" i="4"/>
  <c r="L65" i="4"/>
  <c r="L68" i="4"/>
  <c r="L27" i="4"/>
  <c r="L51" i="4"/>
  <c r="L69" i="4"/>
  <c r="L90" i="4"/>
  <c r="L25" i="4"/>
  <c r="L83" i="4"/>
  <c r="L80" i="4"/>
  <c r="L84" i="4"/>
  <c r="L67" i="4"/>
  <c r="L31" i="4"/>
  <c r="L10" i="4"/>
  <c r="L40" i="4"/>
  <c r="L12" i="4"/>
  <c r="L70" i="4"/>
  <c r="L73" i="4"/>
  <c r="L52" i="4"/>
  <c r="L32" i="4"/>
  <c r="L63" i="4"/>
  <c r="L21" i="4"/>
  <c r="L87" i="4"/>
  <c r="L62" i="4"/>
  <c r="L9" i="4"/>
  <c r="L50" i="4"/>
  <c r="L79" i="4"/>
  <c r="L49" i="4"/>
  <c r="K70" i="4"/>
  <c r="AG66" i="4"/>
  <c r="K66" i="4"/>
  <c r="Q66" i="4" s="1"/>
  <c r="AB66" i="4" s="1"/>
  <c r="K34" i="4"/>
  <c r="Q34" i="4" s="1"/>
  <c r="J28" i="4"/>
  <c r="I28" i="4"/>
  <c r="J19" i="4"/>
  <c r="I19" i="4"/>
  <c r="K38" i="4"/>
  <c r="Q38" i="4" s="1"/>
  <c r="AG34" i="4"/>
  <c r="AG28" i="4"/>
  <c r="AG19" i="4"/>
  <c r="AD58" i="4" l="1"/>
  <c r="Q70" i="4"/>
  <c r="AC70" i="4" s="1"/>
  <c r="U38" i="4"/>
  <c r="AG38" i="4" s="1"/>
  <c r="V38" i="4"/>
  <c r="K28" i="4"/>
  <c r="Q28" i="4" s="1"/>
  <c r="AB28" i="4" s="1"/>
  <c r="K19" i="4"/>
  <c r="Q19" i="4" s="1"/>
  <c r="AB19" i="4" s="1"/>
  <c r="AC66" i="4"/>
  <c r="AD66" i="4" s="1"/>
  <c r="AE66" i="4"/>
  <c r="AH66" i="4" s="1"/>
  <c r="AE38" i="4"/>
  <c r="AC38" i="4"/>
  <c r="AB34" i="4"/>
  <c r="AC34" i="4"/>
  <c r="AE34" i="4"/>
  <c r="AH34" i="4" s="1"/>
  <c r="AG97" i="4"/>
  <c r="AG96" i="4"/>
  <c r="AG95" i="4"/>
  <c r="AG93" i="4"/>
  <c r="AG92" i="4"/>
  <c r="AG91" i="4"/>
  <c r="AG90" i="4"/>
  <c r="AG89" i="4"/>
  <c r="AG88" i="4"/>
  <c r="AG86" i="4"/>
  <c r="AG85" i="4"/>
  <c r="AG84" i="4"/>
  <c r="AG83" i="4"/>
  <c r="AG82" i="4"/>
  <c r="AG81" i="4"/>
  <c r="AG80" i="4"/>
  <c r="AG77" i="4"/>
  <c r="AG76" i="4"/>
  <c r="AG75" i="4"/>
  <c r="AG74" i="4"/>
  <c r="AG73" i="4"/>
  <c r="AG72" i="4"/>
  <c r="AG68" i="4"/>
  <c r="AG67" i="4"/>
  <c r="AG65" i="4"/>
  <c r="AG64" i="4"/>
  <c r="AG61" i="4"/>
  <c r="AG59" i="4"/>
  <c r="AG57" i="4"/>
  <c r="AG56" i="4"/>
  <c r="AG55" i="4"/>
  <c r="AG54" i="4"/>
  <c r="AG53" i="4"/>
  <c r="AG52" i="4"/>
  <c r="AG51" i="4"/>
  <c r="AG47" i="4"/>
  <c r="AG46" i="4"/>
  <c r="AG45" i="4"/>
  <c r="AG44" i="4"/>
  <c r="AG43" i="4"/>
  <c r="AG42" i="4"/>
  <c r="AG41" i="4"/>
  <c r="AG40" i="4"/>
  <c r="AG39" i="4"/>
  <c r="AG37" i="4"/>
  <c r="AG36" i="4"/>
  <c r="AG35" i="4"/>
  <c r="AG33" i="4"/>
  <c r="AG30" i="4"/>
  <c r="AG29" i="4"/>
  <c r="AG27" i="4"/>
  <c r="AG26" i="4"/>
  <c r="AG25" i="4"/>
  <c r="AG24" i="4"/>
  <c r="AG22" i="4"/>
  <c r="AG20" i="4"/>
  <c r="AG18" i="4"/>
  <c r="AG17" i="4"/>
  <c r="AG16" i="4"/>
  <c r="AG14" i="4"/>
  <c r="AG13" i="4"/>
  <c r="AG12" i="4"/>
  <c r="AG11" i="4"/>
  <c r="AG10" i="4"/>
  <c r="AG8" i="4"/>
  <c r="AG7" i="4"/>
  <c r="AC28" i="4" l="1"/>
  <c r="AD28" i="4" s="1"/>
  <c r="U70" i="4"/>
  <c r="AG70" i="4" s="1"/>
  <c r="AE70" i="4"/>
  <c r="AH38" i="4"/>
  <c r="V70" i="4"/>
  <c r="AB38" i="4"/>
  <c r="AD38" i="4" s="1"/>
  <c r="AE19" i="4"/>
  <c r="AH19" i="4" s="1"/>
  <c r="AC19" i="4"/>
  <c r="AD19" i="4" s="1"/>
  <c r="AE28" i="4"/>
  <c r="AH28" i="4" s="1"/>
  <c r="AD34" i="4"/>
  <c r="K96" i="4"/>
  <c r="Q96" i="4" s="1"/>
  <c r="AH70" i="4" l="1"/>
  <c r="AB70" i="4"/>
  <c r="AD70" i="4" s="1"/>
  <c r="AC96" i="4"/>
  <c r="AE96" i="4"/>
  <c r="AH96" i="4" s="1"/>
  <c r="AB96" i="4"/>
  <c r="AE97" i="4"/>
  <c r="AH97" i="4" s="1"/>
  <c r="AC97" i="4"/>
  <c r="AN18" i="4"/>
  <c r="K94" i="4"/>
  <c r="K68" i="4"/>
  <c r="Q68" i="4" s="1"/>
  <c r="K95" i="4"/>
  <c r="Q95" i="4" s="1"/>
  <c r="AD96" i="4" l="1"/>
  <c r="AC95" i="4"/>
  <c r="AE68" i="4"/>
  <c r="AH68" i="4" s="1"/>
  <c r="AC68" i="4"/>
  <c r="AF99" i="4"/>
  <c r="AE95" i="4"/>
  <c r="AH95" i="4" s="1"/>
  <c r="AB68" i="4"/>
  <c r="AB95" i="4"/>
  <c r="AD95" i="4" s="1"/>
  <c r="Q103" i="4"/>
  <c r="AB103" i="4" s="1"/>
  <c r="AD103" i="4" s="1"/>
  <c r="Q102" i="4"/>
  <c r="AB102" i="4" s="1"/>
  <c r="AJ99" i="4"/>
  <c r="AI99" i="4"/>
  <c r="X99" i="4"/>
  <c r="W99" i="4"/>
  <c r="R99" i="4"/>
  <c r="P99" i="4"/>
  <c r="O99" i="4"/>
  <c r="N99" i="4"/>
  <c r="K93" i="4"/>
  <c r="Q93" i="4" s="1"/>
  <c r="K92" i="4"/>
  <c r="Q92" i="4" s="1"/>
  <c r="K91" i="4"/>
  <c r="Q91" i="4" s="1"/>
  <c r="K90" i="4"/>
  <c r="Q90" i="4" s="1"/>
  <c r="K89" i="4"/>
  <c r="Q89" i="4" s="1"/>
  <c r="K88" i="4"/>
  <c r="Q88" i="4" s="1"/>
  <c r="K87" i="4"/>
  <c r="Q87" i="4" s="1"/>
  <c r="K86" i="4"/>
  <c r="Q86" i="4" s="1"/>
  <c r="K85" i="4"/>
  <c r="Q85" i="4" s="1"/>
  <c r="K84" i="4"/>
  <c r="Q84" i="4" s="1"/>
  <c r="K83" i="4"/>
  <c r="Q83" i="4" s="1"/>
  <c r="K82" i="4"/>
  <c r="Q82" i="4" s="1"/>
  <c r="K81" i="4"/>
  <c r="Q81" i="4" s="1"/>
  <c r="K80" i="4"/>
  <c r="Q80" i="4" s="1"/>
  <c r="K79" i="4"/>
  <c r="Q79" i="4" s="1"/>
  <c r="K78" i="4"/>
  <c r="Q78" i="4" s="1"/>
  <c r="K77" i="4"/>
  <c r="K76" i="4"/>
  <c r="Q76" i="4" s="1"/>
  <c r="K75" i="4"/>
  <c r="Q75" i="4" s="1"/>
  <c r="AA74" i="4"/>
  <c r="K74" i="4"/>
  <c r="K73" i="4"/>
  <c r="Q73" i="4" s="1"/>
  <c r="K72" i="4"/>
  <c r="Q72" i="4" s="1"/>
  <c r="K71" i="4"/>
  <c r="Q71" i="4" s="1"/>
  <c r="K69" i="4"/>
  <c r="Q69" i="4" s="1"/>
  <c r="K67" i="4"/>
  <c r="Q67" i="4" s="1"/>
  <c r="K65" i="4"/>
  <c r="Q65" i="4" s="1"/>
  <c r="K64" i="4"/>
  <c r="Q64" i="4" s="1"/>
  <c r="K63" i="4"/>
  <c r="Q63" i="4" s="1"/>
  <c r="K62" i="4"/>
  <c r="Q62" i="4" s="1"/>
  <c r="K61" i="4"/>
  <c r="Q61" i="4" s="1"/>
  <c r="K60" i="4"/>
  <c r="Q60" i="4" s="1"/>
  <c r="K59" i="4"/>
  <c r="Q59" i="4" s="1"/>
  <c r="K57" i="4"/>
  <c r="Q57" i="4" s="1"/>
  <c r="K56" i="4"/>
  <c r="Q56" i="4" s="1"/>
  <c r="K55" i="4"/>
  <c r="Q55" i="4" s="1"/>
  <c r="K54" i="4"/>
  <c r="K53" i="4"/>
  <c r="Q53" i="4" s="1"/>
  <c r="K52" i="4"/>
  <c r="Q52" i="4" s="1"/>
  <c r="K51" i="4"/>
  <c r="Q51" i="4" s="1"/>
  <c r="K50" i="4"/>
  <c r="Q50" i="4" s="1"/>
  <c r="K49" i="4"/>
  <c r="Q49" i="4" s="1"/>
  <c r="K48" i="4"/>
  <c r="Q48" i="4" s="1"/>
  <c r="K47" i="4"/>
  <c r="Q47" i="4" s="1"/>
  <c r="K46" i="4"/>
  <c r="K45" i="4"/>
  <c r="Q45" i="4" s="1"/>
  <c r="K44" i="4"/>
  <c r="K43" i="4"/>
  <c r="Q43" i="4" s="1"/>
  <c r="K42" i="4"/>
  <c r="K41" i="4"/>
  <c r="K40" i="4"/>
  <c r="Q40" i="4" s="1"/>
  <c r="K39" i="4"/>
  <c r="Q39" i="4" s="1"/>
  <c r="K37" i="4"/>
  <c r="K36" i="4"/>
  <c r="Q36" i="4" s="1"/>
  <c r="K35" i="4"/>
  <c r="K33" i="4"/>
  <c r="Q33" i="4" s="1"/>
  <c r="K32" i="4"/>
  <c r="Q32" i="4" s="1"/>
  <c r="K31" i="4"/>
  <c r="Q31" i="4" s="1"/>
  <c r="K30" i="4"/>
  <c r="Q30" i="4" s="1"/>
  <c r="Y30" i="4" s="1"/>
  <c r="Y99" i="4" s="1"/>
  <c r="K29" i="4"/>
  <c r="Q29" i="4" s="1"/>
  <c r="K27" i="4"/>
  <c r="Q27" i="4" s="1"/>
  <c r="K26" i="4"/>
  <c r="Q26" i="4" s="1"/>
  <c r="K25" i="4"/>
  <c r="Q25" i="4" s="1"/>
  <c r="AA24" i="4"/>
  <c r="K24" i="4"/>
  <c r="K23" i="4"/>
  <c r="Q23" i="4" s="1"/>
  <c r="K22" i="4"/>
  <c r="Q22" i="4" s="1"/>
  <c r="K21" i="4"/>
  <c r="Q21" i="4" s="1"/>
  <c r="K20" i="4"/>
  <c r="Q20" i="4" s="1"/>
  <c r="K18" i="4"/>
  <c r="K17" i="4"/>
  <c r="Q17" i="4" s="1"/>
  <c r="K16" i="4"/>
  <c r="Q16" i="4" s="1"/>
  <c r="K15" i="4"/>
  <c r="Q15" i="4" s="1"/>
  <c r="K14" i="4"/>
  <c r="Q14" i="4" s="1"/>
  <c r="K13" i="4"/>
  <c r="Q13" i="4" s="1"/>
  <c r="K12" i="4"/>
  <c r="Q12" i="4" s="1"/>
  <c r="K11" i="4"/>
  <c r="Q11" i="4" s="1"/>
  <c r="K10" i="4"/>
  <c r="Q10" i="4" s="1"/>
  <c r="K9" i="4"/>
  <c r="Q9" i="4" s="1"/>
  <c r="K8" i="4"/>
  <c r="Q8" i="4" s="1"/>
  <c r="K7" i="4"/>
  <c r="V49" i="4" l="1"/>
  <c r="U49" i="4"/>
  <c r="AG49" i="4" s="1"/>
  <c r="AE10" i="4"/>
  <c r="AH10" i="4" s="1"/>
  <c r="AC10" i="4"/>
  <c r="AE13" i="4"/>
  <c r="AH13" i="4" s="1"/>
  <c r="AC13" i="4"/>
  <c r="AE17" i="4"/>
  <c r="AH17" i="4" s="1"/>
  <c r="AC17" i="4"/>
  <c r="AE22" i="4"/>
  <c r="AH22" i="4" s="1"/>
  <c r="AC22" i="4"/>
  <c r="AE29" i="4"/>
  <c r="AH29" i="4" s="1"/>
  <c r="AC29" i="4"/>
  <c r="AC33" i="4"/>
  <c r="AE33" i="4"/>
  <c r="AH33" i="4" s="1"/>
  <c r="AE39" i="4"/>
  <c r="AH39" i="4" s="1"/>
  <c r="AC39" i="4"/>
  <c r="AC43" i="4"/>
  <c r="AE43" i="4"/>
  <c r="AH43" i="4" s="1"/>
  <c r="AE47" i="4"/>
  <c r="AH47" i="4" s="1"/>
  <c r="AC47" i="4"/>
  <c r="AC51" i="4"/>
  <c r="AE51" i="4"/>
  <c r="AH51" i="4" s="1"/>
  <c r="AE55" i="4"/>
  <c r="AH55" i="4" s="1"/>
  <c r="AC55" i="4"/>
  <c r="AC60" i="4"/>
  <c r="AE60" i="4"/>
  <c r="AE64" i="4"/>
  <c r="AH64" i="4" s="1"/>
  <c r="AC64" i="4"/>
  <c r="AE81" i="4"/>
  <c r="AH81" i="4" s="1"/>
  <c r="AC81" i="4"/>
  <c r="AE84" i="4"/>
  <c r="AH84" i="4" s="1"/>
  <c r="AC84" i="4"/>
  <c r="AE88" i="4"/>
  <c r="AH88" i="4" s="1"/>
  <c r="AC88" i="4"/>
  <c r="AE92" i="4"/>
  <c r="AH92" i="4" s="1"/>
  <c r="AC92" i="4"/>
  <c r="AE14" i="4"/>
  <c r="AH14" i="4" s="1"/>
  <c r="AC14" i="4"/>
  <c r="AE23" i="4"/>
  <c r="AC23" i="4"/>
  <c r="AC25" i="4"/>
  <c r="AE25" i="4"/>
  <c r="AH25" i="4" s="1"/>
  <c r="AC30" i="4"/>
  <c r="AE30" i="4"/>
  <c r="AH30" i="4" s="1"/>
  <c r="AC40" i="4"/>
  <c r="AE40" i="4"/>
  <c r="AH40" i="4" s="1"/>
  <c r="AC48" i="4"/>
  <c r="AE48" i="4"/>
  <c r="AC52" i="4"/>
  <c r="AE52" i="4"/>
  <c r="AH52" i="4" s="1"/>
  <c r="AC56" i="4"/>
  <c r="AE56" i="4"/>
  <c r="AH56" i="4" s="1"/>
  <c r="AC61" i="4"/>
  <c r="AE61" i="4"/>
  <c r="AH61" i="4" s="1"/>
  <c r="AB65" i="4"/>
  <c r="AC65" i="4"/>
  <c r="AE65" i="4"/>
  <c r="AH65" i="4" s="1"/>
  <c r="AC71" i="4"/>
  <c r="AE71" i="4"/>
  <c r="AC78" i="4"/>
  <c r="AE78" i="4"/>
  <c r="AC85" i="4"/>
  <c r="AE85" i="4"/>
  <c r="AH85" i="4" s="1"/>
  <c r="AB89" i="4"/>
  <c r="AE89" i="4"/>
  <c r="AH89" i="4" s="1"/>
  <c r="AC89" i="4"/>
  <c r="AC93" i="4"/>
  <c r="AE93" i="4"/>
  <c r="AH93" i="4" s="1"/>
  <c r="AE8" i="4"/>
  <c r="AH8" i="4" s="1"/>
  <c r="AC8" i="4"/>
  <c r="AE11" i="4"/>
  <c r="AH11" i="4" s="1"/>
  <c r="AC11" i="4"/>
  <c r="AC15" i="4"/>
  <c r="AE15" i="4"/>
  <c r="AB20" i="4"/>
  <c r="AE20" i="4"/>
  <c r="AH20" i="4" s="1"/>
  <c r="AC20" i="4"/>
  <c r="AC26" i="4"/>
  <c r="AE26" i="4"/>
  <c r="AH26" i="4" s="1"/>
  <c r="U31" i="4"/>
  <c r="AG31" i="4" s="1"/>
  <c r="AC31" i="4"/>
  <c r="AE31" i="4"/>
  <c r="AC36" i="4"/>
  <c r="AE36" i="4"/>
  <c r="AH36" i="4" s="1"/>
  <c r="AC45" i="4"/>
  <c r="AE45" i="4"/>
  <c r="AH45" i="4" s="1"/>
  <c r="AC49" i="4"/>
  <c r="AE49" i="4"/>
  <c r="AC53" i="4"/>
  <c r="AE53" i="4"/>
  <c r="AH53" i="4" s="1"/>
  <c r="AB57" i="4"/>
  <c r="AC57" i="4"/>
  <c r="AE57" i="4"/>
  <c r="AH57" i="4" s="1"/>
  <c r="AC62" i="4"/>
  <c r="AE62" i="4"/>
  <c r="AC67" i="4"/>
  <c r="AE67" i="4"/>
  <c r="AH67" i="4" s="1"/>
  <c r="AE72" i="4"/>
  <c r="AH72" i="4" s="1"/>
  <c r="AC72" i="4"/>
  <c r="AC75" i="4"/>
  <c r="AE75" i="4"/>
  <c r="AH75" i="4" s="1"/>
  <c r="V79" i="4"/>
  <c r="AC79" i="4"/>
  <c r="AE79" i="4"/>
  <c r="AC82" i="4"/>
  <c r="AE82" i="4"/>
  <c r="AH82" i="4" s="1"/>
  <c r="AC86" i="4"/>
  <c r="AE86" i="4"/>
  <c r="AH86" i="4" s="1"/>
  <c r="AC90" i="4"/>
  <c r="AE90" i="4"/>
  <c r="AH90" i="4" s="1"/>
  <c r="AE9" i="4"/>
  <c r="AC9" i="4"/>
  <c r="AC12" i="4"/>
  <c r="AE12" i="4"/>
  <c r="AH12" i="4" s="1"/>
  <c r="AC16" i="4"/>
  <c r="AE16" i="4"/>
  <c r="AH16" i="4" s="1"/>
  <c r="AC21" i="4"/>
  <c r="AE21" i="4"/>
  <c r="AE27" i="4"/>
  <c r="AH27" i="4" s="1"/>
  <c r="AC27" i="4"/>
  <c r="AE32" i="4"/>
  <c r="AC32" i="4"/>
  <c r="V50" i="4"/>
  <c r="AE50" i="4"/>
  <c r="AC50" i="4"/>
  <c r="AE59" i="4"/>
  <c r="AH59" i="4" s="1"/>
  <c r="AC59" i="4"/>
  <c r="AE63" i="4"/>
  <c r="AC63" i="4"/>
  <c r="AC69" i="4"/>
  <c r="AE69" i="4"/>
  <c r="AE73" i="4"/>
  <c r="AH73" i="4" s="1"/>
  <c r="AC73" i="4"/>
  <c r="AE76" i="4"/>
  <c r="AH76" i="4" s="1"/>
  <c r="AC76" i="4"/>
  <c r="AE80" i="4"/>
  <c r="AH80" i="4" s="1"/>
  <c r="AC80" i="4"/>
  <c r="AC83" i="4"/>
  <c r="AE83" i="4"/>
  <c r="AH83" i="4" s="1"/>
  <c r="AC87" i="4"/>
  <c r="AE87" i="4"/>
  <c r="AC91" i="4"/>
  <c r="AE91" i="4"/>
  <c r="AH91" i="4" s="1"/>
  <c r="Z99" i="4"/>
  <c r="AA85" i="4"/>
  <c r="AB85" i="4" s="1"/>
  <c r="Q35" i="4"/>
  <c r="AB12" i="4"/>
  <c r="AB82" i="4"/>
  <c r="AB47" i="4"/>
  <c r="AB73" i="4"/>
  <c r="AD68" i="4"/>
  <c r="Q44" i="4"/>
  <c r="U21" i="4"/>
  <c r="AG21" i="4" s="1"/>
  <c r="AB55" i="4"/>
  <c r="V21" i="4"/>
  <c r="Q46" i="4"/>
  <c r="Q24" i="4"/>
  <c r="Q74" i="4"/>
  <c r="Q18" i="4"/>
  <c r="AB61" i="4"/>
  <c r="AB93" i="4"/>
  <c r="AB11" i="4"/>
  <c r="V48" i="4"/>
  <c r="AB56" i="4"/>
  <c r="AB80" i="4"/>
  <c r="AB86" i="4"/>
  <c r="AB22" i="4"/>
  <c r="U50" i="4"/>
  <c r="AG50" i="4" s="1"/>
  <c r="AB88" i="4"/>
  <c r="L99" i="4"/>
  <c r="Q37" i="4"/>
  <c r="AB37" i="4" s="1"/>
  <c r="Q42" i="4"/>
  <c r="U48" i="4"/>
  <c r="AG48" i="4" s="1"/>
  <c r="Q54" i="4"/>
  <c r="AB10" i="4"/>
  <c r="AB8" i="4"/>
  <c r="AB17" i="4"/>
  <c r="AB40" i="4"/>
  <c r="AB51" i="4"/>
  <c r="K99" i="4"/>
  <c r="Q7" i="4"/>
  <c r="V9" i="4"/>
  <c r="V15" i="4"/>
  <c r="U15" i="4"/>
  <c r="AG15" i="4" s="1"/>
  <c r="AB26" i="4"/>
  <c r="U32" i="4"/>
  <c r="AG32" i="4" s="1"/>
  <c r="V32" i="4"/>
  <c r="T60" i="4"/>
  <c r="U60" i="4"/>
  <c r="AG60" i="4" s="1"/>
  <c r="U69" i="4"/>
  <c r="AG69" i="4" s="1"/>
  <c r="V69" i="4"/>
  <c r="U71" i="4"/>
  <c r="AG71" i="4" s="1"/>
  <c r="V71" i="4"/>
  <c r="AB83" i="4"/>
  <c r="AB92" i="4"/>
  <c r="U9" i="4"/>
  <c r="AG9" i="4" s="1"/>
  <c r="AB13" i="4"/>
  <c r="AB25" i="4"/>
  <c r="AB84" i="4"/>
  <c r="AD102" i="4"/>
  <c r="AE102" i="4"/>
  <c r="AH102" i="4" s="1"/>
  <c r="AC102" i="4"/>
  <c r="AB14" i="4"/>
  <c r="U23" i="4"/>
  <c r="AG23" i="4" s="1"/>
  <c r="T23" i="4"/>
  <c r="AB39" i="4"/>
  <c r="AB45" i="4"/>
  <c r="AB59" i="4"/>
  <c r="AB72" i="4"/>
  <c r="AB91" i="4"/>
  <c r="V62" i="4"/>
  <c r="AB27" i="4"/>
  <c r="AB30" i="4"/>
  <c r="AB33" i="4"/>
  <c r="AB53" i="4"/>
  <c r="U62" i="4"/>
  <c r="AG62" i="4" s="1"/>
  <c r="V63" i="4"/>
  <c r="U63" i="4"/>
  <c r="AG63" i="4" s="1"/>
  <c r="AB76" i="4"/>
  <c r="U87" i="4"/>
  <c r="AG87" i="4" s="1"/>
  <c r="AB29" i="4"/>
  <c r="V31" i="4"/>
  <c r="AB36" i="4"/>
  <c r="AB43" i="4"/>
  <c r="V52" i="4"/>
  <c r="AB52" i="4" s="1"/>
  <c r="AB67" i="4"/>
  <c r="AB75" i="4"/>
  <c r="U78" i="4"/>
  <c r="AG78" i="4" s="1"/>
  <c r="V78" i="4"/>
  <c r="U79" i="4"/>
  <c r="AG79" i="4" s="1"/>
  <c r="V87" i="4"/>
  <c r="AE103" i="4"/>
  <c r="AC103" i="4"/>
  <c r="Q41" i="4"/>
  <c r="AB64" i="4"/>
  <c r="AB81" i="4"/>
  <c r="AB90" i="4"/>
  <c r="Q77" i="4"/>
  <c r="AH32" i="4" l="1"/>
  <c r="AD10" i="4"/>
  <c r="AH87" i="4"/>
  <c r="AH69" i="4"/>
  <c r="AH79" i="4"/>
  <c r="AD57" i="4"/>
  <c r="AH49" i="4"/>
  <c r="AD65" i="4"/>
  <c r="AH48" i="4"/>
  <c r="AH60" i="4"/>
  <c r="AH50" i="4"/>
  <c r="AH71" i="4"/>
  <c r="AH21" i="4"/>
  <c r="AH9" i="4"/>
  <c r="AH62" i="4"/>
  <c r="AH23" i="4"/>
  <c r="AH31" i="4"/>
  <c r="AH15" i="4"/>
  <c r="AH63" i="4"/>
  <c r="AH78" i="4"/>
  <c r="AG99" i="4"/>
  <c r="AB49" i="4"/>
  <c r="AD49" i="4" s="1"/>
  <c r="AD89" i="4"/>
  <c r="AB50" i="4"/>
  <c r="AD50" i="4" s="1"/>
  <c r="AD85" i="4"/>
  <c r="AD20" i="4"/>
  <c r="AB79" i="4"/>
  <c r="AD79" i="4" s="1"/>
  <c r="AD90" i="4"/>
  <c r="AC41" i="4"/>
  <c r="AE41" i="4"/>
  <c r="AH41" i="4" s="1"/>
  <c r="AE18" i="4"/>
  <c r="AH18" i="4" s="1"/>
  <c r="AC18" i="4"/>
  <c r="AA18" i="4"/>
  <c r="AB18" i="4" s="1"/>
  <c r="AB31" i="4"/>
  <c r="AD31" i="4" s="1"/>
  <c r="AB42" i="4"/>
  <c r="AE42" i="4"/>
  <c r="AH42" i="4" s="1"/>
  <c r="AC42" i="4"/>
  <c r="AC24" i="4"/>
  <c r="AE24" i="4"/>
  <c r="AH24" i="4" s="1"/>
  <c r="AC77" i="4"/>
  <c r="AE77" i="4"/>
  <c r="AH77" i="4" s="1"/>
  <c r="AD67" i="4"/>
  <c r="AE37" i="4"/>
  <c r="AH37" i="4" s="1"/>
  <c r="AC37" i="4"/>
  <c r="AB46" i="4"/>
  <c r="AE46" i="4"/>
  <c r="AH46" i="4" s="1"/>
  <c r="AC46" i="4"/>
  <c r="AB44" i="4"/>
  <c r="AC44" i="4"/>
  <c r="AE44" i="4"/>
  <c r="AH44" i="4" s="1"/>
  <c r="AD81" i="4"/>
  <c r="AC7" i="4"/>
  <c r="AE7" i="4"/>
  <c r="AH7" i="4" s="1"/>
  <c r="AB54" i="4"/>
  <c r="AE54" i="4"/>
  <c r="AH54" i="4" s="1"/>
  <c r="AC54" i="4"/>
  <c r="AB74" i="4"/>
  <c r="AC74" i="4"/>
  <c r="AE74" i="4"/>
  <c r="AH74" i="4" s="1"/>
  <c r="AB35" i="4"/>
  <c r="AC35" i="4"/>
  <c r="AE35" i="4"/>
  <c r="AH35" i="4" s="1"/>
  <c r="AD82" i="4"/>
  <c r="AD12" i="4"/>
  <c r="AD73" i="4"/>
  <c r="AB21" i="4"/>
  <c r="AD21" i="4" s="1"/>
  <c r="AD47" i="4"/>
  <c r="AD55" i="4"/>
  <c r="AB24" i="4"/>
  <c r="AD52" i="4"/>
  <c r="AB62" i="4"/>
  <c r="AD62" i="4" s="1"/>
  <c r="AB63" i="4"/>
  <c r="AD63" i="4" s="1"/>
  <c r="AB48" i="4"/>
  <c r="AD48" i="4" s="1"/>
  <c r="AD11" i="4"/>
  <c r="AD22" i="4"/>
  <c r="AB32" i="4"/>
  <c r="AD32" i="4" s="1"/>
  <c r="AD93" i="4"/>
  <c r="AB15" i="4"/>
  <c r="AD15" i="4" s="1"/>
  <c r="T99" i="4"/>
  <c r="AB60" i="4"/>
  <c r="AD60" i="4" s="1"/>
  <c r="AD56" i="4"/>
  <c r="AD80" i="4"/>
  <c r="AD61" i="4"/>
  <c r="AD59" i="4"/>
  <c r="AD25" i="4"/>
  <c r="AD13" i="4"/>
  <c r="AB71" i="4"/>
  <c r="AD71" i="4" s="1"/>
  <c r="AD86" i="4"/>
  <c r="AB16" i="4"/>
  <c r="AD16" i="4" s="1"/>
  <c r="AD75" i="4"/>
  <c r="AD53" i="4"/>
  <c r="AD91" i="4"/>
  <c r="AD72" i="4"/>
  <c r="AD14" i="4"/>
  <c r="AD92" i="4"/>
  <c r="AD88" i="4"/>
  <c r="AD64" i="4"/>
  <c r="AD36" i="4"/>
  <c r="AB87" i="4"/>
  <c r="AD87" i="4" s="1"/>
  <c r="AB69" i="4"/>
  <c r="AD69" i="4" s="1"/>
  <c r="AD51" i="4"/>
  <c r="AD40" i="4"/>
  <c r="U99" i="4"/>
  <c r="V99" i="4"/>
  <c r="AB7" i="4"/>
  <c r="Q99" i="4"/>
  <c r="AB77" i="4"/>
  <c r="AB41" i="4"/>
  <c r="AD29" i="4"/>
  <c r="AD76" i="4"/>
  <c r="AD33" i="4"/>
  <c r="AD45" i="4"/>
  <c r="AB23" i="4"/>
  <c r="AD23" i="4" s="1"/>
  <c r="AB9" i="4"/>
  <c r="AD9" i="4" s="1"/>
  <c r="AD8" i="4"/>
  <c r="AH103" i="4"/>
  <c r="AH104" i="4" s="1"/>
  <c r="AB78" i="4"/>
  <c r="AD78" i="4" s="1"/>
  <c r="AD43" i="4"/>
  <c r="AD30" i="4"/>
  <c r="AD27" i="4"/>
  <c r="AD39" i="4"/>
  <c r="AD84" i="4"/>
  <c r="AD83" i="4"/>
  <c r="AD26" i="4"/>
  <c r="AD17" i="4"/>
  <c r="AD35" i="4" l="1"/>
  <c r="AD44" i="4"/>
  <c r="AD46" i="4"/>
  <c r="AD18" i="4"/>
  <c r="AA99" i="4"/>
  <c r="AD54" i="4"/>
  <c r="AD74" i="4"/>
  <c r="AD42" i="4"/>
  <c r="AD24" i="4"/>
  <c r="AD37" i="4"/>
  <c r="AD41" i="4"/>
  <c r="AB99" i="4"/>
  <c r="AD7" i="4"/>
  <c r="AC99" i="4"/>
  <c r="AH99" i="4"/>
  <c r="AH105" i="4"/>
  <c r="AH106" i="4" s="1"/>
  <c r="AE99" i="4"/>
  <c r="AD77" i="4"/>
  <c r="AK99" i="4" l="1"/>
  <c r="AH100" i="4"/>
  <c r="AH101" i="4" s="1"/>
  <c r="AH108" i="4" s="1"/>
  <c r="AD99" i="4"/>
  <c r="L67" i="1" l="1"/>
  <c r="K55" i="1" l="1"/>
  <c r="Q55" i="1" s="1"/>
  <c r="AC55" i="1" s="1"/>
  <c r="L71" i="1"/>
  <c r="AE55" i="1" l="1"/>
  <c r="AG55" i="1" s="1"/>
  <c r="AB55" i="1"/>
  <c r="AD55" i="1" s="1"/>
  <c r="AN17" i="1"/>
  <c r="AA78" i="1"/>
  <c r="AA82" i="1"/>
  <c r="AA71" i="1"/>
  <c r="AA24" i="1" l="1"/>
  <c r="L25" i="1" l="1"/>
  <c r="L40" i="1"/>
  <c r="L42" i="1"/>
  <c r="L74" i="1"/>
  <c r="L36" i="1"/>
  <c r="L39" i="1"/>
  <c r="L19" i="1"/>
  <c r="L44" i="1"/>
  <c r="L51" i="1"/>
  <c r="L52" i="1"/>
  <c r="K64" i="1" l="1"/>
  <c r="Q64" i="1" s="1"/>
  <c r="K13" i="1"/>
  <c r="Q13" i="1" s="1"/>
  <c r="AE13" i="1" s="1"/>
  <c r="AE64" i="1" l="1"/>
  <c r="AG64" i="1" s="1"/>
  <c r="AC64" i="1"/>
  <c r="AB64" i="1"/>
  <c r="AG13" i="1"/>
  <c r="AB13" i="1"/>
  <c r="AC13" i="1"/>
  <c r="K34" i="1"/>
  <c r="Q34" i="1" s="1"/>
  <c r="K47" i="1"/>
  <c r="Q47" i="1" s="1"/>
  <c r="AE47" i="1" s="1"/>
  <c r="AD13" i="1" l="1"/>
  <c r="AD64" i="1"/>
  <c r="AG47" i="1"/>
  <c r="AB47" i="1"/>
  <c r="AC47" i="1"/>
  <c r="AC34" i="1"/>
  <c r="AB34" i="1"/>
  <c r="AE34" i="1"/>
  <c r="AG34" i="1" s="1"/>
  <c r="AA25" i="1"/>
  <c r="AD34" i="1" l="1"/>
  <c r="AD47" i="1"/>
  <c r="L96" i="1"/>
  <c r="N96" i="1"/>
  <c r="O96" i="1"/>
  <c r="P96" i="1"/>
  <c r="R96" i="1"/>
  <c r="W96" i="1"/>
  <c r="X96" i="1"/>
  <c r="Y96" i="1"/>
  <c r="Z96" i="1"/>
  <c r="AH96" i="1"/>
  <c r="AJ96" i="1"/>
  <c r="AK96" i="1"/>
  <c r="K90" i="1"/>
  <c r="Q90" i="1" s="1"/>
  <c r="AE90" i="1" s="1"/>
  <c r="K89" i="1"/>
  <c r="AG90" i="1" l="1"/>
  <c r="AC90" i="1"/>
  <c r="AB90" i="1"/>
  <c r="AD90" i="1" l="1"/>
  <c r="Q89" i="1"/>
  <c r="AE89" i="1" s="1"/>
  <c r="K88" i="1"/>
  <c r="Q88" i="1" s="1"/>
  <c r="AG89" i="1" l="1"/>
  <c r="AB89" i="1"/>
  <c r="AC89" i="1"/>
  <c r="AB88" i="1"/>
  <c r="AC88" i="1"/>
  <c r="AE88" i="1"/>
  <c r="AG88" i="1" s="1"/>
  <c r="K10" i="1"/>
  <c r="Q10" i="1" s="1"/>
  <c r="AD89" i="1" l="1"/>
  <c r="AD88" i="1"/>
  <c r="AE10" i="1"/>
  <c r="AG10" i="1" s="1"/>
  <c r="AB10" i="1"/>
  <c r="AD10" i="1" s="1"/>
  <c r="K35" i="1"/>
  <c r="Q35" i="1" s="1"/>
  <c r="K14" i="1"/>
  <c r="Q14" i="1" s="1"/>
  <c r="K50" i="1"/>
  <c r="Q50" i="1" s="1"/>
  <c r="K70" i="1"/>
  <c r="Q70" i="1" s="1"/>
  <c r="K45" i="1"/>
  <c r="Q45" i="1" s="1"/>
  <c r="AB45" i="1" s="1"/>
  <c r="K79" i="1"/>
  <c r="Q79" i="1" s="1"/>
  <c r="AB79" i="1" s="1"/>
  <c r="AC14" i="1" l="1"/>
  <c r="AE14" i="1"/>
  <c r="AG14" i="1" s="1"/>
  <c r="AB14" i="1"/>
  <c r="AC35" i="1"/>
  <c r="AB35" i="1"/>
  <c r="AE35" i="1"/>
  <c r="AG35" i="1" s="1"/>
  <c r="AE50" i="1"/>
  <c r="AG50" i="1" s="1"/>
  <c r="V50" i="1"/>
  <c r="AB50" i="1" s="1"/>
  <c r="AE70" i="1"/>
  <c r="AG70" i="1" s="1"/>
  <c r="AC70" i="1"/>
  <c r="AB70" i="1"/>
  <c r="AC50" i="1"/>
  <c r="AC45" i="1"/>
  <c r="AD45" i="1" s="1"/>
  <c r="AE45" i="1"/>
  <c r="AG45" i="1" s="1"/>
  <c r="AC79" i="1"/>
  <c r="AD79" i="1" s="1"/>
  <c r="AE79" i="1"/>
  <c r="AG79" i="1" s="1"/>
  <c r="AI94" i="1"/>
  <c r="AI93" i="1"/>
  <c r="AI92" i="1"/>
  <c r="AD35" i="1" l="1"/>
  <c r="AD14" i="1"/>
  <c r="AD70" i="1"/>
  <c r="AD50" i="1"/>
  <c r="K27" i="1"/>
  <c r="Q27" i="1" s="1"/>
  <c r="K25" i="1"/>
  <c r="Q25" i="1" s="1"/>
  <c r="K41" i="1"/>
  <c r="Q41" i="1" s="1"/>
  <c r="K54" i="1"/>
  <c r="Q54" i="1" s="1"/>
  <c r="K83" i="1"/>
  <c r="Q83" i="1" s="1"/>
  <c r="K9" i="1"/>
  <c r="Q9" i="1" s="1"/>
  <c r="K16" i="1"/>
  <c r="Q16" i="1" s="1"/>
  <c r="K21" i="1"/>
  <c r="Q21" i="1" s="1"/>
  <c r="K23" i="1"/>
  <c r="Q23" i="1" s="1"/>
  <c r="K31" i="1"/>
  <c r="Q31" i="1" s="1"/>
  <c r="K32" i="1"/>
  <c r="Q32" i="1" s="1"/>
  <c r="K46" i="1"/>
  <c r="Q46" i="1" s="1"/>
  <c r="K48" i="1"/>
  <c r="Q48" i="1" s="1"/>
  <c r="K57" i="1"/>
  <c r="Q57" i="1" s="1"/>
  <c r="K59" i="1"/>
  <c r="Q59" i="1" s="1"/>
  <c r="K60" i="1"/>
  <c r="Q60" i="1" s="1"/>
  <c r="K65" i="1"/>
  <c r="Q65" i="1" s="1"/>
  <c r="K66" i="1"/>
  <c r="Q66" i="1" s="1"/>
  <c r="K71" i="1"/>
  <c r="Q71" i="1" s="1"/>
  <c r="AB71" i="1" s="1"/>
  <c r="K68" i="1"/>
  <c r="Q68" i="1" s="1"/>
  <c r="K75" i="1"/>
  <c r="Q75" i="1" s="1"/>
  <c r="K76" i="1"/>
  <c r="Q76" i="1" s="1"/>
  <c r="K84" i="1"/>
  <c r="Q84" i="1" s="1"/>
  <c r="K12" i="1"/>
  <c r="Q12" i="1" s="1"/>
  <c r="K22" i="1"/>
  <c r="Q22" i="1" s="1"/>
  <c r="K52" i="1"/>
  <c r="Q52" i="1" s="1"/>
  <c r="K17" i="1"/>
  <c r="Q17" i="1" s="1"/>
  <c r="K8" i="1"/>
  <c r="Q8" i="1" s="1"/>
  <c r="K15" i="1"/>
  <c r="Q15" i="1" s="1"/>
  <c r="K19" i="1"/>
  <c r="Q19" i="1" s="1"/>
  <c r="AC19" i="1" s="1"/>
  <c r="K36" i="1"/>
  <c r="Q36" i="1" s="1"/>
  <c r="AE36" i="1" s="1"/>
  <c r="K37" i="1"/>
  <c r="Q37" i="1" s="1"/>
  <c r="K39" i="1"/>
  <c r="Q39" i="1" s="1"/>
  <c r="K40" i="1"/>
  <c r="Q40" i="1" s="1"/>
  <c r="AB40" i="1" s="1"/>
  <c r="K42" i="1"/>
  <c r="Q42" i="1" s="1"/>
  <c r="AE42" i="1" s="1"/>
  <c r="K51" i="1"/>
  <c r="Q51" i="1" s="1"/>
  <c r="K44" i="1"/>
  <c r="Q44" i="1" s="1"/>
  <c r="AB44" i="1" s="1"/>
  <c r="K53" i="1"/>
  <c r="Q53" i="1" s="1"/>
  <c r="AA53" i="1" s="1"/>
  <c r="K56" i="1"/>
  <c r="Q56" i="1" s="1"/>
  <c r="K61" i="1"/>
  <c r="Q61" i="1" s="1"/>
  <c r="K74" i="1"/>
  <c r="Q74" i="1" s="1"/>
  <c r="K82" i="1"/>
  <c r="Q82" i="1" s="1"/>
  <c r="AE82" i="1" s="1"/>
  <c r="K86" i="1"/>
  <c r="Q86" i="1" s="1"/>
  <c r="AE86" i="1" s="1"/>
  <c r="K78" i="1"/>
  <c r="Q78" i="1" s="1"/>
  <c r="AC78" i="1" s="1"/>
  <c r="K73" i="1"/>
  <c r="Q73" i="1" s="1"/>
  <c r="K67" i="1"/>
  <c r="Q67" i="1" s="1"/>
  <c r="AC67" i="1" s="1"/>
  <c r="K69" i="1"/>
  <c r="Q69" i="1" s="1"/>
  <c r="K43" i="1"/>
  <c r="Q43" i="1" s="1"/>
  <c r="AC43" i="1" s="1"/>
  <c r="K30" i="1"/>
  <c r="Q30" i="1" s="1"/>
  <c r="K28" i="1"/>
  <c r="Q28" i="1" s="1"/>
  <c r="AC28" i="1" s="1"/>
  <c r="K24" i="1"/>
  <c r="Q24" i="1" s="1"/>
  <c r="K29" i="1"/>
  <c r="Q29" i="1" s="1"/>
  <c r="K18" i="1"/>
  <c r="Q18" i="1" s="1"/>
  <c r="K85" i="1"/>
  <c r="Q85" i="1" s="1"/>
  <c r="K87" i="1"/>
  <c r="Q87" i="1" s="1"/>
  <c r="K81" i="1"/>
  <c r="Q81" i="1" s="1"/>
  <c r="AE81" i="1" s="1"/>
  <c r="K77" i="1"/>
  <c r="Q77" i="1" s="1"/>
  <c r="K80" i="1"/>
  <c r="Q80" i="1" s="1"/>
  <c r="K63" i="1"/>
  <c r="Q63" i="1" s="1"/>
  <c r="AC63" i="1" s="1"/>
  <c r="K62" i="1"/>
  <c r="Q62" i="1" s="1"/>
  <c r="K58" i="1"/>
  <c r="Q58" i="1" s="1"/>
  <c r="K49" i="1"/>
  <c r="Q49" i="1" s="1"/>
  <c r="K38" i="1"/>
  <c r="Q38" i="1" s="1"/>
  <c r="K26" i="1"/>
  <c r="Q26" i="1" s="1"/>
  <c r="K72" i="1"/>
  <c r="Q72" i="1" s="1"/>
  <c r="K33" i="1"/>
  <c r="Q33" i="1" s="1"/>
  <c r="K20" i="1"/>
  <c r="K11" i="1"/>
  <c r="Q11" i="1" s="1"/>
  <c r="AE11" i="1" s="1"/>
  <c r="K7" i="1"/>
  <c r="D21" i="3"/>
  <c r="E21" i="3" s="1"/>
  <c r="G21" i="3" s="1"/>
  <c r="D20" i="3"/>
  <c r="E20" i="3" s="1"/>
  <c r="G20" i="3" s="1"/>
  <c r="D13" i="3"/>
  <c r="E13" i="3" s="1"/>
  <c r="G13" i="3" s="1"/>
  <c r="D12" i="3"/>
  <c r="E12" i="3" s="1"/>
  <c r="G12" i="3" s="1"/>
  <c r="D8" i="3"/>
  <c r="E8" i="3" s="1"/>
  <c r="G8" i="3" s="1"/>
  <c r="D26" i="3"/>
  <c r="E26" i="3" s="1"/>
  <c r="G26" i="3" s="1"/>
  <c r="D25" i="3"/>
  <c r="E25" i="3" s="1"/>
  <c r="G25" i="3" s="1"/>
  <c r="D24" i="3"/>
  <c r="E24" i="3" s="1"/>
  <c r="G24" i="3" s="1"/>
  <c r="D23" i="3"/>
  <c r="E23" i="3" s="1"/>
  <c r="G23" i="3" s="1"/>
  <c r="D22" i="3"/>
  <c r="E22" i="3" s="1"/>
  <c r="G22" i="3" s="1"/>
  <c r="D19" i="3"/>
  <c r="E19" i="3" s="1"/>
  <c r="G19" i="3" s="1"/>
  <c r="D18" i="3"/>
  <c r="E18" i="3" s="1"/>
  <c r="D17" i="3"/>
  <c r="E17" i="3" s="1"/>
  <c r="G17" i="3" s="1"/>
  <c r="D16" i="3"/>
  <c r="E16" i="3" s="1"/>
  <c r="G16" i="3" s="1"/>
  <c r="D15" i="3"/>
  <c r="E15" i="3" s="1"/>
  <c r="G15" i="3" s="1"/>
  <c r="D14" i="3"/>
  <c r="E14" i="3" s="1"/>
  <c r="G14" i="3" s="1"/>
  <c r="D11" i="3"/>
  <c r="E11" i="3" s="1"/>
  <c r="G11" i="3" s="1"/>
  <c r="D10" i="3"/>
  <c r="E10" i="3" s="1"/>
  <c r="G10" i="3" s="1"/>
  <c r="D9" i="3"/>
  <c r="E9" i="3" s="1"/>
  <c r="G9" i="3" s="1"/>
  <c r="D7" i="3"/>
  <c r="E7" i="3" s="1"/>
  <c r="G7" i="3" s="1"/>
  <c r="C9" i="2"/>
  <c r="C8" i="2"/>
  <c r="Q100" i="1"/>
  <c r="AB100" i="1" s="1"/>
  <c r="AC100" i="1" s="1"/>
  <c r="Q99" i="1"/>
  <c r="AB99" i="1" s="1"/>
  <c r="D28" i="3" l="1"/>
  <c r="AA17" i="1"/>
  <c r="AA96" i="1" s="1"/>
  <c r="U57" i="1"/>
  <c r="T57" i="1"/>
  <c r="U23" i="1"/>
  <c r="T23" i="1"/>
  <c r="U59" i="1"/>
  <c r="V59" i="1"/>
  <c r="V84" i="1"/>
  <c r="U84" i="1"/>
  <c r="V76" i="1"/>
  <c r="U76" i="1"/>
  <c r="V66" i="1"/>
  <c r="U66" i="1"/>
  <c r="V75" i="1"/>
  <c r="U75" i="1"/>
  <c r="V65" i="1"/>
  <c r="U65" i="1"/>
  <c r="V68" i="1"/>
  <c r="U68" i="1"/>
  <c r="U32" i="1"/>
  <c r="V32" i="1"/>
  <c r="V16" i="1"/>
  <c r="U16" i="1"/>
  <c r="V31" i="1"/>
  <c r="U31" i="1"/>
  <c r="V9" i="1"/>
  <c r="U9" i="1"/>
  <c r="U48" i="1"/>
  <c r="V48" i="1"/>
  <c r="U60" i="1"/>
  <c r="V60" i="1"/>
  <c r="U46" i="1"/>
  <c r="V46" i="1"/>
  <c r="V21" i="1"/>
  <c r="U21" i="1"/>
  <c r="AF96" i="1"/>
  <c r="Q7" i="1"/>
  <c r="AE7" i="1" s="1"/>
  <c r="K96" i="1"/>
  <c r="AC66" i="1"/>
  <c r="AE75" i="1"/>
  <c r="AG75" i="1" s="1"/>
  <c r="AE65" i="1"/>
  <c r="AG65" i="1" s="1"/>
  <c r="G28" i="3"/>
  <c r="AE100" i="1"/>
  <c r="AG100" i="1" s="1"/>
  <c r="AD100" i="1"/>
  <c r="AG81" i="1"/>
  <c r="AD99" i="1"/>
  <c r="AE99" i="1"/>
  <c r="AC99" i="1"/>
  <c r="AB80" i="1"/>
  <c r="AE80" i="1"/>
  <c r="AG80" i="1" s="1"/>
  <c r="AE48" i="1"/>
  <c r="AG48" i="1" s="1"/>
  <c r="AC81" i="1"/>
  <c r="AE66" i="1"/>
  <c r="AG66" i="1" s="1"/>
  <c r="AE54" i="1"/>
  <c r="AG54" i="1" s="1"/>
  <c r="AC54" i="1"/>
  <c r="AB54" i="1"/>
  <c r="AE16" i="1"/>
  <c r="AG16" i="1" s="1"/>
  <c r="AC16" i="1"/>
  <c r="AE52" i="1"/>
  <c r="AG52" i="1" s="1"/>
  <c r="AC52" i="1"/>
  <c r="AB52" i="1"/>
  <c r="AE37" i="1"/>
  <c r="AG37" i="1" s="1"/>
  <c r="AC37" i="1"/>
  <c r="AB41" i="1"/>
  <c r="AC41" i="1"/>
  <c r="AE84" i="1"/>
  <c r="AG84" i="1" s="1"/>
  <c r="AC84" i="1"/>
  <c r="AE8" i="1"/>
  <c r="AG8" i="1" s="1"/>
  <c r="AB8" i="1"/>
  <c r="AB74" i="1"/>
  <c r="AC74" i="1"/>
  <c r="AB86" i="1"/>
  <c r="AE41" i="1"/>
  <c r="AG41" i="1" s="1"/>
  <c r="AE9" i="1"/>
  <c r="AG9" i="1" s="1"/>
  <c r="AC9" i="1"/>
  <c r="AE21" i="1"/>
  <c r="AG21" i="1" s="1"/>
  <c r="AE68" i="1"/>
  <c r="AG68" i="1" s="1"/>
  <c r="AC68" i="1"/>
  <c r="AE27" i="1"/>
  <c r="AG27" i="1" s="1"/>
  <c r="AC27" i="1"/>
  <c r="AB27" i="1"/>
  <c r="AE59" i="1"/>
  <c r="AG59" i="1" s="1"/>
  <c r="AC59" i="1"/>
  <c r="AE76" i="1"/>
  <c r="AG76" i="1" s="1"/>
  <c r="AC76" i="1"/>
  <c r="AB12" i="1"/>
  <c r="AE12" i="1"/>
  <c r="AG12" i="1" s="1"/>
  <c r="AB37" i="1"/>
  <c r="AE61" i="1"/>
  <c r="AG61" i="1" s="1"/>
  <c r="AC61" i="1"/>
  <c r="AB61" i="1"/>
  <c r="AE51" i="1"/>
  <c r="AG51" i="1" s="1"/>
  <c r="AC51" i="1"/>
  <c r="AB51" i="1"/>
  <c r="AE39" i="1"/>
  <c r="AG39" i="1" s="1"/>
  <c r="AC39" i="1"/>
  <c r="AB39" i="1"/>
  <c r="AE19" i="1"/>
  <c r="AG19" i="1" s="1"/>
  <c r="AB19" i="1"/>
  <c r="AD19" i="1" s="1"/>
  <c r="AE71" i="1"/>
  <c r="AG71" i="1" s="1"/>
  <c r="AC71" i="1"/>
  <c r="AD71" i="1" s="1"/>
  <c r="AE32" i="1"/>
  <c r="AG32" i="1" s="1"/>
  <c r="AC32" i="1"/>
  <c r="AE17" i="1"/>
  <c r="AG17" i="1" s="1"/>
  <c r="AC40" i="1"/>
  <c r="AD40" i="1" s="1"/>
  <c r="AC44" i="1"/>
  <c r="AD44" i="1" s="1"/>
  <c r="AE40" i="1"/>
  <c r="AG40" i="1" s="1"/>
  <c r="AB25" i="1"/>
  <c r="AE25" i="1"/>
  <c r="AG25" i="1" s="1"/>
  <c r="AC31" i="1"/>
  <c r="AC46" i="1"/>
  <c r="AE57" i="1"/>
  <c r="AG57" i="1" s="1"/>
  <c r="AC57" i="1"/>
  <c r="AC22" i="1"/>
  <c r="AE22" i="1"/>
  <c r="AG22" i="1" s="1"/>
  <c r="AB22" i="1"/>
  <c r="AC25" i="1"/>
  <c r="AC83" i="1"/>
  <c r="AB83" i="1"/>
  <c r="AC23" i="1"/>
  <c r="AE23" i="1"/>
  <c r="AG23" i="1" s="1"/>
  <c r="AE31" i="1"/>
  <c r="AG31" i="1" s="1"/>
  <c r="AE46" i="1"/>
  <c r="AG46" i="1" s="1"/>
  <c r="AE60" i="1"/>
  <c r="AG60" i="1" s="1"/>
  <c r="AE15" i="1"/>
  <c r="AG15" i="1" s="1"/>
  <c r="AC15" i="1"/>
  <c r="AB15" i="1"/>
  <c r="AE83" i="1"/>
  <c r="AG83" i="1" s="1"/>
  <c r="AC60" i="1"/>
  <c r="AC75" i="1"/>
  <c r="AG42" i="1"/>
  <c r="AC42" i="1"/>
  <c r="AC53" i="1"/>
  <c r="AB53" i="1"/>
  <c r="AC56" i="1"/>
  <c r="AC65" i="1"/>
  <c r="AC17" i="1"/>
  <c r="AG36" i="1"/>
  <c r="AC36" i="1"/>
  <c r="AB42" i="1"/>
  <c r="AB56" i="1"/>
  <c r="AC21" i="1"/>
  <c r="AC48" i="1"/>
  <c r="AC12" i="1"/>
  <c r="AC8" i="1"/>
  <c r="AB36" i="1"/>
  <c r="AE53" i="1"/>
  <c r="AG53" i="1" s="1"/>
  <c r="AE56" i="1"/>
  <c r="AG56" i="1" s="1"/>
  <c r="AG82" i="1"/>
  <c r="AC82" i="1"/>
  <c r="AB82" i="1"/>
  <c r="AG86" i="1"/>
  <c r="AC86" i="1"/>
  <c r="AE44" i="1"/>
  <c r="AG44" i="1" s="1"/>
  <c r="AE74" i="1"/>
  <c r="AG74" i="1" s="1"/>
  <c r="AB49" i="1"/>
  <c r="AE49" i="1"/>
  <c r="AG49" i="1" s="1"/>
  <c r="AB78" i="1"/>
  <c r="AD78" i="1" s="1"/>
  <c r="AC38" i="1"/>
  <c r="AB38" i="1"/>
  <c r="AE77" i="1"/>
  <c r="AG77" i="1" s="1"/>
  <c r="AC77" i="1"/>
  <c r="AC73" i="1"/>
  <c r="AB73" i="1"/>
  <c r="AC26" i="1"/>
  <c r="AB26" i="1"/>
  <c r="AE26" i="1"/>
  <c r="AG26" i="1" s="1"/>
  <c r="AB58" i="1"/>
  <c r="AE58" i="1"/>
  <c r="AG58" i="1" s="1"/>
  <c r="AE69" i="1"/>
  <c r="AG69" i="1" s="1"/>
  <c r="AB69" i="1"/>
  <c r="AB67" i="1"/>
  <c r="AD67" i="1" s="1"/>
  <c r="AB63" i="1"/>
  <c r="AD63" i="1" s="1"/>
  <c r="AC80" i="1"/>
  <c r="AB81" i="1"/>
  <c r="AE67" i="1"/>
  <c r="AG67" i="1" s="1"/>
  <c r="AE43" i="1"/>
  <c r="AG43" i="1" s="1"/>
  <c r="AC49" i="1"/>
  <c r="AC24" i="1"/>
  <c r="AE24" i="1"/>
  <c r="AG24" i="1" s="1"/>
  <c r="AB24" i="1"/>
  <c r="AG11" i="1"/>
  <c r="AC72" i="1"/>
  <c r="AB72" i="1"/>
  <c r="AE72" i="1"/>
  <c r="AG72" i="1" s="1"/>
  <c r="AE62" i="1"/>
  <c r="AG62" i="1" s="1"/>
  <c r="AB62" i="1"/>
  <c r="AC62" i="1"/>
  <c r="AB29" i="1"/>
  <c r="AE29" i="1"/>
  <c r="AG29" i="1" s="1"/>
  <c r="AC29" i="1"/>
  <c r="AE30" i="1"/>
  <c r="AG30" i="1" s="1"/>
  <c r="AB30" i="1"/>
  <c r="AC30" i="1"/>
  <c r="AC87" i="1"/>
  <c r="AB87" i="1"/>
  <c r="AE87" i="1"/>
  <c r="AG87" i="1" s="1"/>
  <c r="AC85" i="1"/>
  <c r="AE85" i="1"/>
  <c r="AG85" i="1" s="1"/>
  <c r="AB85" i="1"/>
  <c r="AE33" i="1"/>
  <c r="AG33" i="1" s="1"/>
  <c r="AC33" i="1"/>
  <c r="AB33" i="1"/>
  <c r="AB18" i="1"/>
  <c r="AC18" i="1"/>
  <c r="AE18" i="1"/>
  <c r="AG18" i="1" s="1"/>
  <c r="AB43" i="1"/>
  <c r="AD43" i="1" s="1"/>
  <c r="AE63" i="1"/>
  <c r="AG63" i="1" s="1"/>
  <c r="AC69" i="1"/>
  <c r="AB77" i="1"/>
  <c r="AE73" i="1"/>
  <c r="AG73" i="1" s="1"/>
  <c r="AE28" i="1"/>
  <c r="AG28" i="1" s="1"/>
  <c r="AB11" i="1"/>
  <c r="AC58" i="1"/>
  <c r="AE78" i="1"/>
  <c r="AG78" i="1" s="1"/>
  <c r="AE38" i="1"/>
  <c r="AG38" i="1" s="1"/>
  <c r="AC11" i="1"/>
  <c r="Q20" i="1"/>
  <c r="AB28" i="1"/>
  <c r="AD28" i="1" s="1"/>
  <c r="AB57" i="1" l="1"/>
  <c r="AD57" i="1" s="1"/>
  <c r="T96" i="1"/>
  <c r="AB23" i="1"/>
  <c r="AD23" i="1" s="1"/>
  <c r="AB17" i="1"/>
  <c r="AD17" i="1" s="1"/>
  <c r="AB7" i="1"/>
  <c r="AG7" i="1"/>
  <c r="U96" i="1"/>
  <c r="V96" i="1"/>
  <c r="Q96" i="1"/>
  <c r="AC7" i="1"/>
  <c r="AG99" i="1"/>
  <c r="AH99" i="1" s="1"/>
  <c r="AI99" i="1" s="1"/>
  <c r="AH100" i="1"/>
  <c r="AI100" i="1" s="1"/>
  <c r="AB59" i="1"/>
  <c r="AD59" i="1" s="1"/>
  <c r="AB76" i="1"/>
  <c r="AD76" i="1" s="1"/>
  <c r="AB84" i="1"/>
  <c r="AD84" i="1" s="1"/>
  <c r="AB46" i="1"/>
  <c r="AD46" i="1" s="1"/>
  <c r="AB68" i="1"/>
  <c r="AD68" i="1" s="1"/>
  <c r="AB65" i="1"/>
  <c r="AD65" i="1" s="1"/>
  <c r="AB31" i="1"/>
  <c r="AD31" i="1" s="1"/>
  <c r="AB21" i="1"/>
  <c r="AD21" i="1" s="1"/>
  <c r="AB48" i="1"/>
  <c r="AD48" i="1" s="1"/>
  <c r="AB9" i="1"/>
  <c r="AD9" i="1" s="1"/>
  <c r="AB66" i="1"/>
  <c r="AD66" i="1" s="1"/>
  <c r="AB75" i="1"/>
  <c r="AD75" i="1" s="1"/>
  <c r="AB16" i="1"/>
  <c r="AD16" i="1" s="1"/>
  <c r="AB32" i="1"/>
  <c r="AD32" i="1" s="1"/>
  <c r="AB60" i="1"/>
  <c r="AD60" i="1" s="1"/>
  <c r="AD72" i="1"/>
  <c r="AD81" i="1"/>
  <c r="AD80" i="1"/>
  <c r="AD69" i="1"/>
  <c r="AD27" i="1"/>
  <c r="AD73" i="1"/>
  <c r="AD53" i="1"/>
  <c r="AD22" i="1"/>
  <c r="AD54" i="1"/>
  <c r="AD83" i="1"/>
  <c r="AD39" i="1"/>
  <c r="AD52" i="1"/>
  <c r="AD33" i="1"/>
  <c r="AD26" i="1"/>
  <c r="AD38" i="1"/>
  <c r="AD86" i="1"/>
  <c r="AD12" i="1"/>
  <c r="AD8" i="1"/>
  <c r="AD37" i="1"/>
  <c r="AD82" i="1"/>
  <c r="AD15" i="1"/>
  <c r="AD51" i="1"/>
  <c r="AD61" i="1"/>
  <c r="AD74" i="1"/>
  <c r="AD41" i="1"/>
  <c r="AD58" i="1"/>
  <c r="AD56" i="1"/>
  <c r="AD25" i="1"/>
  <c r="AD36" i="1"/>
  <c r="AD42" i="1"/>
  <c r="AD49" i="1"/>
  <c r="AD77" i="1"/>
  <c r="AD24" i="1"/>
  <c r="AD85" i="1"/>
  <c r="AD18" i="1"/>
  <c r="AD29" i="1"/>
  <c r="AD11" i="1"/>
  <c r="AE20" i="1"/>
  <c r="AE96" i="1" s="1"/>
  <c r="AB20" i="1"/>
  <c r="AC20" i="1"/>
  <c r="AD30" i="1"/>
  <c r="AD87" i="1"/>
  <c r="AD62" i="1"/>
  <c r="AG101" i="1" l="1"/>
  <c r="AG102" i="1" s="1"/>
  <c r="AG103" i="1" s="1"/>
  <c r="AC96" i="1"/>
  <c r="AD7" i="1"/>
  <c r="AB96" i="1"/>
  <c r="AJ99" i="1"/>
  <c r="AK99" i="1" s="1"/>
  <c r="AJ100" i="1"/>
  <c r="AK100" i="1" s="1"/>
  <c r="AD20" i="1"/>
  <c r="AG20" i="1"/>
  <c r="AG96" i="1" s="1"/>
  <c r="AG97" i="1" l="1"/>
  <c r="AG98" i="1" s="1"/>
  <c r="AG105" i="1" s="1"/>
  <c r="AD96" i="1"/>
  <c r="AL99" i="1"/>
  <c r="AL100" i="1"/>
  <c r="AI96" i="1" l="1"/>
  <c r="AL96" i="1" l="1"/>
</calcChain>
</file>

<file path=xl/comments1.xml><?xml version="1.0" encoding="utf-8"?>
<comments xmlns="http://schemas.openxmlformats.org/spreadsheetml/2006/main">
  <authors>
    <author>contabilidad qm</author>
    <author>ljimenez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W32" authorId="1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$300 durante 36 sem 2/36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13 FEB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73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ENTRO EL DIA 10 FEB
</t>
        </r>
      </text>
    </comment>
  </commentList>
</comments>
</file>

<file path=xl/comments2.xml><?xml version="1.0" encoding="utf-8"?>
<comments xmlns="http://schemas.openxmlformats.org/spreadsheetml/2006/main">
  <authors>
    <author>contabilidad qm</author>
    <author>ljimenez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W32" authorId="1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$300 durante 36 sem 2/36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13 FEB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INGRESO EL DIA 16 FEB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ENTRO EL DIA 10 FEB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20" authorId="0" shape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<sst xmlns="http://schemas.openxmlformats.org/spreadsheetml/2006/main" count="902" uniqueCount="319">
  <si>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</si>
  <si>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</si>
  <si>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</si>
  <si>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</si>
  <si>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</si>
  <si>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</si>
  <si>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</si>
  <si>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</si>
  <si>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</si>
  <si>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</si>
  <si>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</si>
  <si>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</si>
  <si>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</si>
  <si>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</si>
  <si>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</si>
  <si>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</si>
  <si>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</si>
  <si>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</si>
  <si>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</si>
  <si>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</si>
  <si>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</si>
  <si>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</si>
  <si>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</si>
  <si>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</si>
  <si>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</si>
  <si>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</si>
  <si>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</si>
  <si>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</si>
  <si>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</si>
  <si>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</si>
  <si>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</si>
  <si>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</si>
  <si>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</si>
  <si>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</si>
  <si>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</si>
  <si>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</si>
  <si>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</si>
  <si>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</si>
  <si>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</si>
  <si>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</si>
  <si>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</si>
  <si>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</si>
  <si>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</si>
  <si>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</si>
  <si>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</si>
  <si>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</si>
  <si>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</si>
  <si>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</si>
  <si>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</si>
  <si>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</si>
  <si>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</si>
  <si>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</si>
  <si>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</si>
  <si>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</si>
  <si>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</si>
  <si>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</si>
  <si>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</si>
  <si>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</si>
  <si>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</si>
  <si>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</si>
  <si>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</si>
  <si>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</si>
  <si>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</si>
  <si>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</si>
  <si>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</si>
  <si>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</si>
  <si>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</si>
  <si>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</si>
  <si>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</si>
  <si>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</si>
  <si>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</si>
  <si>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</si>
  <si>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</si>
  <si>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</si>
  <si>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</si>
  <si>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</si>
  <si>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</si>
  <si>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</si>
  <si>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</si>
  <si>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</si>
  <si>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</si>
  <si>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</si>
  <si>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</si>
  <si>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</si>
  <si>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</si>
  <si>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</si>
  <si>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</si>
  <si>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</si>
  <si>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</si>
  <si>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</si>
  <si>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</si>
  <si>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</si>
  <si>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</si>
  <si>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</si>
  <si>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</si>
  <si>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</si>
  <si>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</si>
  <si>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</si>
  <si>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</si>
  <si>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</si>
  <si>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</si>
  <si>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</si>
  <si>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</si>
  <si>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</si>
  <si>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</si>
  <si>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</si>
  <si>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</si>
  <si>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</si>
  <si>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</si>
  <si>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</si>
  <si>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</si>
  <si>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</si>
  <si>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</si>
  <si>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</si>
  <si>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</si>
  <si>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</si>
  <si>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</si>
  <si>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</si>
  <si>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</si>
  <si>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</si>
  <si>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</si>
  <si>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</si>
  <si>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</si>
  <si>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</si>
  <si>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</si>
  <si>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</si>
  <si>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</si>
  <si>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</si>
  <si>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</si>
  <si>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</si>
  <si>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</si>
  <si>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</si>
  <si>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</si>
  <si>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</si>
  <si>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</si>
  <si>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</si>
  <si>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</si>
  <si>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</si>
  <si>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</si>
  <si>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</si>
  <si>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</si>
  <si>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</si>
  <si>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</si>
  <si>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</si>
  <si>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</si>
  <si>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</si>
  <si>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</si>
  <si>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</si>
  <si>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</si>
  <si>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</si>
  <si>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</si>
  <si>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</si>
  <si>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</si>
  <si>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</si>
  <si>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</si>
  <si>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</si>
  <si>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</si>
  <si>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</si>
  <si>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</si>
  <si>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</si>
  <si>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</si>
  <si>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</si>
  <si>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</si>
  <si>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</si>
  <si>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</si>
  <si>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</si>
  <si>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</si>
  <si>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</si>
  <si>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</si>
  <si>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</si>
  <si>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</si>
  <si>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</si>
  <si>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</si>
  <si>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</si>
  <si>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</si>
  <si>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</si>
  <si>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</si>
  <si>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</si>
  <si>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</si>
  <si>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</si>
  <si>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</si>
  <si>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</si>
  <si>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</si>
  <si>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</si>
  <si>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</si>
  <si>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</si>
  <si>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</si>
  <si>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</si>
  <si>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</si>
  <si>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</si>
  <si>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</si>
  <si>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</si>
  <si>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</si>
  <si>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</si>
  <si>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</si>
  <si>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</si>
  <si>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</si>
  <si>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</si>
  <si>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</si>
  <si>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</si>
  <si>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</si>
  <si>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</si>
  <si>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</si>
  <si>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</si>
  <si>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</si>
  <si>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</si>
  <si>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</si>
  <si>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</si>
  <si>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</si>
  <si>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</si>
  <si>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</si>
  <si>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</si>
  <si>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</si>
  <si>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</si>
  <si>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</si>
  <si>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</si>
  <si>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</si>
  <si>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</si>
  <si>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</si>
  <si>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</si>
  <si>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</si>
  <si>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</si>
  <si>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</si>
  <si>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</si>
  <si>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</si>
  <si>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</si>
  <si>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</si>
  <si>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</si>
  <si>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</si>
  <si>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</si>
  <si>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</si>
  <si>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</si>
  <si>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</si>
  <si>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</si>
  <si>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</si>
  <si>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</si>
  <si>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</si>
  <si>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</si>
  <si>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</si>
  <si>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</si>
  <si>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</si>
  <si>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</si>
  <si>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</si>
  <si>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</si>
  <si>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</si>
  <si>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</si>
  <si>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</si>
  <si>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</si>
  <si>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</si>
  <si>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</si>
  <si>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</si>
  <si>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</si>
  <si>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</si>
  <si>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</si>
  <si>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</si>
  <si>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</si>
  <si>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</si>
  <si>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</si>
  <si>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</si>
  <si>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</si>
  <si>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</si>
  <si>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</si>
  <si>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</si>
  <si>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</si>
  <si>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</si>
  <si>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</si>
  <si>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</si>
  <si>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</si>
  <si>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</si>
  <si>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</si>
  <si>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</si>
  <si>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</si>
  <si>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</si>
  <si>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</si>
  <si>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</si>
  <si>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</si>
  <si>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</si>
  <si>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</si>
  <si>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</si>
  <si>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</si>
  <si>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</si>
  <si>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</si>
  <si>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</si>
  <si>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</si>
  <si>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</si>
  <si>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</si>
  <si>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</si>
  <si>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</si>
  <si>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</si>
  <si>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</si>
  <si>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</si>
  <si>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YA SE PIDIO DIFERENCIA A CONSULTORES</t>
  </si>
  <si>
    <t>MONYOY HERRERA VICTOR</t>
  </si>
  <si>
    <t>CTA BBVA 1190530786</t>
  </si>
  <si>
    <t>NM01</t>
  </si>
  <si>
    <t xml:space="preserve">NIETO MEDINA PEDRO </t>
  </si>
  <si>
    <t>CTA BBVA 2948414130</t>
  </si>
  <si>
    <t>ESPECIALES</t>
  </si>
  <si>
    <t xml:space="preserve">AGUILAR PEREZ MARCOS ARTEMIO </t>
  </si>
  <si>
    <t>HUGO ZUÑIGA</t>
  </si>
  <si>
    <t>RODRIGUEZ VENTURA CARLOS</t>
  </si>
  <si>
    <t>Periodo Semana 10</t>
  </si>
  <si>
    <t>02/03/2016 AL 08/03/2016</t>
  </si>
  <si>
    <t>BRAVO QUINTERO RICARDO ALBERTO</t>
  </si>
  <si>
    <t>CORONEL DE LEON JONATHAN</t>
  </si>
  <si>
    <t>SOLO PAGAR DOS DIAS, SU DIA DE INGRESO ES 07/03/16</t>
  </si>
  <si>
    <t>SOLO PAGAR UN DIA, SU DIA DE INGRESO ES 08/03/16</t>
  </si>
  <si>
    <t>GARCIA RATIA SALVADOR</t>
  </si>
  <si>
    <t>HERNANDEZ BARCENAS JOSE DIEGO</t>
  </si>
  <si>
    <t>QUINTANILLA VAZQUEZ JEOVANY</t>
  </si>
  <si>
    <t>MOJICA RODRIGUEZ JOSUE NEFTALI</t>
  </si>
  <si>
    <t>NO DEPOSITAR EN TARJETA, EFECTIVO</t>
  </si>
  <si>
    <t>BAJA 03/03/16</t>
  </si>
  <si>
    <t>PAGAR 2 DE VACACIONES DIAS A SUELDO PROMEDIO</t>
  </si>
  <si>
    <t>MORALES SANCHEZ ANGEL</t>
  </si>
  <si>
    <t>MS00</t>
  </si>
  <si>
    <t>PAGAR 2 DIAS MAS DE AJUSTE</t>
  </si>
  <si>
    <t>OSCAR</t>
  </si>
  <si>
    <t>FONDO DE 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</si>
</sst>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-#,##0.00"/>
  </numFmts>
  <fonts count="21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147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8" borderId="1" xfId="2" applyFill="1" applyBorder="1" applyAlignment="1">
      <alignment horizontal="center" vertical="center" wrapText="1"/>
    </xf>
    <xf numFmtId="43" fontId="1" fillId="0" borderId="0" xfId="2" applyFill="1"/>
    <xf numFmtId="43" fontId="1" fillId="0" borderId="3" xfId="2" applyBorder="1"/>
    <xf numFmtId="43" fontId="1" fillId="3" borderId="1" xfId="2" applyFill="1" applyBorder="1"/>
    <xf numFmtId="43" fontId="11" fillId="0" borderId="1" xfId="0" applyNumberFormat="1" applyFont="1" applyBorder="1"/>
    <xf numFmtId="2" fontId="11" fillId="0" borderId="1" xfId="0" applyNumberFormat="1" applyFont="1" applyBorder="1"/>
    <xf numFmtId="43" fontId="17" fillId="0" borderId="0" xfId="2" applyFont="1" applyFill="1"/>
    <xf numFmtId="43" fontId="11" fillId="10" borderId="1" xfId="0" applyNumberFormat="1" applyFont="1" applyFill="1" applyBorder="1"/>
    <xf numFmtId="0" fontId="0" fillId="0" borderId="1" xfId="0" applyBorder="1"/>
    <xf numFmtId="0" fontId="11" fillId="12" borderId="0" xfId="0" applyFont="1" applyFill="1"/>
    <xf numFmtId="43" fontId="12" fillId="8" borderId="1" xfId="2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right"/>
    </xf>
    <xf numFmtId="2" fontId="11" fillId="2" borderId="1" xfId="0" applyNumberFormat="1" applyFont="1" applyFill="1" applyBorder="1"/>
    <xf numFmtId="12" fontId="11" fillId="15" borderId="1" xfId="2" applyNumberFormat="1" applyFont="1" applyFill="1" applyBorder="1"/>
    <xf numFmtId="43" fontId="1" fillId="15" borderId="0" xfId="2" applyFill="1"/>
    <xf numFmtId="0" fontId="0" fillId="15" borderId="0" xfId="0" applyFill="1"/>
    <xf numFmtId="0" fontId="20" fillId="15" borderId="0" xfId="0" applyFont="1" applyFill="1"/>
    <xf numFmtId="2" fontId="11" fillId="15" borderId="1" xfId="0" applyNumberFormat="1" applyFont="1" applyFill="1" applyBorder="1"/>
    <xf numFmtId="0" fontId="19" fillId="13" borderId="1" xfId="0" applyFont="1" applyFill="1" applyBorder="1"/>
    <xf numFmtId="14" fontId="19" fillId="13" borderId="1" xfId="0" applyNumberFormat="1" applyFont="1" applyFill="1" applyBorder="1"/>
    <xf numFmtId="43" fontId="19" fillId="13" borderId="1" xfId="2" applyFont="1" applyFill="1" applyBorder="1"/>
    <xf numFmtId="4" fontId="19" fillId="13" borderId="1" xfId="0" applyNumberFormat="1" applyFont="1" applyFill="1" applyBorder="1"/>
    <xf numFmtId="43" fontId="18" fillId="13" borderId="1" xfId="2" applyFont="1" applyFill="1" applyBorder="1"/>
    <xf numFmtId="43" fontId="19" fillId="13" borderId="1" xfId="2" applyFont="1" applyFill="1" applyBorder="1" applyAlignment="1">
      <alignment horizontal="center"/>
    </xf>
    <xf numFmtId="43" fontId="17" fillId="13" borderId="0" xfId="2" applyFont="1" applyFill="1"/>
    <xf numFmtId="0" fontId="19" fillId="13" borderId="0" xfId="0" applyFont="1" applyFill="1"/>
    <xf numFmtId="0" fontId="18" fillId="13" borderId="0" xfId="0" applyFont="1" applyFill="1"/>
    <xf numFmtId="43" fontId="11" fillId="12" borderId="1" xfId="2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43" fontId="11" fillId="8" borderId="2" xfId="2" applyFont="1" applyFill="1" applyBorder="1" applyAlignment="1">
      <alignment horizontal="center" vertical="center" wrapText="1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K126"/>
  <sheetViews>
    <sheetView tabSelected="1" zoomScaleNormal="100" workbookViewId="0">
      <pane xSplit="2" ySplit="6" topLeftCell="V78" activePane="bottomRight" state="frozen"/>
      <selection pane="topRight" activeCell="C1" sqref="C1"/>
      <selection pane="bottomLeft" activeCell="A7" sqref="A7"/>
      <selection pane="bottomRight" activeCell="AD91" sqref="AD91"/>
    </sheetView>
  </sheetViews>
  <sheetFormatPr baseColWidth="10" defaultColWidth="11.5703125" defaultRowHeight="15" x14ac:dyDescent="0.2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34.85546875" style="41" customWidth="1"/>
    <col min="40" max="53" width="11.5703125" style="39"/>
    <col min="54" max="16384" width="11.5703125" style="41"/>
  </cols>
  <sheetData>
    <row r="1" spans="1:193" s="17" customFormat="1" x14ac:dyDescent="0.25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1"/>
      <c r="AJ1" s="101"/>
      <c r="AK1" s="101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 x14ac:dyDescent="0.25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1"/>
      <c r="AJ2" s="101"/>
      <c r="AK2" s="101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 x14ac:dyDescent="0.25">
      <c r="A3" s="20" t="s">
        <v>301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1"/>
      <c r="AJ3" s="101"/>
      <c r="AK3" s="101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 x14ac:dyDescent="0.25">
      <c r="A4" s="22" t="s">
        <v>302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 x14ac:dyDescent="0.25">
      <c r="A5" s="140" t="s">
        <v>39</v>
      </c>
      <c r="B5" s="142" t="s">
        <v>40</v>
      </c>
      <c r="C5" s="140"/>
      <c r="D5" s="142" t="s">
        <v>41</v>
      </c>
      <c r="E5" s="142" t="s">
        <v>0</v>
      </c>
      <c r="F5" s="140" t="s">
        <v>246</v>
      </c>
      <c r="G5" s="132" t="s">
        <v>67</v>
      </c>
      <c r="H5" s="132" t="s">
        <v>65</v>
      </c>
      <c r="I5" s="143" t="s">
        <v>66</v>
      </c>
      <c r="J5" s="138" t="s">
        <v>68</v>
      </c>
      <c r="K5" s="132" t="s">
        <v>34</v>
      </c>
      <c r="L5" s="138" t="s">
        <v>75</v>
      </c>
      <c r="M5" s="99"/>
      <c r="N5" s="132" t="s">
        <v>35</v>
      </c>
      <c r="O5" s="132" t="s">
        <v>36</v>
      </c>
      <c r="P5" s="132" t="s">
        <v>63</v>
      </c>
      <c r="Q5" s="132" t="s">
        <v>37</v>
      </c>
      <c r="R5" s="132" t="s">
        <v>38</v>
      </c>
      <c r="S5" s="88"/>
      <c r="T5" s="136" t="s">
        <v>186</v>
      </c>
      <c r="U5" s="136" t="s">
        <v>213</v>
      </c>
      <c r="V5" s="136" t="s">
        <v>212</v>
      </c>
      <c r="W5" s="136" t="s">
        <v>187</v>
      </c>
      <c r="X5" s="132" t="s">
        <v>30</v>
      </c>
      <c r="Y5" s="132" t="s">
        <v>56</v>
      </c>
      <c r="Z5" s="132" t="s">
        <v>55</v>
      </c>
      <c r="AA5" s="132" t="s">
        <v>32</v>
      </c>
      <c r="AB5" s="132" t="s">
        <v>64</v>
      </c>
      <c r="AC5" s="132" t="s">
        <v>27</v>
      </c>
      <c r="AD5" s="132" t="s">
        <v>31</v>
      </c>
      <c r="AE5" s="132" t="s">
        <v>26</v>
      </c>
      <c r="AF5" s="132" t="s">
        <v>28</v>
      </c>
      <c r="AG5" s="112"/>
      <c r="AH5" s="132" t="s">
        <v>29</v>
      </c>
      <c r="AI5" s="133" t="s">
        <v>190</v>
      </c>
      <c r="AJ5" s="134"/>
      <c r="AK5" s="135" t="s">
        <v>191</v>
      </c>
      <c r="AL5" s="130" t="s">
        <v>257</v>
      </c>
      <c r="AM5" s="130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 x14ac:dyDescent="0.25">
      <c r="A6" s="141"/>
      <c r="B6" s="142"/>
      <c r="C6" s="141"/>
      <c r="D6" s="142"/>
      <c r="E6" s="142"/>
      <c r="F6" s="141"/>
      <c r="G6" s="132"/>
      <c r="H6" s="132"/>
      <c r="I6" s="144"/>
      <c r="J6" s="139"/>
      <c r="K6" s="132"/>
      <c r="L6" s="139"/>
      <c r="M6" s="100" t="s">
        <v>288</v>
      </c>
      <c r="N6" s="132"/>
      <c r="O6" s="132"/>
      <c r="P6" s="132"/>
      <c r="Q6" s="132"/>
      <c r="R6" s="132"/>
      <c r="S6" s="89" t="s">
        <v>276</v>
      </c>
      <c r="T6" s="137"/>
      <c r="U6" s="137"/>
      <c r="V6" s="137"/>
      <c r="W6" s="137"/>
      <c r="X6" s="132"/>
      <c r="Y6" s="132"/>
      <c r="Z6" s="132"/>
      <c r="AA6" s="132"/>
      <c r="AB6" s="132"/>
      <c r="AC6" s="132"/>
      <c r="AD6" s="132"/>
      <c r="AE6" s="132"/>
      <c r="AF6" s="132"/>
      <c r="AG6" s="112"/>
      <c r="AH6" s="132"/>
      <c r="AI6" s="102" t="s">
        <v>66</v>
      </c>
      <c r="AJ6" s="102" t="s">
        <v>68</v>
      </c>
      <c r="AK6" s="135"/>
      <c r="AL6" s="130"/>
      <c r="AM6" s="130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 x14ac:dyDescent="0.25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73" si="0">+I7+J7</f>
        <v>1166.26</v>
      </c>
      <c r="L7" s="30">
        <v>2264.86</v>
      </c>
      <c r="M7" s="30"/>
      <c r="N7" s="31"/>
      <c r="O7" s="31"/>
      <c r="P7" s="32"/>
      <c r="Q7" s="33">
        <f t="shared" ref="Q7:Q40" si="1">SUM(K7:O7)-P7</f>
        <v>3431.12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1" si="2">+Q7-SUM(R7:AA7)</f>
        <v>3431.12</v>
      </c>
      <c r="AC7" s="37">
        <f>IF(Q7&gt;3500,Q7*0.1,0)</f>
        <v>0</v>
      </c>
      <c r="AD7" s="33">
        <f t="shared" ref="AD7:AD72" si="3">+AB7-AC7</f>
        <v>3431.12</v>
      </c>
      <c r="AE7" s="38">
        <f>IF(Q7&lt;3500,Q7*0.1,0)</f>
        <v>343.11200000000002</v>
      </c>
      <c r="AF7" s="37">
        <v>10.23</v>
      </c>
      <c r="AG7" s="37">
        <f>+U7</f>
        <v>0</v>
      </c>
      <c r="AH7" s="67">
        <f>+Q7+AE7+AF7+AG7</f>
        <v>3784.462</v>
      </c>
      <c r="AI7" s="103"/>
      <c r="AJ7" s="103"/>
      <c r="AK7" s="103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 x14ac:dyDescent="0.25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1881.9</v>
      </c>
      <c r="M8" s="30"/>
      <c r="N8" s="31"/>
      <c r="O8" s="31"/>
      <c r="P8" s="32"/>
      <c r="Q8" s="33">
        <f t="shared" si="1"/>
        <v>3515.23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3515.23</v>
      </c>
      <c r="AC8" s="37">
        <f t="shared" ref="AC8:AC73" si="4">IF(Q8&gt;3500,Q8*0.1,0)</f>
        <v>351.52300000000002</v>
      </c>
      <c r="AD8" s="33">
        <f t="shared" si="3"/>
        <v>3163.7069999999999</v>
      </c>
      <c r="AE8" s="38">
        <f t="shared" ref="AE8:AE73" si="5">IF(Q8&lt;3500,Q8*0.1,0)</f>
        <v>0</v>
      </c>
      <c r="AF8" s="37">
        <v>10.23</v>
      </c>
      <c r="AG8" s="37">
        <f t="shared" ref="AG8:AG73" si="6">+U8</f>
        <v>0</v>
      </c>
      <c r="AH8" s="67">
        <f t="shared" ref="AH8:AH73" si="7">+Q8+AE8+AF8+AG8</f>
        <v>3525.46</v>
      </c>
      <c r="AI8" s="103"/>
      <c r="AJ8" s="103"/>
      <c r="AK8" s="103"/>
      <c r="AL8" s="39"/>
      <c r="AM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 x14ac:dyDescent="0.25">
      <c r="A9" s="62" t="s">
        <v>94</v>
      </c>
      <c r="B9" s="27" t="s">
        <v>196</v>
      </c>
      <c r="C9" s="27"/>
      <c r="D9" s="27" t="s">
        <v>126</v>
      </c>
      <c r="E9" s="27" t="s">
        <v>181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f>4804.36+2.59</f>
        <v>4806.95</v>
      </c>
      <c r="M9" s="30"/>
      <c r="N9" s="31"/>
      <c r="O9" s="31"/>
      <c r="P9" s="32"/>
      <c r="Q9" s="33">
        <f t="shared" si="1"/>
        <v>5415.11</v>
      </c>
      <c r="R9" s="34"/>
      <c r="S9" s="45"/>
      <c r="T9" s="45"/>
      <c r="U9" s="75">
        <f>Q9*4.9%</f>
        <v>265.34039000000001</v>
      </c>
      <c r="V9" s="75">
        <f>Q9*1%</f>
        <v>54.1511</v>
      </c>
      <c r="W9" s="45"/>
      <c r="X9" s="36"/>
      <c r="Y9" s="36"/>
      <c r="Z9" s="35"/>
      <c r="AA9" s="35">
        <v>0</v>
      </c>
      <c r="AB9" s="33">
        <f t="shared" si="2"/>
        <v>5095.6185099999993</v>
      </c>
      <c r="AC9" s="37">
        <f t="shared" si="4"/>
        <v>541.51099999999997</v>
      </c>
      <c r="AD9" s="33">
        <f t="shared" si="3"/>
        <v>4554.1075099999998</v>
      </c>
      <c r="AE9" s="38">
        <f t="shared" si="5"/>
        <v>0</v>
      </c>
      <c r="AF9" s="37">
        <v>10.23</v>
      </c>
      <c r="AG9" s="37">
        <f t="shared" si="6"/>
        <v>265.34039000000001</v>
      </c>
      <c r="AH9" s="67">
        <f t="shared" si="7"/>
        <v>5690.6803899999995</v>
      </c>
      <c r="AI9" s="103"/>
      <c r="AJ9" s="103"/>
      <c r="AK9" s="103"/>
      <c r="AL9" s="39"/>
      <c r="AM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 x14ac:dyDescent="0.25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>
        <f>2615.27+13.09</f>
        <v>2628.36</v>
      </c>
      <c r="M10" s="30"/>
      <c r="N10" s="31"/>
      <c r="O10" s="31"/>
      <c r="P10" s="32"/>
      <c r="Q10" s="33">
        <f t="shared" si="1"/>
        <v>3367.59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3367.59</v>
      </c>
      <c r="AC10" s="37">
        <f t="shared" si="4"/>
        <v>0</v>
      </c>
      <c r="AD10" s="33">
        <f t="shared" si="3"/>
        <v>3367.59</v>
      </c>
      <c r="AE10" s="38">
        <f t="shared" si="5"/>
        <v>336.75900000000001</v>
      </c>
      <c r="AF10" s="37">
        <v>10.23</v>
      </c>
      <c r="AG10" s="37">
        <f t="shared" si="6"/>
        <v>0</v>
      </c>
      <c r="AH10" s="67">
        <f t="shared" si="7"/>
        <v>3714.5790000000002</v>
      </c>
      <c r="AI10" s="103"/>
      <c r="AJ10" s="103"/>
      <c r="AK10" s="103"/>
      <c r="AL10" s="39"/>
      <c r="AM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 x14ac:dyDescent="0.25">
      <c r="A11" s="27" t="s">
        <v>71</v>
      </c>
      <c r="B11" s="27" t="s">
        <v>87</v>
      </c>
      <c r="C11" s="27" t="s">
        <v>252</v>
      </c>
      <c r="D11" s="27">
        <v>16</v>
      </c>
      <c r="E11" s="27" t="s">
        <v>184</v>
      </c>
      <c r="F11" s="27"/>
      <c r="G11" s="28"/>
      <c r="H11" s="28"/>
      <c r="I11" s="30">
        <v>1633.33</v>
      </c>
      <c r="J11" s="28"/>
      <c r="K11" s="30">
        <f t="shared" si="0"/>
        <v>1633.33</v>
      </c>
      <c r="L11" s="30">
        <v>2134.52</v>
      </c>
      <c r="M11" s="30"/>
      <c r="N11" s="31"/>
      <c r="O11" s="31"/>
      <c r="P11" s="32"/>
      <c r="Q11" s="33">
        <f t="shared" si="1"/>
        <v>3767.85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3767.85</v>
      </c>
      <c r="AC11" s="37">
        <f t="shared" si="4"/>
        <v>376.78500000000003</v>
      </c>
      <c r="AD11" s="33">
        <f t="shared" si="3"/>
        <v>3391.0650000000001</v>
      </c>
      <c r="AE11" s="38">
        <f t="shared" si="5"/>
        <v>0</v>
      </c>
      <c r="AF11" s="37">
        <v>10.23</v>
      </c>
      <c r="AG11" s="37">
        <f t="shared" si="6"/>
        <v>0</v>
      </c>
      <c r="AH11" s="67">
        <f t="shared" si="7"/>
        <v>3778.08</v>
      </c>
      <c r="AI11" s="103"/>
      <c r="AJ11" s="103"/>
      <c r="AK11" s="103"/>
      <c r="AL11" s="39"/>
      <c r="AM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 x14ac:dyDescent="0.25">
      <c r="A12" s="63" t="s">
        <v>91</v>
      </c>
      <c r="B12" s="63" t="s">
        <v>269</v>
      </c>
      <c r="C12" s="63"/>
      <c r="D12" s="63"/>
      <c r="E12" s="63" t="s">
        <v>270</v>
      </c>
      <c r="F12" s="72">
        <v>42422</v>
      </c>
      <c r="G12" s="63"/>
      <c r="H12" s="63"/>
      <c r="I12" s="53">
        <v>608.16</v>
      </c>
      <c r="J12" s="63"/>
      <c r="K12" s="53">
        <f t="shared" si="0"/>
        <v>608.16</v>
      </c>
      <c r="L12" s="53">
        <f>1400.67+5.57</f>
        <v>1406.24</v>
      </c>
      <c r="M12" s="53"/>
      <c r="N12" s="53"/>
      <c r="O12" s="53"/>
      <c r="P12" s="32"/>
      <c r="Q12" s="59">
        <f t="shared" si="1"/>
        <v>2014.4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ref="AB12" si="8">+Q12-SUM(R12:AA12)</f>
        <v>2014.4</v>
      </c>
      <c r="AC12" s="37">
        <f t="shared" si="4"/>
        <v>0</v>
      </c>
      <c r="AD12" s="33">
        <f t="shared" ref="AD12" si="9">+AB12-AC12</f>
        <v>2014.4</v>
      </c>
      <c r="AE12" s="38">
        <f t="shared" si="5"/>
        <v>201.44000000000003</v>
      </c>
      <c r="AF12" s="37">
        <v>10.23</v>
      </c>
      <c r="AG12" s="37">
        <f t="shared" si="6"/>
        <v>0</v>
      </c>
      <c r="AH12" s="67">
        <f t="shared" si="7"/>
        <v>2226.0700000000002</v>
      </c>
      <c r="AI12" s="103"/>
      <c r="AJ12" s="103"/>
      <c r="AK12" s="103"/>
      <c r="AL12" s="84">
        <v>1456104819</v>
      </c>
      <c r="AM12" s="26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 x14ac:dyDescent="0.25">
      <c r="A13" s="63" t="s">
        <v>70</v>
      </c>
      <c r="B13" s="63" t="s">
        <v>203</v>
      </c>
      <c r="C13" s="63" t="s">
        <v>317</v>
      </c>
      <c r="D13" s="63"/>
      <c r="E13" s="63" t="s">
        <v>173</v>
      </c>
      <c r="F13" s="72">
        <v>42417</v>
      </c>
      <c r="G13" s="63"/>
      <c r="H13" s="63"/>
      <c r="I13" s="53">
        <v>513.33000000000004</v>
      </c>
      <c r="J13" s="63">
        <v>653.33000000000004</v>
      </c>
      <c r="K13" s="53">
        <f t="shared" si="0"/>
        <v>1166.6600000000001</v>
      </c>
      <c r="L13" s="53"/>
      <c r="M13" s="53"/>
      <c r="N13" s="53"/>
      <c r="O13" s="53"/>
      <c r="P13" s="32"/>
      <c r="Q13" s="33">
        <f t="shared" si="1"/>
        <v>1166.6600000000001</v>
      </c>
      <c r="R13" s="34"/>
      <c r="S13" s="45"/>
      <c r="T13" s="45">
        <v>0</v>
      </c>
      <c r="U13" s="45"/>
      <c r="V13" s="45"/>
      <c r="W13" s="45"/>
      <c r="X13" s="36"/>
      <c r="Y13" s="36"/>
      <c r="Z13" s="35"/>
      <c r="AA13" s="35">
        <v>0</v>
      </c>
      <c r="AB13" s="33">
        <f t="shared" ref="AB13:AB80" si="10">+Q13-SUM(R13:AA13)</f>
        <v>1166.6600000000001</v>
      </c>
      <c r="AC13" s="37">
        <f t="shared" si="4"/>
        <v>0</v>
      </c>
      <c r="AD13" s="33">
        <f t="shared" si="3"/>
        <v>1166.6600000000001</v>
      </c>
      <c r="AE13" s="38">
        <f t="shared" si="5"/>
        <v>116.66600000000001</v>
      </c>
      <c r="AF13" s="37">
        <v>10.23</v>
      </c>
      <c r="AG13" s="37">
        <f t="shared" si="6"/>
        <v>0</v>
      </c>
      <c r="AH13" s="67">
        <f t="shared" si="7"/>
        <v>1293.556</v>
      </c>
      <c r="AI13" s="103"/>
      <c r="AJ13" s="103"/>
      <c r="AK13" s="103"/>
    </row>
    <row r="14" spans="1:193" x14ac:dyDescent="0.25">
      <c r="A14" s="27" t="s">
        <v>71</v>
      </c>
      <c r="B14" s="27" t="s">
        <v>222</v>
      </c>
      <c r="C14" s="27" t="s">
        <v>249</v>
      </c>
      <c r="D14" s="27" t="s">
        <v>146</v>
      </c>
      <c r="E14" s="27" t="s">
        <v>73</v>
      </c>
      <c r="F14" s="63"/>
      <c r="G14" s="28"/>
      <c r="H14" s="28"/>
      <c r="I14" s="30">
        <v>513.33000000000004</v>
      </c>
      <c r="J14" s="28">
        <v>653.33000000000004</v>
      </c>
      <c r="K14" s="30">
        <f t="shared" si="0"/>
        <v>1166.6600000000001</v>
      </c>
      <c r="L14" s="30">
        <v>5429.03</v>
      </c>
      <c r="M14" s="30"/>
      <c r="N14" s="31"/>
      <c r="O14" s="31"/>
      <c r="P14" s="32"/>
      <c r="Q14" s="33">
        <f t="shared" si="1"/>
        <v>6595.69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368.35</v>
      </c>
      <c r="AB14" s="33">
        <f t="shared" si="10"/>
        <v>6227.3399999999992</v>
      </c>
      <c r="AC14" s="37">
        <f t="shared" si="4"/>
        <v>659.56899999999996</v>
      </c>
      <c r="AD14" s="33">
        <f t="shared" si="3"/>
        <v>5567.7709999999988</v>
      </c>
      <c r="AE14" s="38">
        <f t="shared" si="5"/>
        <v>0</v>
      </c>
      <c r="AF14" s="37">
        <v>10.23</v>
      </c>
      <c r="AG14" s="37">
        <f t="shared" si="6"/>
        <v>0</v>
      </c>
      <c r="AH14" s="67">
        <f t="shared" si="7"/>
        <v>6605.9199999999992</v>
      </c>
      <c r="AI14" s="103"/>
      <c r="AJ14" s="103"/>
      <c r="AK14" s="103"/>
      <c r="AL14" s="39"/>
      <c r="AM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 x14ac:dyDescent="0.25">
      <c r="A15" s="62" t="s">
        <v>94</v>
      </c>
      <c r="B15" s="63" t="s">
        <v>234</v>
      </c>
      <c r="C15" s="63"/>
      <c r="D15" s="27" t="s">
        <v>127</v>
      </c>
      <c r="E15" s="27" t="s">
        <v>174</v>
      </c>
      <c r="F15" s="27"/>
      <c r="G15" s="28"/>
      <c r="H15" s="28"/>
      <c r="I15" s="30">
        <v>608.16</v>
      </c>
      <c r="J15" s="28"/>
      <c r="K15" s="30">
        <f t="shared" si="0"/>
        <v>608.16</v>
      </c>
      <c r="L15" s="30">
        <v>569.1</v>
      </c>
      <c r="M15" s="30"/>
      <c r="N15" s="31"/>
      <c r="O15" s="31"/>
      <c r="P15" s="32"/>
      <c r="Q15" s="33">
        <f t="shared" si="1"/>
        <v>1177.26</v>
      </c>
      <c r="R15" s="34"/>
      <c r="S15" s="45"/>
      <c r="T15" s="75">
        <v>150</v>
      </c>
      <c r="U15" s="75">
        <f>Q15*4.9%</f>
        <v>57.685740000000003</v>
      </c>
      <c r="V15" s="75">
        <f>Q15*1%</f>
        <v>11.772600000000001</v>
      </c>
      <c r="W15" s="45"/>
      <c r="X15" s="36"/>
      <c r="Y15" s="36"/>
      <c r="Z15" s="35"/>
      <c r="AA15" s="35">
        <v>0</v>
      </c>
      <c r="AB15" s="33">
        <f t="shared" si="10"/>
        <v>957.80165999999997</v>
      </c>
      <c r="AC15" s="37">
        <f t="shared" si="4"/>
        <v>0</v>
      </c>
      <c r="AD15" s="33">
        <f t="shared" si="3"/>
        <v>957.80165999999997</v>
      </c>
      <c r="AE15" s="38">
        <f t="shared" si="5"/>
        <v>117.726</v>
      </c>
      <c r="AF15" s="37">
        <v>10.23</v>
      </c>
      <c r="AG15" s="37">
        <f t="shared" si="6"/>
        <v>57.685740000000003</v>
      </c>
      <c r="AH15" s="67">
        <f t="shared" si="7"/>
        <v>1362.9017399999998</v>
      </c>
      <c r="AI15" s="103"/>
      <c r="AJ15" s="103"/>
      <c r="AK15" s="108"/>
      <c r="AL15" s="39"/>
      <c r="AM15" s="94" t="s">
        <v>313</v>
      </c>
      <c r="AN15" s="61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 x14ac:dyDescent="0.25">
      <c r="A16" s="27" t="s">
        <v>70</v>
      </c>
      <c r="B16" s="27" t="s">
        <v>247</v>
      </c>
      <c r="C16" s="63" t="s">
        <v>317</v>
      </c>
      <c r="D16" s="27" t="s">
        <v>144</v>
      </c>
      <c r="E16" s="63" t="s">
        <v>173</v>
      </c>
      <c r="F16" s="68">
        <v>42326</v>
      </c>
      <c r="G16" s="28"/>
      <c r="H16" s="28"/>
      <c r="I16" s="30">
        <v>513.33000000000004</v>
      </c>
      <c r="J16" s="28"/>
      <c r="K16" s="30">
        <f t="shared" si="0"/>
        <v>513.33000000000004</v>
      </c>
      <c r="L16" s="30">
        <v>2410.5700000000002</v>
      </c>
      <c r="M16" s="30"/>
      <c r="N16" s="31"/>
      <c r="O16" s="31"/>
      <c r="P16" s="32"/>
      <c r="Q16" s="33">
        <f t="shared" si="1"/>
        <v>2923.9</v>
      </c>
      <c r="R16" s="34"/>
      <c r="S16" s="45"/>
      <c r="T16" s="45">
        <v>0</v>
      </c>
      <c r="U16" s="45"/>
      <c r="V16" s="45"/>
      <c r="W16" s="45"/>
      <c r="X16" s="36"/>
      <c r="Y16" s="36"/>
      <c r="Z16" s="35"/>
      <c r="AA16" s="90">
        <v>879.45</v>
      </c>
      <c r="AB16" s="33">
        <f t="shared" si="10"/>
        <v>2044.45</v>
      </c>
      <c r="AC16" s="37">
        <f t="shared" si="4"/>
        <v>0</v>
      </c>
      <c r="AD16" s="33">
        <f t="shared" si="3"/>
        <v>2044.45</v>
      </c>
      <c r="AE16" s="38">
        <f t="shared" si="5"/>
        <v>292.39000000000004</v>
      </c>
      <c r="AF16" s="37">
        <v>10.23</v>
      </c>
      <c r="AG16" s="37">
        <f t="shared" si="6"/>
        <v>0</v>
      </c>
      <c r="AH16" s="67">
        <f t="shared" si="7"/>
        <v>3226.52</v>
      </c>
      <c r="AI16" s="103"/>
      <c r="AJ16" s="103"/>
      <c r="AK16" s="103"/>
      <c r="AL16" s="39"/>
      <c r="AM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</row>
    <row r="17" spans="1:193" x14ac:dyDescent="0.25">
      <c r="A17" s="27" t="s">
        <v>69</v>
      </c>
      <c r="B17" s="27" t="s">
        <v>277</v>
      </c>
      <c r="C17" s="27"/>
      <c r="D17" s="27" t="s">
        <v>111</v>
      </c>
      <c r="E17" s="27" t="s">
        <v>169</v>
      </c>
      <c r="F17" s="27"/>
      <c r="G17" s="28"/>
      <c r="H17" s="28"/>
      <c r="I17" s="30">
        <v>933.33</v>
      </c>
      <c r="J17" s="28"/>
      <c r="K17" s="30">
        <f t="shared" si="0"/>
        <v>933.33</v>
      </c>
      <c r="L17" s="30">
        <v>550</v>
      </c>
      <c r="M17" s="30"/>
      <c r="N17" s="31"/>
      <c r="O17" s="31"/>
      <c r="P17" s="32"/>
      <c r="Q17" s="33">
        <f t="shared" si="1"/>
        <v>1483.33</v>
      </c>
      <c r="R17" s="34"/>
      <c r="S17" s="45">
        <v>58.91</v>
      </c>
      <c r="T17" s="45">
        <v>0</v>
      </c>
      <c r="U17" s="45"/>
      <c r="V17" s="45"/>
      <c r="W17" s="45"/>
      <c r="X17" s="36"/>
      <c r="Y17" s="36"/>
      <c r="Z17" s="90"/>
      <c r="AA17" s="35">
        <v>0</v>
      </c>
      <c r="AB17" s="33">
        <f t="shared" si="10"/>
        <v>1424.4199999999998</v>
      </c>
      <c r="AC17" s="37">
        <f t="shared" si="4"/>
        <v>0</v>
      </c>
      <c r="AD17" s="33">
        <f t="shared" si="3"/>
        <v>1424.4199999999998</v>
      </c>
      <c r="AE17" s="38">
        <f t="shared" si="5"/>
        <v>148.333</v>
      </c>
      <c r="AF17" s="37">
        <v>10.23</v>
      </c>
      <c r="AG17" s="37">
        <f t="shared" si="6"/>
        <v>0</v>
      </c>
      <c r="AH17" s="67">
        <f t="shared" si="7"/>
        <v>1641.893</v>
      </c>
      <c r="AI17" s="103"/>
      <c r="AJ17" s="103"/>
      <c r="AK17" s="108"/>
      <c r="AL17" s="39"/>
      <c r="AM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 x14ac:dyDescent="0.25">
      <c r="A18" s="27" t="s">
        <v>71</v>
      </c>
      <c r="B18" s="27" t="s">
        <v>261</v>
      </c>
      <c r="C18" s="27" t="s">
        <v>251</v>
      </c>
      <c r="D18" s="27" t="s">
        <v>147</v>
      </c>
      <c r="E18" s="27" t="s">
        <v>73</v>
      </c>
      <c r="F18" s="27"/>
      <c r="G18" s="28"/>
      <c r="H18" s="28"/>
      <c r="I18" s="30">
        <v>513.33000000000004</v>
      </c>
      <c r="J18" s="28"/>
      <c r="K18" s="30">
        <f t="shared" si="0"/>
        <v>513.33000000000004</v>
      </c>
      <c r="L18" s="30"/>
      <c r="M18" s="30"/>
      <c r="N18" s="31"/>
      <c r="O18" s="31"/>
      <c r="P18" s="32"/>
      <c r="Q18" s="33">
        <f t="shared" si="1"/>
        <v>513.33000000000004</v>
      </c>
      <c r="R18" s="34"/>
      <c r="S18" s="45">
        <v>58.91</v>
      </c>
      <c r="T18" s="75"/>
      <c r="U18" s="45"/>
      <c r="V18" s="45"/>
      <c r="W18" s="45"/>
      <c r="X18" s="36"/>
      <c r="Y18" s="129">
        <v>167.44</v>
      </c>
      <c r="Z18" s="35"/>
      <c r="AA18" s="43">
        <f>Q18*0.25</f>
        <v>128.33250000000001</v>
      </c>
      <c r="AB18" s="33">
        <f t="shared" si="10"/>
        <v>158.64750000000004</v>
      </c>
      <c r="AC18" s="37">
        <f t="shared" si="4"/>
        <v>0</v>
      </c>
      <c r="AD18" s="33">
        <f t="shared" si="3"/>
        <v>158.64750000000004</v>
      </c>
      <c r="AE18" s="38">
        <f t="shared" si="5"/>
        <v>51.333000000000006</v>
      </c>
      <c r="AF18" s="37">
        <v>10.23</v>
      </c>
      <c r="AG18" s="37">
        <f t="shared" si="6"/>
        <v>0</v>
      </c>
      <c r="AH18" s="67">
        <f t="shared" si="7"/>
        <v>574.89300000000003</v>
      </c>
      <c r="AI18" s="103"/>
      <c r="AJ18" s="103"/>
      <c r="AK18" s="103"/>
      <c r="AL18" s="39"/>
      <c r="AM18" s="39"/>
      <c r="AN18" s="39">
        <f>1697.06-469.17</f>
        <v>1227.8899999999999</v>
      </c>
      <c r="AO18" s="39">
        <v>500</v>
      </c>
      <c r="AP18" s="39" t="s">
        <v>318</v>
      </c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</row>
    <row r="19" spans="1:193" s="84" customFormat="1" x14ac:dyDescent="0.25">
      <c r="A19" s="79" t="s">
        <v>71</v>
      </c>
      <c r="B19" s="79" t="s">
        <v>303</v>
      </c>
      <c r="C19" s="79" t="s">
        <v>254</v>
      </c>
      <c r="D19" s="79"/>
      <c r="E19" s="79" t="s">
        <v>73</v>
      </c>
      <c r="F19" s="87">
        <v>42436</v>
      </c>
      <c r="G19" s="79"/>
      <c r="H19" s="79"/>
      <c r="I19" s="80">
        <f>513.33/7*2</f>
        <v>146.6657142857143</v>
      </c>
      <c r="J19" s="119">
        <f>653.33/7*2</f>
        <v>186.6657142857143</v>
      </c>
      <c r="K19" s="80">
        <f t="shared" si="0"/>
        <v>333.3314285714286</v>
      </c>
      <c r="L19" s="80"/>
      <c r="M19" s="80"/>
      <c r="N19" s="80"/>
      <c r="O19" s="80"/>
      <c r="P19" s="81"/>
      <c r="Q19" s="82">
        <f t="shared" si="1"/>
        <v>333.3314285714286</v>
      </c>
      <c r="R19" s="80"/>
      <c r="S19" s="80"/>
      <c r="T19" s="80"/>
      <c r="U19" s="80"/>
      <c r="V19" s="80"/>
      <c r="W19" s="80"/>
      <c r="X19" s="83"/>
      <c r="Y19" s="83"/>
      <c r="Z19" s="79"/>
      <c r="AA19" s="86"/>
      <c r="AB19" s="82">
        <f t="shared" si="10"/>
        <v>333.3314285714286</v>
      </c>
      <c r="AC19" s="83">
        <f t="shared" si="4"/>
        <v>0</v>
      </c>
      <c r="AD19" s="82">
        <f t="shared" si="3"/>
        <v>333.3314285714286</v>
      </c>
      <c r="AE19" s="83">
        <f t="shared" si="5"/>
        <v>33.33314285714286</v>
      </c>
      <c r="AF19" s="83">
        <v>10.23</v>
      </c>
      <c r="AG19" s="83">
        <f t="shared" si="6"/>
        <v>0</v>
      </c>
      <c r="AH19" s="82">
        <f t="shared" si="7"/>
        <v>376.89457142857145</v>
      </c>
      <c r="AI19" s="116"/>
      <c r="AJ19" s="116"/>
      <c r="AK19" s="116"/>
      <c r="AM19" s="78" t="s">
        <v>305</v>
      </c>
      <c r="AP19" s="78">
        <v>1487589077</v>
      </c>
    </row>
    <row r="20" spans="1:193" x14ac:dyDescent="0.25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>
        <v>933.32</v>
      </c>
      <c r="M20" s="30"/>
      <c r="N20" s="30"/>
      <c r="O20" s="30"/>
      <c r="P20" s="32"/>
      <c r="Q20" s="33">
        <f t="shared" si="1"/>
        <v>2099.58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10"/>
        <v>2099.58</v>
      </c>
      <c r="AC20" s="37">
        <f t="shared" si="4"/>
        <v>0</v>
      </c>
      <c r="AD20" s="33">
        <f t="shared" si="3"/>
        <v>2099.58</v>
      </c>
      <c r="AE20" s="38">
        <f t="shared" si="5"/>
        <v>209.958</v>
      </c>
      <c r="AF20" s="37">
        <v>10.23</v>
      </c>
      <c r="AG20" s="37">
        <f t="shared" si="6"/>
        <v>0</v>
      </c>
      <c r="AH20" s="67">
        <f t="shared" si="7"/>
        <v>2319.768</v>
      </c>
      <c r="AI20" s="103"/>
      <c r="AJ20" s="103"/>
      <c r="AK20" s="103"/>
      <c r="AL20" s="39"/>
      <c r="AM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 x14ac:dyDescent="0.25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f>3471+7.42</f>
        <v>3478.42</v>
      </c>
      <c r="M21" s="30"/>
      <c r="N21" s="31"/>
      <c r="O21" s="31"/>
      <c r="P21" s="32"/>
      <c r="Q21" s="33">
        <f t="shared" si="1"/>
        <v>3989.7</v>
      </c>
      <c r="R21" s="34"/>
      <c r="S21" s="45"/>
      <c r="T21" s="75">
        <v>0</v>
      </c>
      <c r="U21" s="75">
        <f>Q21*4.9%</f>
        <v>195.49529999999999</v>
      </c>
      <c r="V21" s="75">
        <f>Q21*1%</f>
        <v>39.896999999999998</v>
      </c>
      <c r="W21" s="45"/>
      <c r="X21" s="36"/>
      <c r="Y21" s="36"/>
      <c r="Z21" s="35"/>
      <c r="AA21" s="35">
        <v>0</v>
      </c>
      <c r="AB21" s="33">
        <f t="shared" si="10"/>
        <v>3754.3076999999998</v>
      </c>
      <c r="AC21" s="37">
        <f t="shared" si="4"/>
        <v>398.97</v>
      </c>
      <c r="AD21" s="33">
        <f t="shared" si="3"/>
        <v>3355.3377</v>
      </c>
      <c r="AE21" s="38">
        <f t="shared" si="5"/>
        <v>0</v>
      </c>
      <c r="AF21" s="37">
        <v>10.23</v>
      </c>
      <c r="AG21" s="37">
        <f t="shared" si="6"/>
        <v>195.49529999999999</v>
      </c>
      <c r="AH21" s="67">
        <f t="shared" si="7"/>
        <v>4195.4252999999999</v>
      </c>
      <c r="AI21" s="103"/>
      <c r="AJ21" s="103"/>
      <c r="AK21" s="103"/>
      <c r="AL21" s="39"/>
      <c r="AM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 x14ac:dyDescent="0.25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6954.41</v>
      </c>
      <c r="M22" s="30"/>
      <c r="N22" s="31"/>
      <c r="O22" s="31"/>
      <c r="P22" s="32"/>
      <c r="Q22" s="33">
        <f t="shared" si="1"/>
        <v>8587.74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10"/>
        <v>7682.04</v>
      </c>
      <c r="AC22" s="37">
        <f t="shared" si="4"/>
        <v>858.774</v>
      </c>
      <c r="AD22" s="33">
        <f t="shared" si="3"/>
        <v>6823.2659999999996</v>
      </c>
      <c r="AE22" s="38">
        <f t="shared" si="5"/>
        <v>0</v>
      </c>
      <c r="AF22" s="37">
        <v>10.23</v>
      </c>
      <c r="AG22" s="37">
        <f t="shared" si="6"/>
        <v>0</v>
      </c>
      <c r="AH22" s="67">
        <f t="shared" si="7"/>
        <v>8597.9699999999993</v>
      </c>
      <c r="AI22" s="103"/>
      <c r="AJ22" s="103"/>
      <c r="AK22" s="103"/>
      <c r="AL22" s="39"/>
      <c r="AM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 x14ac:dyDescent="0.25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647.9</v>
      </c>
      <c r="M23" s="30"/>
      <c r="N23" s="31"/>
      <c r="O23" s="31"/>
      <c r="P23" s="32"/>
      <c r="Q23" s="33">
        <f t="shared" si="1"/>
        <v>1747.9</v>
      </c>
      <c r="R23" s="34"/>
      <c r="S23" s="45"/>
      <c r="T23" s="75">
        <f>+Q23*1%</f>
        <v>17.479000000000003</v>
      </c>
      <c r="U23" s="75">
        <f>+Q23*4.9%</f>
        <v>85.647100000000009</v>
      </c>
      <c r="V23" s="45"/>
      <c r="W23" s="45"/>
      <c r="X23" s="36"/>
      <c r="Y23" s="36"/>
      <c r="Z23" s="35"/>
      <c r="AA23" s="35">
        <v>0</v>
      </c>
      <c r="AB23" s="33">
        <f t="shared" si="10"/>
        <v>1644.7739000000001</v>
      </c>
      <c r="AC23" s="37">
        <f t="shared" si="4"/>
        <v>0</v>
      </c>
      <c r="AD23" s="33">
        <f t="shared" si="3"/>
        <v>1644.7739000000001</v>
      </c>
      <c r="AE23" s="38">
        <f t="shared" si="5"/>
        <v>174.79000000000002</v>
      </c>
      <c r="AF23" s="37">
        <v>10.23</v>
      </c>
      <c r="AG23" s="37">
        <f t="shared" si="6"/>
        <v>85.647100000000009</v>
      </c>
      <c r="AH23" s="67">
        <f t="shared" si="7"/>
        <v>2018.5671</v>
      </c>
      <c r="AI23" s="103"/>
      <c r="AJ23" s="103"/>
      <c r="AK23" s="103"/>
      <c r="AL23" s="39"/>
      <c r="AM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 x14ac:dyDescent="0.25">
      <c r="A24" s="27" t="s">
        <v>70</v>
      </c>
      <c r="B24" s="27" t="s">
        <v>245</v>
      </c>
      <c r="C24" s="63" t="s">
        <v>317</v>
      </c>
      <c r="D24" s="27" t="s">
        <v>122</v>
      </c>
      <c r="E24" s="63" t="s">
        <v>173</v>
      </c>
      <c r="F24" s="68">
        <v>42432</v>
      </c>
      <c r="G24" s="28"/>
      <c r="H24" s="28"/>
      <c r="I24" s="30">
        <v>513.33000000000004</v>
      </c>
      <c r="J24" s="28"/>
      <c r="K24" s="30">
        <f t="shared" si="0"/>
        <v>513.33000000000004</v>
      </c>
      <c r="L24" s="30">
        <v>4000</v>
      </c>
      <c r="M24" s="30"/>
      <c r="N24" s="31"/>
      <c r="O24" s="31"/>
      <c r="P24" s="32"/>
      <c r="Q24" s="33">
        <f t="shared" si="1"/>
        <v>4513.33</v>
      </c>
      <c r="R24" s="34"/>
      <c r="S24" s="45"/>
      <c r="T24" s="45">
        <v>0</v>
      </c>
      <c r="U24" s="45"/>
      <c r="V24" s="45"/>
      <c r="W24" s="45"/>
      <c r="X24" s="36"/>
      <c r="Y24" s="36"/>
      <c r="Z24" s="35"/>
      <c r="AA24" s="35">
        <f>797.62</f>
        <v>797.62</v>
      </c>
      <c r="AB24" s="33">
        <f t="shared" si="10"/>
        <v>3715.71</v>
      </c>
      <c r="AC24" s="37">
        <f t="shared" si="4"/>
        <v>451.33300000000003</v>
      </c>
      <c r="AD24" s="33">
        <f t="shared" si="3"/>
        <v>3264.377</v>
      </c>
      <c r="AE24" s="38">
        <f t="shared" si="5"/>
        <v>0</v>
      </c>
      <c r="AF24" s="37">
        <v>10.23</v>
      </c>
      <c r="AG24" s="37">
        <f t="shared" si="6"/>
        <v>0</v>
      </c>
      <c r="AH24" s="67">
        <f t="shared" si="7"/>
        <v>4523.5599999999995</v>
      </c>
      <c r="AI24" s="103"/>
      <c r="AJ24" s="103"/>
      <c r="AK24" s="103"/>
      <c r="AL24" s="39"/>
      <c r="AM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 x14ac:dyDescent="0.25">
      <c r="A25" s="62" t="s">
        <v>92</v>
      </c>
      <c r="B25" s="27" t="s">
        <v>209</v>
      </c>
      <c r="C25" s="27"/>
      <c r="D25" s="27" t="s">
        <v>100</v>
      </c>
      <c r="E25" s="27" t="s">
        <v>161</v>
      </c>
      <c r="F25" s="27"/>
      <c r="G25" s="27"/>
      <c r="H25" s="27"/>
      <c r="I25" s="76">
        <v>739.23</v>
      </c>
      <c r="J25" s="27"/>
      <c r="K25" s="30">
        <f t="shared" si="0"/>
        <v>739.23</v>
      </c>
      <c r="L25" s="30">
        <f>3123.39+13.09</f>
        <v>3136.48</v>
      </c>
      <c r="M25" s="30"/>
      <c r="N25" s="30"/>
      <c r="O25" s="30"/>
      <c r="P25" s="32"/>
      <c r="Q25" s="33">
        <f t="shared" si="1"/>
        <v>3875.71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v>0</v>
      </c>
      <c r="AB25" s="33">
        <f t="shared" si="10"/>
        <v>3875.71</v>
      </c>
      <c r="AC25" s="37">
        <f t="shared" si="4"/>
        <v>387.57100000000003</v>
      </c>
      <c r="AD25" s="33">
        <f t="shared" si="3"/>
        <v>3488.1390000000001</v>
      </c>
      <c r="AE25" s="38">
        <f t="shared" si="5"/>
        <v>0</v>
      </c>
      <c r="AF25" s="37">
        <v>10.23</v>
      </c>
      <c r="AG25" s="37">
        <f t="shared" si="6"/>
        <v>0</v>
      </c>
      <c r="AH25" s="67">
        <f t="shared" si="7"/>
        <v>3885.94</v>
      </c>
      <c r="AI25" s="103"/>
      <c r="AJ25" s="103"/>
      <c r="AK25" s="103"/>
      <c r="AL25" s="39"/>
      <c r="AM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 x14ac:dyDescent="0.25">
      <c r="A26" s="27" t="s">
        <v>70</v>
      </c>
      <c r="B26" s="27" t="s">
        <v>220</v>
      </c>
      <c r="C26" s="63" t="s">
        <v>317</v>
      </c>
      <c r="D26" s="27" t="s">
        <v>121</v>
      </c>
      <c r="E26" s="27" t="s">
        <v>173</v>
      </c>
      <c r="F26" s="68">
        <v>42304</v>
      </c>
      <c r="G26" s="28"/>
      <c r="H26" s="28"/>
      <c r="I26" s="30">
        <v>513.33000000000004</v>
      </c>
      <c r="J26" s="28"/>
      <c r="K26" s="30">
        <f t="shared" si="0"/>
        <v>513.33000000000004</v>
      </c>
      <c r="L26" s="30">
        <v>1875</v>
      </c>
      <c r="M26" s="30"/>
      <c r="N26" s="31"/>
      <c r="O26" s="31"/>
      <c r="P26" s="32"/>
      <c r="Q26" s="33">
        <f t="shared" si="1"/>
        <v>2388.33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10"/>
        <v>2388.33</v>
      </c>
      <c r="AC26" s="37">
        <f t="shared" si="4"/>
        <v>0</v>
      </c>
      <c r="AD26" s="33">
        <f t="shared" si="3"/>
        <v>2388.33</v>
      </c>
      <c r="AE26" s="38">
        <f t="shared" si="5"/>
        <v>238.833</v>
      </c>
      <c r="AF26" s="37">
        <v>10.23</v>
      </c>
      <c r="AG26" s="37">
        <f t="shared" si="6"/>
        <v>0</v>
      </c>
      <c r="AH26" s="67">
        <f t="shared" si="7"/>
        <v>2637.393</v>
      </c>
      <c r="AI26" s="103"/>
      <c r="AJ26" s="103"/>
      <c r="AK26" s="103"/>
      <c r="AL26" s="39"/>
      <c r="AM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</row>
    <row r="27" spans="1:193" s="40" customFormat="1" x14ac:dyDescent="0.25">
      <c r="A27" s="27" t="s">
        <v>92</v>
      </c>
      <c r="B27" s="27" t="s">
        <v>240</v>
      </c>
      <c r="C27" s="27"/>
      <c r="D27" s="27" t="s">
        <v>114</v>
      </c>
      <c r="E27" s="27" t="s">
        <v>167</v>
      </c>
      <c r="F27" s="27"/>
      <c r="G27" s="27"/>
      <c r="H27" s="27"/>
      <c r="I27" s="30">
        <v>1100</v>
      </c>
      <c r="J27" s="27"/>
      <c r="K27" s="30">
        <f t="shared" si="0"/>
        <v>1100</v>
      </c>
      <c r="L27" s="30">
        <f>1395.3+5.57</f>
        <v>1400.87</v>
      </c>
      <c r="M27" s="30"/>
      <c r="N27" s="30"/>
      <c r="O27" s="30"/>
      <c r="P27" s="32"/>
      <c r="Q27" s="33">
        <f t="shared" si="1"/>
        <v>2500.87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10"/>
        <v>2500.87</v>
      </c>
      <c r="AC27" s="37">
        <f t="shared" si="4"/>
        <v>0</v>
      </c>
      <c r="AD27" s="33">
        <f t="shared" si="3"/>
        <v>2500.87</v>
      </c>
      <c r="AE27" s="38">
        <f t="shared" si="5"/>
        <v>250.08699999999999</v>
      </c>
      <c r="AF27" s="37">
        <v>10.23</v>
      </c>
      <c r="AG27" s="37">
        <f t="shared" si="6"/>
        <v>0</v>
      </c>
      <c r="AH27" s="67">
        <f t="shared" si="7"/>
        <v>2761.1869999999999</v>
      </c>
      <c r="AI27" s="103"/>
      <c r="AJ27" s="103"/>
      <c r="AK27" s="103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</row>
    <row r="28" spans="1:193" s="84" customFormat="1" x14ac:dyDescent="0.25">
      <c r="A28" s="79" t="s">
        <v>71</v>
      </c>
      <c r="B28" s="79" t="s">
        <v>304</v>
      </c>
      <c r="C28" s="79" t="s">
        <v>254</v>
      </c>
      <c r="D28" s="79"/>
      <c r="E28" s="79" t="s">
        <v>73</v>
      </c>
      <c r="F28" s="87">
        <v>42437</v>
      </c>
      <c r="G28" s="79"/>
      <c r="H28" s="79"/>
      <c r="I28" s="80">
        <f>513.33/7*2</f>
        <v>146.6657142857143</v>
      </c>
      <c r="J28" s="119">
        <f>653.33/7*2</f>
        <v>186.6657142857143</v>
      </c>
      <c r="K28" s="80">
        <f t="shared" si="0"/>
        <v>333.3314285714286</v>
      </c>
      <c r="L28" s="80"/>
      <c r="M28" s="80"/>
      <c r="N28" s="80"/>
      <c r="O28" s="80"/>
      <c r="P28" s="81"/>
      <c r="Q28" s="82">
        <f t="shared" si="1"/>
        <v>333.3314285714286</v>
      </c>
      <c r="R28" s="80"/>
      <c r="S28" s="80"/>
      <c r="T28" s="80"/>
      <c r="U28" s="80"/>
      <c r="V28" s="80"/>
      <c r="W28" s="80"/>
      <c r="X28" s="83"/>
      <c r="Y28" s="83"/>
      <c r="Z28" s="79"/>
      <c r="AA28" s="79"/>
      <c r="AB28" s="82">
        <f t="shared" si="10"/>
        <v>333.3314285714286</v>
      </c>
      <c r="AC28" s="83">
        <f t="shared" si="4"/>
        <v>0</v>
      </c>
      <c r="AD28" s="82">
        <f t="shared" si="3"/>
        <v>333.3314285714286</v>
      </c>
      <c r="AE28" s="83">
        <f t="shared" si="5"/>
        <v>33.33314285714286</v>
      </c>
      <c r="AF28" s="83">
        <v>10.23</v>
      </c>
      <c r="AG28" s="83">
        <f t="shared" si="6"/>
        <v>0</v>
      </c>
      <c r="AH28" s="82">
        <f t="shared" si="7"/>
        <v>376.89457142857145</v>
      </c>
      <c r="AI28" s="116"/>
      <c r="AJ28" s="116"/>
      <c r="AK28" s="116"/>
      <c r="AM28" s="78" t="s">
        <v>306</v>
      </c>
    </row>
    <row r="29" spans="1:193" x14ac:dyDescent="0.25">
      <c r="A29" s="27" t="s">
        <v>69</v>
      </c>
      <c r="B29" s="27" t="s">
        <v>227</v>
      </c>
      <c r="C29" s="27"/>
      <c r="D29" s="27" t="s">
        <v>112</v>
      </c>
      <c r="E29" s="27" t="s">
        <v>169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10"/>
        <v>1424.4199999999998</v>
      </c>
      <c r="AC29" s="37">
        <f t="shared" si="4"/>
        <v>0</v>
      </c>
      <c r="AD29" s="33">
        <f t="shared" si="3"/>
        <v>1424.4199999999998</v>
      </c>
      <c r="AE29" s="38">
        <f t="shared" si="5"/>
        <v>148.333</v>
      </c>
      <c r="AF29" s="37">
        <v>10.23</v>
      </c>
      <c r="AG29" s="37">
        <f t="shared" si="6"/>
        <v>0</v>
      </c>
      <c r="AH29" s="67">
        <f t="shared" si="7"/>
        <v>1641.893</v>
      </c>
      <c r="AI29" s="103"/>
      <c r="AJ29" s="103"/>
      <c r="AK29" s="103"/>
      <c r="AL29" s="39"/>
      <c r="AM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 x14ac:dyDescent="0.25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107"/>
      <c r="I30" s="30">
        <v>1516.67</v>
      </c>
      <c r="J30" s="106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>
        <f>Q30*0.3</f>
        <v>455.00100000000003</v>
      </c>
      <c r="Z30" s="35"/>
      <c r="AA30" s="35">
        <v>0</v>
      </c>
      <c r="AB30" s="33">
        <f t="shared" si="10"/>
        <v>861.6690000000001</v>
      </c>
      <c r="AC30" s="37">
        <f t="shared" si="4"/>
        <v>0</v>
      </c>
      <c r="AD30" s="33">
        <f t="shared" si="3"/>
        <v>861.6690000000001</v>
      </c>
      <c r="AE30" s="38">
        <f t="shared" si="5"/>
        <v>151.667</v>
      </c>
      <c r="AF30" s="37">
        <v>10.23</v>
      </c>
      <c r="AG30" s="37">
        <f t="shared" si="6"/>
        <v>0</v>
      </c>
      <c r="AH30" s="67">
        <f t="shared" si="7"/>
        <v>1678.567</v>
      </c>
      <c r="AI30" s="103"/>
      <c r="AJ30" s="103"/>
      <c r="AK30" s="103"/>
      <c r="AL30" s="39"/>
      <c r="AM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40" customFormat="1" x14ac:dyDescent="0.25">
      <c r="A31" s="62" t="s">
        <v>94</v>
      </c>
      <c r="B31" s="27" t="s">
        <v>231</v>
      </c>
      <c r="C31" s="27"/>
      <c r="D31" s="27" t="s">
        <v>130</v>
      </c>
      <c r="E31" s="27" t="s">
        <v>181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f>2897.11+2.59</f>
        <v>2899.7000000000003</v>
      </c>
      <c r="M31" s="30"/>
      <c r="N31" s="31"/>
      <c r="O31" s="31"/>
      <c r="P31" s="32"/>
      <c r="Q31" s="33">
        <f t="shared" si="1"/>
        <v>3507.86</v>
      </c>
      <c r="R31" s="34"/>
      <c r="S31" s="45"/>
      <c r="T31" s="75">
        <v>500</v>
      </c>
      <c r="U31" s="75">
        <f>Q31*4.9%</f>
        <v>171.88514000000001</v>
      </c>
      <c r="V31" s="75">
        <f>Q31*1%</f>
        <v>35.078600000000002</v>
      </c>
      <c r="W31" s="45"/>
      <c r="X31" s="36"/>
      <c r="Y31" s="36"/>
      <c r="Z31" s="35"/>
      <c r="AA31" s="35">
        <v>0</v>
      </c>
      <c r="AB31" s="33">
        <f t="shared" si="10"/>
        <v>2800.89626</v>
      </c>
      <c r="AC31" s="37">
        <f t="shared" si="4"/>
        <v>350.78600000000006</v>
      </c>
      <c r="AD31" s="33">
        <f t="shared" si="3"/>
        <v>2450.1102599999999</v>
      </c>
      <c r="AE31" s="38">
        <f t="shared" si="5"/>
        <v>0</v>
      </c>
      <c r="AF31" s="37">
        <v>10.23</v>
      </c>
      <c r="AG31" s="37">
        <f t="shared" si="6"/>
        <v>171.88514000000001</v>
      </c>
      <c r="AH31" s="67">
        <f t="shared" si="7"/>
        <v>3689.97514</v>
      </c>
      <c r="AI31" s="103"/>
      <c r="AJ31" s="103"/>
      <c r="AK31" s="103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 x14ac:dyDescent="0.25">
      <c r="A32" s="62" t="s">
        <v>94</v>
      </c>
      <c r="B32" s="27" t="s">
        <v>229</v>
      </c>
      <c r="C32" s="27"/>
      <c r="D32" s="27" t="s">
        <v>131</v>
      </c>
      <c r="E32" s="27" t="s">
        <v>181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f>4950.71+5.57</f>
        <v>4956.28</v>
      </c>
      <c r="M32" s="30"/>
      <c r="N32" s="31"/>
      <c r="O32" s="31"/>
      <c r="P32" s="32"/>
      <c r="Q32" s="33">
        <f t="shared" si="1"/>
        <v>5564.44</v>
      </c>
      <c r="R32" s="34"/>
      <c r="S32" s="45"/>
      <c r="T32" s="75">
        <v>1000</v>
      </c>
      <c r="U32" s="75">
        <f>Q32*4.9%</f>
        <v>272.65755999999999</v>
      </c>
      <c r="V32" s="75">
        <f>Q32*1%</f>
        <v>55.644399999999997</v>
      </c>
      <c r="W32" s="45">
        <v>300</v>
      </c>
      <c r="X32" s="36"/>
      <c r="Y32" s="36"/>
      <c r="Z32" s="90"/>
      <c r="AA32" s="35">
        <v>0</v>
      </c>
      <c r="AB32" s="33">
        <f t="shared" si="10"/>
        <v>3936.1380399999998</v>
      </c>
      <c r="AC32" s="37">
        <f t="shared" si="4"/>
        <v>556.44399999999996</v>
      </c>
      <c r="AD32" s="33">
        <f t="shared" si="3"/>
        <v>3379.6940399999999</v>
      </c>
      <c r="AE32" s="38">
        <f t="shared" si="5"/>
        <v>0</v>
      </c>
      <c r="AF32" s="37">
        <v>10.23</v>
      </c>
      <c r="AG32" s="37">
        <f t="shared" si="6"/>
        <v>272.65755999999999</v>
      </c>
      <c r="AH32" s="67">
        <f t="shared" si="7"/>
        <v>5847.3275599999988</v>
      </c>
      <c r="AI32" s="103"/>
      <c r="AJ32" s="103"/>
      <c r="AK32" s="103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40" customFormat="1" x14ac:dyDescent="0.25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725.92</v>
      </c>
      <c r="M33" s="30"/>
      <c r="N33" s="30"/>
      <c r="O33" s="30"/>
      <c r="P33" s="32"/>
      <c r="Q33" s="33">
        <f t="shared" si="1"/>
        <v>1892.1799999999998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10"/>
        <v>1892.1799999999998</v>
      </c>
      <c r="AC33" s="37">
        <f t="shared" si="4"/>
        <v>0</v>
      </c>
      <c r="AD33" s="33">
        <f t="shared" si="3"/>
        <v>1892.1799999999998</v>
      </c>
      <c r="AE33" s="38">
        <f t="shared" si="5"/>
        <v>189.21799999999999</v>
      </c>
      <c r="AF33" s="37">
        <v>10.23</v>
      </c>
      <c r="AG33" s="37">
        <f t="shared" si="6"/>
        <v>0</v>
      </c>
      <c r="AH33" s="67">
        <f t="shared" si="7"/>
        <v>2091.6279999999997</v>
      </c>
      <c r="AI33" s="103"/>
      <c r="AJ33" s="103"/>
      <c r="AK33" s="103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</row>
    <row r="34" spans="1:193" s="84" customFormat="1" x14ac:dyDescent="0.25">
      <c r="A34" s="79" t="s">
        <v>91</v>
      </c>
      <c r="B34" s="79" t="s">
        <v>307</v>
      </c>
      <c r="C34" s="79"/>
      <c r="D34" s="79"/>
      <c r="E34" s="79" t="s">
        <v>72</v>
      </c>
      <c r="F34" s="87">
        <v>42432</v>
      </c>
      <c r="G34" s="79"/>
      <c r="H34" s="79"/>
      <c r="I34" s="80">
        <f>1166.33/7*6</f>
        <v>999.71142857142854</v>
      </c>
      <c r="J34" s="86"/>
      <c r="K34" s="80">
        <f t="shared" si="0"/>
        <v>999.71142857142854</v>
      </c>
      <c r="L34" s="80"/>
      <c r="M34" s="80"/>
      <c r="N34" s="80"/>
      <c r="O34" s="80"/>
      <c r="P34" s="81"/>
      <c r="Q34" s="82">
        <f t="shared" si="1"/>
        <v>999.71142857142854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10"/>
        <v>999.71142857142854</v>
      </c>
      <c r="AC34" s="83">
        <f t="shared" si="4"/>
        <v>0</v>
      </c>
      <c r="AD34" s="82">
        <f t="shared" si="3"/>
        <v>999.71142857142854</v>
      </c>
      <c r="AE34" s="83">
        <f t="shared" si="5"/>
        <v>99.971142857142866</v>
      </c>
      <c r="AF34" s="83">
        <v>10.23</v>
      </c>
      <c r="AG34" s="83">
        <f t="shared" ref="AG34" si="11">+U34</f>
        <v>0</v>
      </c>
      <c r="AH34" s="82">
        <f t="shared" ref="AH34" si="12">+Q34+AE34+AF34+AG34</f>
        <v>1109.9125714285715</v>
      </c>
      <c r="AI34" s="116"/>
      <c r="AJ34" s="116"/>
      <c r="AK34" s="116"/>
      <c r="AM34" s="78">
        <v>2986476066</v>
      </c>
    </row>
    <row r="35" spans="1:193" s="127" customFormat="1" x14ac:dyDescent="0.25">
      <c r="A35" s="120" t="s">
        <v>92</v>
      </c>
      <c r="B35" s="120" t="s">
        <v>281</v>
      </c>
      <c r="C35" s="120"/>
      <c r="D35" s="120"/>
      <c r="E35" s="120" t="s">
        <v>167</v>
      </c>
      <c r="F35" s="121">
        <v>42422</v>
      </c>
      <c r="G35" s="120"/>
      <c r="H35" s="120"/>
      <c r="I35" s="122">
        <v>0</v>
      </c>
      <c r="J35" s="123"/>
      <c r="K35" s="122">
        <f t="shared" si="0"/>
        <v>0</v>
      </c>
      <c r="L35" s="122"/>
      <c r="M35" s="122"/>
      <c r="N35" s="122"/>
      <c r="O35" s="122"/>
      <c r="P35" s="122"/>
      <c r="Q35" s="124">
        <f>SUM(K35:O35)-P35</f>
        <v>0</v>
      </c>
      <c r="R35" s="122"/>
      <c r="S35" s="122"/>
      <c r="T35" s="122">
        <v>0</v>
      </c>
      <c r="U35" s="122"/>
      <c r="V35" s="122"/>
      <c r="W35" s="122"/>
      <c r="X35" s="125"/>
      <c r="Y35" s="125"/>
      <c r="Z35" s="120"/>
      <c r="AA35" s="120">
        <v>0</v>
      </c>
      <c r="AB35" s="124">
        <f t="shared" ref="AB35" si="13">+Q35-SUM(R35:AA35)</f>
        <v>0</v>
      </c>
      <c r="AC35" s="125">
        <f t="shared" si="4"/>
        <v>0</v>
      </c>
      <c r="AD35" s="124">
        <f t="shared" ref="AD35" si="14">+AB35-AC35</f>
        <v>0</v>
      </c>
      <c r="AE35" s="125">
        <f t="shared" si="5"/>
        <v>0</v>
      </c>
      <c r="AF35" s="125">
        <v>0</v>
      </c>
      <c r="AG35" s="125">
        <f t="shared" si="6"/>
        <v>0</v>
      </c>
      <c r="AH35" s="124">
        <f t="shared" si="7"/>
        <v>0</v>
      </c>
      <c r="AI35" s="126"/>
      <c r="AJ35" s="126"/>
      <c r="AK35" s="126"/>
      <c r="AL35" s="127">
        <v>1182316935</v>
      </c>
      <c r="AM35" s="128" t="s">
        <v>312</v>
      </c>
    </row>
    <row r="36" spans="1:193" s="39" customFormat="1" x14ac:dyDescent="0.25">
      <c r="A36" s="63" t="s">
        <v>71</v>
      </c>
      <c r="B36" s="63" t="s">
        <v>204</v>
      </c>
      <c r="C36" s="63" t="s">
        <v>249</v>
      </c>
      <c r="D36" s="63"/>
      <c r="E36" s="63" t="s">
        <v>73</v>
      </c>
      <c r="F36" s="72">
        <v>42415</v>
      </c>
      <c r="G36" s="63"/>
      <c r="H36" s="63"/>
      <c r="I36" s="53">
        <v>513.33000000000004</v>
      </c>
      <c r="J36" s="74">
        <v>653.33000000000004</v>
      </c>
      <c r="K36" s="53">
        <f t="shared" si="0"/>
        <v>1166.6600000000001</v>
      </c>
      <c r="L36" s="53">
        <v>6719.21</v>
      </c>
      <c r="M36" s="53"/>
      <c r="N36" s="53"/>
      <c r="O36" s="53"/>
      <c r="P36" s="32"/>
      <c r="Q36" s="33">
        <f t="shared" ref="Q36" si="15">SUM(K36:O36)-P36</f>
        <v>7885.87</v>
      </c>
      <c r="R36" s="34"/>
      <c r="S36" s="45"/>
      <c r="T36" s="45">
        <v>0</v>
      </c>
      <c r="U36" s="45"/>
      <c r="V36" s="45"/>
      <c r="W36" s="45"/>
      <c r="X36" s="36"/>
      <c r="Y36" s="36"/>
      <c r="Z36" s="35"/>
      <c r="AA36" s="35">
        <v>0</v>
      </c>
      <c r="AB36" s="33">
        <f t="shared" ref="AB36" si="16">+Q36-SUM(R36:AA36)</f>
        <v>7885.87</v>
      </c>
      <c r="AC36" s="37">
        <f t="shared" si="4"/>
        <v>788.58699999999999</v>
      </c>
      <c r="AD36" s="33">
        <f t="shared" si="3"/>
        <v>7097.2829999999994</v>
      </c>
      <c r="AE36" s="38">
        <f t="shared" si="5"/>
        <v>0</v>
      </c>
      <c r="AF36" s="37">
        <v>10.23</v>
      </c>
      <c r="AG36" s="37">
        <f t="shared" si="6"/>
        <v>0</v>
      </c>
      <c r="AH36" s="67">
        <f t="shared" si="7"/>
        <v>7896.0999999999995</v>
      </c>
      <c r="AI36" s="103"/>
      <c r="AJ36" s="103"/>
      <c r="AK36" s="103"/>
    </row>
    <row r="37" spans="1:193" x14ac:dyDescent="0.25">
      <c r="A37" s="27" t="s">
        <v>71</v>
      </c>
      <c r="B37" s="27" t="s">
        <v>226</v>
      </c>
      <c r="C37" s="27" t="s">
        <v>249</v>
      </c>
      <c r="D37" s="27" t="s">
        <v>148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2050</v>
      </c>
      <c r="M37" s="30"/>
      <c r="N37" s="31"/>
      <c r="O37" s="31"/>
      <c r="P37" s="32"/>
      <c r="Q37" s="33">
        <f t="shared" si="1"/>
        <v>2563.33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349.07</v>
      </c>
      <c r="AB37" s="33">
        <f>+Q37-SUM(R37:AA37)</f>
        <v>2155.35</v>
      </c>
      <c r="AC37" s="37">
        <f t="shared" si="4"/>
        <v>0</v>
      </c>
      <c r="AD37" s="33">
        <f t="shared" si="3"/>
        <v>2155.35</v>
      </c>
      <c r="AE37" s="38">
        <f t="shared" si="5"/>
        <v>256.33300000000003</v>
      </c>
      <c r="AF37" s="37">
        <v>10.23</v>
      </c>
      <c r="AG37" s="37">
        <f t="shared" si="6"/>
        <v>0</v>
      </c>
      <c r="AH37" s="67">
        <f t="shared" si="7"/>
        <v>2829.893</v>
      </c>
      <c r="AI37" s="103"/>
      <c r="AJ37" s="103"/>
      <c r="AK37" s="103"/>
      <c r="AL37" s="39"/>
      <c r="AM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</row>
    <row r="38" spans="1:193" s="84" customFormat="1" x14ac:dyDescent="0.25">
      <c r="A38" s="62" t="s">
        <v>94</v>
      </c>
      <c r="B38" s="79" t="s">
        <v>308</v>
      </c>
      <c r="C38" s="79"/>
      <c r="D38" s="79"/>
      <c r="E38" s="79" t="s">
        <v>174</v>
      </c>
      <c r="F38" s="87">
        <v>42431</v>
      </c>
      <c r="G38" s="79"/>
      <c r="H38" s="79"/>
      <c r="I38" s="80">
        <v>508.38</v>
      </c>
      <c r="J38" s="79"/>
      <c r="K38" s="80">
        <f t="shared" si="0"/>
        <v>508.38</v>
      </c>
      <c r="L38" s="80"/>
      <c r="M38" s="80"/>
      <c r="N38" s="80"/>
      <c r="O38" s="80"/>
      <c r="P38" s="81"/>
      <c r="Q38" s="82">
        <f t="shared" si="1"/>
        <v>508.38</v>
      </c>
      <c r="R38" s="80"/>
      <c r="S38" s="80"/>
      <c r="T38" s="80"/>
      <c r="U38" s="75">
        <f>Q38*4.9%</f>
        <v>24.910620000000002</v>
      </c>
      <c r="V38" s="75">
        <f>Q38*1%</f>
        <v>5.0838000000000001</v>
      </c>
      <c r="W38" s="80"/>
      <c r="X38" s="83"/>
      <c r="Y38" s="83"/>
      <c r="Z38" s="79"/>
      <c r="AA38" s="79"/>
      <c r="AB38" s="33">
        <f>+Q38-SUM(R38:AA38)</f>
        <v>478.38558</v>
      </c>
      <c r="AC38" s="83">
        <f t="shared" si="4"/>
        <v>0</v>
      </c>
      <c r="AD38" s="82">
        <f>+AB38-AC38</f>
        <v>478.38558</v>
      </c>
      <c r="AE38" s="83">
        <f t="shared" si="5"/>
        <v>50.838000000000001</v>
      </c>
      <c r="AF38" s="83">
        <v>10.23</v>
      </c>
      <c r="AG38" s="83">
        <f t="shared" ref="AG38" si="17">+U38</f>
        <v>24.910620000000002</v>
      </c>
      <c r="AH38" s="82">
        <f>+Q38+AE38+AF38+AG38</f>
        <v>594.35861999999997</v>
      </c>
      <c r="AI38" s="116"/>
      <c r="AJ38" s="116"/>
      <c r="AK38" s="116"/>
      <c r="AM38" s="118">
        <v>2962956136</v>
      </c>
      <c r="AN38" s="117"/>
    </row>
    <row r="39" spans="1:193" x14ac:dyDescent="0.25">
      <c r="A39" s="27" t="s">
        <v>71</v>
      </c>
      <c r="B39" s="27" t="s">
        <v>223</v>
      </c>
      <c r="C39" s="27" t="s">
        <v>249</v>
      </c>
      <c r="D39" s="27" t="s">
        <v>149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si="0"/>
        <v>513.33000000000004</v>
      </c>
      <c r="L39" s="30">
        <v>603.38</v>
      </c>
      <c r="M39" s="30"/>
      <c r="N39" s="31"/>
      <c r="O39" s="31"/>
      <c r="P39" s="32"/>
      <c r="Q39" s="33">
        <f t="shared" si="1"/>
        <v>1116.71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10"/>
        <v>1057.8</v>
      </c>
      <c r="AC39" s="37">
        <f t="shared" si="4"/>
        <v>0</v>
      </c>
      <c r="AD39" s="33">
        <f t="shared" si="3"/>
        <v>1057.8</v>
      </c>
      <c r="AE39" s="38">
        <f t="shared" si="5"/>
        <v>111.67100000000001</v>
      </c>
      <c r="AF39" s="37">
        <v>10.23</v>
      </c>
      <c r="AG39" s="37">
        <f t="shared" si="6"/>
        <v>0</v>
      </c>
      <c r="AH39" s="67">
        <f t="shared" si="7"/>
        <v>1238.6110000000001</v>
      </c>
      <c r="AI39" s="103"/>
      <c r="AJ39" s="103"/>
      <c r="AK39" s="103"/>
      <c r="AL39" s="39"/>
      <c r="AM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</row>
    <row r="40" spans="1:193" x14ac:dyDescent="0.25">
      <c r="A40" s="62" t="s">
        <v>92</v>
      </c>
      <c r="B40" s="27" t="s">
        <v>230</v>
      </c>
      <c r="C40" s="27"/>
      <c r="D40" s="27" t="s">
        <v>101</v>
      </c>
      <c r="E40" s="27" t="s">
        <v>162</v>
      </c>
      <c r="F40" s="27"/>
      <c r="G40" s="27"/>
      <c r="H40" s="27"/>
      <c r="I40" s="30">
        <v>739.23</v>
      </c>
      <c r="J40" s="27"/>
      <c r="K40" s="30">
        <f t="shared" si="0"/>
        <v>739.23</v>
      </c>
      <c r="L40" s="30">
        <f>1786.23+7.42</f>
        <v>1793.65</v>
      </c>
      <c r="M40" s="30"/>
      <c r="N40" s="30"/>
      <c r="O40" s="30"/>
      <c r="P40" s="32"/>
      <c r="Q40" s="33">
        <f t="shared" si="1"/>
        <v>2532.88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0</v>
      </c>
      <c r="AB40" s="33">
        <f t="shared" si="10"/>
        <v>2532.88</v>
      </c>
      <c r="AC40" s="37">
        <f t="shared" si="4"/>
        <v>0</v>
      </c>
      <c r="AD40" s="33">
        <f t="shared" si="3"/>
        <v>2532.88</v>
      </c>
      <c r="AE40" s="38">
        <f t="shared" si="5"/>
        <v>253.28800000000001</v>
      </c>
      <c r="AF40" s="37">
        <v>10.23</v>
      </c>
      <c r="AG40" s="37">
        <f t="shared" si="6"/>
        <v>0</v>
      </c>
      <c r="AH40" s="67">
        <f t="shared" si="7"/>
        <v>2796.3980000000001</v>
      </c>
      <c r="AI40" s="103"/>
      <c r="AJ40" s="103"/>
      <c r="AK40" s="103"/>
      <c r="AL40" s="39"/>
      <c r="AM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</row>
    <row r="41" spans="1:193" x14ac:dyDescent="0.25">
      <c r="A41" s="27" t="s">
        <v>71</v>
      </c>
      <c r="B41" s="27" t="s">
        <v>224</v>
      </c>
      <c r="C41" s="27" t="s">
        <v>251</v>
      </c>
      <c r="D41" s="27" t="s">
        <v>150</v>
      </c>
      <c r="E41" s="27" t="s">
        <v>73</v>
      </c>
      <c r="F41" s="27"/>
      <c r="G41" s="28"/>
      <c r="H41" s="28"/>
      <c r="I41" s="53">
        <v>513.33000000000004</v>
      </c>
      <c r="J41" s="28"/>
      <c r="K41" s="30">
        <f t="shared" si="0"/>
        <v>513.33000000000004</v>
      </c>
      <c r="L41" s="30">
        <v>822.17</v>
      </c>
      <c r="M41" s="30"/>
      <c r="N41" s="31"/>
      <c r="O41" s="31"/>
      <c r="P41" s="32"/>
      <c r="Q41" s="33">
        <f t="shared" ref="Q41:Q72" si="18">SUM(K41:O41)-P41</f>
        <v>1335.5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10"/>
        <v>1276.5899999999999</v>
      </c>
      <c r="AC41" s="37">
        <f t="shared" si="4"/>
        <v>0</v>
      </c>
      <c r="AD41" s="33">
        <f t="shared" si="3"/>
        <v>1276.5899999999999</v>
      </c>
      <c r="AE41" s="38">
        <f t="shared" si="5"/>
        <v>133.55000000000001</v>
      </c>
      <c r="AF41" s="37">
        <v>10.23</v>
      </c>
      <c r="AG41" s="37">
        <f t="shared" si="6"/>
        <v>0</v>
      </c>
      <c r="AH41" s="67">
        <f t="shared" si="7"/>
        <v>1479.28</v>
      </c>
      <c r="AI41" s="103"/>
      <c r="AJ41" s="103"/>
      <c r="AK41" s="103"/>
      <c r="AL41" s="39"/>
      <c r="AM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</row>
    <row r="42" spans="1:193" x14ac:dyDescent="0.25">
      <c r="A42" s="27" t="s">
        <v>71</v>
      </c>
      <c r="B42" s="27" t="s">
        <v>255</v>
      </c>
      <c r="C42" s="27" t="s">
        <v>254</v>
      </c>
      <c r="D42" s="27" t="s">
        <v>151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0"/>
        <v>513.33000000000004</v>
      </c>
      <c r="L42" s="30">
        <v>7905.26</v>
      </c>
      <c r="M42" s="30"/>
      <c r="N42" s="31"/>
      <c r="O42" s="31"/>
      <c r="P42" s="32"/>
      <c r="Q42" s="33">
        <f t="shared" si="18"/>
        <v>8418.59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208.6</v>
      </c>
      <c r="AB42" s="33">
        <f t="shared" si="10"/>
        <v>8209.99</v>
      </c>
      <c r="AC42" s="37">
        <f t="shared" si="4"/>
        <v>841.85900000000004</v>
      </c>
      <c r="AD42" s="33">
        <f t="shared" si="3"/>
        <v>7368.1309999999994</v>
      </c>
      <c r="AE42" s="38">
        <f t="shared" si="5"/>
        <v>0</v>
      </c>
      <c r="AF42" s="37">
        <v>10.23</v>
      </c>
      <c r="AG42" s="37">
        <f t="shared" si="6"/>
        <v>0</v>
      </c>
      <c r="AH42" s="67">
        <f t="shared" si="7"/>
        <v>8428.82</v>
      </c>
      <c r="AI42" s="103"/>
      <c r="AJ42" s="103"/>
      <c r="AK42" s="103"/>
      <c r="AL42" s="39"/>
      <c r="AM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</row>
    <row r="43" spans="1:193" x14ac:dyDescent="0.25">
      <c r="A43" s="27" t="s">
        <v>70</v>
      </c>
      <c r="B43" s="27" t="s">
        <v>84</v>
      </c>
      <c r="C43" s="63" t="s">
        <v>317</v>
      </c>
      <c r="D43" s="27" t="s">
        <v>123</v>
      </c>
      <c r="E43" s="27" t="s">
        <v>173</v>
      </c>
      <c r="F43" s="27"/>
      <c r="G43" s="28"/>
      <c r="H43" s="28"/>
      <c r="I43" s="30">
        <v>513.33000000000004</v>
      </c>
      <c r="J43" s="28"/>
      <c r="K43" s="30">
        <f t="shared" si="0"/>
        <v>513.33000000000004</v>
      </c>
      <c r="L43" s="30">
        <v>2667.5</v>
      </c>
      <c r="M43" s="30"/>
      <c r="N43" s="31"/>
      <c r="O43" s="31"/>
      <c r="P43" s="32"/>
      <c r="Q43" s="33">
        <f t="shared" si="18"/>
        <v>3180.83</v>
      </c>
      <c r="R43" s="34"/>
      <c r="S43" s="45">
        <v>58.91</v>
      </c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10"/>
        <v>3121.92</v>
      </c>
      <c r="AC43" s="37">
        <f t="shared" si="4"/>
        <v>0</v>
      </c>
      <c r="AD43" s="33">
        <f t="shared" si="3"/>
        <v>3121.92</v>
      </c>
      <c r="AE43" s="38">
        <f t="shared" si="5"/>
        <v>318.08300000000003</v>
      </c>
      <c r="AF43" s="37">
        <v>10.23</v>
      </c>
      <c r="AG43" s="37">
        <f t="shared" si="6"/>
        <v>0</v>
      </c>
      <c r="AH43" s="67">
        <f t="shared" si="7"/>
        <v>3509.143</v>
      </c>
      <c r="AI43" s="103"/>
      <c r="AJ43" s="103"/>
      <c r="AK43" s="103"/>
      <c r="AL43" s="39"/>
      <c r="AM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</row>
    <row r="44" spans="1:193" x14ac:dyDescent="0.25">
      <c r="A44" s="27" t="s">
        <v>71</v>
      </c>
      <c r="B44" s="27" t="s">
        <v>256</v>
      </c>
      <c r="C44" s="27" t="s">
        <v>254</v>
      </c>
      <c r="D44" s="27" t="s">
        <v>152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0"/>
        <v>513.33000000000004</v>
      </c>
      <c r="L44" s="30">
        <v>648.46</v>
      </c>
      <c r="M44" s="30"/>
      <c r="N44" s="31"/>
      <c r="O44" s="31"/>
      <c r="P44" s="32"/>
      <c r="Q44" s="33">
        <f t="shared" si="18"/>
        <v>1161.79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10"/>
        <v>1161.79</v>
      </c>
      <c r="AC44" s="37">
        <f t="shared" si="4"/>
        <v>0</v>
      </c>
      <c r="AD44" s="33">
        <f t="shared" si="3"/>
        <v>1161.79</v>
      </c>
      <c r="AE44" s="38">
        <f t="shared" si="5"/>
        <v>116.179</v>
      </c>
      <c r="AF44" s="37">
        <v>10.23</v>
      </c>
      <c r="AG44" s="37">
        <f t="shared" si="6"/>
        <v>0</v>
      </c>
      <c r="AH44" s="67">
        <f t="shared" si="7"/>
        <v>1288.1990000000001</v>
      </c>
      <c r="AI44" s="103"/>
      <c r="AJ44" s="103"/>
      <c r="AK44" s="103"/>
      <c r="AL44" s="39"/>
      <c r="AM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</row>
    <row r="45" spans="1:193" x14ac:dyDescent="0.25">
      <c r="A45" s="27" t="s">
        <v>91</v>
      </c>
      <c r="B45" s="27" t="s">
        <v>81</v>
      </c>
      <c r="C45" s="27"/>
      <c r="D45" s="27" t="s">
        <v>116</v>
      </c>
      <c r="E45" s="27" t="s">
        <v>172</v>
      </c>
      <c r="F45" s="27"/>
      <c r="G45" s="27"/>
      <c r="H45" s="27"/>
      <c r="I45" s="30">
        <v>1633.33</v>
      </c>
      <c r="J45" s="27"/>
      <c r="K45" s="30">
        <f t="shared" si="0"/>
        <v>1633.33</v>
      </c>
      <c r="L45" s="30"/>
      <c r="M45" s="30"/>
      <c r="N45" s="30"/>
      <c r="O45" s="30"/>
      <c r="P45" s="32"/>
      <c r="Q45" s="33">
        <f t="shared" si="18"/>
        <v>1633.33</v>
      </c>
      <c r="R45" s="34"/>
      <c r="S45" s="45"/>
      <c r="T45" s="45">
        <v>0</v>
      </c>
      <c r="U45" s="45"/>
      <c r="V45" s="45"/>
      <c r="W45" s="45"/>
      <c r="X45" s="36"/>
      <c r="Y45" s="36"/>
      <c r="Z45" s="35"/>
      <c r="AA45" s="35">
        <v>0</v>
      </c>
      <c r="AB45" s="33">
        <f t="shared" si="10"/>
        <v>1633.33</v>
      </c>
      <c r="AC45" s="37">
        <f t="shared" si="4"/>
        <v>0</v>
      </c>
      <c r="AD45" s="33">
        <f t="shared" si="3"/>
        <v>1633.33</v>
      </c>
      <c r="AE45" s="38">
        <f t="shared" si="5"/>
        <v>163.333</v>
      </c>
      <c r="AF45" s="37">
        <v>10.23</v>
      </c>
      <c r="AG45" s="37">
        <f t="shared" si="6"/>
        <v>0</v>
      </c>
      <c r="AH45" s="67">
        <f t="shared" si="7"/>
        <v>1806.893</v>
      </c>
      <c r="AI45" s="103"/>
      <c r="AJ45" s="103"/>
      <c r="AK45" s="103"/>
      <c r="AL45" s="39"/>
      <c r="AM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</row>
    <row r="46" spans="1:193" x14ac:dyDescent="0.25">
      <c r="A46" s="27" t="s">
        <v>71</v>
      </c>
      <c r="B46" s="27" t="s">
        <v>262</v>
      </c>
      <c r="C46" s="27"/>
      <c r="D46" s="27" t="s">
        <v>154</v>
      </c>
      <c r="E46" s="27" t="s">
        <v>73</v>
      </c>
      <c r="F46" s="27"/>
      <c r="G46" s="28"/>
      <c r="H46" s="28"/>
      <c r="I46" s="30">
        <v>513.33000000000004</v>
      </c>
      <c r="J46" s="28"/>
      <c r="K46" s="30">
        <f t="shared" si="0"/>
        <v>513.33000000000004</v>
      </c>
      <c r="L46" s="30"/>
      <c r="M46" s="30"/>
      <c r="N46" s="31"/>
      <c r="O46" s="31"/>
      <c r="P46" s="32"/>
      <c r="Q46" s="33">
        <f t="shared" si="18"/>
        <v>513.33000000000004</v>
      </c>
      <c r="R46" s="34"/>
      <c r="S46" s="45"/>
      <c r="T46" s="45">
        <v>0</v>
      </c>
      <c r="U46" s="45"/>
      <c r="V46" s="45"/>
      <c r="W46" s="45"/>
      <c r="X46" s="36"/>
      <c r="Y46" s="36"/>
      <c r="Z46" s="35"/>
      <c r="AA46" s="35">
        <v>0</v>
      </c>
      <c r="AB46" s="33">
        <f t="shared" si="10"/>
        <v>513.33000000000004</v>
      </c>
      <c r="AC46" s="37">
        <f t="shared" si="4"/>
        <v>0</v>
      </c>
      <c r="AD46" s="33">
        <f t="shared" si="3"/>
        <v>513.33000000000004</v>
      </c>
      <c r="AE46" s="38">
        <f t="shared" si="5"/>
        <v>51.333000000000006</v>
      </c>
      <c r="AF46" s="37">
        <v>10.23</v>
      </c>
      <c r="AG46" s="37">
        <f t="shared" si="6"/>
        <v>0</v>
      </c>
      <c r="AH46" s="67">
        <f t="shared" si="7"/>
        <v>574.89300000000003</v>
      </c>
      <c r="AI46" s="103"/>
      <c r="AJ46" s="103"/>
      <c r="AK46" s="103"/>
      <c r="AL46" s="39"/>
      <c r="AM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</row>
    <row r="47" spans="1:193" s="39" customFormat="1" x14ac:dyDescent="0.25">
      <c r="A47" s="63" t="s">
        <v>93</v>
      </c>
      <c r="B47" s="63" t="s">
        <v>200</v>
      </c>
      <c r="C47" s="63"/>
      <c r="D47" s="63"/>
      <c r="E47" s="63" t="s">
        <v>171</v>
      </c>
      <c r="F47" s="72">
        <v>42413</v>
      </c>
      <c r="G47" s="63"/>
      <c r="H47" s="63"/>
      <c r="I47" s="30">
        <v>1516.67</v>
      </c>
      <c r="J47" s="63"/>
      <c r="K47" s="53">
        <f t="shared" si="0"/>
        <v>1516.67</v>
      </c>
      <c r="L47" s="53"/>
      <c r="M47" s="53"/>
      <c r="N47" s="53"/>
      <c r="O47" s="53"/>
      <c r="P47" s="73"/>
      <c r="Q47" s="49">
        <f t="shared" si="18"/>
        <v>1516.67</v>
      </c>
      <c r="R47" s="34"/>
      <c r="S47" s="45"/>
      <c r="T47" s="45">
        <v>0</v>
      </c>
      <c r="U47" s="45"/>
      <c r="V47" s="45"/>
      <c r="W47" s="45"/>
      <c r="X47" s="36"/>
      <c r="Y47" s="36"/>
      <c r="Z47" s="35"/>
      <c r="AA47" s="35">
        <v>0</v>
      </c>
      <c r="AB47" s="33">
        <f t="shared" ref="AB47" si="19">+Q47-SUM(R47:AA47)</f>
        <v>1516.67</v>
      </c>
      <c r="AC47" s="37">
        <f t="shared" si="4"/>
        <v>0</v>
      </c>
      <c r="AD47" s="33">
        <f t="shared" ref="AD47" si="20">+AB47-AC47</f>
        <v>1516.67</v>
      </c>
      <c r="AE47" s="38">
        <f t="shared" si="5"/>
        <v>151.667</v>
      </c>
      <c r="AF47" s="37">
        <v>10.23</v>
      </c>
      <c r="AG47" s="37">
        <f t="shared" si="6"/>
        <v>0</v>
      </c>
      <c r="AH47" s="67">
        <f t="shared" si="7"/>
        <v>1678.567</v>
      </c>
      <c r="AI47" s="103"/>
      <c r="AJ47" s="103"/>
      <c r="AK47" s="103"/>
      <c r="AL47" s="39" t="s">
        <v>289</v>
      </c>
    </row>
    <row r="48" spans="1:193" x14ac:dyDescent="0.25">
      <c r="A48" s="62" t="s">
        <v>94</v>
      </c>
      <c r="B48" s="27" t="s">
        <v>192</v>
      </c>
      <c r="C48" s="27"/>
      <c r="D48" s="27" t="s">
        <v>132</v>
      </c>
      <c r="E48" s="27" t="s">
        <v>174</v>
      </c>
      <c r="F48" s="27"/>
      <c r="G48" s="28"/>
      <c r="H48" s="28"/>
      <c r="I48" s="30">
        <v>543.20000000000005</v>
      </c>
      <c r="J48" s="28"/>
      <c r="K48" s="30">
        <f t="shared" si="0"/>
        <v>543.20000000000005</v>
      </c>
      <c r="L48" s="30">
        <v>263.10000000000002</v>
      </c>
      <c r="M48" s="30"/>
      <c r="N48" s="31"/>
      <c r="O48" s="31"/>
      <c r="P48" s="32"/>
      <c r="Q48" s="33">
        <f t="shared" si="18"/>
        <v>806.30000000000007</v>
      </c>
      <c r="R48" s="34"/>
      <c r="S48" s="45"/>
      <c r="T48" s="75">
        <v>100</v>
      </c>
      <c r="U48" s="75">
        <f>Q48*4.9%</f>
        <v>39.508700000000005</v>
      </c>
      <c r="V48" s="75">
        <f>Q48*1%</f>
        <v>8.0630000000000006</v>
      </c>
      <c r="W48" s="45"/>
      <c r="X48" s="36"/>
      <c r="Y48" s="36"/>
      <c r="Z48" s="35"/>
      <c r="AA48" s="35">
        <v>0</v>
      </c>
      <c r="AB48" s="33">
        <f t="shared" si="10"/>
        <v>658.7283000000001</v>
      </c>
      <c r="AC48" s="37">
        <f t="shared" si="4"/>
        <v>0</v>
      </c>
      <c r="AD48" s="33">
        <f t="shared" si="3"/>
        <v>658.7283000000001</v>
      </c>
      <c r="AE48" s="38">
        <f t="shared" si="5"/>
        <v>80.63000000000001</v>
      </c>
      <c r="AF48" s="37">
        <v>10.23</v>
      </c>
      <c r="AG48" s="37">
        <f t="shared" si="6"/>
        <v>39.508700000000005</v>
      </c>
      <c r="AH48" s="67">
        <f t="shared" si="7"/>
        <v>936.66870000000006</v>
      </c>
      <c r="AI48" s="103"/>
      <c r="AJ48" s="103"/>
      <c r="AK48" s="103"/>
      <c r="AL48" s="39"/>
      <c r="AM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</row>
    <row r="49" spans="1:193" s="39" customFormat="1" x14ac:dyDescent="0.25">
      <c r="A49" s="62" t="s">
        <v>94</v>
      </c>
      <c r="B49" s="63" t="s">
        <v>264</v>
      </c>
      <c r="C49" s="63"/>
      <c r="D49" s="63" t="s">
        <v>265</v>
      </c>
      <c r="E49" s="27" t="s">
        <v>181</v>
      </c>
      <c r="F49" s="63"/>
      <c r="G49" s="63"/>
      <c r="H49" s="63"/>
      <c r="I49" s="53">
        <v>608.16</v>
      </c>
      <c r="J49" s="63"/>
      <c r="K49" s="53">
        <f t="shared" si="0"/>
        <v>608.16</v>
      </c>
      <c r="L49" s="53">
        <f>3400.1+5.571</f>
        <v>3405.6709999999998</v>
      </c>
      <c r="M49" s="53"/>
      <c r="N49" s="53"/>
      <c r="O49" s="53"/>
      <c r="P49" s="73"/>
      <c r="Q49" s="49">
        <f t="shared" si="18"/>
        <v>4013.8309999999997</v>
      </c>
      <c r="R49" s="34"/>
      <c r="S49" s="45"/>
      <c r="T49" s="45">
        <v>0</v>
      </c>
      <c r="U49" s="75">
        <f>Q49*4.9%</f>
        <v>196.677719</v>
      </c>
      <c r="V49" s="75">
        <f>Q49*1%</f>
        <v>40.138309999999997</v>
      </c>
      <c r="W49" s="45"/>
      <c r="X49" s="36"/>
      <c r="Y49" s="36"/>
      <c r="Z49" s="35"/>
      <c r="AA49" s="35">
        <v>0</v>
      </c>
      <c r="AB49" s="33">
        <f t="shared" ref="AB49" si="21">+Q49-SUM(R49:AA49)</f>
        <v>3777.0149709999996</v>
      </c>
      <c r="AC49" s="37">
        <f t="shared" si="4"/>
        <v>401.38310000000001</v>
      </c>
      <c r="AD49" s="33">
        <f t="shared" ref="AD49" si="22">+AB49-AC49</f>
        <v>3375.6318709999996</v>
      </c>
      <c r="AE49" s="38">
        <f t="shared" si="5"/>
        <v>0</v>
      </c>
      <c r="AF49" s="37">
        <v>10.23</v>
      </c>
      <c r="AG49" s="37">
        <f t="shared" si="6"/>
        <v>196.677719</v>
      </c>
      <c r="AH49" s="67">
        <f t="shared" si="7"/>
        <v>4220.7387189999999</v>
      </c>
      <c r="AI49" s="103"/>
      <c r="AJ49" s="103"/>
      <c r="AK49" s="103"/>
      <c r="AL49" s="39">
        <v>2948910731</v>
      </c>
      <c r="AM49" s="26"/>
    </row>
    <row r="50" spans="1:193" x14ac:dyDescent="0.25">
      <c r="A50" s="62" t="s">
        <v>94</v>
      </c>
      <c r="B50" s="27" t="s">
        <v>194</v>
      </c>
      <c r="C50" s="27"/>
      <c r="D50" s="27" t="s">
        <v>133</v>
      </c>
      <c r="E50" s="27" t="s">
        <v>177</v>
      </c>
      <c r="F50" s="27"/>
      <c r="G50" s="28"/>
      <c r="H50" s="28"/>
      <c r="I50" s="30">
        <v>608.16</v>
      </c>
      <c r="J50" s="28"/>
      <c r="K50" s="30">
        <f t="shared" si="0"/>
        <v>608.16</v>
      </c>
      <c r="L50" s="30">
        <f>1827.88+2.97</f>
        <v>1830.8500000000001</v>
      </c>
      <c r="M50" s="30"/>
      <c r="N50" s="31"/>
      <c r="O50" s="31"/>
      <c r="P50" s="32"/>
      <c r="Q50" s="33">
        <f t="shared" si="18"/>
        <v>2439.0100000000002</v>
      </c>
      <c r="R50" s="34"/>
      <c r="S50" s="45"/>
      <c r="T50" s="45"/>
      <c r="U50" s="75">
        <f>Q50*4.9%</f>
        <v>119.51149000000001</v>
      </c>
      <c r="V50" s="75">
        <f>Q50*1%</f>
        <v>24.390100000000004</v>
      </c>
      <c r="W50" s="45"/>
      <c r="X50" s="36"/>
      <c r="Y50" s="36"/>
      <c r="Z50" s="35"/>
      <c r="AA50" s="35">
        <v>0</v>
      </c>
      <c r="AB50" s="33">
        <f t="shared" si="10"/>
        <v>2295.1084100000003</v>
      </c>
      <c r="AC50" s="37">
        <f t="shared" si="4"/>
        <v>0</v>
      </c>
      <c r="AD50" s="33">
        <f t="shared" si="3"/>
        <v>2295.1084100000003</v>
      </c>
      <c r="AE50" s="38">
        <f t="shared" si="5"/>
        <v>243.90100000000004</v>
      </c>
      <c r="AF50" s="37">
        <v>10.23</v>
      </c>
      <c r="AG50" s="37">
        <f t="shared" si="6"/>
        <v>119.51149000000001</v>
      </c>
      <c r="AH50" s="67">
        <f t="shared" si="7"/>
        <v>2812.6524899999999</v>
      </c>
      <c r="AI50" s="103"/>
      <c r="AJ50" s="103"/>
      <c r="AK50" s="103"/>
      <c r="AL50" s="39"/>
      <c r="AM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</row>
    <row r="51" spans="1:193" x14ac:dyDescent="0.25">
      <c r="A51" s="62" t="s">
        <v>92</v>
      </c>
      <c r="B51" s="27" t="s">
        <v>233</v>
      </c>
      <c r="C51" s="27"/>
      <c r="D51" s="27" t="s">
        <v>102</v>
      </c>
      <c r="E51" s="27" t="s">
        <v>163</v>
      </c>
      <c r="F51" s="27"/>
      <c r="G51" s="27"/>
      <c r="H51" s="27"/>
      <c r="I51" s="30">
        <v>739.23</v>
      </c>
      <c r="J51" s="27"/>
      <c r="K51" s="30">
        <f t="shared" si="0"/>
        <v>739.23</v>
      </c>
      <c r="L51" s="30">
        <f>2426.68+13.09</f>
        <v>2439.77</v>
      </c>
      <c r="M51" s="30"/>
      <c r="N51" s="30"/>
      <c r="O51" s="30"/>
      <c r="P51" s="32"/>
      <c r="Q51" s="33">
        <f t="shared" si="18"/>
        <v>3179</v>
      </c>
      <c r="R51" s="34"/>
      <c r="S51" s="45"/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10"/>
        <v>3179</v>
      </c>
      <c r="AC51" s="37">
        <f t="shared" si="4"/>
        <v>0</v>
      </c>
      <c r="AD51" s="33">
        <f t="shared" si="3"/>
        <v>3179</v>
      </c>
      <c r="AE51" s="38">
        <f t="shared" si="5"/>
        <v>317.90000000000003</v>
      </c>
      <c r="AF51" s="37">
        <v>10.23</v>
      </c>
      <c r="AG51" s="37">
        <f t="shared" si="6"/>
        <v>0</v>
      </c>
      <c r="AH51" s="67">
        <f t="shared" si="7"/>
        <v>3507.13</v>
      </c>
      <c r="AI51" s="103"/>
      <c r="AJ51" s="103"/>
      <c r="AK51" s="103"/>
      <c r="AL51" s="39"/>
      <c r="AM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</row>
    <row r="52" spans="1:193" s="61" customFormat="1" x14ac:dyDescent="0.25">
      <c r="A52" s="62" t="s">
        <v>94</v>
      </c>
      <c r="B52" s="63" t="s">
        <v>202</v>
      </c>
      <c r="C52" s="63"/>
      <c r="D52" s="63"/>
      <c r="E52" s="63" t="s">
        <v>163</v>
      </c>
      <c r="F52" s="72">
        <v>42416</v>
      </c>
      <c r="G52" s="63"/>
      <c r="H52" s="63"/>
      <c r="I52" s="53">
        <v>739.23</v>
      </c>
      <c r="J52" s="63"/>
      <c r="K52" s="53">
        <f t="shared" si="0"/>
        <v>739.23</v>
      </c>
      <c r="L52" s="53">
        <f>2555.68+13.09</f>
        <v>2568.77</v>
      </c>
      <c r="M52" s="53"/>
      <c r="N52" s="53"/>
      <c r="O52" s="53"/>
      <c r="P52" s="32"/>
      <c r="Q52" s="59">
        <f t="shared" si="18"/>
        <v>3308</v>
      </c>
      <c r="R52" s="34"/>
      <c r="S52" s="45"/>
      <c r="T52" s="45">
        <v>0</v>
      </c>
      <c r="U52" s="45"/>
      <c r="V52" s="75">
        <f>Q52*1%</f>
        <v>33.08</v>
      </c>
      <c r="W52" s="45"/>
      <c r="X52" s="36"/>
      <c r="Y52" s="36"/>
      <c r="Z52" s="35"/>
      <c r="AA52" s="35">
        <v>0</v>
      </c>
      <c r="AB52" s="59">
        <f t="shared" si="10"/>
        <v>3274.92</v>
      </c>
      <c r="AC52" s="37">
        <f t="shared" si="4"/>
        <v>0</v>
      </c>
      <c r="AD52" s="59">
        <f t="shared" si="3"/>
        <v>3274.92</v>
      </c>
      <c r="AE52" s="38">
        <f t="shared" si="5"/>
        <v>330.8</v>
      </c>
      <c r="AF52" s="37">
        <v>10.23</v>
      </c>
      <c r="AG52" s="37">
        <f t="shared" si="6"/>
        <v>0</v>
      </c>
      <c r="AH52" s="67">
        <f t="shared" si="7"/>
        <v>3649.03</v>
      </c>
      <c r="AI52" s="103"/>
      <c r="AJ52" s="103"/>
      <c r="AK52" s="103"/>
      <c r="AL52" s="39">
        <v>1296641458</v>
      </c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 x14ac:dyDescent="0.25">
      <c r="A53" s="27" t="s">
        <v>71</v>
      </c>
      <c r="B53" s="27" t="s">
        <v>88</v>
      </c>
      <c r="C53" s="27" t="s">
        <v>254</v>
      </c>
      <c r="D53" s="27" t="s">
        <v>153</v>
      </c>
      <c r="E53" s="27" t="s">
        <v>73</v>
      </c>
      <c r="F53" s="27"/>
      <c r="G53" s="28"/>
      <c r="H53" s="28"/>
      <c r="I53" s="30">
        <v>513.33000000000004</v>
      </c>
      <c r="J53" s="28"/>
      <c r="K53" s="30">
        <f t="shared" si="0"/>
        <v>513.33000000000004</v>
      </c>
      <c r="L53" s="30">
        <v>4213.68</v>
      </c>
      <c r="M53" s="30"/>
      <c r="N53" s="31"/>
      <c r="O53" s="31"/>
      <c r="P53" s="32"/>
      <c r="Q53" s="33">
        <f t="shared" si="18"/>
        <v>4727.01</v>
      </c>
      <c r="R53" s="34"/>
      <c r="S53" s="45">
        <v>58.91</v>
      </c>
      <c r="T53" s="45">
        <v>0</v>
      </c>
      <c r="U53" s="45"/>
      <c r="V53" s="45"/>
      <c r="W53" s="45"/>
      <c r="X53" s="36"/>
      <c r="Y53" s="36"/>
      <c r="Z53" s="35"/>
      <c r="AA53" s="35">
        <v>0</v>
      </c>
      <c r="AB53" s="33">
        <f t="shared" si="10"/>
        <v>4668.1000000000004</v>
      </c>
      <c r="AC53" s="37">
        <f t="shared" si="4"/>
        <v>472.70100000000002</v>
      </c>
      <c r="AD53" s="33">
        <f t="shared" si="3"/>
        <v>4195.3990000000003</v>
      </c>
      <c r="AE53" s="38">
        <f t="shared" si="5"/>
        <v>0</v>
      </c>
      <c r="AF53" s="37">
        <v>10.23</v>
      </c>
      <c r="AG53" s="37">
        <f t="shared" si="6"/>
        <v>0</v>
      </c>
      <c r="AH53" s="67">
        <f t="shared" si="7"/>
        <v>4737.24</v>
      </c>
      <c r="AI53" s="103"/>
      <c r="AJ53" s="103"/>
      <c r="AK53" s="103"/>
      <c r="AL53" s="39"/>
      <c r="AM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</row>
    <row r="54" spans="1:193" x14ac:dyDescent="0.25">
      <c r="A54" s="27" t="s">
        <v>71</v>
      </c>
      <c r="B54" s="27" t="s">
        <v>221</v>
      </c>
      <c r="C54" s="27" t="s">
        <v>251</v>
      </c>
      <c r="D54" s="27">
        <v>30</v>
      </c>
      <c r="E54" s="27" t="s">
        <v>73</v>
      </c>
      <c r="F54" s="27"/>
      <c r="G54" s="28"/>
      <c r="H54" s="28"/>
      <c r="I54" s="53">
        <v>513.33000000000004</v>
      </c>
      <c r="J54" s="28"/>
      <c r="K54" s="30">
        <f t="shared" si="0"/>
        <v>513.33000000000004</v>
      </c>
      <c r="L54" s="30">
        <v>21193.09</v>
      </c>
      <c r="M54" s="30"/>
      <c r="N54" s="31"/>
      <c r="O54" s="31"/>
      <c r="P54" s="32"/>
      <c r="Q54" s="33">
        <f t="shared" si="18"/>
        <v>21706.420000000002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10"/>
        <v>21706.420000000002</v>
      </c>
      <c r="AC54" s="37">
        <f t="shared" si="4"/>
        <v>2170.6420000000003</v>
      </c>
      <c r="AD54" s="33">
        <f t="shared" si="3"/>
        <v>19535.778000000002</v>
      </c>
      <c r="AE54" s="38">
        <f t="shared" si="5"/>
        <v>0</v>
      </c>
      <c r="AF54" s="37">
        <v>10.23</v>
      </c>
      <c r="AG54" s="37">
        <f t="shared" si="6"/>
        <v>0</v>
      </c>
      <c r="AH54" s="67">
        <f t="shared" si="7"/>
        <v>21716.65</v>
      </c>
      <c r="AI54" s="103"/>
      <c r="AJ54" s="103"/>
      <c r="AK54" s="103"/>
      <c r="AL54" s="39"/>
      <c r="AM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</row>
    <row r="55" spans="1:193" x14ac:dyDescent="0.25">
      <c r="A55" s="27" t="s">
        <v>71</v>
      </c>
      <c r="B55" s="27" t="s">
        <v>216</v>
      </c>
      <c r="C55" s="27" t="s">
        <v>249</v>
      </c>
      <c r="D55" s="27" t="s">
        <v>155</v>
      </c>
      <c r="E55" s="27" t="s">
        <v>73</v>
      </c>
      <c r="F55" s="68">
        <v>42408</v>
      </c>
      <c r="G55" s="28"/>
      <c r="H55" s="28"/>
      <c r="I55" s="30">
        <v>513.33000000000004</v>
      </c>
      <c r="J55" s="28">
        <v>653.33000000000004</v>
      </c>
      <c r="K55" s="30">
        <f t="shared" si="0"/>
        <v>1166.6600000000001</v>
      </c>
      <c r="L55" s="30">
        <v>3564.63</v>
      </c>
      <c r="M55" s="30"/>
      <c r="N55" s="31"/>
      <c r="O55" s="31"/>
      <c r="P55" s="32"/>
      <c r="Q55" s="33">
        <f t="shared" si="18"/>
        <v>4731.29</v>
      </c>
      <c r="R55" s="34"/>
      <c r="S55" s="45"/>
      <c r="T55" s="45">
        <v>0</v>
      </c>
      <c r="U55" s="45"/>
      <c r="V55" s="45"/>
      <c r="W55" s="45"/>
      <c r="X55" s="36"/>
      <c r="Y55" s="36"/>
      <c r="Z55" s="90"/>
      <c r="AA55" s="90">
        <v>875.69</v>
      </c>
      <c r="AB55" s="33">
        <f t="shared" si="10"/>
        <v>3855.6</v>
      </c>
      <c r="AC55" s="37">
        <f t="shared" si="4"/>
        <v>473.12900000000002</v>
      </c>
      <c r="AD55" s="33">
        <f t="shared" si="3"/>
        <v>3382.471</v>
      </c>
      <c r="AE55" s="38">
        <f t="shared" si="5"/>
        <v>0</v>
      </c>
      <c r="AF55" s="37">
        <v>10.23</v>
      </c>
      <c r="AG55" s="37">
        <f t="shared" si="6"/>
        <v>0</v>
      </c>
      <c r="AH55" s="67">
        <f t="shared" si="7"/>
        <v>4741.5199999999995</v>
      </c>
      <c r="AI55" s="103"/>
      <c r="AJ55" s="103"/>
      <c r="AK55" s="108"/>
      <c r="AL55" s="39"/>
      <c r="AM55" s="39"/>
      <c r="AN55" s="111">
        <v>2967093632</v>
      </c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</row>
    <row r="56" spans="1:193" x14ac:dyDescent="0.25">
      <c r="A56" s="27" t="s">
        <v>70</v>
      </c>
      <c r="B56" s="27" t="s">
        <v>225</v>
      </c>
      <c r="C56" s="63" t="s">
        <v>317</v>
      </c>
      <c r="D56" s="27" t="s">
        <v>124</v>
      </c>
      <c r="E56" s="27" t="s">
        <v>173</v>
      </c>
      <c r="F56" s="68">
        <v>42352</v>
      </c>
      <c r="G56" s="28"/>
      <c r="H56" s="28"/>
      <c r="I56" s="30">
        <v>513.33000000000004</v>
      </c>
      <c r="J56" s="28">
        <v>653.33000000000004</v>
      </c>
      <c r="K56" s="30">
        <f t="shared" si="0"/>
        <v>1166.6600000000001</v>
      </c>
      <c r="L56" s="30">
        <v>5366.59</v>
      </c>
      <c r="M56" s="30"/>
      <c r="N56" s="31"/>
      <c r="O56" s="31"/>
      <c r="P56" s="32"/>
      <c r="Q56" s="33">
        <f t="shared" si="18"/>
        <v>6533.25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0</v>
      </c>
      <c r="AB56" s="33">
        <f t="shared" si="10"/>
        <v>6533.25</v>
      </c>
      <c r="AC56" s="37">
        <f t="shared" si="4"/>
        <v>653.32500000000005</v>
      </c>
      <c r="AD56" s="33">
        <f t="shared" si="3"/>
        <v>5879.9250000000002</v>
      </c>
      <c r="AE56" s="38">
        <f t="shared" si="5"/>
        <v>0</v>
      </c>
      <c r="AF56" s="37">
        <v>10.23</v>
      </c>
      <c r="AG56" s="37">
        <f t="shared" si="6"/>
        <v>0</v>
      </c>
      <c r="AH56" s="67">
        <f t="shared" si="7"/>
        <v>6543.48</v>
      </c>
      <c r="AI56" s="103"/>
      <c r="AJ56" s="103"/>
      <c r="AK56" s="103"/>
      <c r="AL56" s="39"/>
      <c r="AM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 s="84" customFormat="1" x14ac:dyDescent="0.25">
      <c r="A57" s="63" t="s">
        <v>71</v>
      </c>
      <c r="B57" s="63" t="s">
        <v>285</v>
      </c>
      <c r="C57" s="63"/>
      <c r="D57" s="63"/>
      <c r="E57" s="63" t="s">
        <v>73</v>
      </c>
      <c r="F57" s="72">
        <v>42055</v>
      </c>
      <c r="G57" s="63"/>
      <c r="H57" s="63"/>
      <c r="I57" s="53">
        <v>513.33000000000004</v>
      </c>
      <c r="J57" s="28">
        <v>653.33000000000004</v>
      </c>
      <c r="K57" s="53">
        <f t="shared" si="0"/>
        <v>1166.6600000000001</v>
      </c>
      <c r="L57" s="53"/>
      <c r="M57" s="53"/>
      <c r="N57" s="53"/>
      <c r="O57" s="53"/>
      <c r="P57" s="32"/>
      <c r="Q57" s="33">
        <f t="shared" ref="Q57:Q58" si="23">SUM(K57:O57)-P57</f>
        <v>1166.6600000000001</v>
      </c>
      <c r="R57" s="34"/>
      <c r="S57" s="45"/>
      <c r="T57" s="45">
        <v>0</v>
      </c>
      <c r="U57" s="45"/>
      <c r="V57" s="45"/>
      <c r="W57" s="45"/>
      <c r="X57" s="36"/>
      <c r="Y57" s="36"/>
      <c r="Z57" s="35"/>
      <c r="AA57" s="35">
        <v>0</v>
      </c>
      <c r="AB57" s="33">
        <f t="shared" ref="AB57:AB58" si="24">+Q57-SUM(R57:AA57)</f>
        <v>1166.6600000000001</v>
      </c>
      <c r="AC57" s="37">
        <f t="shared" si="4"/>
        <v>0</v>
      </c>
      <c r="AD57" s="33">
        <f t="shared" ref="AD57:AD58" si="25">+AB57-AC57</f>
        <v>1166.6600000000001</v>
      </c>
      <c r="AE57" s="38">
        <f t="shared" si="5"/>
        <v>116.66600000000001</v>
      </c>
      <c r="AF57" s="37">
        <v>10.23</v>
      </c>
      <c r="AG57" s="37">
        <f t="shared" si="6"/>
        <v>0</v>
      </c>
      <c r="AH57" s="67">
        <f t="shared" si="7"/>
        <v>1293.556</v>
      </c>
      <c r="AI57" s="103"/>
      <c r="AJ57" s="103"/>
      <c r="AK57" s="103"/>
      <c r="AL57" s="39">
        <v>1905307865</v>
      </c>
      <c r="AM57" s="26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 s="84" customFormat="1" x14ac:dyDescent="0.25">
      <c r="A58" s="63" t="s">
        <v>93</v>
      </c>
      <c r="B58" s="63" t="s">
        <v>314</v>
      </c>
      <c r="C58" s="63"/>
      <c r="D58" s="63" t="s">
        <v>315</v>
      </c>
      <c r="E58" s="63" t="s">
        <v>171</v>
      </c>
      <c r="F58" s="72"/>
      <c r="G58" s="63"/>
      <c r="H58" s="63"/>
      <c r="I58" s="53">
        <f>1237.24/15*7</f>
        <v>577.37866666666673</v>
      </c>
      <c r="J58" s="114">
        <f>2012.76/15*7</f>
        <v>939.28800000000001</v>
      </c>
      <c r="K58" s="53">
        <f>+I58+J58</f>
        <v>1516.6666666666667</v>
      </c>
      <c r="L58" s="53"/>
      <c r="M58" s="53"/>
      <c r="N58" s="53"/>
      <c r="O58" s="53"/>
      <c r="P58" s="32"/>
      <c r="Q58" s="33">
        <f t="shared" si="23"/>
        <v>1516.6666666666667</v>
      </c>
      <c r="R58" s="34"/>
      <c r="S58" s="45"/>
      <c r="T58" s="45"/>
      <c r="U58" s="45"/>
      <c r="V58" s="45"/>
      <c r="W58" s="45"/>
      <c r="X58" s="36"/>
      <c r="Y58" s="36"/>
      <c r="Z58" s="35"/>
      <c r="AA58" s="35"/>
      <c r="AB58" s="33">
        <f t="shared" si="24"/>
        <v>1516.6666666666667</v>
      </c>
      <c r="AC58" s="37">
        <f t="shared" si="4"/>
        <v>0</v>
      </c>
      <c r="AD58" s="33">
        <f t="shared" si="25"/>
        <v>1516.6666666666667</v>
      </c>
      <c r="AE58" s="38">
        <f t="shared" si="5"/>
        <v>151.66666666666669</v>
      </c>
      <c r="AF58" s="37">
        <v>10.23</v>
      </c>
      <c r="AG58" s="37">
        <f t="shared" ref="AG58" si="26">+U58</f>
        <v>0</v>
      </c>
      <c r="AH58" s="67">
        <f t="shared" ref="AH58" si="27">+Q58+AE58+AF58+AG58</f>
        <v>1678.5633333333335</v>
      </c>
      <c r="AI58" s="103"/>
      <c r="AJ58" s="103"/>
      <c r="AK58" s="103"/>
      <c r="AL58" s="39"/>
      <c r="AM58" s="94" t="s">
        <v>316</v>
      </c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 x14ac:dyDescent="0.25">
      <c r="A59" s="27" t="s">
        <v>71</v>
      </c>
      <c r="B59" s="27" t="s">
        <v>263</v>
      </c>
      <c r="C59" s="27" t="s">
        <v>251</v>
      </c>
      <c r="D59" s="27" t="s">
        <v>156</v>
      </c>
      <c r="E59" s="27" t="s">
        <v>73</v>
      </c>
      <c r="F59" s="27"/>
      <c r="G59" s="28"/>
      <c r="H59" s="28"/>
      <c r="I59" s="30">
        <v>513.33000000000004</v>
      </c>
      <c r="J59" s="28"/>
      <c r="K59" s="30">
        <f t="shared" si="0"/>
        <v>513.33000000000004</v>
      </c>
      <c r="L59" s="30"/>
      <c r="M59" s="30"/>
      <c r="N59" s="31"/>
      <c r="O59" s="31"/>
      <c r="P59" s="32"/>
      <c r="Q59" s="33">
        <f t="shared" si="18"/>
        <v>513.33000000000004</v>
      </c>
      <c r="R59" s="34"/>
      <c r="S59" s="45"/>
      <c r="T59" s="45">
        <v>0</v>
      </c>
      <c r="U59" s="45"/>
      <c r="V59" s="45"/>
      <c r="W59" s="45"/>
      <c r="X59" s="36"/>
      <c r="Y59" s="36"/>
      <c r="Z59" s="35"/>
      <c r="AA59" s="35">
        <v>86.56</v>
      </c>
      <c r="AB59" s="33">
        <f t="shared" si="10"/>
        <v>426.77000000000004</v>
      </c>
      <c r="AC59" s="37">
        <f t="shared" si="4"/>
        <v>0</v>
      </c>
      <c r="AD59" s="33">
        <f t="shared" si="3"/>
        <v>426.77000000000004</v>
      </c>
      <c r="AE59" s="38">
        <f t="shared" si="5"/>
        <v>51.333000000000006</v>
      </c>
      <c r="AF59" s="37">
        <v>10.23</v>
      </c>
      <c r="AG59" s="37">
        <f t="shared" si="6"/>
        <v>0</v>
      </c>
      <c r="AH59" s="67">
        <f t="shared" si="7"/>
        <v>574.89300000000003</v>
      </c>
      <c r="AI59" s="103"/>
      <c r="AJ59" s="103"/>
      <c r="AK59" s="103"/>
      <c r="AL59" s="39"/>
      <c r="AM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 x14ac:dyDescent="0.25">
      <c r="A60" s="27" t="s">
        <v>94</v>
      </c>
      <c r="B60" s="27" t="s">
        <v>243</v>
      </c>
      <c r="C60" s="27"/>
      <c r="D60" s="27" t="s">
        <v>134</v>
      </c>
      <c r="E60" s="27" t="s">
        <v>178</v>
      </c>
      <c r="F60" s="27"/>
      <c r="G60" s="28"/>
      <c r="H60" s="28"/>
      <c r="I60" s="30">
        <v>1100</v>
      </c>
      <c r="J60" s="28"/>
      <c r="K60" s="30">
        <f t="shared" si="0"/>
        <v>1100</v>
      </c>
      <c r="L60" s="30">
        <v>391.2</v>
      </c>
      <c r="M60" s="30"/>
      <c r="N60" s="31"/>
      <c r="O60" s="31"/>
      <c r="P60" s="32"/>
      <c r="Q60" s="33">
        <f t="shared" si="18"/>
        <v>1491.2</v>
      </c>
      <c r="R60" s="34"/>
      <c r="S60" s="45"/>
      <c r="T60" s="75">
        <f>+Q60*1%</f>
        <v>14.912000000000001</v>
      </c>
      <c r="U60" s="75">
        <f>+Q60*4.9%</f>
        <v>73.06880000000001</v>
      </c>
      <c r="V60" s="45"/>
      <c r="W60" s="45"/>
      <c r="X60" s="36"/>
      <c r="Y60" s="36"/>
      <c r="Z60" s="35"/>
      <c r="AA60" s="35">
        <v>0</v>
      </c>
      <c r="AB60" s="33">
        <f t="shared" si="10"/>
        <v>1403.2192</v>
      </c>
      <c r="AC60" s="37">
        <f t="shared" si="4"/>
        <v>0</v>
      </c>
      <c r="AD60" s="33">
        <f t="shared" si="3"/>
        <v>1403.2192</v>
      </c>
      <c r="AE60" s="38">
        <f t="shared" si="5"/>
        <v>149.12</v>
      </c>
      <c r="AF60" s="37">
        <v>10.23</v>
      </c>
      <c r="AG60" s="37">
        <f t="shared" si="6"/>
        <v>73.06880000000001</v>
      </c>
      <c r="AH60" s="67">
        <f t="shared" si="7"/>
        <v>1723.6188000000002</v>
      </c>
      <c r="AI60" s="103"/>
      <c r="AJ60" s="103"/>
      <c r="AK60" s="103"/>
      <c r="AL60" s="39"/>
      <c r="AM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 x14ac:dyDescent="0.25">
      <c r="A61" s="62" t="s">
        <v>92</v>
      </c>
      <c r="B61" s="27" t="s">
        <v>77</v>
      </c>
      <c r="C61" s="27"/>
      <c r="D61" s="27" t="s">
        <v>103</v>
      </c>
      <c r="E61" s="27" t="s">
        <v>163</v>
      </c>
      <c r="F61" s="27"/>
      <c r="G61" s="27"/>
      <c r="H61" s="27"/>
      <c r="I61" s="30">
        <v>739.23</v>
      </c>
      <c r="J61" s="27"/>
      <c r="K61" s="30">
        <f t="shared" si="0"/>
        <v>739.23</v>
      </c>
      <c r="L61" s="30">
        <f>1769.92+13.09</f>
        <v>1783.01</v>
      </c>
      <c r="M61" s="30"/>
      <c r="N61" s="30"/>
      <c r="O61" s="30"/>
      <c r="P61" s="32"/>
      <c r="Q61" s="33">
        <f t="shared" si="18"/>
        <v>2522.2399999999998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10"/>
        <v>2522.2399999999998</v>
      </c>
      <c r="AC61" s="37">
        <f t="shared" si="4"/>
        <v>0</v>
      </c>
      <c r="AD61" s="33">
        <f t="shared" si="3"/>
        <v>2522.2399999999998</v>
      </c>
      <c r="AE61" s="38">
        <f t="shared" si="5"/>
        <v>252.22399999999999</v>
      </c>
      <c r="AF61" s="37">
        <v>10.23</v>
      </c>
      <c r="AG61" s="37">
        <f t="shared" si="6"/>
        <v>0</v>
      </c>
      <c r="AH61" s="67">
        <f t="shared" si="7"/>
        <v>2784.694</v>
      </c>
      <c r="AI61" s="103"/>
      <c r="AJ61" s="103"/>
      <c r="AK61" s="103"/>
      <c r="AL61" s="39"/>
      <c r="AM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 x14ac:dyDescent="0.25">
      <c r="A62" s="62" t="s">
        <v>94</v>
      </c>
      <c r="B62" s="27" t="s">
        <v>208</v>
      </c>
      <c r="C62" s="27"/>
      <c r="D62" s="27" t="s">
        <v>135</v>
      </c>
      <c r="E62" s="27" t="s">
        <v>179</v>
      </c>
      <c r="F62" s="27"/>
      <c r="G62" s="28"/>
      <c r="H62" s="28"/>
      <c r="I62" s="30">
        <v>608.16</v>
      </c>
      <c r="J62" s="28"/>
      <c r="K62" s="30">
        <f t="shared" si="0"/>
        <v>608.16</v>
      </c>
      <c r="L62" s="30">
        <f>4924.09+3.71</f>
        <v>4927.8</v>
      </c>
      <c r="M62" s="30"/>
      <c r="N62" s="31"/>
      <c r="O62" s="31"/>
      <c r="P62" s="32"/>
      <c r="Q62" s="33">
        <f t="shared" si="18"/>
        <v>5535.96</v>
      </c>
      <c r="R62" s="34"/>
      <c r="S62" s="45"/>
      <c r="T62" s="45"/>
      <c r="U62" s="75">
        <f>Q62*4.9%</f>
        <v>271.26204000000001</v>
      </c>
      <c r="V62" s="75">
        <f>Q62*1%</f>
        <v>55.3596</v>
      </c>
      <c r="W62" s="45"/>
      <c r="X62" s="36"/>
      <c r="Y62" s="36"/>
      <c r="Z62" s="35"/>
      <c r="AA62" s="35">
        <v>0</v>
      </c>
      <c r="AB62" s="33">
        <f t="shared" si="10"/>
        <v>5209.3383599999997</v>
      </c>
      <c r="AC62" s="37">
        <f t="shared" si="4"/>
        <v>553.596</v>
      </c>
      <c r="AD62" s="33">
        <f t="shared" si="3"/>
        <v>4655.7423600000002</v>
      </c>
      <c r="AE62" s="38">
        <f t="shared" si="5"/>
        <v>0</v>
      </c>
      <c r="AF62" s="37">
        <v>10.23</v>
      </c>
      <c r="AG62" s="37">
        <f t="shared" si="6"/>
        <v>271.26204000000001</v>
      </c>
      <c r="AH62" s="67">
        <f t="shared" si="7"/>
        <v>5817.4520399999992</v>
      </c>
      <c r="AI62" s="103"/>
      <c r="AJ62" s="103"/>
      <c r="AK62" s="108"/>
      <c r="AL62" s="39" t="s">
        <v>291</v>
      </c>
      <c r="AM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 x14ac:dyDescent="0.25">
      <c r="A63" s="62" t="s">
        <v>94</v>
      </c>
      <c r="B63" s="27" t="s">
        <v>199</v>
      </c>
      <c r="C63" s="27"/>
      <c r="D63" s="27" t="s">
        <v>136</v>
      </c>
      <c r="E63" s="27" t="s">
        <v>270</v>
      </c>
      <c r="F63" s="27"/>
      <c r="G63" s="28"/>
      <c r="H63" s="28"/>
      <c r="I63" s="30">
        <v>511.28</v>
      </c>
      <c r="J63" s="28"/>
      <c r="K63" s="30">
        <f t="shared" si="0"/>
        <v>511.28</v>
      </c>
      <c r="L63" s="30">
        <f>2322.9+7.42</f>
        <v>2330.3200000000002</v>
      </c>
      <c r="M63" s="30"/>
      <c r="N63" s="31"/>
      <c r="O63" s="31"/>
      <c r="P63" s="32"/>
      <c r="Q63" s="33">
        <f t="shared" si="18"/>
        <v>2841.6000000000004</v>
      </c>
      <c r="R63" s="34"/>
      <c r="S63" s="45"/>
      <c r="T63" s="75">
        <v>100</v>
      </c>
      <c r="U63" s="75">
        <f>Q63*4.9%</f>
        <v>139.23840000000001</v>
      </c>
      <c r="V63" s="75">
        <f>Q63*1%</f>
        <v>28.416000000000004</v>
      </c>
      <c r="W63" s="45"/>
      <c r="X63" s="36"/>
      <c r="Y63" s="36"/>
      <c r="Z63" s="35"/>
      <c r="AA63" s="35">
        <v>0</v>
      </c>
      <c r="AB63" s="33">
        <f t="shared" si="10"/>
        <v>2573.9456000000005</v>
      </c>
      <c r="AC63" s="37">
        <f t="shared" si="4"/>
        <v>0</v>
      </c>
      <c r="AD63" s="33">
        <f t="shared" si="3"/>
        <v>2573.9456000000005</v>
      </c>
      <c r="AE63" s="38">
        <f t="shared" si="5"/>
        <v>284.16000000000003</v>
      </c>
      <c r="AF63" s="37">
        <v>10.23</v>
      </c>
      <c r="AG63" s="37">
        <f t="shared" si="6"/>
        <v>139.23840000000001</v>
      </c>
      <c r="AH63" s="67">
        <f t="shared" si="7"/>
        <v>3275.2284000000004</v>
      </c>
      <c r="AI63" s="103"/>
      <c r="AJ63" s="103"/>
      <c r="AK63" s="103"/>
      <c r="AL63" s="39"/>
      <c r="AM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 x14ac:dyDescent="0.25">
      <c r="A64" s="27" t="s">
        <v>71</v>
      </c>
      <c r="B64" s="27" t="s">
        <v>287</v>
      </c>
      <c r="C64" s="27" t="s">
        <v>254</v>
      </c>
      <c r="D64" s="27" t="s">
        <v>157</v>
      </c>
      <c r="E64" s="27" t="s">
        <v>73</v>
      </c>
      <c r="F64" s="27"/>
      <c r="G64" s="28"/>
      <c r="H64" s="28"/>
      <c r="I64" s="30">
        <v>513.33000000000004</v>
      </c>
      <c r="J64" s="28"/>
      <c r="K64" s="30">
        <f t="shared" si="0"/>
        <v>513.33000000000004</v>
      </c>
      <c r="L64" s="30">
        <v>1006.6</v>
      </c>
      <c r="M64" s="30"/>
      <c r="N64" s="31"/>
      <c r="O64" s="31"/>
      <c r="P64" s="32"/>
      <c r="Q64" s="33">
        <f t="shared" si="18"/>
        <v>1519.93</v>
      </c>
      <c r="R64" s="34"/>
      <c r="S64" s="45"/>
      <c r="T64" s="45">
        <v>0</v>
      </c>
      <c r="U64" s="45"/>
      <c r="V64" s="45"/>
      <c r="W64" s="45"/>
      <c r="X64" s="36"/>
      <c r="Y64" s="36"/>
      <c r="Z64" s="35"/>
      <c r="AA64" s="35">
        <v>0</v>
      </c>
      <c r="AB64" s="33">
        <f t="shared" si="10"/>
        <v>1519.93</v>
      </c>
      <c r="AC64" s="37">
        <f t="shared" si="4"/>
        <v>0</v>
      </c>
      <c r="AD64" s="33">
        <f t="shared" si="3"/>
        <v>1519.93</v>
      </c>
      <c r="AE64" s="38">
        <f t="shared" si="5"/>
        <v>151.99300000000002</v>
      </c>
      <c r="AF64" s="37">
        <v>10.23</v>
      </c>
      <c r="AG64" s="37">
        <f t="shared" si="6"/>
        <v>0</v>
      </c>
      <c r="AH64" s="67">
        <f t="shared" si="7"/>
        <v>1682.153</v>
      </c>
      <c r="AI64" s="103"/>
      <c r="AJ64" s="103"/>
      <c r="AK64" s="103"/>
      <c r="AL64" s="39"/>
      <c r="AM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</row>
    <row r="65" spans="1:193" x14ac:dyDescent="0.25">
      <c r="A65" s="62" t="s">
        <v>92</v>
      </c>
      <c r="B65" s="27" t="s">
        <v>78</v>
      </c>
      <c r="C65" s="27"/>
      <c r="D65" s="27" t="s">
        <v>104</v>
      </c>
      <c r="E65" s="27" t="s">
        <v>164</v>
      </c>
      <c r="F65" s="27"/>
      <c r="G65" s="27"/>
      <c r="H65" s="28"/>
      <c r="I65" s="30">
        <v>739.23</v>
      </c>
      <c r="J65" s="28"/>
      <c r="K65" s="30">
        <f t="shared" si="0"/>
        <v>739.23</v>
      </c>
      <c r="L65" s="30">
        <f>5089.1+13.09</f>
        <v>5102.1900000000005</v>
      </c>
      <c r="M65" s="30"/>
      <c r="N65" s="42"/>
      <c r="O65" s="31"/>
      <c r="P65" s="32"/>
      <c r="Q65" s="33">
        <f t="shared" si="18"/>
        <v>5841.42</v>
      </c>
      <c r="R65" s="34"/>
      <c r="S65" s="45"/>
      <c r="T65" s="45">
        <v>0</v>
      </c>
      <c r="U65" s="45"/>
      <c r="V65" s="45"/>
      <c r="W65" s="45"/>
      <c r="X65" s="36"/>
      <c r="Y65" s="36"/>
      <c r="Z65" s="35"/>
      <c r="AA65" s="35">
        <v>0</v>
      </c>
      <c r="AB65" s="33">
        <f t="shared" si="10"/>
        <v>5841.42</v>
      </c>
      <c r="AC65" s="37">
        <f t="shared" si="4"/>
        <v>584.14200000000005</v>
      </c>
      <c r="AD65" s="33">
        <f t="shared" si="3"/>
        <v>5257.2780000000002</v>
      </c>
      <c r="AE65" s="38">
        <f t="shared" si="5"/>
        <v>0</v>
      </c>
      <c r="AF65" s="37">
        <v>10.23</v>
      </c>
      <c r="AG65" s="37">
        <f t="shared" si="6"/>
        <v>0</v>
      </c>
      <c r="AH65" s="67">
        <f t="shared" si="7"/>
        <v>5851.65</v>
      </c>
      <c r="AI65" s="103"/>
      <c r="AJ65" s="103"/>
      <c r="AK65" s="103"/>
      <c r="AL65" s="39"/>
      <c r="AM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</row>
    <row r="66" spans="1:193" s="84" customFormat="1" x14ac:dyDescent="0.25">
      <c r="A66" s="79" t="s">
        <v>71</v>
      </c>
      <c r="B66" s="79" t="s">
        <v>309</v>
      </c>
      <c r="C66" s="79" t="s">
        <v>317</v>
      </c>
      <c r="D66" s="79"/>
      <c r="E66" s="79" t="s">
        <v>173</v>
      </c>
      <c r="F66" s="87">
        <v>42430</v>
      </c>
      <c r="G66" s="79"/>
      <c r="H66" s="79"/>
      <c r="I66" s="80">
        <v>513.33000000000004</v>
      </c>
      <c r="J66" s="79">
        <v>653.33000000000004</v>
      </c>
      <c r="K66" s="80">
        <f t="shared" si="0"/>
        <v>1166.6600000000001</v>
      </c>
      <c r="L66" s="80"/>
      <c r="M66" s="80"/>
      <c r="N66" s="115"/>
      <c r="O66" s="80"/>
      <c r="P66" s="81"/>
      <c r="Q66" s="82">
        <f t="shared" si="18"/>
        <v>1166.6600000000001</v>
      </c>
      <c r="R66" s="80"/>
      <c r="S66" s="80"/>
      <c r="T66" s="80"/>
      <c r="U66" s="80"/>
      <c r="V66" s="80"/>
      <c r="W66" s="80"/>
      <c r="X66" s="83"/>
      <c r="Y66" s="83"/>
      <c r="Z66" s="79"/>
      <c r="AA66" s="79">
        <v>0</v>
      </c>
      <c r="AB66" s="82">
        <f t="shared" si="10"/>
        <v>1166.6600000000001</v>
      </c>
      <c r="AC66" s="83">
        <f t="shared" si="4"/>
        <v>0</v>
      </c>
      <c r="AD66" s="82">
        <f t="shared" si="3"/>
        <v>1166.6600000000001</v>
      </c>
      <c r="AE66" s="83">
        <f t="shared" si="5"/>
        <v>116.66600000000001</v>
      </c>
      <c r="AF66" s="83">
        <v>10.23</v>
      </c>
      <c r="AG66" s="83">
        <f t="shared" ref="AG66" si="28">+U66</f>
        <v>0</v>
      </c>
      <c r="AH66" s="82">
        <f t="shared" ref="AH66" si="29">+Q66+AE66+AF66+AG66</f>
        <v>1293.556</v>
      </c>
      <c r="AI66" s="116"/>
      <c r="AJ66" s="116"/>
      <c r="AK66" s="116"/>
      <c r="AM66" s="78">
        <v>2913584305</v>
      </c>
    </row>
    <row r="67" spans="1:193" x14ac:dyDescent="0.25">
      <c r="A67" s="62" t="s">
        <v>92</v>
      </c>
      <c r="B67" s="27" t="s">
        <v>232</v>
      </c>
      <c r="C67" s="27"/>
      <c r="D67" s="27" t="s">
        <v>105</v>
      </c>
      <c r="E67" s="27" t="s">
        <v>163</v>
      </c>
      <c r="F67" s="27"/>
      <c r="G67" s="27"/>
      <c r="H67" s="28"/>
      <c r="I67" s="30">
        <v>739.23</v>
      </c>
      <c r="J67" s="28"/>
      <c r="K67" s="30">
        <f t="shared" si="0"/>
        <v>739.23</v>
      </c>
      <c r="L67" s="30">
        <f>2903.89+7.42</f>
        <v>2911.31</v>
      </c>
      <c r="M67" s="30"/>
      <c r="N67" s="31"/>
      <c r="O67" s="31"/>
      <c r="P67" s="32"/>
      <c r="Q67" s="33">
        <f t="shared" si="18"/>
        <v>3650.54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10"/>
        <v>3650.54</v>
      </c>
      <c r="AC67" s="37">
        <f t="shared" si="4"/>
        <v>365.05400000000003</v>
      </c>
      <c r="AD67" s="33">
        <f t="shared" si="3"/>
        <v>3285.4859999999999</v>
      </c>
      <c r="AE67" s="38">
        <f t="shared" si="5"/>
        <v>0</v>
      </c>
      <c r="AF67" s="37">
        <v>10.23</v>
      </c>
      <c r="AG67" s="37">
        <f t="shared" si="6"/>
        <v>0</v>
      </c>
      <c r="AH67" s="67">
        <f t="shared" si="7"/>
        <v>3660.77</v>
      </c>
      <c r="AI67" s="103"/>
      <c r="AJ67" s="103"/>
      <c r="AK67" s="103"/>
      <c r="AL67" s="39"/>
      <c r="AM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</row>
    <row r="68" spans="1:193" s="84" customFormat="1" x14ac:dyDescent="0.25">
      <c r="A68" s="63" t="s">
        <v>92</v>
      </c>
      <c r="B68" s="63" t="s">
        <v>272</v>
      </c>
      <c r="C68" s="63"/>
      <c r="D68" s="63"/>
      <c r="E68" s="63" t="s">
        <v>163</v>
      </c>
      <c r="F68" s="72">
        <v>42422</v>
      </c>
      <c r="G68" s="63"/>
      <c r="H68" s="63"/>
      <c r="I68" s="30">
        <v>739.23</v>
      </c>
      <c r="J68" s="28"/>
      <c r="K68" s="30">
        <f t="shared" ref="K68" si="30">+I68+J68</f>
        <v>739.23</v>
      </c>
      <c r="L68" s="30">
        <f>1790.87+13.09</f>
        <v>1803.9599999999998</v>
      </c>
      <c r="M68" s="30"/>
      <c r="N68" s="31"/>
      <c r="O68" s="31"/>
      <c r="P68" s="32"/>
      <c r="Q68" s="33">
        <f t="shared" ref="Q68" si="31">SUM(K68:O68)-P68</f>
        <v>2543.1899999999996</v>
      </c>
      <c r="R68" s="34"/>
      <c r="S68" s="45"/>
      <c r="T68" s="45">
        <v>0</v>
      </c>
      <c r="U68" s="45"/>
      <c r="V68" s="45"/>
      <c r="W68" s="45"/>
      <c r="X68" s="36"/>
      <c r="Y68" s="36"/>
      <c r="Z68" s="35"/>
      <c r="AA68" s="35">
        <v>0</v>
      </c>
      <c r="AB68" s="33">
        <f t="shared" ref="AB68" si="32">+Q68-SUM(R68:AA68)</f>
        <v>2543.1899999999996</v>
      </c>
      <c r="AC68" s="37">
        <f t="shared" si="4"/>
        <v>0</v>
      </c>
      <c r="AD68" s="33">
        <f t="shared" ref="AD68" si="33">+AB68-AC68</f>
        <v>2543.1899999999996</v>
      </c>
      <c r="AE68" s="38">
        <f t="shared" si="5"/>
        <v>254.31899999999996</v>
      </c>
      <c r="AF68" s="37">
        <v>10.23</v>
      </c>
      <c r="AG68" s="37">
        <f t="shared" si="6"/>
        <v>0</v>
      </c>
      <c r="AH68" s="67">
        <f t="shared" si="7"/>
        <v>2807.7389999999996</v>
      </c>
      <c r="AI68" s="103"/>
      <c r="AJ68" s="103"/>
      <c r="AK68" s="103"/>
      <c r="AL68" s="39"/>
      <c r="AM68" s="94" t="s">
        <v>311</v>
      </c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</row>
    <row r="69" spans="1:193" x14ac:dyDescent="0.25">
      <c r="A69" s="62" t="s">
        <v>94</v>
      </c>
      <c r="B69" s="27" t="s">
        <v>85</v>
      </c>
      <c r="C69" s="27"/>
      <c r="D69" s="27" t="s">
        <v>137</v>
      </c>
      <c r="E69" s="27" t="s">
        <v>181</v>
      </c>
      <c r="F69" s="27"/>
      <c r="G69" s="28"/>
      <c r="H69" s="28"/>
      <c r="I69" s="30">
        <v>608.16</v>
      </c>
      <c r="J69" s="28"/>
      <c r="K69" s="30">
        <f t="shared" si="0"/>
        <v>608.16</v>
      </c>
      <c r="L69" s="30">
        <f>992.1+3.73</f>
        <v>995.83</v>
      </c>
      <c r="M69" s="30"/>
      <c r="N69" s="31"/>
      <c r="O69" s="31"/>
      <c r="P69" s="32"/>
      <c r="Q69" s="33">
        <f t="shared" si="18"/>
        <v>1603.99</v>
      </c>
      <c r="R69" s="34"/>
      <c r="S69" s="45"/>
      <c r="T69" s="45"/>
      <c r="U69" s="75">
        <f>Q69*4.9%</f>
        <v>78.595510000000004</v>
      </c>
      <c r="V69" s="75">
        <f>Q69*1%</f>
        <v>16.039899999999999</v>
      </c>
      <c r="W69" s="45"/>
      <c r="X69" s="36"/>
      <c r="Y69" s="36"/>
      <c r="Z69" s="35"/>
      <c r="AA69" s="35">
        <v>0</v>
      </c>
      <c r="AB69" s="33">
        <f t="shared" si="10"/>
        <v>1509.3545899999999</v>
      </c>
      <c r="AC69" s="37">
        <f t="shared" si="4"/>
        <v>0</v>
      </c>
      <c r="AD69" s="33">
        <f t="shared" si="3"/>
        <v>1509.3545899999999</v>
      </c>
      <c r="AE69" s="38">
        <f t="shared" si="5"/>
        <v>160.399</v>
      </c>
      <c r="AF69" s="37">
        <v>10.23</v>
      </c>
      <c r="AG69" s="37">
        <f t="shared" si="6"/>
        <v>78.595510000000004</v>
      </c>
      <c r="AH69" s="67">
        <f t="shared" si="7"/>
        <v>1853.2145100000002</v>
      </c>
      <c r="AI69" s="103"/>
      <c r="AJ69" s="103"/>
      <c r="AK69" s="103"/>
      <c r="AL69" s="39"/>
      <c r="AM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</row>
    <row r="70" spans="1:193" x14ac:dyDescent="0.25">
      <c r="A70" s="62" t="s">
        <v>94</v>
      </c>
      <c r="B70" s="27" t="s">
        <v>215</v>
      </c>
      <c r="C70" s="27"/>
      <c r="D70" s="27" t="s">
        <v>138</v>
      </c>
      <c r="E70" s="27" t="s">
        <v>181</v>
      </c>
      <c r="F70" s="27"/>
      <c r="G70" s="28"/>
      <c r="H70" s="28"/>
      <c r="I70" s="30">
        <v>608.16</v>
      </c>
      <c r="J70" s="28"/>
      <c r="K70" s="30">
        <f t="shared" si="0"/>
        <v>608.16</v>
      </c>
      <c r="L70" s="30">
        <f>4758.71+5.57</f>
        <v>4764.28</v>
      </c>
      <c r="M70" s="30"/>
      <c r="N70" s="31"/>
      <c r="O70" s="31"/>
      <c r="P70" s="32"/>
      <c r="Q70" s="33">
        <f t="shared" si="18"/>
        <v>5372.44</v>
      </c>
      <c r="R70" s="34"/>
      <c r="S70" s="45"/>
      <c r="T70" s="75">
        <v>200</v>
      </c>
      <c r="U70" s="75">
        <f>Q70*4.9%</f>
        <v>263.24955999999997</v>
      </c>
      <c r="V70" s="75">
        <f>Q70*1%</f>
        <v>53.724399999999996</v>
      </c>
      <c r="W70" s="75">
        <v>321.74</v>
      </c>
      <c r="X70" s="36"/>
      <c r="Y70" s="36"/>
      <c r="Z70" s="35"/>
      <c r="AA70" s="35">
        <v>0</v>
      </c>
      <c r="AB70" s="33">
        <f t="shared" si="10"/>
        <v>4533.7260399999996</v>
      </c>
      <c r="AC70" s="37">
        <f t="shared" si="4"/>
        <v>537.24400000000003</v>
      </c>
      <c r="AD70" s="33">
        <f t="shared" si="3"/>
        <v>3996.4820399999994</v>
      </c>
      <c r="AE70" s="38">
        <f t="shared" si="5"/>
        <v>0</v>
      </c>
      <c r="AF70" s="37">
        <v>10.23</v>
      </c>
      <c r="AG70" s="37">
        <f t="shared" si="6"/>
        <v>263.24955999999997</v>
      </c>
      <c r="AH70" s="67">
        <f t="shared" si="7"/>
        <v>5645.9195599999994</v>
      </c>
      <c r="AI70" s="103"/>
      <c r="AJ70" s="103"/>
      <c r="AK70" s="103"/>
      <c r="AL70" s="39"/>
      <c r="AM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</row>
    <row r="71" spans="1:193" x14ac:dyDescent="0.25">
      <c r="A71" s="62" t="s">
        <v>94</v>
      </c>
      <c r="B71" s="27" t="s">
        <v>195</v>
      </c>
      <c r="C71" s="27"/>
      <c r="D71" s="27" t="s">
        <v>140</v>
      </c>
      <c r="E71" s="27" t="s">
        <v>174</v>
      </c>
      <c r="F71" s="27"/>
      <c r="G71" s="28"/>
      <c r="H71" s="28"/>
      <c r="I71" s="30">
        <v>608.16</v>
      </c>
      <c r="J71" s="28"/>
      <c r="K71" s="30">
        <f t="shared" si="0"/>
        <v>608.16</v>
      </c>
      <c r="L71" s="30">
        <v>203.2</v>
      </c>
      <c r="M71" s="30"/>
      <c r="N71" s="31"/>
      <c r="O71" s="31"/>
      <c r="P71" s="32"/>
      <c r="Q71" s="33">
        <f t="shared" si="18"/>
        <v>811.3599999999999</v>
      </c>
      <c r="R71" s="34"/>
      <c r="S71" s="45"/>
      <c r="T71" s="45">
        <v>0</v>
      </c>
      <c r="U71" s="75">
        <f>Q71*4.9%</f>
        <v>39.756639999999997</v>
      </c>
      <c r="V71" s="75">
        <f>Q71*1%</f>
        <v>8.1135999999999999</v>
      </c>
      <c r="W71" s="45"/>
      <c r="X71" s="36"/>
      <c r="Y71" s="36"/>
      <c r="Z71" s="35"/>
      <c r="AA71" s="35">
        <v>0</v>
      </c>
      <c r="AB71" s="33">
        <f t="shared" si="10"/>
        <v>763.48975999999993</v>
      </c>
      <c r="AC71" s="37">
        <f t="shared" si="4"/>
        <v>0</v>
      </c>
      <c r="AD71" s="33">
        <f t="shared" si="3"/>
        <v>763.48975999999993</v>
      </c>
      <c r="AE71" s="38">
        <f t="shared" si="5"/>
        <v>81.135999999999996</v>
      </c>
      <c r="AF71" s="37">
        <v>10.23</v>
      </c>
      <c r="AG71" s="37">
        <f t="shared" si="6"/>
        <v>39.756639999999997</v>
      </c>
      <c r="AH71" s="67">
        <f t="shared" si="7"/>
        <v>942.48263999999983</v>
      </c>
      <c r="AI71" s="103"/>
      <c r="AJ71" s="103"/>
      <c r="AK71" s="103"/>
      <c r="AL71" s="39"/>
      <c r="AM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 x14ac:dyDescent="0.25">
      <c r="A72" s="27" t="s">
        <v>91</v>
      </c>
      <c r="B72" s="27" t="s">
        <v>244</v>
      </c>
      <c r="C72" s="27"/>
      <c r="D72" s="27" t="s">
        <v>117</v>
      </c>
      <c r="E72" s="27" t="s">
        <v>171</v>
      </c>
      <c r="F72" s="27"/>
      <c r="G72" s="27"/>
      <c r="H72" s="27"/>
      <c r="I72" s="30">
        <v>1516.67</v>
      </c>
      <c r="J72" s="27"/>
      <c r="K72" s="30">
        <f t="shared" si="0"/>
        <v>1516.67</v>
      </c>
      <c r="L72" s="30"/>
      <c r="M72" s="30"/>
      <c r="N72" s="30"/>
      <c r="O72" s="30"/>
      <c r="P72" s="32"/>
      <c r="Q72" s="33">
        <f t="shared" si="18"/>
        <v>1516.67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10"/>
        <v>1516.67</v>
      </c>
      <c r="AC72" s="37">
        <f t="shared" si="4"/>
        <v>0</v>
      </c>
      <c r="AD72" s="33">
        <f t="shared" si="3"/>
        <v>1516.67</v>
      </c>
      <c r="AE72" s="38">
        <f t="shared" si="5"/>
        <v>151.667</v>
      </c>
      <c r="AF72" s="37">
        <v>10.23</v>
      </c>
      <c r="AG72" s="37">
        <f t="shared" si="6"/>
        <v>0</v>
      </c>
      <c r="AH72" s="67">
        <f t="shared" si="7"/>
        <v>1678.567</v>
      </c>
      <c r="AI72" s="103"/>
      <c r="AJ72" s="103"/>
      <c r="AK72" s="103"/>
      <c r="AL72" s="39"/>
      <c r="AM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 s="61" customFormat="1" x14ac:dyDescent="0.25">
      <c r="A73" s="62" t="s">
        <v>92</v>
      </c>
      <c r="B73" s="63" t="s">
        <v>201</v>
      </c>
      <c r="C73" s="63"/>
      <c r="D73" s="63"/>
      <c r="E73" s="63" t="s">
        <v>163</v>
      </c>
      <c r="F73" s="72">
        <v>42416</v>
      </c>
      <c r="G73" s="63"/>
      <c r="H73" s="63"/>
      <c r="I73" s="53">
        <v>739.23</v>
      </c>
      <c r="J73" s="63"/>
      <c r="K73" s="53">
        <f t="shared" si="0"/>
        <v>739.23</v>
      </c>
      <c r="L73" s="53">
        <f>1923.46+7.42</f>
        <v>1930.88</v>
      </c>
      <c r="M73" s="53"/>
      <c r="N73" s="53"/>
      <c r="O73" s="53"/>
      <c r="P73" s="32"/>
      <c r="Q73" s="33">
        <f t="shared" ref="Q73" si="34">SUM(K73:O73)-P73</f>
        <v>2670.11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ref="AB73" si="35">+Q73-SUM(R73:AA73)</f>
        <v>2670.11</v>
      </c>
      <c r="AC73" s="37">
        <f t="shared" si="4"/>
        <v>0</v>
      </c>
      <c r="AD73" s="33">
        <f t="shared" ref="AD73" si="36">+AB73-AC73</f>
        <v>2670.11</v>
      </c>
      <c r="AE73" s="38">
        <f t="shared" si="5"/>
        <v>267.01100000000002</v>
      </c>
      <c r="AF73" s="37">
        <v>10.23</v>
      </c>
      <c r="AG73" s="37">
        <f t="shared" si="6"/>
        <v>0</v>
      </c>
      <c r="AH73" s="67">
        <f t="shared" si="7"/>
        <v>2947.3510000000001</v>
      </c>
      <c r="AI73" s="103"/>
      <c r="AJ73" s="103"/>
      <c r="AK73" s="103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</row>
    <row r="74" spans="1:193" x14ac:dyDescent="0.25">
      <c r="A74" s="62" t="s">
        <v>94</v>
      </c>
      <c r="B74" s="27" t="s">
        <v>214</v>
      </c>
      <c r="C74" s="27"/>
      <c r="D74" s="27" t="s">
        <v>139</v>
      </c>
      <c r="E74" s="27" t="s">
        <v>182</v>
      </c>
      <c r="F74" s="27"/>
      <c r="G74" s="28"/>
      <c r="H74" s="28"/>
      <c r="I74" s="30">
        <v>511.28</v>
      </c>
      <c r="J74" s="28"/>
      <c r="K74" s="30">
        <f>+I74+J74</f>
        <v>511.28</v>
      </c>
      <c r="L74" s="30">
        <f>2227.28+7.42+500</f>
        <v>2734.7000000000003</v>
      </c>
      <c r="M74" s="30"/>
      <c r="N74" s="31"/>
      <c r="O74" s="31"/>
      <c r="P74" s="32"/>
      <c r="Q74" s="33">
        <f>SUM(K74:O74)-P74</f>
        <v>3245.9800000000005</v>
      </c>
      <c r="R74" s="34"/>
      <c r="S74" s="45"/>
      <c r="T74" s="75">
        <v>300</v>
      </c>
      <c r="U74" s="45"/>
      <c r="V74" s="45"/>
      <c r="W74" s="45"/>
      <c r="X74" s="36"/>
      <c r="Y74" s="36"/>
      <c r="Z74" s="35"/>
      <c r="AA74" s="35">
        <f>831.77+139.91</f>
        <v>971.68</v>
      </c>
      <c r="AB74" s="33">
        <f>+Q74-SUM(R74:AA74)</f>
        <v>1974.3000000000006</v>
      </c>
      <c r="AC74" s="37">
        <f>IF(Q74&gt;3500,Q74*0.1,0)</f>
        <v>0</v>
      </c>
      <c r="AD74" s="33">
        <f>+AB74-AC74</f>
        <v>1974.3000000000006</v>
      </c>
      <c r="AE74" s="38">
        <f>IF(Q74&lt;3500,Q74*0.1,0)</f>
        <v>324.59800000000007</v>
      </c>
      <c r="AF74" s="37">
        <v>10.23</v>
      </c>
      <c r="AG74" s="37">
        <f>+U74</f>
        <v>0</v>
      </c>
      <c r="AH74" s="67">
        <f>+Q74+AE74+AF74+AG74</f>
        <v>3580.8080000000004</v>
      </c>
      <c r="AI74" s="103"/>
      <c r="AJ74" s="103"/>
      <c r="AK74" s="103"/>
      <c r="AL74" s="39"/>
      <c r="AM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</row>
    <row r="75" spans="1:193" x14ac:dyDescent="0.25">
      <c r="A75" s="27" t="s">
        <v>91</v>
      </c>
      <c r="B75" s="27" t="s">
        <v>239</v>
      </c>
      <c r="C75" s="27"/>
      <c r="D75" s="27" t="s">
        <v>99</v>
      </c>
      <c r="E75" s="27" t="s">
        <v>72</v>
      </c>
      <c r="F75" s="27"/>
      <c r="G75" s="27"/>
      <c r="H75" s="27"/>
      <c r="I75" s="30">
        <v>1166.26</v>
      </c>
      <c r="J75" s="29"/>
      <c r="K75" s="30">
        <f t="shared" ref="K75:K96" si="37">+I75+J75</f>
        <v>1166.26</v>
      </c>
      <c r="L75" s="30">
        <v>2885.07</v>
      </c>
      <c r="M75" s="30"/>
      <c r="N75" s="30"/>
      <c r="O75" s="30"/>
      <c r="P75" s="32"/>
      <c r="Q75" s="33">
        <f t="shared" ref="Q75:Q90" si="38">SUM(K75:O75)-P75</f>
        <v>4051.33</v>
      </c>
      <c r="R75" s="34"/>
      <c r="S75" s="45"/>
      <c r="T75" s="45">
        <v>0</v>
      </c>
      <c r="U75" s="45"/>
      <c r="V75" s="45"/>
      <c r="W75" s="45"/>
      <c r="X75" s="36"/>
      <c r="Y75" s="36"/>
      <c r="Z75" s="35"/>
      <c r="AA75" s="35">
        <v>0</v>
      </c>
      <c r="AB75" s="33">
        <f t="shared" si="10"/>
        <v>4051.33</v>
      </c>
      <c r="AC75" s="37">
        <f t="shared" ref="AC75:AC97" si="39">IF(Q75&gt;3500,Q75*0.1,0)</f>
        <v>405.13300000000004</v>
      </c>
      <c r="AD75" s="33">
        <f t="shared" ref="AD75:AD93" si="40">+AB75-AC75</f>
        <v>3646.1970000000001</v>
      </c>
      <c r="AE75" s="38">
        <f t="shared" ref="AE75:AE97" si="41">IF(Q75&lt;3500,Q75*0.1,0)</f>
        <v>0</v>
      </c>
      <c r="AF75" s="37">
        <v>10.23</v>
      </c>
      <c r="AG75" s="37">
        <f t="shared" ref="AG75:AG97" si="42">+U75</f>
        <v>0</v>
      </c>
      <c r="AH75" s="67">
        <f t="shared" ref="AH75:AH97" si="43">+Q75+AE75+AF75+AG75</f>
        <v>4061.56</v>
      </c>
      <c r="AI75" s="103"/>
      <c r="AJ75" s="103"/>
      <c r="AK75" s="103"/>
      <c r="AL75" s="39"/>
      <c r="AM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 x14ac:dyDescent="0.25">
      <c r="A76" s="27" t="s">
        <v>93</v>
      </c>
      <c r="B76" s="27" t="s">
        <v>300</v>
      </c>
      <c r="C76" s="27"/>
      <c r="D76" s="27" t="s">
        <v>119</v>
      </c>
      <c r="E76" s="27" t="s">
        <v>168</v>
      </c>
      <c r="F76" s="27"/>
      <c r="G76" s="27"/>
      <c r="H76" s="27"/>
      <c r="I76" s="30">
        <v>1100</v>
      </c>
      <c r="J76" s="27"/>
      <c r="K76" s="30">
        <f t="shared" si="37"/>
        <v>1100</v>
      </c>
      <c r="L76" s="30"/>
      <c r="M76" s="30"/>
      <c r="N76" s="30"/>
      <c r="O76" s="30"/>
      <c r="P76" s="32"/>
      <c r="Q76" s="33">
        <f t="shared" si="38"/>
        <v>1100</v>
      </c>
      <c r="R76" s="34"/>
      <c r="S76" s="45"/>
      <c r="T76" s="45">
        <v>0</v>
      </c>
      <c r="U76" s="45"/>
      <c r="V76" s="45"/>
      <c r="W76" s="45"/>
      <c r="X76" s="36"/>
      <c r="Y76" s="36"/>
      <c r="Z76" s="35"/>
      <c r="AA76" s="35">
        <v>0</v>
      </c>
      <c r="AB76" s="33">
        <f t="shared" si="10"/>
        <v>1100</v>
      </c>
      <c r="AC76" s="37">
        <f t="shared" si="39"/>
        <v>0</v>
      </c>
      <c r="AD76" s="33">
        <f t="shared" si="40"/>
        <v>1100</v>
      </c>
      <c r="AE76" s="38">
        <f t="shared" si="41"/>
        <v>110</v>
      </c>
      <c r="AF76" s="37">
        <v>10.23</v>
      </c>
      <c r="AG76" s="37">
        <f t="shared" si="42"/>
        <v>0</v>
      </c>
      <c r="AH76" s="67">
        <f t="shared" si="43"/>
        <v>1220.23</v>
      </c>
      <c r="AI76" s="103"/>
      <c r="AJ76" s="103"/>
      <c r="AK76" s="103"/>
      <c r="AL76" s="39"/>
      <c r="AM76" s="39"/>
      <c r="AN76" s="111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 x14ac:dyDescent="0.25">
      <c r="A77" s="27" t="s">
        <v>71</v>
      </c>
      <c r="B77" s="27" t="s">
        <v>89</v>
      </c>
      <c r="C77" s="27" t="s">
        <v>249</v>
      </c>
      <c r="D77" s="27" t="s">
        <v>158</v>
      </c>
      <c r="E77" s="27" t="s">
        <v>73</v>
      </c>
      <c r="F77" s="27"/>
      <c r="G77" s="28"/>
      <c r="H77" s="28"/>
      <c r="I77" s="30">
        <v>513.33000000000004</v>
      </c>
      <c r="J77" s="28"/>
      <c r="K77" s="30">
        <f t="shared" si="37"/>
        <v>513.33000000000004</v>
      </c>
      <c r="L77" s="30">
        <v>3045.71</v>
      </c>
      <c r="M77" s="30"/>
      <c r="N77" s="31"/>
      <c r="O77" s="31"/>
      <c r="P77" s="32"/>
      <c r="Q77" s="33">
        <f t="shared" si="38"/>
        <v>3559.04</v>
      </c>
      <c r="R77" s="34"/>
      <c r="S77" s="45">
        <v>58.91</v>
      </c>
      <c r="T77" s="45">
        <v>0</v>
      </c>
      <c r="U77" s="45"/>
      <c r="V77" s="45"/>
      <c r="W77" s="45"/>
      <c r="X77" s="36"/>
      <c r="Y77" s="36"/>
      <c r="Z77" s="35"/>
      <c r="AA77" s="35">
        <v>0</v>
      </c>
      <c r="AB77" s="33">
        <f t="shared" si="10"/>
        <v>3500.13</v>
      </c>
      <c r="AC77" s="37">
        <f t="shared" si="39"/>
        <v>355.904</v>
      </c>
      <c r="AD77" s="33">
        <f t="shared" si="40"/>
        <v>3144.2260000000001</v>
      </c>
      <c r="AE77" s="38">
        <f t="shared" si="41"/>
        <v>0</v>
      </c>
      <c r="AF77" s="37">
        <v>10.23</v>
      </c>
      <c r="AG77" s="37">
        <f t="shared" si="42"/>
        <v>0</v>
      </c>
      <c r="AH77" s="67">
        <f t="shared" si="43"/>
        <v>3569.27</v>
      </c>
      <c r="AI77" s="103"/>
      <c r="AJ77" s="103"/>
      <c r="AK77" s="103"/>
      <c r="AL77" s="39"/>
      <c r="AM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</row>
    <row r="78" spans="1:193" x14ac:dyDescent="0.25">
      <c r="A78" s="62" t="s">
        <v>94</v>
      </c>
      <c r="B78" s="27" t="s">
        <v>86</v>
      </c>
      <c r="C78" s="27"/>
      <c r="D78" s="27" t="s">
        <v>141</v>
      </c>
      <c r="E78" s="27" t="s">
        <v>183</v>
      </c>
      <c r="F78" s="27"/>
      <c r="G78" s="28"/>
      <c r="H78" s="28"/>
      <c r="I78" s="30">
        <v>543.20000000000005</v>
      </c>
      <c r="J78" s="28"/>
      <c r="K78" s="30">
        <f t="shared" si="37"/>
        <v>543.20000000000005</v>
      </c>
      <c r="L78" s="30">
        <v>1031.9000000000001</v>
      </c>
      <c r="M78" s="30"/>
      <c r="N78" s="31"/>
      <c r="O78" s="31"/>
      <c r="P78" s="32"/>
      <c r="Q78" s="33">
        <f t="shared" si="38"/>
        <v>1575.1000000000001</v>
      </c>
      <c r="R78" s="34"/>
      <c r="S78" s="45"/>
      <c r="T78" s="45">
        <v>0</v>
      </c>
      <c r="U78" s="75">
        <f>Q78*4.9%</f>
        <v>77.179900000000004</v>
      </c>
      <c r="V78" s="75">
        <f>Q78*1%</f>
        <v>15.751000000000001</v>
      </c>
      <c r="W78" s="45"/>
      <c r="X78" s="36"/>
      <c r="Y78" s="36"/>
      <c r="Z78" s="35"/>
      <c r="AA78" s="35">
        <v>0</v>
      </c>
      <c r="AB78" s="33">
        <f t="shared" si="10"/>
        <v>1482.1691000000001</v>
      </c>
      <c r="AC78" s="37">
        <f t="shared" si="39"/>
        <v>0</v>
      </c>
      <c r="AD78" s="33">
        <f t="shared" si="40"/>
        <v>1482.1691000000001</v>
      </c>
      <c r="AE78" s="38">
        <f t="shared" si="41"/>
        <v>157.51000000000002</v>
      </c>
      <c r="AF78" s="37">
        <v>10.23</v>
      </c>
      <c r="AG78" s="37">
        <f t="shared" si="42"/>
        <v>77.179900000000004</v>
      </c>
      <c r="AH78" s="67">
        <f t="shared" si="43"/>
        <v>1820.0199000000002</v>
      </c>
      <c r="AI78" s="103"/>
      <c r="AJ78" s="103"/>
      <c r="AK78" s="103"/>
      <c r="AL78" s="39"/>
      <c r="AM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</row>
    <row r="79" spans="1:193" x14ac:dyDescent="0.25">
      <c r="A79" s="62" t="s">
        <v>94</v>
      </c>
      <c r="B79" s="27" t="s">
        <v>193</v>
      </c>
      <c r="C79" s="27"/>
      <c r="D79" s="27" t="s">
        <v>142</v>
      </c>
      <c r="E79" s="27" t="s">
        <v>181</v>
      </c>
      <c r="F79" s="27"/>
      <c r="G79" s="28"/>
      <c r="H79" s="28"/>
      <c r="I79" s="30">
        <v>608.16</v>
      </c>
      <c r="J79" s="28"/>
      <c r="K79" s="30">
        <f t="shared" si="37"/>
        <v>608.16</v>
      </c>
      <c r="L79" s="30">
        <f>2351.61+2.59</f>
        <v>2354.2000000000003</v>
      </c>
      <c r="M79" s="30"/>
      <c r="N79" s="31"/>
      <c r="O79" s="31"/>
      <c r="P79" s="32"/>
      <c r="Q79" s="33">
        <f t="shared" si="38"/>
        <v>2962.36</v>
      </c>
      <c r="R79" s="34"/>
      <c r="S79" s="45"/>
      <c r="T79" s="75">
        <v>200</v>
      </c>
      <c r="U79" s="75">
        <f>Q79*4.9%</f>
        <v>145.15564000000001</v>
      </c>
      <c r="V79" s="75">
        <f>Q79*1%</f>
        <v>29.623600000000003</v>
      </c>
      <c r="W79" s="75">
        <v>257.64</v>
      </c>
      <c r="X79" s="36"/>
      <c r="Y79" s="36"/>
      <c r="Z79" s="35">
        <v>201.24</v>
      </c>
      <c r="AA79" s="35">
        <v>0</v>
      </c>
      <c r="AB79" s="33">
        <f t="shared" si="10"/>
        <v>2128.7007600000002</v>
      </c>
      <c r="AC79" s="37">
        <f t="shared" si="39"/>
        <v>0</v>
      </c>
      <c r="AD79" s="33">
        <f t="shared" si="40"/>
        <v>2128.7007600000002</v>
      </c>
      <c r="AE79" s="38">
        <f t="shared" si="41"/>
        <v>296.23600000000005</v>
      </c>
      <c r="AF79" s="37">
        <v>10.23</v>
      </c>
      <c r="AG79" s="37">
        <f t="shared" si="42"/>
        <v>145.15564000000001</v>
      </c>
      <c r="AH79" s="67">
        <f t="shared" si="43"/>
        <v>3413.98164</v>
      </c>
      <c r="AI79" s="103"/>
      <c r="AJ79" s="103"/>
      <c r="AK79" s="108"/>
      <c r="AL79" s="39"/>
      <c r="AM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</row>
    <row r="80" spans="1:193" x14ac:dyDescent="0.25">
      <c r="A80" s="62" t="s">
        <v>92</v>
      </c>
      <c r="B80" s="27" t="s">
        <v>211</v>
      </c>
      <c r="C80" s="27"/>
      <c r="D80" s="27" t="s">
        <v>107</v>
      </c>
      <c r="E80" s="27" t="s">
        <v>165</v>
      </c>
      <c r="F80" s="27"/>
      <c r="G80" s="27"/>
      <c r="H80" s="27"/>
      <c r="I80" s="30">
        <v>739.23</v>
      </c>
      <c r="J80" s="27"/>
      <c r="K80" s="30">
        <f t="shared" si="37"/>
        <v>739.23</v>
      </c>
      <c r="L80" s="30">
        <f>2572.81+7.42</f>
        <v>2580.23</v>
      </c>
      <c r="M80" s="30"/>
      <c r="N80" s="31"/>
      <c r="O80" s="31"/>
      <c r="P80" s="32"/>
      <c r="Q80" s="33">
        <f t="shared" si="38"/>
        <v>3319.46</v>
      </c>
      <c r="R80" s="34"/>
      <c r="S80" s="45"/>
      <c r="T80" s="75">
        <v>150</v>
      </c>
      <c r="U80" s="45"/>
      <c r="V80" s="45"/>
      <c r="W80" s="45"/>
      <c r="X80" s="36"/>
      <c r="Y80" s="36"/>
      <c r="Z80" s="35"/>
      <c r="AA80" s="35">
        <v>0</v>
      </c>
      <c r="AB80" s="33">
        <f t="shared" si="10"/>
        <v>3169.46</v>
      </c>
      <c r="AC80" s="37">
        <f t="shared" si="39"/>
        <v>0</v>
      </c>
      <c r="AD80" s="33">
        <f t="shared" si="40"/>
        <v>3169.46</v>
      </c>
      <c r="AE80" s="38">
        <f t="shared" si="41"/>
        <v>331.94600000000003</v>
      </c>
      <c r="AF80" s="37">
        <v>10.23</v>
      </c>
      <c r="AG80" s="37">
        <f t="shared" si="42"/>
        <v>0</v>
      </c>
      <c r="AH80" s="67">
        <f t="shared" si="43"/>
        <v>3661.636</v>
      </c>
      <c r="AI80" s="103"/>
      <c r="AJ80" s="103"/>
      <c r="AK80" s="103"/>
      <c r="AL80" s="39"/>
      <c r="AM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 x14ac:dyDescent="0.25">
      <c r="A81" s="27" t="s">
        <v>93</v>
      </c>
      <c r="B81" s="27" t="s">
        <v>83</v>
      </c>
      <c r="C81" s="27"/>
      <c r="D81" s="27" t="s">
        <v>120</v>
      </c>
      <c r="E81" s="27" t="s">
        <v>171</v>
      </c>
      <c r="F81" s="27"/>
      <c r="G81" s="28"/>
      <c r="H81" s="28"/>
      <c r="I81" s="30">
        <v>1516.67</v>
      </c>
      <c r="J81" s="28"/>
      <c r="K81" s="30">
        <f t="shared" si="37"/>
        <v>1516.67</v>
      </c>
      <c r="L81" s="30"/>
      <c r="M81" s="30"/>
      <c r="N81" s="31"/>
      <c r="O81" s="31"/>
      <c r="P81" s="32"/>
      <c r="Q81" s="33">
        <f t="shared" si="38"/>
        <v>1516.67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f>355.65</f>
        <v>355.65</v>
      </c>
      <c r="AB81" s="33">
        <f t="shared" ref="AB81:AB90" si="44">+Q81-SUM(R81:AA81)</f>
        <v>1161.02</v>
      </c>
      <c r="AC81" s="37">
        <f t="shared" si="39"/>
        <v>0</v>
      </c>
      <c r="AD81" s="33">
        <f t="shared" si="40"/>
        <v>1161.02</v>
      </c>
      <c r="AE81" s="38">
        <f t="shared" si="41"/>
        <v>151.667</v>
      </c>
      <c r="AF81" s="37">
        <v>10.23</v>
      </c>
      <c r="AG81" s="37">
        <f t="shared" si="42"/>
        <v>0</v>
      </c>
      <c r="AH81" s="67">
        <f t="shared" si="43"/>
        <v>1678.567</v>
      </c>
      <c r="AI81" s="103"/>
      <c r="AJ81" s="103"/>
      <c r="AK81" s="103"/>
      <c r="AL81" s="39"/>
      <c r="AM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</row>
    <row r="82" spans="1:193" s="61" customFormat="1" x14ac:dyDescent="0.25">
      <c r="A82" s="63" t="s">
        <v>93</v>
      </c>
      <c r="B82" s="63" t="s">
        <v>286</v>
      </c>
      <c r="C82" s="63"/>
      <c r="D82" s="63"/>
      <c r="E82" s="63" t="s">
        <v>171</v>
      </c>
      <c r="F82" s="72">
        <v>42410</v>
      </c>
      <c r="G82" s="63"/>
      <c r="H82" s="63"/>
      <c r="I82" s="30">
        <v>1516.67</v>
      </c>
      <c r="J82" s="63"/>
      <c r="K82" s="53">
        <f t="shared" si="37"/>
        <v>1516.67</v>
      </c>
      <c r="L82" s="53"/>
      <c r="M82" s="53"/>
      <c r="N82" s="53"/>
      <c r="O82" s="53"/>
      <c r="P82" s="32"/>
      <c r="Q82" s="33">
        <f t="shared" ref="Q82" si="45">SUM(K82:O82)-P82</f>
        <v>1516.67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/>
      <c r="AB82" s="33">
        <f t="shared" ref="AB82" si="46">+Q82-SUM(R82:AA82)</f>
        <v>1516.67</v>
      </c>
      <c r="AC82" s="37">
        <f t="shared" si="39"/>
        <v>0</v>
      </c>
      <c r="AD82" s="33">
        <f t="shared" ref="AD82" si="47">+AB82-AC82</f>
        <v>1516.67</v>
      </c>
      <c r="AE82" s="38">
        <f t="shared" si="41"/>
        <v>151.667</v>
      </c>
      <c r="AF82" s="37">
        <v>10.23</v>
      </c>
      <c r="AG82" s="37">
        <f t="shared" si="42"/>
        <v>0</v>
      </c>
      <c r="AH82" s="67">
        <f t="shared" si="43"/>
        <v>1678.567</v>
      </c>
      <c r="AI82" s="103"/>
      <c r="AJ82" s="103"/>
      <c r="AK82" s="103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</row>
    <row r="83" spans="1:193" x14ac:dyDescent="0.25">
      <c r="A83" s="62" t="s">
        <v>92</v>
      </c>
      <c r="B83" s="27" t="s">
        <v>271</v>
      </c>
      <c r="C83" s="27"/>
      <c r="D83" s="27" t="s">
        <v>106</v>
      </c>
      <c r="E83" s="27" t="s">
        <v>163</v>
      </c>
      <c r="F83" s="27"/>
      <c r="G83" s="27"/>
      <c r="H83" s="27"/>
      <c r="I83" s="30">
        <v>739.23</v>
      </c>
      <c r="J83" s="27"/>
      <c r="K83" s="30">
        <f t="shared" si="37"/>
        <v>739.23</v>
      </c>
      <c r="L83" s="30">
        <f>1500.54+7.42</f>
        <v>1507.96</v>
      </c>
      <c r="M83" s="30"/>
      <c r="N83" s="31"/>
      <c r="O83" s="31"/>
      <c r="P83" s="32"/>
      <c r="Q83" s="33">
        <f t="shared" si="38"/>
        <v>2247.19</v>
      </c>
      <c r="R83" s="34"/>
      <c r="S83" s="45"/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44"/>
        <v>2247.19</v>
      </c>
      <c r="AC83" s="37">
        <f t="shared" si="39"/>
        <v>0</v>
      </c>
      <c r="AD83" s="33">
        <f t="shared" si="40"/>
        <v>2247.19</v>
      </c>
      <c r="AE83" s="38">
        <f t="shared" si="41"/>
        <v>224.71900000000002</v>
      </c>
      <c r="AF83" s="37">
        <v>10.23</v>
      </c>
      <c r="AG83" s="37">
        <f t="shared" si="42"/>
        <v>0</v>
      </c>
      <c r="AH83" s="67">
        <f t="shared" si="43"/>
        <v>2482.1390000000001</v>
      </c>
      <c r="AI83" s="103"/>
      <c r="AJ83" s="103"/>
      <c r="AK83" s="103"/>
      <c r="AL83" s="39"/>
      <c r="AM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 x14ac:dyDescent="0.25">
      <c r="A84" s="62" t="s">
        <v>92</v>
      </c>
      <c r="B84" s="27" t="s">
        <v>79</v>
      </c>
      <c r="C84" s="27"/>
      <c r="D84" s="27" t="s">
        <v>108</v>
      </c>
      <c r="E84" s="27" t="s">
        <v>166</v>
      </c>
      <c r="F84" s="27"/>
      <c r="G84" s="27"/>
      <c r="H84" s="27"/>
      <c r="I84" s="30">
        <v>739.23</v>
      </c>
      <c r="J84" s="27"/>
      <c r="K84" s="30">
        <f t="shared" si="37"/>
        <v>739.23</v>
      </c>
      <c r="L84" s="30">
        <f>2454.19+13.09</f>
        <v>2467.2800000000002</v>
      </c>
      <c r="M84" s="30"/>
      <c r="N84" s="30"/>
      <c r="O84" s="30"/>
      <c r="P84" s="32"/>
      <c r="Q84" s="33">
        <f t="shared" si="38"/>
        <v>3206.51</v>
      </c>
      <c r="R84" s="34"/>
      <c r="S84" s="45"/>
      <c r="T84" s="45">
        <v>0</v>
      </c>
      <c r="U84" s="45"/>
      <c r="V84" s="45"/>
      <c r="W84" s="45"/>
      <c r="X84" s="36"/>
      <c r="Y84" s="36"/>
      <c r="Z84" s="35"/>
      <c r="AA84" s="35">
        <v>0</v>
      </c>
      <c r="AB84" s="33">
        <f t="shared" si="44"/>
        <v>3206.51</v>
      </c>
      <c r="AC84" s="37">
        <f t="shared" si="39"/>
        <v>0</v>
      </c>
      <c r="AD84" s="33">
        <f t="shared" si="40"/>
        <v>3206.51</v>
      </c>
      <c r="AE84" s="38">
        <f t="shared" si="41"/>
        <v>320.65100000000007</v>
      </c>
      <c r="AF84" s="37">
        <v>10.23</v>
      </c>
      <c r="AG84" s="37">
        <f t="shared" si="42"/>
        <v>0</v>
      </c>
      <c r="AH84" s="67">
        <f t="shared" si="43"/>
        <v>3537.3910000000001</v>
      </c>
      <c r="AI84" s="103"/>
      <c r="AJ84" s="103"/>
      <c r="AK84" s="103"/>
      <c r="AL84" s="39"/>
      <c r="AM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 x14ac:dyDescent="0.25">
      <c r="A85" s="27" t="s">
        <v>71</v>
      </c>
      <c r="B85" s="27" t="s">
        <v>274</v>
      </c>
      <c r="C85" s="27" t="s">
        <v>251</v>
      </c>
      <c r="D85" s="27" t="s">
        <v>159</v>
      </c>
      <c r="E85" s="27" t="s">
        <v>73</v>
      </c>
      <c r="F85" s="27"/>
      <c r="G85" s="28"/>
      <c r="H85" s="28"/>
      <c r="I85" s="30">
        <v>513.33000000000004</v>
      </c>
      <c r="J85" s="28"/>
      <c r="K85" s="30">
        <f t="shared" si="37"/>
        <v>513.33000000000004</v>
      </c>
      <c r="L85" s="30">
        <v>3869.73</v>
      </c>
      <c r="M85" s="30"/>
      <c r="N85" s="31"/>
      <c r="O85" s="31"/>
      <c r="P85" s="32"/>
      <c r="Q85" s="33">
        <f t="shared" si="38"/>
        <v>4383.0600000000004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109">
        <f>Q85*0.25</f>
        <v>1095.7650000000001</v>
      </c>
      <c r="AB85" s="33">
        <f t="shared" si="44"/>
        <v>3287.2950000000001</v>
      </c>
      <c r="AC85" s="37">
        <f t="shared" si="39"/>
        <v>438.30600000000004</v>
      </c>
      <c r="AD85" s="33">
        <f t="shared" si="40"/>
        <v>2848.989</v>
      </c>
      <c r="AE85" s="38">
        <f t="shared" si="41"/>
        <v>0</v>
      </c>
      <c r="AF85" s="37">
        <v>10.23</v>
      </c>
      <c r="AG85" s="37">
        <f t="shared" si="42"/>
        <v>0</v>
      </c>
      <c r="AH85" s="67">
        <f t="shared" si="43"/>
        <v>4393.29</v>
      </c>
      <c r="AI85" s="103"/>
      <c r="AJ85" s="103"/>
      <c r="AK85" s="103"/>
      <c r="AL85" s="39"/>
      <c r="AM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 x14ac:dyDescent="0.25">
      <c r="A86" s="27" t="s">
        <v>70</v>
      </c>
      <c r="B86" s="27" t="s">
        <v>275</v>
      </c>
      <c r="C86" s="27" t="s">
        <v>252</v>
      </c>
      <c r="D86" s="27" t="s">
        <v>125</v>
      </c>
      <c r="E86" s="27" t="s">
        <v>173</v>
      </c>
      <c r="F86" s="27"/>
      <c r="G86" s="28"/>
      <c r="H86" s="28"/>
      <c r="I86" s="30">
        <v>1633.33</v>
      </c>
      <c r="J86" s="28"/>
      <c r="K86" s="30">
        <f t="shared" si="37"/>
        <v>1633.33</v>
      </c>
      <c r="L86" s="30">
        <v>2327.29</v>
      </c>
      <c r="M86" s="30"/>
      <c r="N86" s="31"/>
      <c r="O86" s="31"/>
      <c r="P86" s="32"/>
      <c r="Q86" s="33">
        <f t="shared" si="38"/>
        <v>3960.62</v>
      </c>
      <c r="R86" s="34"/>
      <c r="S86" s="45">
        <v>58.91</v>
      </c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44"/>
        <v>3901.71</v>
      </c>
      <c r="AC86" s="37">
        <f t="shared" si="39"/>
        <v>396.06200000000001</v>
      </c>
      <c r="AD86" s="33">
        <f t="shared" si="40"/>
        <v>3505.6480000000001</v>
      </c>
      <c r="AE86" s="38">
        <f t="shared" si="41"/>
        <v>0</v>
      </c>
      <c r="AF86" s="37">
        <v>10.23</v>
      </c>
      <c r="AG86" s="37">
        <f t="shared" si="42"/>
        <v>0</v>
      </c>
      <c r="AH86" s="67">
        <f t="shared" si="43"/>
        <v>3970.85</v>
      </c>
      <c r="AI86" s="103"/>
      <c r="AJ86" s="103"/>
      <c r="AK86" s="103"/>
      <c r="AL86" s="39"/>
      <c r="AM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</row>
    <row r="87" spans="1:193" x14ac:dyDescent="0.25">
      <c r="A87" s="62" t="s">
        <v>94</v>
      </c>
      <c r="B87" s="27" t="s">
        <v>197</v>
      </c>
      <c r="C87" s="27"/>
      <c r="D87" s="27" t="s">
        <v>143</v>
      </c>
      <c r="E87" s="27" t="s">
        <v>179</v>
      </c>
      <c r="F87" s="27"/>
      <c r="G87" s="28"/>
      <c r="H87" s="28"/>
      <c r="I87" s="30">
        <v>608.16</v>
      </c>
      <c r="J87" s="28"/>
      <c r="K87" s="30">
        <f t="shared" si="37"/>
        <v>608.16</v>
      </c>
      <c r="L87" s="30">
        <f>1737.83+3.71</f>
        <v>1741.54</v>
      </c>
      <c r="M87" s="30"/>
      <c r="N87" s="31"/>
      <c r="O87" s="31"/>
      <c r="P87" s="32"/>
      <c r="Q87" s="33">
        <f t="shared" si="38"/>
        <v>2349.6999999999998</v>
      </c>
      <c r="R87" s="34"/>
      <c r="S87" s="45"/>
      <c r="T87" s="75">
        <v>200</v>
      </c>
      <c r="U87" s="75">
        <f>Q87*4.9%</f>
        <v>115.1353</v>
      </c>
      <c r="V87" s="75">
        <f>Q87*1%</f>
        <v>23.497</v>
      </c>
      <c r="W87" s="45"/>
      <c r="X87" s="36"/>
      <c r="Y87" s="36"/>
      <c r="Z87" s="35"/>
      <c r="AA87" s="35">
        <v>0</v>
      </c>
      <c r="AB87" s="33">
        <f t="shared" si="44"/>
        <v>2011.0676999999998</v>
      </c>
      <c r="AC87" s="37">
        <f t="shared" si="39"/>
        <v>0</v>
      </c>
      <c r="AD87" s="33">
        <f t="shared" si="40"/>
        <v>2011.0676999999998</v>
      </c>
      <c r="AE87" s="38">
        <f t="shared" si="41"/>
        <v>234.97</v>
      </c>
      <c r="AF87" s="37">
        <v>10.23</v>
      </c>
      <c r="AG87" s="37">
        <f t="shared" si="42"/>
        <v>115.1353</v>
      </c>
      <c r="AH87" s="67">
        <f t="shared" si="43"/>
        <v>2710.0352999999996</v>
      </c>
      <c r="AI87" s="103"/>
      <c r="AJ87" s="103"/>
      <c r="AK87" s="103"/>
      <c r="AL87" s="39"/>
      <c r="AM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</row>
    <row r="88" spans="1:193" x14ac:dyDescent="0.25">
      <c r="A88" s="27" t="s">
        <v>91</v>
      </c>
      <c r="B88" s="27" t="s">
        <v>80</v>
      </c>
      <c r="C88" s="27"/>
      <c r="D88" s="27" t="s">
        <v>110</v>
      </c>
      <c r="E88" s="27" t="s">
        <v>168</v>
      </c>
      <c r="F88" s="27"/>
      <c r="G88" s="27"/>
      <c r="H88" s="27"/>
      <c r="I88" s="30">
        <v>1100</v>
      </c>
      <c r="J88" s="27"/>
      <c r="K88" s="30">
        <f t="shared" si="37"/>
        <v>1100</v>
      </c>
      <c r="L88" s="30"/>
      <c r="M88" s="30"/>
      <c r="N88" s="30"/>
      <c r="O88" s="30"/>
      <c r="P88" s="32"/>
      <c r="Q88" s="33">
        <f t="shared" si="38"/>
        <v>1100</v>
      </c>
      <c r="R88" s="34"/>
      <c r="S88" s="45"/>
      <c r="T88" s="45">
        <v>0</v>
      </c>
      <c r="U88" s="45"/>
      <c r="V88" s="45"/>
      <c r="W88" s="45"/>
      <c r="X88" s="36"/>
      <c r="Y88" s="36"/>
      <c r="Z88" s="35"/>
      <c r="AA88" s="35">
        <v>0</v>
      </c>
      <c r="AB88" s="33">
        <f t="shared" si="44"/>
        <v>1100</v>
      </c>
      <c r="AC88" s="37">
        <f t="shared" si="39"/>
        <v>0</v>
      </c>
      <c r="AD88" s="33">
        <f t="shared" si="40"/>
        <v>1100</v>
      </c>
      <c r="AE88" s="38">
        <f t="shared" si="41"/>
        <v>110</v>
      </c>
      <c r="AF88" s="37">
        <v>10.23</v>
      </c>
      <c r="AG88" s="37">
        <f t="shared" si="42"/>
        <v>0</v>
      </c>
      <c r="AH88" s="67">
        <f t="shared" si="43"/>
        <v>1220.23</v>
      </c>
      <c r="AI88" s="103"/>
      <c r="AJ88" s="103"/>
      <c r="AK88" s="103"/>
      <c r="AL88" s="39"/>
      <c r="AM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</row>
    <row r="89" spans="1:193" x14ac:dyDescent="0.25">
      <c r="A89" s="27" t="s">
        <v>71</v>
      </c>
      <c r="B89" s="27" t="s">
        <v>90</v>
      </c>
      <c r="C89" s="27" t="s">
        <v>254</v>
      </c>
      <c r="D89" s="27" t="s">
        <v>160</v>
      </c>
      <c r="E89" s="27" t="s">
        <v>73</v>
      </c>
      <c r="F89" s="27"/>
      <c r="G89" s="28"/>
      <c r="H89" s="28"/>
      <c r="I89" s="30">
        <v>513.33000000000004</v>
      </c>
      <c r="J89" s="28"/>
      <c r="K89" s="30">
        <f t="shared" si="37"/>
        <v>513.33000000000004</v>
      </c>
      <c r="L89" s="30"/>
      <c r="M89" s="30"/>
      <c r="N89" s="31"/>
      <c r="O89" s="31"/>
      <c r="P89" s="32"/>
      <c r="Q89" s="33">
        <f t="shared" si="38"/>
        <v>513.33000000000004</v>
      </c>
      <c r="R89" s="34"/>
      <c r="S89" s="45"/>
      <c r="T89" s="45">
        <v>0</v>
      </c>
      <c r="U89" s="45"/>
      <c r="V89" s="45"/>
      <c r="W89" s="45"/>
      <c r="X89" s="36"/>
      <c r="Y89" s="36"/>
      <c r="Z89" s="35"/>
      <c r="AA89" s="35">
        <v>0</v>
      </c>
      <c r="AB89" s="33">
        <f t="shared" si="44"/>
        <v>513.33000000000004</v>
      </c>
      <c r="AC89" s="37">
        <f t="shared" si="39"/>
        <v>0</v>
      </c>
      <c r="AD89" s="33">
        <f t="shared" si="40"/>
        <v>513.33000000000004</v>
      </c>
      <c r="AE89" s="38">
        <f t="shared" si="41"/>
        <v>51.333000000000006</v>
      </c>
      <c r="AF89" s="37">
        <v>10.23</v>
      </c>
      <c r="AG89" s="37">
        <f t="shared" si="42"/>
        <v>0</v>
      </c>
      <c r="AH89" s="67">
        <f t="shared" si="43"/>
        <v>574.89300000000003</v>
      </c>
      <c r="AI89" s="103"/>
      <c r="AJ89" s="103"/>
      <c r="AK89" s="103"/>
      <c r="AL89" s="39"/>
      <c r="AM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 x14ac:dyDescent="0.25">
      <c r="A90" s="62" t="s">
        <v>92</v>
      </c>
      <c r="B90" s="27" t="s">
        <v>210</v>
      </c>
      <c r="C90" s="27"/>
      <c r="D90" s="27" t="s">
        <v>109</v>
      </c>
      <c r="E90" s="27" t="s">
        <v>166</v>
      </c>
      <c r="F90" s="27"/>
      <c r="G90" s="27"/>
      <c r="H90" s="27"/>
      <c r="I90" s="30">
        <v>739.23</v>
      </c>
      <c r="J90" s="27"/>
      <c r="K90" s="30">
        <f t="shared" si="37"/>
        <v>739.23</v>
      </c>
      <c r="L90" s="30">
        <f>2475.79+13.09</f>
        <v>2488.88</v>
      </c>
      <c r="M90" s="30"/>
      <c r="N90" s="30"/>
      <c r="O90" s="30"/>
      <c r="P90" s="32"/>
      <c r="Q90" s="33">
        <f t="shared" si="38"/>
        <v>3228.11</v>
      </c>
      <c r="R90" s="34"/>
      <c r="S90" s="45"/>
      <c r="T90" s="75">
        <v>500</v>
      </c>
      <c r="U90" s="45"/>
      <c r="V90" s="45"/>
      <c r="W90" s="45"/>
      <c r="X90" s="36"/>
      <c r="Y90" s="36"/>
      <c r="Z90" s="35"/>
      <c r="AA90" s="35">
        <v>0</v>
      </c>
      <c r="AB90" s="33">
        <f t="shared" si="44"/>
        <v>2728.11</v>
      </c>
      <c r="AC90" s="37">
        <f t="shared" si="39"/>
        <v>0</v>
      </c>
      <c r="AD90" s="33">
        <f t="shared" si="40"/>
        <v>2728.11</v>
      </c>
      <c r="AE90" s="38">
        <f t="shared" si="41"/>
        <v>322.81100000000004</v>
      </c>
      <c r="AF90" s="37">
        <v>10.23</v>
      </c>
      <c r="AG90" s="37">
        <f t="shared" si="42"/>
        <v>0</v>
      </c>
      <c r="AH90" s="67">
        <f t="shared" si="43"/>
        <v>3561.1510000000003</v>
      </c>
      <c r="AI90" s="103"/>
      <c r="AJ90" s="103"/>
      <c r="AK90" s="103"/>
      <c r="AL90" s="39"/>
      <c r="AM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</row>
    <row r="91" spans="1:193" x14ac:dyDescent="0.25">
      <c r="A91" s="27" t="s">
        <v>71</v>
      </c>
      <c r="B91" s="27" t="s">
        <v>217</v>
      </c>
      <c r="C91" s="27" t="s">
        <v>251</v>
      </c>
      <c r="D91" s="44" t="s">
        <v>218</v>
      </c>
      <c r="E91" s="27" t="s">
        <v>73</v>
      </c>
      <c r="F91" s="27"/>
      <c r="G91" s="28"/>
      <c r="H91" s="28"/>
      <c r="I91" s="30">
        <v>513.33000000000004</v>
      </c>
      <c r="J91" s="28">
        <v>653.33000000000004</v>
      </c>
      <c r="K91" s="30">
        <f t="shared" si="37"/>
        <v>1166.6600000000001</v>
      </c>
      <c r="L91" s="30">
        <v>3779.31</v>
      </c>
      <c r="M91" s="30"/>
      <c r="N91" s="30"/>
      <c r="O91" s="30"/>
      <c r="P91" s="32"/>
      <c r="Q91" s="33">
        <f t="shared" ref="Q91" si="48">SUM(K91:O91)-P91</f>
        <v>4945.97</v>
      </c>
      <c r="R91" s="34"/>
      <c r="S91" s="45"/>
      <c r="T91" s="45"/>
      <c r="U91" s="45"/>
      <c r="V91" s="45"/>
      <c r="W91" s="45"/>
      <c r="X91" s="36"/>
      <c r="Y91" s="36"/>
      <c r="Z91" s="35"/>
      <c r="AA91" s="35">
        <v>291.5</v>
      </c>
      <c r="AB91" s="33">
        <f t="shared" ref="AB91:AB93" si="49">+Q91-SUM(R91:AA91)</f>
        <v>4654.47</v>
      </c>
      <c r="AC91" s="37">
        <f t="shared" si="39"/>
        <v>494.59700000000004</v>
      </c>
      <c r="AD91" s="33">
        <f t="shared" si="40"/>
        <v>4159.8730000000005</v>
      </c>
      <c r="AE91" s="38">
        <f t="shared" si="41"/>
        <v>0</v>
      </c>
      <c r="AF91" s="37">
        <v>10.23</v>
      </c>
      <c r="AG91" s="37">
        <f t="shared" si="42"/>
        <v>0</v>
      </c>
      <c r="AH91" s="67">
        <f t="shared" si="43"/>
        <v>4956.2</v>
      </c>
      <c r="AI91" s="103"/>
      <c r="AJ91" s="103"/>
      <c r="AK91" s="103"/>
      <c r="AL91" s="39"/>
      <c r="AM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</row>
    <row r="92" spans="1:193" x14ac:dyDescent="0.25">
      <c r="A92" s="27" t="s">
        <v>91</v>
      </c>
      <c r="B92" s="63" t="s">
        <v>241</v>
      </c>
      <c r="C92" s="63"/>
      <c r="D92" s="44"/>
      <c r="E92" s="27" t="s">
        <v>242</v>
      </c>
      <c r="F92" s="27"/>
      <c r="G92" s="28"/>
      <c r="H92" s="28"/>
      <c r="I92" s="76">
        <v>1166.26</v>
      </c>
      <c r="J92" s="28"/>
      <c r="K92" s="30">
        <f t="shared" si="37"/>
        <v>1166.26</v>
      </c>
      <c r="L92" s="30">
        <v>1779.92</v>
      </c>
      <c r="M92" s="30"/>
      <c r="N92" s="31"/>
      <c r="O92" s="31"/>
      <c r="P92" s="32"/>
      <c r="Q92" s="33">
        <f t="shared" ref="Q92:Q93" si="50">SUM(K92:O92)-P92</f>
        <v>2946.1800000000003</v>
      </c>
      <c r="R92" s="34"/>
      <c r="S92" s="45"/>
      <c r="T92" s="45"/>
      <c r="U92" s="45"/>
      <c r="V92" s="45"/>
      <c r="W92" s="45"/>
      <c r="X92" s="36"/>
      <c r="Y92" s="36"/>
      <c r="Z92" s="35"/>
      <c r="AA92" s="35">
        <v>0</v>
      </c>
      <c r="AB92" s="33">
        <f t="shared" si="49"/>
        <v>2946.1800000000003</v>
      </c>
      <c r="AC92" s="37">
        <f t="shared" si="39"/>
        <v>0</v>
      </c>
      <c r="AD92" s="33">
        <f t="shared" si="40"/>
        <v>2946.1800000000003</v>
      </c>
      <c r="AE92" s="38">
        <f t="shared" si="41"/>
        <v>294.61800000000005</v>
      </c>
      <c r="AF92" s="37">
        <v>10.23</v>
      </c>
      <c r="AG92" s="37">
        <f t="shared" si="42"/>
        <v>0</v>
      </c>
      <c r="AH92" s="67">
        <f t="shared" si="43"/>
        <v>3251.0280000000002</v>
      </c>
      <c r="AI92" s="103"/>
      <c r="AJ92" s="103"/>
      <c r="AK92" s="103"/>
      <c r="AL92" s="39"/>
      <c r="AM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</row>
    <row r="93" spans="1:193" x14ac:dyDescent="0.25">
      <c r="A93" s="27" t="s">
        <v>71</v>
      </c>
      <c r="B93" s="63" t="s">
        <v>250</v>
      </c>
      <c r="C93" s="27" t="s">
        <v>249</v>
      </c>
      <c r="D93" s="44"/>
      <c r="E93" s="27" t="s">
        <v>73</v>
      </c>
      <c r="F93" s="27"/>
      <c r="G93" s="28"/>
      <c r="H93" s="28"/>
      <c r="I93" s="76">
        <v>513.33000000000004</v>
      </c>
      <c r="J93" s="28"/>
      <c r="K93" s="30">
        <f t="shared" si="37"/>
        <v>513.33000000000004</v>
      </c>
      <c r="L93" s="30"/>
      <c r="M93" s="30"/>
      <c r="N93" s="31"/>
      <c r="O93" s="31"/>
      <c r="P93" s="32"/>
      <c r="Q93" s="33">
        <f t="shared" si="50"/>
        <v>513.33000000000004</v>
      </c>
      <c r="R93" s="34"/>
      <c r="S93" s="45">
        <v>58.91</v>
      </c>
      <c r="T93" s="45"/>
      <c r="U93" s="45"/>
      <c r="V93" s="45"/>
      <c r="W93" s="45"/>
      <c r="X93" s="36"/>
      <c r="Y93" s="36"/>
      <c r="Z93" s="35"/>
      <c r="AA93" s="35">
        <v>0</v>
      </c>
      <c r="AB93" s="33">
        <f t="shared" si="49"/>
        <v>454.42000000000007</v>
      </c>
      <c r="AC93" s="37">
        <f t="shared" si="39"/>
        <v>0</v>
      </c>
      <c r="AD93" s="33">
        <f t="shared" si="40"/>
        <v>454.42000000000007</v>
      </c>
      <c r="AE93" s="38">
        <f t="shared" si="41"/>
        <v>51.333000000000006</v>
      </c>
      <c r="AF93" s="37">
        <v>10.23</v>
      </c>
      <c r="AG93" s="37">
        <f t="shared" si="42"/>
        <v>0</v>
      </c>
      <c r="AH93" s="67">
        <f t="shared" si="43"/>
        <v>574.89300000000003</v>
      </c>
      <c r="AI93" s="103"/>
      <c r="AJ93" s="103"/>
      <c r="AK93" s="103"/>
      <c r="AL93" s="39"/>
      <c r="AM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</row>
    <row r="94" spans="1:193" s="39" customFormat="1" x14ac:dyDescent="0.25">
      <c r="A94" s="62" t="s">
        <v>94</v>
      </c>
      <c r="B94" s="63" t="s">
        <v>310</v>
      </c>
      <c r="C94" s="63"/>
      <c r="D94" s="113"/>
      <c r="E94" s="63" t="s">
        <v>174</v>
      </c>
      <c r="F94" s="72">
        <v>42430</v>
      </c>
      <c r="G94" s="63"/>
      <c r="H94" s="63"/>
      <c r="I94" s="53">
        <v>608.16</v>
      </c>
      <c r="J94" s="63"/>
      <c r="K94" s="53">
        <f t="shared" si="37"/>
        <v>608.16</v>
      </c>
      <c r="L94" s="53">
        <v>380.8</v>
      </c>
      <c r="M94" s="53"/>
      <c r="N94" s="53"/>
      <c r="O94" s="53"/>
      <c r="P94" s="73"/>
      <c r="Q94" s="33">
        <f t="shared" ref="Q94" si="51">SUM(K94:O94)-P94</f>
        <v>988.96</v>
      </c>
      <c r="R94" s="34"/>
      <c r="S94" s="45"/>
      <c r="T94" s="45"/>
      <c r="U94" s="45"/>
      <c r="V94" s="45"/>
      <c r="W94" s="45"/>
      <c r="X94" s="36"/>
      <c r="Y94" s="36"/>
      <c r="Z94" s="35"/>
      <c r="AA94" s="35">
        <v>0</v>
      </c>
      <c r="AB94" s="33">
        <f t="shared" ref="AB94" si="52">+Q94-SUM(R94:AA94)</f>
        <v>988.96</v>
      </c>
      <c r="AC94" s="37">
        <f t="shared" ref="AC94" si="53">IF(Q94&gt;3500,Q94*0.1,0)</f>
        <v>0</v>
      </c>
      <c r="AD94" s="33">
        <f t="shared" ref="AD94" si="54">+AB94-AC94</f>
        <v>988.96</v>
      </c>
      <c r="AE94" s="38">
        <f t="shared" ref="AE94" si="55">IF(Q94&lt;3500,Q94*0.1,0)</f>
        <v>98.896000000000015</v>
      </c>
      <c r="AF94" s="37">
        <v>10.23</v>
      </c>
      <c r="AG94" s="37">
        <f t="shared" ref="AG94" si="56">+U94</f>
        <v>0</v>
      </c>
      <c r="AH94" s="67">
        <f t="shared" ref="AH94" si="57">+Q94+AE94+AF94+AG94</f>
        <v>1098.086</v>
      </c>
      <c r="AI94" s="103"/>
      <c r="AJ94" s="103"/>
      <c r="AK94" s="103"/>
      <c r="AM94">
        <v>1171363360</v>
      </c>
    </row>
    <row r="95" spans="1:193" x14ac:dyDescent="0.25">
      <c r="A95" s="63" t="s">
        <v>71</v>
      </c>
      <c r="B95" s="63" t="s">
        <v>292</v>
      </c>
      <c r="C95" s="63" t="s">
        <v>251</v>
      </c>
      <c r="D95" s="113"/>
      <c r="E95" s="63" t="s">
        <v>73</v>
      </c>
      <c r="F95" s="72">
        <v>42427</v>
      </c>
      <c r="G95" s="63"/>
      <c r="H95" s="63"/>
      <c r="I95" s="76">
        <v>513.33000000000004</v>
      </c>
      <c r="J95" s="63">
        <v>653.33000000000004</v>
      </c>
      <c r="K95" s="53">
        <f t="shared" si="37"/>
        <v>1166.6600000000001</v>
      </c>
      <c r="L95" s="53"/>
      <c r="M95" s="53"/>
      <c r="N95" s="53"/>
      <c r="O95" s="53"/>
      <c r="P95" s="73"/>
      <c r="Q95" s="33">
        <f t="shared" ref="Q95" si="58">SUM(K95:O95)-P95</f>
        <v>1166.6600000000001</v>
      </c>
      <c r="R95" s="34"/>
      <c r="S95" s="45"/>
      <c r="T95" s="45"/>
      <c r="U95" s="45"/>
      <c r="V95" s="45"/>
      <c r="W95" s="45"/>
      <c r="X95" s="36"/>
      <c r="Y95" s="36"/>
      <c r="Z95" s="35"/>
      <c r="AA95" s="35">
        <v>0</v>
      </c>
      <c r="AB95" s="33">
        <f t="shared" ref="AB95" si="59">+Q95-SUM(R95:AA95)</f>
        <v>1166.6600000000001</v>
      </c>
      <c r="AC95" s="37">
        <f t="shared" si="39"/>
        <v>0</v>
      </c>
      <c r="AD95" s="33">
        <f t="shared" ref="AD95" si="60">+AB95-AC95</f>
        <v>1166.6600000000001</v>
      </c>
      <c r="AE95" s="38">
        <f t="shared" si="41"/>
        <v>116.66600000000001</v>
      </c>
      <c r="AF95" s="37">
        <v>10.23</v>
      </c>
      <c r="AG95" s="37">
        <f t="shared" si="42"/>
        <v>0</v>
      </c>
      <c r="AH95" s="67">
        <f t="shared" si="43"/>
        <v>1293.556</v>
      </c>
      <c r="AI95" s="103"/>
      <c r="AJ95" s="103"/>
      <c r="AK95" s="103"/>
      <c r="AL95" s="39"/>
      <c r="AM95" s="39" t="s">
        <v>293</v>
      </c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</row>
    <row r="96" spans="1:193" x14ac:dyDescent="0.25">
      <c r="A96" s="110" t="s">
        <v>71</v>
      </c>
      <c r="B96" s="110" t="s">
        <v>295</v>
      </c>
      <c r="C96" s="63" t="s">
        <v>317</v>
      </c>
      <c r="D96" s="110" t="s">
        <v>294</v>
      </c>
      <c r="E96" s="63" t="s">
        <v>173</v>
      </c>
      <c r="F96" s="27"/>
      <c r="G96" s="27"/>
      <c r="H96" s="27"/>
      <c r="I96" s="30">
        <v>1250</v>
      </c>
      <c r="J96" s="27"/>
      <c r="K96" s="30">
        <f t="shared" si="37"/>
        <v>1250</v>
      </c>
      <c r="L96" s="30">
        <v>1000</v>
      </c>
      <c r="M96" s="30"/>
      <c r="N96" s="30"/>
      <c r="O96" s="30"/>
      <c r="P96" s="32"/>
      <c r="Q96" s="33">
        <f t="shared" ref="Q96" si="61">SUM(K96:O96)-P96</f>
        <v>2250</v>
      </c>
      <c r="R96" s="34"/>
      <c r="S96" s="45"/>
      <c r="T96" s="45"/>
      <c r="U96" s="45"/>
      <c r="V96" s="45"/>
      <c r="W96" s="45"/>
      <c r="X96" s="36"/>
      <c r="Y96" s="36"/>
      <c r="Z96" s="35"/>
      <c r="AA96" s="35">
        <v>0</v>
      </c>
      <c r="AB96" s="33">
        <f t="shared" ref="AB96" si="62">+Q96-SUM(R96:AA96)</f>
        <v>2250</v>
      </c>
      <c r="AC96" s="37">
        <f t="shared" ref="AC96" si="63">IF(Q96&gt;3500,Q96*0.1,0)</f>
        <v>0</v>
      </c>
      <c r="AD96" s="33">
        <f t="shared" ref="AD96" si="64">+AB96-AC96</f>
        <v>2250</v>
      </c>
      <c r="AE96" s="38">
        <f t="shared" ref="AE96" si="65">IF(Q96&lt;3500,Q96*0.1,0)</f>
        <v>225</v>
      </c>
      <c r="AF96" s="37">
        <v>10.23</v>
      </c>
      <c r="AG96" s="37">
        <f t="shared" si="42"/>
        <v>0</v>
      </c>
      <c r="AH96" s="67">
        <f t="shared" si="43"/>
        <v>2485.23</v>
      </c>
      <c r="AI96" s="103"/>
      <c r="AJ96" s="103"/>
      <c r="AK96" s="103"/>
      <c r="AL96" s="39"/>
      <c r="AM96" s="39" t="s">
        <v>296</v>
      </c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</row>
    <row r="97" spans="1:193" x14ac:dyDescent="0.25">
      <c r="A97" s="46"/>
      <c r="B97" s="27"/>
      <c r="C97" s="27"/>
      <c r="D97" s="28"/>
      <c r="E97" s="27"/>
      <c r="F97" s="27"/>
      <c r="G97" s="27"/>
      <c r="H97" s="27"/>
      <c r="I97" s="30"/>
      <c r="J97" s="27"/>
      <c r="K97" s="30"/>
      <c r="L97" s="30"/>
      <c r="M97" s="30"/>
      <c r="N97" s="30"/>
      <c r="O97" s="30"/>
      <c r="P97" s="32"/>
      <c r="Q97" s="33"/>
      <c r="R97" s="34"/>
      <c r="S97" s="45"/>
      <c r="T97" s="45"/>
      <c r="U97" s="45"/>
      <c r="V97" s="45"/>
      <c r="W97" s="45"/>
      <c r="X97" s="36"/>
      <c r="Y97" s="36"/>
      <c r="Z97" s="36"/>
      <c r="AA97" s="36"/>
      <c r="AB97" s="33"/>
      <c r="AC97" s="37">
        <f t="shared" si="39"/>
        <v>0</v>
      </c>
      <c r="AD97" s="33"/>
      <c r="AE97" s="38">
        <f t="shared" si="41"/>
        <v>0</v>
      </c>
      <c r="AF97" s="37"/>
      <c r="AG97" s="37">
        <f t="shared" si="42"/>
        <v>0</v>
      </c>
      <c r="AH97" s="67">
        <f t="shared" si="43"/>
        <v>0</v>
      </c>
      <c r="AI97" s="103"/>
      <c r="AJ97" s="103"/>
      <c r="AK97" s="103"/>
      <c r="AL97" s="39"/>
      <c r="AM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39"/>
      <c r="GB97" s="39"/>
      <c r="GC97" s="39"/>
      <c r="GD97" s="39"/>
      <c r="GE97" s="39"/>
      <c r="GF97" s="39"/>
      <c r="GG97" s="39"/>
      <c r="GH97" s="39"/>
      <c r="GI97" s="39"/>
      <c r="GJ97" s="39"/>
      <c r="GK97" s="39"/>
    </row>
    <row r="98" spans="1:193" s="39" customFormat="1" x14ac:dyDescent="0.25">
      <c r="A98" s="46"/>
      <c r="B98" s="47"/>
      <c r="C98" s="47"/>
      <c r="D98" s="47"/>
      <c r="E98" s="47"/>
      <c r="F98" s="47"/>
      <c r="G98" s="47"/>
      <c r="H98" s="47"/>
      <c r="I98" s="48"/>
      <c r="J98" s="47"/>
      <c r="K98" s="48"/>
      <c r="L98" s="48"/>
      <c r="M98" s="48"/>
      <c r="N98" s="48"/>
      <c r="O98" s="48"/>
      <c r="P98" s="48"/>
      <c r="Q98" s="49"/>
      <c r="R98" s="48"/>
      <c r="S98" s="48"/>
      <c r="T98" s="48"/>
      <c r="U98" s="48"/>
      <c r="V98" s="48"/>
      <c r="W98" s="48"/>
      <c r="X98" s="37"/>
      <c r="Y98" s="37"/>
      <c r="Z98" s="37"/>
      <c r="AA98" s="37"/>
      <c r="AB98" s="50"/>
      <c r="AC98" s="37"/>
      <c r="AD98" s="49"/>
      <c r="AE98" s="37"/>
      <c r="AF98" s="37"/>
      <c r="AG98" s="37"/>
      <c r="AH98" s="49"/>
      <c r="AI98" s="103"/>
      <c r="AJ98" s="103"/>
      <c r="AK98" s="103"/>
    </row>
    <row r="99" spans="1:193" ht="15.75" thickBot="1" x14ac:dyDescent="0.3">
      <c r="B99" s="51" t="s">
        <v>17</v>
      </c>
      <c r="C99" s="51"/>
      <c r="D99" s="51"/>
      <c r="E99" s="51"/>
      <c r="F99" s="51"/>
      <c r="G99" s="51"/>
      <c r="H99" s="51"/>
      <c r="I99" s="77"/>
      <c r="J99" s="51"/>
      <c r="K99" s="52">
        <f>SUM(K7:K98)</f>
        <v>75626.290952381038</v>
      </c>
      <c r="L99" s="52">
        <f>SUM(L7:L98)</f>
        <v>187820.71100000004</v>
      </c>
      <c r="M99" s="52"/>
      <c r="N99" s="52">
        <f>SUM(N7:N98)</f>
        <v>0</v>
      </c>
      <c r="O99" s="52">
        <f>SUM(O7:O98)</f>
        <v>0</v>
      </c>
      <c r="P99" s="52">
        <f>SUM(P7:P98)</f>
        <v>0</v>
      </c>
      <c r="Q99" s="52">
        <f>SUM(Q7:Q98)</f>
        <v>263447.00195238099</v>
      </c>
      <c r="R99" s="52">
        <f>SUM(R7:R98)</f>
        <v>0</v>
      </c>
      <c r="S99" s="52"/>
      <c r="T99" s="71">
        <f t="shared" ref="T99:AK99" si="66">SUM(T7:T98)</f>
        <v>4332.3909999999996</v>
      </c>
      <c r="U99" s="71">
        <f t="shared" si="66"/>
        <v>2631.9615490000001</v>
      </c>
      <c r="V99" s="71">
        <f t="shared" si="66"/>
        <v>537.82400999999982</v>
      </c>
      <c r="W99" s="71">
        <f t="shared" si="66"/>
        <v>879.38</v>
      </c>
      <c r="X99" s="52">
        <f t="shared" si="66"/>
        <v>0</v>
      </c>
      <c r="Y99" s="52">
        <f t="shared" si="66"/>
        <v>622.44100000000003</v>
      </c>
      <c r="Z99" s="52">
        <f t="shared" si="66"/>
        <v>406.94</v>
      </c>
      <c r="AA99" s="52">
        <f t="shared" si="66"/>
        <v>6408.2674999999999</v>
      </c>
      <c r="AB99" s="52">
        <f t="shared" si="66"/>
        <v>246979.78689338095</v>
      </c>
      <c r="AC99" s="52">
        <f t="shared" si="66"/>
        <v>14864.930100000001</v>
      </c>
      <c r="AD99" s="52">
        <f t="shared" si="66"/>
        <v>232114.85679338087</v>
      </c>
      <c r="AE99" s="52">
        <f t="shared" si="66"/>
        <v>11479.770095238096</v>
      </c>
      <c r="AF99" s="52">
        <f t="shared" si="66"/>
        <v>910.47000000000105</v>
      </c>
      <c r="AG99" s="52">
        <f t="shared" si="66"/>
        <v>2631.9615490000001</v>
      </c>
      <c r="AH99" s="52">
        <f t="shared" si="66"/>
        <v>278469.20359661902</v>
      </c>
      <c r="AI99" s="104">
        <f t="shared" si="66"/>
        <v>0</v>
      </c>
      <c r="AJ99" s="104">
        <f t="shared" si="66"/>
        <v>0</v>
      </c>
      <c r="AK99" s="104">
        <f t="shared" si="66"/>
        <v>0</v>
      </c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</row>
    <row r="100" spans="1:193" ht="15.75" thickTop="1" x14ac:dyDescent="0.25">
      <c r="AH100" s="24">
        <f>AH99*0.16</f>
        <v>44555.072575459046</v>
      </c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 x14ac:dyDescent="0.25">
      <c r="A101" s="131" t="s">
        <v>297</v>
      </c>
      <c r="B101" s="131"/>
      <c r="C101" s="69"/>
      <c r="AH101" s="24">
        <f>+AH99+AH100</f>
        <v>323024.27617207804</v>
      </c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</row>
    <row r="102" spans="1:193" x14ac:dyDescent="0.25">
      <c r="A102" s="46"/>
      <c r="B102" s="27" t="s">
        <v>298</v>
      </c>
      <c r="C102" s="27"/>
      <c r="D102" s="28"/>
      <c r="E102" s="27"/>
      <c r="F102" s="27"/>
      <c r="G102" s="27"/>
      <c r="H102" s="27"/>
      <c r="I102" s="30"/>
      <c r="J102" s="27"/>
      <c r="K102" s="30"/>
      <c r="L102" s="30">
        <v>554.70000000000005</v>
      </c>
      <c r="M102" s="30"/>
      <c r="N102" s="30"/>
      <c r="O102" s="30"/>
      <c r="P102" s="30"/>
      <c r="Q102" s="33">
        <f>SUM(K102:P102)</f>
        <v>554.70000000000005</v>
      </c>
      <c r="R102" s="34"/>
      <c r="S102" s="34"/>
      <c r="T102" s="53"/>
      <c r="U102" s="53"/>
      <c r="V102" s="53"/>
      <c r="W102" s="53"/>
      <c r="X102" s="54"/>
      <c r="Y102" s="54"/>
      <c r="Z102" s="54"/>
      <c r="AA102" s="54"/>
      <c r="AB102" s="33">
        <f>+Q102-R102</f>
        <v>554.70000000000005</v>
      </c>
      <c r="AC102" s="37">
        <f>+AB102*0.05</f>
        <v>27.735000000000003</v>
      </c>
      <c r="AD102" s="33">
        <f>+AB102-X102-AA102</f>
        <v>554.70000000000005</v>
      </c>
      <c r="AE102" s="38">
        <f>IF(AB102&lt;3000,AB102*0.1,0)</f>
        <v>55.470000000000006</v>
      </c>
      <c r="AF102" s="37">
        <v>0</v>
      </c>
      <c r="AG102" s="37"/>
      <c r="AH102" s="33">
        <f>+AB102+AE102+AF102</f>
        <v>610.17000000000007</v>
      </c>
      <c r="AI102" s="105"/>
      <c r="AJ102" s="105"/>
      <c r="AK102" s="105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</row>
    <row r="103" spans="1:193" x14ac:dyDescent="0.25">
      <c r="A103" s="46"/>
      <c r="B103" s="28" t="s">
        <v>299</v>
      </c>
      <c r="C103" s="28"/>
      <c r="D103" s="28"/>
      <c r="E103" s="28"/>
      <c r="F103" s="28"/>
      <c r="G103" s="28"/>
      <c r="H103" s="28"/>
      <c r="I103" s="31"/>
      <c r="J103" s="28"/>
      <c r="K103" s="31"/>
      <c r="L103" s="31">
        <v>3665.68</v>
      </c>
      <c r="M103" s="31"/>
      <c r="N103" s="31"/>
      <c r="O103" s="31"/>
      <c r="P103" s="31"/>
      <c r="Q103" s="33">
        <f>SUM(K103:P103)</f>
        <v>3665.68</v>
      </c>
      <c r="R103" s="34"/>
      <c r="S103" s="34"/>
      <c r="T103" s="53"/>
      <c r="U103" s="53"/>
      <c r="V103" s="53"/>
      <c r="W103" s="53"/>
      <c r="X103" s="54"/>
      <c r="Y103" s="54"/>
      <c r="Z103" s="54"/>
      <c r="AA103" s="54"/>
      <c r="AB103" s="33">
        <f>+Q103-R103</f>
        <v>3665.68</v>
      </c>
      <c r="AC103" s="37">
        <f>+AB103*0.05</f>
        <v>183.28399999999999</v>
      </c>
      <c r="AD103" s="33">
        <f>+AB103-X103-AA103</f>
        <v>3665.68</v>
      </c>
      <c r="AE103" s="38">
        <f>IF(AB103&lt;3000,AB103*0.1,0)</f>
        <v>0</v>
      </c>
      <c r="AF103" s="37">
        <v>0</v>
      </c>
      <c r="AG103" s="37"/>
      <c r="AH103" s="33">
        <f>+AB103+AE103+AF103</f>
        <v>3665.68</v>
      </c>
      <c r="AI103" s="105"/>
      <c r="AJ103" s="105"/>
      <c r="AK103" s="105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 x14ac:dyDescent="0.25">
      <c r="AH104" s="24">
        <f>SUM(AH102:AH103)</f>
        <v>4275.8500000000004</v>
      </c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 x14ac:dyDescent="0.25">
      <c r="B105" s="55"/>
      <c r="C105" s="55"/>
      <c r="D105" s="55"/>
      <c r="AH105" s="24">
        <f>+AH104*0.16</f>
        <v>684.13600000000008</v>
      </c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</row>
    <row r="106" spans="1:193" x14ac:dyDescent="0.25">
      <c r="B106" s="55"/>
      <c r="C106" s="55"/>
      <c r="D106" s="55"/>
      <c r="AH106" s="24">
        <f>+AH104+AH105</f>
        <v>4959.9860000000008</v>
      </c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</row>
    <row r="107" spans="1:193" x14ac:dyDescent="0.25">
      <c r="B107" s="55"/>
      <c r="C107" s="55"/>
      <c r="D107" s="55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</row>
    <row r="108" spans="1:193" x14ac:dyDescent="0.25">
      <c r="B108" s="55"/>
      <c r="C108" s="55"/>
      <c r="D108" s="55"/>
      <c r="AH108" s="24">
        <f>+AH101+AH106</f>
        <v>327984.26217207802</v>
      </c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</row>
    <row r="109" spans="1:193" x14ac:dyDescent="0.25"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 x14ac:dyDescent="0.25"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</row>
    <row r="111" spans="1:193" x14ac:dyDescent="0.25"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</row>
    <row r="112" spans="1:193" x14ac:dyDescent="0.25"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</row>
    <row r="113" spans="1:193" x14ac:dyDescent="0.25"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 x14ac:dyDescent="0.25"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</row>
    <row r="115" spans="1:193" x14ac:dyDescent="0.25">
      <c r="A115" s="41" t="s">
        <v>57</v>
      </c>
      <c r="B115" s="23"/>
      <c r="C115" s="23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 x14ac:dyDescent="0.25">
      <c r="A116" s="41" t="s">
        <v>58</v>
      </c>
      <c r="B116" s="23"/>
      <c r="C116" s="23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 x14ac:dyDescent="0.25">
      <c r="A117" s="41" t="s">
        <v>59</v>
      </c>
      <c r="B117" s="23"/>
      <c r="C117" s="23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 x14ac:dyDescent="0.25">
      <c r="A118" s="41" t="s">
        <v>60</v>
      </c>
      <c r="B118" s="23"/>
      <c r="C118" s="23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 x14ac:dyDescent="0.25">
      <c r="A119" s="41" t="s">
        <v>61</v>
      </c>
      <c r="B119" s="23"/>
      <c r="C119" s="23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 x14ac:dyDescent="0.25">
      <c r="A120" s="41" t="s">
        <v>62</v>
      </c>
      <c r="B120" s="23"/>
      <c r="C120" s="23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 x14ac:dyDescent="0.25"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2" spans="1:193" x14ac:dyDescent="0.25"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  <c r="GE122" s="39"/>
      <c r="GF122" s="39"/>
      <c r="GG122" s="39"/>
      <c r="GH122" s="39"/>
      <c r="GI122" s="39"/>
      <c r="GJ122" s="39"/>
      <c r="GK122" s="39"/>
    </row>
    <row r="124" spans="1:193" x14ac:dyDescent="0.25">
      <c r="B124" s="27"/>
      <c r="C124" s="70"/>
    </row>
    <row r="125" spans="1:193" x14ac:dyDescent="0.25">
      <c r="B125" s="27"/>
      <c r="C125" s="70"/>
    </row>
    <row r="126" spans="1:193" x14ac:dyDescent="0.25">
      <c r="B126" s="27"/>
      <c r="C126" s="70"/>
    </row>
  </sheetData>
  <sheetProtection selectLockedCells="1" selectUnlockedCells="1"/>
  <autoFilter ref="A5:AM97">
    <filterColumn colId="34" showButton="0"/>
  </autoFilter>
  <mergeCells count="36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Y5:Y6"/>
    <mergeCell ref="Z5:Z6"/>
    <mergeCell ref="N5:N6"/>
    <mergeCell ref="O5:O6"/>
    <mergeCell ref="P5:P6"/>
    <mergeCell ref="Q5:Q6"/>
    <mergeCell ref="R5:R6"/>
    <mergeCell ref="T5:T6"/>
    <mergeCell ref="AM5:AM6"/>
    <mergeCell ref="A101:B101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23"/>
  <sheetViews>
    <sheetView zoomScaleNormal="100" workbookViewId="0">
      <pane xSplit="2" ySplit="6" topLeftCell="C9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 x14ac:dyDescent="0.2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 x14ac:dyDescent="0.25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 x14ac:dyDescent="0.25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 x14ac:dyDescent="0.25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 x14ac:dyDescent="0.25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 x14ac:dyDescent="0.25">
      <c r="A5" s="140" t="s">
        <v>39</v>
      </c>
      <c r="B5" s="142" t="s">
        <v>40</v>
      </c>
      <c r="C5" s="140"/>
      <c r="D5" s="142" t="s">
        <v>41</v>
      </c>
      <c r="E5" s="142" t="s">
        <v>0</v>
      </c>
      <c r="F5" s="140" t="s">
        <v>246</v>
      </c>
      <c r="G5" s="132" t="s">
        <v>67</v>
      </c>
      <c r="H5" s="132" t="s">
        <v>65</v>
      </c>
      <c r="I5" s="143" t="s">
        <v>66</v>
      </c>
      <c r="J5" s="138" t="s">
        <v>68</v>
      </c>
      <c r="K5" s="132" t="s">
        <v>34</v>
      </c>
      <c r="L5" s="138" t="s">
        <v>75</v>
      </c>
      <c r="M5" s="95"/>
      <c r="N5" s="132" t="s">
        <v>35</v>
      </c>
      <c r="O5" s="132" t="s">
        <v>36</v>
      </c>
      <c r="P5" s="132" t="s">
        <v>63</v>
      </c>
      <c r="Q5" s="132" t="s">
        <v>37</v>
      </c>
      <c r="R5" s="132" t="s">
        <v>38</v>
      </c>
      <c r="S5" s="88"/>
      <c r="T5" s="136" t="s">
        <v>186</v>
      </c>
      <c r="U5" s="136" t="s">
        <v>213</v>
      </c>
      <c r="V5" s="136" t="s">
        <v>212</v>
      </c>
      <c r="W5" s="136" t="s">
        <v>187</v>
      </c>
      <c r="X5" s="132" t="s">
        <v>30</v>
      </c>
      <c r="Y5" s="132" t="s">
        <v>56</v>
      </c>
      <c r="Z5" s="132" t="s">
        <v>55</v>
      </c>
      <c r="AA5" s="132" t="s">
        <v>32</v>
      </c>
      <c r="AB5" s="132" t="s">
        <v>64</v>
      </c>
      <c r="AC5" s="132" t="s">
        <v>27</v>
      </c>
      <c r="AD5" s="132" t="s">
        <v>31</v>
      </c>
      <c r="AE5" s="132" t="s">
        <v>26</v>
      </c>
      <c r="AF5" s="132" t="s">
        <v>28</v>
      </c>
      <c r="AG5" s="132" t="s">
        <v>29</v>
      </c>
      <c r="AH5" s="132" t="s">
        <v>188</v>
      </c>
      <c r="AI5" s="132" t="s">
        <v>189</v>
      </c>
      <c r="AJ5" s="145" t="s">
        <v>190</v>
      </c>
      <c r="AK5" s="146"/>
      <c r="AL5" s="130" t="s">
        <v>191</v>
      </c>
      <c r="AM5" s="130" t="s">
        <v>257</v>
      </c>
      <c r="AN5" s="130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 x14ac:dyDescent="0.25">
      <c r="A6" s="141"/>
      <c r="B6" s="142"/>
      <c r="C6" s="141"/>
      <c r="D6" s="142"/>
      <c r="E6" s="142"/>
      <c r="F6" s="141"/>
      <c r="G6" s="132"/>
      <c r="H6" s="132"/>
      <c r="I6" s="144"/>
      <c r="J6" s="139"/>
      <c r="K6" s="132"/>
      <c r="L6" s="139"/>
      <c r="M6" s="96" t="s">
        <v>288</v>
      </c>
      <c r="N6" s="132"/>
      <c r="O6" s="132"/>
      <c r="P6" s="132"/>
      <c r="Q6" s="132"/>
      <c r="R6" s="132"/>
      <c r="S6" s="89" t="s">
        <v>276</v>
      </c>
      <c r="T6" s="137"/>
      <c r="U6" s="137"/>
      <c r="V6" s="137"/>
      <c r="W6" s="137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64" t="s">
        <v>66</v>
      </c>
      <c r="AK6" s="64" t="s">
        <v>68</v>
      </c>
      <c r="AL6" s="130"/>
      <c r="AM6" s="130"/>
      <c r="AN6" s="130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 x14ac:dyDescent="0.25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 x14ac:dyDescent="0.25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 x14ac:dyDescent="0.25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 x14ac:dyDescent="0.25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 x14ac:dyDescent="0.25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 x14ac:dyDescent="0.25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 x14ac:dyDescent="0.25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 x14ac:dyDescent="0.25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 t="shared" ref="AB14" si="7">+Q14-SUM(R14:AA14)</f>
        <v>1330.66</v>
      </c>
      <c r="AC14" s="37">
        <f t="shared" ref="AC14" si="8">IF(Q14&gt;4500,Q14*0.1,0)</f>
        <v>0</v>
      </c>
      <c r="AD14" s="33">
        <f t="shared" ref="AD14" si="9">+AB14-AC14</f>
        <v>1330.66</v>
      </c>
      <c r="AE14" s="38">
        <f t="shared" ref="AE14" si="10">IF(Q14&lt;4500,Q14*0.1,0)</f>
        <v>133.066</v>
      </c>
      <c r="AF14" s="37">
        <v>10.23</v>
      </c>
      <c r="AG14" s="67">
        <f t="shared" ref="AG14" si="11">+Q14+AE14+AF14</f>
        <v>1473.9560000000001</v>
      </c>
      <c r="AI14" s="56"/>
      <c r="AL14" s="56"/>
    </row>
    <row r="15" spans="1:54" x14ac:dyDescent="0.25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12">+Q15-SUM(R15:AA15)</f>
        <v>2306.8000000000002</v>
      </c>
      <c r="AC15" s="37">
        <f t="shared" si="6"/>
        <v>0</v>
      </c>
      <c r="AD15" s="33">
        <f t="shared" ref="AD15:AD44" si="13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 x14ac:dyDescent="0.25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12"/>
        <v>422.27855999999997</v>
      </c>
      <c r="AC16" s="37">
        <f t="shared" si="6"/>
        <v>0</v>
      </c>
      <c r="AD16" s="33">
        <f t="shared" si="13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 x14ac:dyDescent="0.25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12"/>
        <v>694.54750000000001</v>
      </c>
      <c r="AC17" s="37">
        <f t="shared" si="6"/>
        <v>0</v>
      </c>
      <c r="AD17" s="33">
        <f t="shared" si="13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 x14ac:dyDescent="0.25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12"/>
        <v>1424.4199999999998</v>
      </c>
      <c r="AC18" s="37">
        <f t="shared" si="6"/>
        <v>0</v>
      </c>
      <c r="AD18" s="33">
        <f t="shared" si="13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 x14ac:dyDescent="0.25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12"/>
        <v>9028.74</v>
      </c>
      <c r="AC19" s="37">
        <f t="shared" si="6"/>
        <v>1145.2149999999999</v>
      </c>
      <c r="AD19" s="33">
        <f t="shared" si="13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 x14ac:dyDescent="0.25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12"/>
        <v>1166.26</v>
      </c>
      <c r="AC20" s="37">
        <f t="shared" si="6"/>
        <v>0</v>
      </c>
      <c r="AD20" s="33">
        <f t="shared" si="13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 x14ac:dyDescent="0.25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12"/>
        <v>2592.0880099999995</v>
      </c>
      <c r="AC21" s="37">
        <f t="shared" si="6"/>
        <v>0</v>
      </c>
      <c r="AD21" s="33">
        <f t="shared" si="13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 x14ac:dyDescent="0.25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12"/>
        <v>14698.65</v>
      </c>
      <c r="AC22" s="37">
        <f t="shared" si="6"/>
        <v>1560.4350000000002</v>
      </c>
      <c r="AD22" s="33">
        <f t="shared" si="13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 x14ac:dyDescent="0.25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12"/>
        <v>1330.8562999999999</v>
      </c>
      <c r="AC23" s="37">
        <f t="shared" si="6"/>
        <v>0</v>
      </c>
      <c r="AD23" s="33">
        <f t="shared" si="13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 x14ac:dyDescent="0.25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12"/>
        <v>938.84999999999991</v>
      </c>
      <c r="AC24" s="37">
        <f t="shared" si="6"/>
        <v>0</v>
      </c>
      <c r="AD24" s="33">
        <f t="shared" si="13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 x14ac:dyDescent="0.25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12"/>
        <v>4661.4800000000005</v>
      </c>
      <c r="AC25" s="37">
        <f t="shared" si="6"/>
        <v>545.91000000000008</v>
      </c>
      <c r="AD25" s="33">
        <f t="shared" si="13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 x14ac:dyDescent="0.25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12"/>
        <v>3247.11</v>
      </c>
      <c r="AC26" s="37">
        <f t="shared" si="6"/>
        <v>0</v>
      </c>
      <c r="AD26" s="33">
        <f t="shared" si="13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 x14ac:dyDescent="0.25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12"/>
        <v>1092.73</v>
      </c>
      <c r="AC27" s="37">
        <f t="shared" si="6"/>
        <v>0</v>
      </c>
      <c r="AD27" s="33">
        <f t="shared" si="13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 x14ac:dyDescent="0.25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12"/>
        <v>2152.9700000000003</v>
      </c>
      <c r="AC28" s="37">
        <f t="shared" si="6"/>
        <v>0</v>
      </c>
      <c r="AD28" s="33">
        <f t="shared" si="13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 x14ac:dyDescent="0.25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12"/>
        <v>1424.4199999999998</v>
      </c>
      <c r="AC29" s="37">
        <f t="shared" si="6"/>
        <v>0</v>
      </c>
      <c r="AD29" s="33">
        <f t="shared" si="13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 x14ac:dyDescent="0.25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12"/>
        <v>1316.67</v>
      </c>
      <c r="AC30" s="37">
        <f t="shared" si="6"/>
        <v>0</v>
      </c>
      <c r="AD30" s="33">
        <f t="shared" si="13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 x14ac:dyDescent="0.25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12"/>
        <v>3455.38058</v>
      </c>
      <c r="AC31" s="37">
        <f t="shared" si="6"/>
        <v>0</v>
      </c>
      <c r="AD31" s="33">
        <f t="shared" si="13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 x14ac:dyDescent="0.25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12"/>
        <v>2094.2811000000002</v>
      </c>
      <c r="AC32" s="37">
        <f t="shared" si="6"/>
        <v>0</v>
      </c>
      <c r="AD32" s="33">
        <f t="shared" si="13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 x14ac:dyDescent="0.25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12"/>
        <v>2384.29</v>
      </c>
      <c r="AC33" s="37">
        <f t="shared" si="6"/>
        <v>0</v>
      </c>
      <c r="AD33" s="33">
        <f t="shared" si="13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 x14ac:dyDescent="0.25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12"/>
        <v>475.39</v>
      </c>
      <c r="AC34" s="83">
        <f t="shared" si="6"/>
        <v>0</v>
      </c>
      <c r="AD34" s="82">
        <f t="shared" si="13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 x14ac:dyDescent="0.25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 t="shared" ref="Q35" si="14"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 t="shared" ref="AB35" si="15">+Q35-SUM(R35:AA35)</f>
        <v>1166.6600000000001</v>
      </c>
      <c r="AC35" s="37">
        <f t="shared" ref="AC35" si="16">IF(Q35&gt;4500,Q35*0.1,0)</f>
        <v>0</v>
      </c>
      <c r="AD35" s="33">
        <f t="shared" ref="AD35" si="17">+AB35-AC35</f>
        <v>1166.6600000000001</v>
      </c>
      <c r="AE35" s="38">
        <f t="shared" ref="AE35" si="18">IF(Q35&lt;4500,Q35*0.1,0)</f>
        <v>116.66600000000001</v>
      </c>
      <c r="AF35" s="37">
        <v>10.23</v>
      </c>
      <c r="AG35" s="67">
        <f t="shared" ref="AG35" si="19">+Q35+AE35+AF35</f>
        <v>1293.556</v>
      </c>
      <c r="AI35" s="56"/>
      <c r="AL35" s="56"/>
    </row>
    <row r="36" spans="1:54" x14ac:dyDescent="0.25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12"/>
        <v>11505.36</v>
      </c>
      <c r="AC36" s="37">
        <f t="shared" si="6"/>
        <v>1191.3340000000001</v>
      </c>
      <c r="AD36" s="33">
        <f t="shared" si="13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 x14ac:dyDescent="0.25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12"/>
        <v>1237.05</v>
      </c>
      <c r="AC37" s="37">
        <f t="shared" si="6"/>
        <v>0</v>
      </c>
      <c r="AD37" s="33">
        <f t="shared" si="13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 x14ac:dyDescent="0.25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12"/>
        <v>2632.79</v>
      </c>
      <c r="AC38" s="37">
        <f t="shared" si="6"/>
        <v>0</v>
      </c>
      <c r="AD38" s="33">
        <f t="shared" si="13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 x14ac:dyDescent="0.25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20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21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12"/>
        <v>6218.05</v>
      </c>
      <c r="AC39" s="37">
        <f t="shared" si="6"/>
        <v>627.69600000000003</v>
      </c>
      <c r="AD39" s="33">
        <f t="shared" si="13"/>
        <v>5590.3540000000003</v>
      </c>
      <c r="AE39" s="38">
        <f t="shared" ref="AE39:AE72" si="22">IF(Q39&lt;4500,Q39*0.1,0)</f>
        <v>0</v>
      </c>
      <c r="AF39" s="37">
        <v>10.23</v>
      </c>
      <c r="AG39" s="67">
        <f t="shared" ref="AG39:AG72" si="23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 x14ac:dyDescent="0.25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20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21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12"/>
        <v>9032.619999999999</v>
      </c>
      <c r="AC40" s="37">
        <f t="shared" si="6"/>
        <v>924.12199999999996</v>
      </c>
      <c r="AD40" s="33">
        <f t="shared" si="13"/>
        <v>8108.4979999999987</v>
      </c>
      <c r="AE40" s="38">
        <f t="shared" si="22"/>
        <v>0</v>
      </c>
      <c r="AF40" s="37">
        <v>10.23</v>
      </c>
      <c r="AG40" s="67">
        <f t="shared" si="23"/>
        <v>9251.4499999999989</v>
      </c>
      <c r="AH40" s="39"/>
      <c r="AI40" s="56"/>
      <c r="AJ40" s="39"/>
      <c r="AK40" s="39"/>
      <c r="AL40" s="56"/>
      <c r="AM40" s="39"/>
      <c r="AN40" s="39"/>
    </row>
    <row r="41" spans="1:54" x14ac:dyDescent="0.25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20"/>
        <v>513.33000000000004</v>
      </c>
      <c r="L41" s="30"/>
      <c r="M41" s="30">
        <v>56.63</v>
      </c>
      <c r="N41" s="31"/>
      <c r="O41" s="31"/>
      <c r="P41" s="32"/>
      <c r="Q41" s="33">
        <f t="shared" si="21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12"/>
        <v>511.05000000000007</v>
      </c>
      <c r="AC41" s="37">
        <f t="shared" si="6"/>
        <v>0</v>
      </c>
      <c r="AD41" s="33">
        <f t="shared" si="13"/>
        <v>511.05000000000007</v>
      </c>
      <c r="AE41" s="38">
        <f t="shared" si="22"/>
        <v>56.996000000000009</v>
      </c>
      <c r="AF41" s="37">
        <v>10.23</v>
      </c>
      <c r="AG41" s="67">
        <f t="shared" si="23"/>
        <v>637.18600000000004</v>
      </c>
      <c r="AH41" s="39"/>
      <c r="AI41" s="56"/>
      <c r="AJ41" s="39"/>
      <c r="AK41" s="39"/>
      <c r="AL41" s="56"/>
      <c r="AM41" s="39"/>
      <c r="AN41" s="39"/>
    </row>
    <row r="42" spans="1:54" x14ac:dyDescent="0.25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20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21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12"/>
        <v>5486.17</v>
      </c>
      <c r="AC42" s="37">
        <f t="shared" si="6"/>
        <v>548.61700000000008</v>
      </c>
      <c r="AD42" s="33">
        <f t="shared" si="13"/>
        <v>4937.5529999999999</v>
      </c>
      <c r="AE42" s="38">
        <f t="shared" si="22"/>
        <v>0</v>
      </c>
      <c r="AF42" s="37">
        <v>10.23</v>
      </c>
      <c r="AG42" s="67">
        <f t="shared" si="23"/>
        <v>5496.4</v>
      </c>
      <c r="AH42" s="39"/>
      <c r="AI42" s="56"/>
      <c r="AJ42" s="39"/>
      <c r="AK42" s="39"/>
      <c r="AL42" s="56"/>
      <c r="AM42" s="39"/>
      <c r="AN42" s="39"/>
    </row>
    <row r="43" spans="1:54" x14ac:dyDescent="0.25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20"/>
        <v>1633.33</v>
      </c>
      <c r="L43" s="30"/>
      <c r="M43" s="30"/>
      <c r="N43" s="30"/>
      <c r="O43" s="30"/>
      <c r="P43" s="32"/>
      <c r="Q43" s="33">
        <f t="shared" si="21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12"/>
        <v>1633.33</v>
      </c>
      <c r="AC43" s="37">
        <f t="shared" ref="AC43:AC75" si="24">IF(Q43&gt;4500,Q43*0.1,0)</f>
        <v>0</v>
      </c>
      <c r="AD43" s="33">
        <f t="shared" si="13"/>
        <v>1633.33</v>
      </c>
      <c r="AE43" s="38">
        <f t="shared" si="22"/>
        <v>163.333</v>
      </c>
      <c r="AF43" s="37">
        <v>10.23</v>
      </c>
      <c r="AG43" s="67">
        <f t="shared" si="23"/>
        <v>1806.893</v>
      </c>
      <c r="AH43" s="39"/>
      <c r="AI43" s="56"/>
      <c r="AJ43" s="39"/>
      <c r="AK43" s="39"/>
      <c r="AL43" s="56"/>
      <c r="AM43" s="39"/>
      <c r="AN43" s="39"/>
    </row>
    <row r="44" spans="1:54" x14ac:dyDescent="0.25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20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21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12"/>
        <v>15346.4</v>
      </c>
      <c r="AC44" s="37">
        <f t="shared" si="24"/>
        <v>1534.64</v>
      </c>
      <c r="AD44" s="33">
        <f t="shared" si="13"/>
        <v>13811.76</v>
      </c>
      <c r="AE44" s="38">
        <f t="shared" si="22"/>
        <v>0</v>
      </c>
      <c r="AF44" s="37">
        <v>10.23</v>
      </c>
      <c r="AG44" s="67">
        <f t="shared" si="23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 x14ac:dyDescent="0.25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20"/>
        <v>1400</v>
      </c>
      <c r="L45" s="58"/>
      <c r="M45" s="58"/>
      <c r="N45" s="58"/>
      <c r="O45" s="58"/>
      <c r="P45" s="92"/>
      <c r="Q45" s="59">
        <f t="shared" si="21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12"/>
        <v>1400</v>
      </c>
      <c r="AC45" s="60">
        <f t="shared" si="24"/>
        <v>0</v>
      </c>
      <c r="AD45" s="59">
        <f t="shared" ref="AD45:AD76" si="25">+AB45-AC45</f>
        <v>1400</v>
      </c>
      <c r="AE45" s="60">
        <f t="shared" si="22"/>
        <v>140</v>
      </c>
      <c r="AF45" s="60">
        <v>10.23</v>
      </c>
      <c r="AG45" s="59">
        <f t="shared" si="23"/>
        <v>1550.23</v>
      </c>
      <c r="AI45" s="93"/>
      <c r="AL45" s="93"/>
      <c r="AM45" s="61" t="s">
        <v>289</v>
      </c>
    </row>
    <row r="46" spans="1:54" x14ac:dyDescent="0.25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20"/>
        <v>608.16</v>
      </c>
      <c r="L46" s="30">
        <v>309.60000000000002</v>
      </c>
      <c r="M46" s="30"/>
      <c r="N46" s="31"/>
      <c r="O46" s="31"/>
      <c r="P46" s="32"/>
      <c r="Q46" s="33">
        <f t="shared" si="21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26">+Q46-SUM(R46:AA46)</f>
        <v>763.61216000000002</v>
      </c>
      <c r="AC46" s="37">
        <f t="shared" si="24"/>
        <v>0</v>
      </c>
      <c r="AD46" s="33">
        <f t="shared" si="25"/>
        <v>763.61216000000002</v>
      </c>
      <c r="AE46" s="38">
        <f t="shared" si="22"/>
        <v>91.77600000000001</v>
      </c>
      <c r="AF46" s="37">
        <v>10.23</v>
      </c>
      <c r="AG46" s="67">
        <f t="shared" si="23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 x14ac:dyDescent="0.25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20"/>
        <v>608.16</v>
      </c>
      <c r="L47" s="58">
        <v>801.03</v>
      </c>
      <c r="M47" s="58"/>
      <c r="N47" s="58"/>
      <c r="O47" s="58"/>
      <c r="P47" s="92"/>
      <c r="Q47" s="59">
        <f t="shared" si="21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26"/>
        <v>1409.19</v>
      </c>
      <c r="AC47" s="60">
        <f t="shared" si="24"/>
        <v>0</v>
      </c>
      <c r="AD47" s="59">
        <f t="shared" si="25"/>
        <v>1409.19</v>
      </c>
      <c r="AE47" s="60">
        <f t="shared" si="22"/>
        <v>140.91900000000001</v>
      </c>
      <c r="AF47" s="60">
        <v>10.23</v>
      </c>
      <c r="AG47" s="59">
        <f t="shared" si="23"/>
        <v>1560.3390000000002</v>
      </c>
      <c r="AI47" s="93"/>
      <c r="AL47" s="93"/>
      <c r="AM47" s="61">
        <v>2948910731</v>
      </c>
      <c r="AN47" s="94" t="s">
        <v>284</v>
      </c>
    </row>
    <row r="48" spans="1:54" x14ac:dyDescent="0.25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20"/>
        <v>608.16</v>
      </c>
      <c r="L48" s="30">
        <v>1886.62</v>
      </c>
      <c r="M48" s="30"/>
      <c r="N48" s="31"/>
      <c r="O48" s="31"/>
      <c r="P48" s="32"/>
      <c r="Q48" s="33">
        <f t="shared" si="21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26"/>
        <v>2347.5879799999998</v>
      </c>
      <c r="AC48" s="37">
        <f t="shared" si="24"/>
        <v>0</v>
      </c>
      <c r="AD48" s="33">
        <f t="shared" si="25"/>
        <v>2347.5879799999998</v>
      </c>
      <c r="AE48" s="38">
        <f t="shared" si="22"/>
        <v>249.47799999999998</v>
      </c>
      <c r="AF48" s="37">
        <v>10.23</v>
      </c>
      <c r="AG48" s="67">
        <f t="shared" si="23"/>
        <v>2754.4879999999998</v>
      </c>
      <c r="AH48" s="39"/>
      <c r="AI48" s="56"/>
      <c r="AJ48" s="39"/>
      <c r="AK48" s="39"/>
      <c r="AL48" s="56"/>
      <c r="AM48" s="39"/>
      <c r="AN48" s="39"/>
    </row>
    <row r="49" spans="1:54" x14ac:dyDescent="0.25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20"/>
        <v>739.23</v>
      </c>
      <c r="L49" s="30">
        <v>2866.06</v>
      </c>
      <c r="M49" s="30"/>
      <c r="N49" s="30"/>
      <c r="O49" s="30"/>
      <c r="P49" s="32"/>
      <c r="Q49" s="33">
        <f t="shared" si="21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26"/>
        <v>3605.29</v>
      </c>
      <c r="AC49" s="37">
        <f t="shared" si="24"/>
        <v>0</v>
      </c>
      <c r="AD49" s="33">
        <f t="shared" si="25"/>
        <v>3605.29</v>
      </c>
      <c r="AE49" s="38">
        <f t="shared" si="22"/>
        <v>360.529</v>
      </c>
      <c r="AF49" s="37">
        <v>10.23</v>
      </c>
      <c r="AG49" s="67">
        <f t="shared" si="23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 x14ac:dyDescent="0.25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20"/>
        <v>739.23</v>
      </c>
      <c r="L50" s="53">
        <v>2438.48</v>
      </c>
      <c r="M50" s="53"/>
      <c r="N50" s="53"/>
      <c r="O50" s="53"/>
      <c r="P50" s="73"/>
      <c r="Q50" s="59">
        <f t="shared" si="21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26"/>
        <v>3145.9329000000002</v>
      </c>
      <c r="AC50" s="60">
        <f t="shared" si="24"/>
        <v>0</v>
      </c>
      <c r="AD50" s="59">
        <f t="shared" si="25"/>
        <v>3145.9329000000002</v>
      </c>
      <c r="AE50" s="60">
        <f t="shared" si="22"/>
        <v>317.77100000000002</v>
      </c>
      <c r="AF50" s="37">
        <v>10.23</v>
      </c>
      <c r="AG50" s="67">
        <f t="shared" si="23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 x14ac:dyDescent="0.25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20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21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26"/>
        <v>21055.430000000004</v>
      </c>
      <c r="AC51" s="37">
        <f t="shared" si="24"/>
        <v>2111.4340000000007</v>
      </c>
      <c r="AD51" s="33">
        <f t="shared" si="25"/>
        <v>18943.996000000003</v>
      </c>
      <c r="AE51" s="38">
        <f t="shared" si="22"/>
        <v>0</v>
      </c>
      <c r="AF51" s="37">
        <v>10.23</v>
      </c>
      <c r="AG51" s="67">
        <f t="shared" si="23"/>
        <v>21124.570000000003</v>
      </c>
      <c r="AH51" s="39"/>
      <c r="AI51" s="56"/>
      <c r="AJ51" s="39"/>
      <c r="AK51" s="39"/>
      <c r="AL51" s="56"/>
      <c r="AM51" s="39"/>
      <c r="AN51" s="39"/>
    </row>
    <row r="52" spans="1:54" x14ac:dyDescent="0.25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20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21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26"/>
        <v>9788.619999999999</v>
      </c>
      <c r="AC52" s="37">
        <f t="shared" si="24"/>
        <v>978.86199999999997</v>
      </c>
      <c r="AD52" s="33">
        <f t="shared" si="25"/>
        <v>8809.7579999999998</v>
      </c>
      <c r="AE52" s="38">
        <f t="shared" si="22"/>
        <v>0</v>
      </c>
      <c r="AF52" s="37">
        <v>10.23</v>
      </c>
      <c r="AG52" s="67">
        <f t="shared" si="23"/>
        <v>9798.8499999999985</v>
      </c>
      <c r="AH52" s="39"/>
      <c r="AI52" s="56"/>
      <c r="AJ52" s="39"/>
      <c r="AK52" s="39"/>
      <c r="AL52" s="56"/>
      <c r="AM52" s="39"/>
      <c r="AN52" s="39"/>
    </row>
    <row r="53" spans="1:54" x14ac:dyDescent="0.25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20"/>
        <v>1166.6600000000001</v>
      </c>
      <c r="L53" s="30">
        <v>-653.33000000000004</v>
      </c>
      <c r="M53" s="30"/>
      <c r="N53" s="31"/>
      <c r="O53" s="31"/>
      <c r="P53" s="32"/>
      <c r="Q53" s="33">
        <f t="shared" si="21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26"/>
        <v>384.99750000000006</v>
      </c>
      <c r="AC53" s="37">
        <f t="shared" si="24"/>
        <v>0</v>
      </c>
      <c r="AD53" s="33">
        <f t="shared" si="25"/>
        <v>384.99750000000006</v>
      </c>
      <c r="AE53" s="38">
        <f t="shared" si="22"/>
        <v>51.333000000000006</v>
      </c>
      <c r="AF53" s="37">
        <v>10.23</v>
      </c>
      <c r="AG53" s="67">
        <f t="shared" si="23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 x14ac:dyDescent="0.25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20"/>
        <v>1166.6600000000001</v>
      </c>
      <c r="L54" s="30"/>
      <c r="M54" s="30"/>
      <c r="N54" s="31"/>
      <c r="O54" s="31"/>
      <c r="P54" s="32"/>
      <c r="Q54" s="33">
        <f t="shared" si="21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26"/>
        <v>1166.6600000000001</v>
      </c>
      <c r="AC54" s="37">
        <f t="shared" si="24"/>
        <v>0</v>
      </c>
      <c r="AD54" s="33">
        <f t="shared" si="25"/>
        <v>1166.6600000000001</v>
      </c>
      <c r="AE54" s="38">
        <f t="shared" si="22"/>
        <v>116.66600000000001</v>
      </c>
      <c r="AF54" s="37">
        <v>10.23</v>
      </c>
      <c r="AG54" s="67">
        <f t="shared" si="23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 x14ac:dyDescent="0.25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20"/>
        <v>1166.6600000000001</v>
      </c>
      <c r="L55" s="80"/>
      <c r="M55" s="80"/>
      <c r="N55" s="80"/>
      <c r="O55" s="80"/>
      <c r="P55" s="81"/>
      <c r="Q55" s="82">
        <f t="shared" si="21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26"/>
        <v>1166.6600000000001</v>
      </c>
      <c r="AC55" s="83">
        <f t="shared" si="24"/>
        <v>0</v>
      </c>
      <c r="AD55" s="82">
        <f t="shared" si="25"/>
        <v>1166.6600000000001</v>
      </c>
      <c r="AE55" s="83">
        <f t="shared" si="22"/>
        <v>116.66600000000001</v>
      </c>
      <c r="AF55" s="83">
        <v>10.23</v>
      </c>
      <c r="AG55" s="82">
        <f t="shared" si="23"/>
        <v>1293.556</v>
      </c>
      <c r="AI55" s="85"/>
      <c r="AL55" s="85"/>
      <c r="AM55" s="84">
        <v>1905307865</v>
      </c>
      <c r="AN55" s="78" t="s">
        <v>266</v>
      </c>
    </row>
    <row r="56" spans="1:54" x14ac:dyDescent="0.25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20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21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26"/>
        <v>1006.1100000000001</v>
      </c>
      <c r="AC56" s="37">
        <f t="shared" si="24"/>
        <v>0</v>
      </c>
      <c r="AD56" s="33">
        <f t="shared" si="25"/>
        <v>1006.1100000000001</v>
      </c>
      <c r="AE56" s="38">
        <f t="shared" si="22"/>
        <v>109.26700000000001</v>
      </c>
      <c r="AF56" s="37">
        <v>10.23</v>
      </c>
      <c r="AG56" s="67">
        <f t="shared" si="23"/>
        <v>1212.1670000000001</v>
      </c>
      <c r="AH56" s="39"/>
      <c r="AI56" s="56"/>
      <c r="AJ56" s="39"/>
      <c r="AK56" s="39"/>
      <c r="AL56" s="56"/>
      <c r="AM56" s="39"/>
      <c r="AN56" s="39"/>
    </row>
    <row r="57" spans="1:54" x14ac:dyDescent="0.25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20"/>
        <v>1100</v>
      </c>
      <c r="L57" s="30">
        <v>307.39999999999998</v>
      </c>
      <c r="M57" s="30"/>
      <c r="N57" s="31"/>
      <c r="O57" s="31"/>
      <c r="P57" s="32"/>
      <c r="Q57" s="33">
        <f t="shared" si="21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26"/>
        <v>1324.3634000000002</v>
      </c>
      <c r="AC57" s="37">
        <f t="shared" si="24"/>
        <v>0</v>
      </c>
      <c r="AD57" s="33">
        <f t="shared" si="25"/>
        <v>1324.3634000000002</v>
      </c>
      <c r="AE57" s="38">
        <f t="shared" si="22"/>
        <v>140.74</v>
      </c>
      <c r="AF57" s="37">
        <v>10.23</v>
      </c>
      <c r="AG57" s="67">
        <f t="shared" si="23"/>
        <v>1558.3700000000001</v>
      </c>
      <c r="AH57" s="39"/>
      <c r="AI57" s="56"/>
      <c r="AJ57" s="39"/>
      <c r="AK57" s="39"/>
      <c r="AL57" s="56"/>
      <c r="AM57" s="39"/>
      <c r="AN57" s="39"/>
    </row>
    <row r="58" spans="1:54" x14ac:dyDescent="0.25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20"/>
        <v>739.23</v>
      </c>
      <c r="L58" s="30"/>
      <c r="M58" s="30"/>
      <c r="N58" s="30"/>
      <c r="O58" s="30"/>
      <c r="P58" s="32"/>
      <c r="Q58" s="33">
        <f t="shared" si="21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26"/>
        <v>739.23</v>
      </c>
      <c r="AC58" s="37">
        <f t="shared" si="24"/>
        <v>0</v>
      </c>
      <c r="AD58" s="33">
        <f t="shared" si="25"/>
        <v>739.23</v>
      </c>
      <c r="AE58" s="38">
        <f t="shared" si="22"/>
        <v>73.923000000000002</v>
      </c>
      <c r="AF58" s="37">
        <v>10.23</v>
      </c>
      <c r="AG58" s="67">
        <f t="shared" si="23"/>
        <v>823.38300000000004</v>
      </c>
      <c r="AH58" s="39"/>
      <c r="AI58" s="56"/>
      <c r="AJ58" s="39"/>
      <c r="AK58" s="39"/>
      <c r="AL58" s="56"/>
      <c r="AM58" s="39"/>
      <c r="AN58" s="39"/>
    </row>
    <row r="59" spans="1:54" x14ac:dyDescent="0.25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20"/>
        <v>608.16</v>
      </c>
      <c r="L59" s="30"/>
      <c r="M59" s="30"/>
      <c r="N59" s="31"/>
      <c r="O59" s="31"/>
      <c r="P59" s="32"/>
      <c r="Q59" s="33">
        <f t="shared" si="21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26"/>
        <v>572.27855999999997</v>
      </c>
      <c r="AC59" s="37">
        <f t="shared" si="24"/>
        <v>0</v>
      </c>
      <c r="AD59" s="33">
        <f t="shared" si="25"/>
        <v>572.27855999999997</v>
      </c>
      <c r="AE59" s="38">
        <f t="shared" si="22"/>
        <v>60.816000000000003</v>
      </c>
      <c r="AF59" s="37">
        <v>10.23</v>
      </c>
      <c r="AG59" s="67">
        <f t="shared" si="23"/>
        <v>679.20600000000002</v>
      </c>
      <c r="AH59" s="39"/>
      <c r="AI59" s="56"/>
      <c r="AJ59" s="39"/>
      <c r="AK59" s="39"/>
      <c r="AL59" s="56"/>
      <c r="AM59" s="39"/>
      <c r="AN59" s="39"/>
    </row>
    <row r="60" spans="1:54" x14ac:dyDescent="0.25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20"/>
        <v>511.28</v>
      </c>
      <c r="L60" s="30">
        <v>1441.8</v>
      </c>
      <c r="M60" s="30"/>
      <c r="N60" s="31"/>
      <c r="O60" s="31"/>
      <c r="P60" s="32"/>
      <c r="Q60" s="33">
        <f t="shared" si="21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26"/>
        <v>1737.8482799999999</v>
      </c>
      <c r="AC60" s="37">
        <f t="shared" si="24"/>
        <v>0</v>
      </c>
      <c r="AD60" s="33">
        <f t="shared" si="25"/>
        <v>1737.8482799999999</v>
      </c>
      <c r="AE60" s="38">
        <f t="shared" si="22"/>
        <v>195.30799999999999</v>
      </c>
      <c r="AF60" s="37">
        <v>10.23</v>
      </c>
      <c r="AG60" s="67">
        <f t="shared" si="23"/>
        <v>2158.6179999999999</v>
      </c>
      <c r="AH60" s="39"/>
      <c r="AI60" s="56"/>
      <c r="AJ60" s="39"/>
      <c r="AK60" s="39"/>
      <c r="AL60" s="56"/>
      <c r="AM60" s="39"/>
      <c r="AN60" s="39"/>
    </row>
    <row r="61" spans="1:54" x14ac:dyDescent="0.25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20"/>
        <v>513.33000000000004</v>
      </c>
      <c r="L61" s="30"/>
      <c r="M61" s="30">
        <v>66.069999999999993</v>
      </c>
      <c r="N61" s="31"/>
      <c r="O61" s="31"/>
      <c r="P61" s="32"/>
      <c r="Q61" s="33">
        <f t="shared" si="21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26"/>
        <v>579.40000000000009</v>
      </c>
      <c r="AC61" s="37">
        <f t="shared" si="24"/>
        <v>0</v>
      </c>
      <c r="AD61" s="33">
        <f t="shared" si="25"/>
        <v>579.40000000000009</v>
      </c>
      <c r="AE61" s="38">
        <f t="shared" si="22"/>
        <v>57.940000000000012</v>
      </c>
      <c r="AF61" s="37">
        <v>10.23</v>
      </c>
      <c r="AG61" s="67">
        <f t="shared" si="23"/>
        <v>647.57000000000016</v>
      </c>
      <c r="AH61" s="39"/>
      <c r="AI61" s="56"/>
      <c r="AJ61" s="39"/>
      <c r="AK61" s="39"/>
      <c r="AL61" s="56"/>
      <c r="AM61" s="39"/>
      <c r="AN61" s="39"/>
    </row>
    <row r="62" spans="1:54" x14ac:dyDescent="0.25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20"/>
        <v>739.23</v>
      </c>
      <c r="L62" s="30">
        <v>4006.07</v>
      </c>
      <c r="M62" s="30"/>
      <c r="N62" s="42"/>
      <c r="O62" s="31"/>
      <c r="P62" s="32"/>
      <c r="Q62" s="33">
        <f t="shared" si="21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26"/>
        <v>4745.3</v>
      </c>
      <c r="AC62" s="37">
        <f t="shared" si="24"/>
        <v>474.53000000000003</v>
      </c>
      <c r="AD62" s="33">
        <f t="shared" si="25"/>
        <v>4270.7700000000004</v>
      </c>
      <c r="AE62" s="38">
        <f t="shared" si="22"/>
        <v>0</v>
      </c>
      <c r="AF62" s="37">
        <v>10.23</v>
      </c>
      <c r="AG62" s="67">
        <f t="shared" si="23"/>
        <v>4755.53</v>
      </c>
      <c r="AH62" s="39"/>
      <c r="AI62" s="56"/>
      <c r="AJ62" s="39"/>
      <c r="AK62" s="39"/>
      <c r="AL62" s="56"/>
      <c r="AM62" s="39"/>
      <c r="AN62" s="39"/>
    </row>
    <row r="63" spans="1:54" x14ac:dyDescent="0.25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20"/>
        <v>739.23</v>
      </c>
      <c r="L63" s="30">
        <v>3036.32</v>
      </c>
      <c r="M63" s="30"/>
      <c r="N63" s="31"/>
      <c r="O63" s="31"/>
      <c r="P63" s="32"/>
      <c r="Q63" s="33">
        <f t="shared" si="21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26"/>
        <v>3775.55</v>
      </c>
      <c r="AC63" s="37">
        <f t="shared" si="24"/>
        <v>0</v>
      </c>
      <c r="AD63" s="33">
        <f t="shared" si="25"/>
        <v>3775.55</v>
      </c>
      <c r="AE63" s="38">
        <f t="shared" si="22"/>
        <v>377.55500000000006</v>
      </c>
      <c r="AF63" s="37">
        <v>10.23</v>
      </c>
      <c r="AG63" s="67">
        <f t="shared" si="23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 x14ac:dyDescent="0.25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20"/>
        <v>1136.73</v>
      </c>
      <c r="L64" s="80">
        <v>0</v>
      </c>
      <c r="M64" s="80"/>
      <c r="N64" s="80"/>
      <c r="O64" s="80"/>
      <c r="P64" s="80"/>
      <c r="Q64" s="82">
        <f t="shared" si="21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26"/>
        <v>1136.73</v>
      </c>
      <c r="AC64" s="83">
        <f t="shared" si="24"/>
        <v>0</v>
      </c>
      <c r="AD64" s="82">
        <f t="shared" si="25"/>
        <v>1136.73</v>
      </c>
      <c r="AE64" s="83">
        <f t="shared" si="22"/>
        <v>113.673</v>
      </c>
      <c r="AF64" s="83">
        <v>10.23</v>
      </c>
      <c r="AG64" s="82">
        <f t="shared" si="23"/>
        <v>1260.633</v>
      </c>
      <c r="AI64" s="85"/>
      <c r="AL64" s="85"/>
      <c r="AM64" s="84">
        <v>2857006349</v>
      </c>
      <c r="AN64" s="78" t="s">
        <v>282</v>
      </c>
    </row>
    <row r="65" spans="1:54" x14ac:dyDescent="0.25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20"/>
        <v>608.16</v>
      </c>
      <c r="L65" s="30">
        <v>1276.27</v>
      </c>
      <c r="M65" s="30"/>
      <c r="N65" s="31"/>
      <c r="O65" s="31"/>
      <c r="P65" s="32"/>
      <c r="Q65" s="33">
        <f t="shared" si="21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26"/>
        <v>1773.2486299999998</v>
      </c>
      <c r="AC65" s="37">
        <f t="shared" si="24"/>
        <v>0</v>
      </c>
      <c r="AD65" s="33">
        <f t="shared" si="25"/>
        <v>1773.2486299999998</v>
      </c>
      <c r="AE65" s="38">
        <f t="shared" si="22"/>
        <v>188.44299999999998</v>
      </c>
      <c r="AF65" s="37">
        <v>10.23</v>
      </c>
      <c r="AG65" s="67">
        <f t="shared" si="23"/>
        <v>2083.1029999999996</v>
      </c>
      <c r="AH65" s="39"/>
      <c r="AI65" s="56"/>
      <c r="AJ65" s="39"/>
      <c r="AK65" s="39"/>
      <c r="AL65" s="56"/>
      <c r="AM65" s="39"/>
      <c r="AN65" s="39"/>
    </row>
    <row r="66" spans="1:54" x14ac:dyDescent="0.25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20"/>
        <v>608.16</v>
      </c>
      <c r="L66" s="30">
        <v>3235.87</v>
      </c>
      <c r="M66" s="30"/>
      <c r="N66" s="31"/>
      <c r="O66" s="31"/>
      <c r="P66" s="32"/>
      <c r="Q66" s="33">
        <f t="shared" si="21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26"/>
        <v>3095.4922299999998</v>
      </c>
      <c r="AC66" s="37">
        <f t="shared" si="24"/>
        <v>0</v>
      </c>
      <c r="AD66" s="33">
        <f t="shared" si="25"/>
        <v>3095.4922299999998</v>
      </c>
      <c r="AE66" s="38">
        <f t="shared" si="22"/>
        <v>384.40300000000002</v>
      </c>
      <c r="AF66" s="37">
        <v>10.23</v>
      </c>
      <c r="AG66" s="67">
        <f t="shared" si="23"/>
        <v>4238.6629999999996</v>
      </c>
      <c r="AH66" s="39"/>
      <c r="AI66" s="56"/>
      <c r="AJ66" s="39"/>
      <c r="AK66" s="39"/>
      <c r="AL66" s="56"/>
      <c r="AM66" s="39"/>
      <c r="AN66" s="39"/>
    </row>
    <row r="67" spans="1:54" x14ac:dyDescent="0.25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20"/>
        <v>1400</v>
      </c>
      <c r="L67" s="30">
        <f>355.65+140</f>
        <v>495.65</v>
      </c>
      <c r="M67" s="30"/>
      <c r="N67" s="31"/>
      <c r="O67" s="31"/>
      <c r="P67" s="32"/>
      <c r="Q67" s="33">
        <f t="shared" si="21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26"/>
        <v>1895.65</v>
      </c>
      <c r="AC67" s="37">
        <f t="shared" si="24"/>
        <v>0</v>
      </c>
      <c r="AD67" s="33">
        <f t="shared" si="25"/>
        <v>1895.65</v>
      </c>
      <c r="AE67" s="38">
        <f t="shared" si="22"/>
        <v>189.56500000000003</v>
      </c>
      <c r="AF67" s="37">
        <v>10.23</v>
      </c>
      <c r="AG67" s="67">
        <f t="shared" si="23"/>
        <v>2095.4450000000002</v>
      </c>
      <c r="AH67" s="39"/>
      <c r="AI67" s="56"/>
      <c r="AJ67" s="39"/>
      <c r="AK67" s="39"/>
      <c r="AL67" s="56"/>
      <c r="AM67" s="39"/>
      <c r="AN67" s="39"/>
    </row>
    <row r="68" spans="1:54" x14ac:dyDescent="0.25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20"/>
        <v>608.16</v>
      </c>
      <c r="L68" s="30">
        <v>527.79999999999995</v>
      </c>
      <c r="M68" s="30"/>
      <c r="N68" s="31"/>
      <c r="O68" s="31"/>
      <c r="P68" s="32"/>
      <c r="Q68" s="33">
        <f t="shared" si="21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26"/>
        <v>1068.9383600000001</v>
      </c>
      <c r="AC68" s="37">
        <f t="shared" si="24"/>
        <v>0</v>
      </c>
      <c r="AD68" s="33">
        <f t="shared" si="25"/>
        <v>1068.9383600000001</v>
      </c>
      <c r="AE68" s="38">
        <f t="shared" si="22"/>
        <v>113.596</v>
      </c>
      <c r="AF68" s="37">
        <v>10.23</v>
      </c>
      <c r="AG68" s="67">
        <f t="shared" si="23"/>
        <v>1259.7860000000001</v>
      </c>
      <c r="AH68" s="39"/>
      <c r="AI68" s="56"/>
      <c r="AJ68" s="39"/>
      <c r="AK68" s="39"/>
      <c r="AL68" s="56"/>
      <c r="AM68" s="39"/>
      <c r="AN68" s="39"/>
    </row>
    <row r="69" spans="1:54" x14ac:dyDescent="0.25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20"/>
        <v>1400</v>
      </c>
      <c r="L69" s="30"/>
      <c r="M69" s="30"/>
      <c r="N69" s="30"/>
      <c r="O69" s="30"/>
      <c r="P69" s="32"/>
      <c r="Q69" s="33">
        <f t="shared" si="21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26"/>
        <v>1400</v>
      </c>
      <c r="AC69" s="37">
        <f t="shared" si="24"/>
        <v>0</v>
      </c>
      <c r="AD69" s="33">
        <f t="shared" si="25"/>
        <v>1400</v>
      </c>
      <c r="AE69" s="38">
        <f t="shared" si="22"/>
        <v>140</v>
      </c>
      <c r="AF69" s="37">
        <v>10.23</v>
      </c>
      <c r="AG69" s="67">
        <f t="shared" si="23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 x14ac:dyDescent="0.25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20"/>
        <v>739.23</v>
      </c>
      <c r="L70" s="53">
        <v>1692.78</v>
      </c>
      <c r="M70" s="53"/>
      <c r="N70" s="53"/>
      <c r="O70" s="53"/>
      <c r="P70" s="73"/>
      <c r="Q70" s="59">
        <f t="shared" si="21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26"/>
        <v>2432.0100000000002</v>
      </c>
      <c r="AC70" s="60">
        <f t="shared" si="24"/>
        <v>0</v>
      </c>
      <c r="AD70" s="59">
        <f t="shared" si="25"/>
        <v>2432.0100000000002</v>
      </c>
      <c r="AE70" s="60">
        <f t="shared" si="22"/>
        <v>243.20100000000002</v>
      </c>
      <c r="AF70" s="37">
        <v>10.23</v>
      </c>
      <c r="AG70" s="67">
        <f t="shared" si="23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 x14ac:dyDescent="0.25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20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21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26"/>
        <v>1515.8799999999997</v>
      </c>
      <c r="AC71" s="37">
        <f t="shared" si="24"/>
        <v>0</v>
      </c>
      <c r="AD71" s="33">
        <f t="shared" si="25"/>
        <v>1515.8799999999997</v>
      </c>
      <c r="AE71" s="38">
        <f t="shared" si="22"/>
        <v>278.75599999999997</v>
      </c>
      <c r="AF71" s="37">
        <v>10.23</v>
      </c>
      <c r="AG71" s="67">
        <f t="shared" si="23"/>
        <v>3076.5459999999994</v>
      </c>
      <c r="AH71" s="39"/>
      <c r="AI71" s="56"/>
      <c r="AJ71" s="39"/>
      <c r="AK71" s="39"/>
      <c r="AL71" s="56"/>
      <c r="AM71" s="39"/>
      <c r="AN71" s="39"/>
    </row>
    <row r="72" spans="1:54" x14ac:dyDescent="0.25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27">+I72+J72</f>
        <v>1166.26</v>
      </c>
      <c r="L72" s="30">
        <v>784.32</v>
      </c>
      <c r="M72" s="30"/>
      <c r="N72" s="30"/>
      <c r="O72" s="30"/>
      <c r="P72" s="32"/>
      <c r="Q72" s="33">
        <f t="shared" ref="Q72:Q87" si="28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26"/>
        <v>1950.58</v>
      </c>
      <c r="AC72" s="37">
        <f t="shared" si="24"/>
        <v>0</v>
      </c>
      <c r="AD72" s="33">
        <f t="shared" si="25"/>
        <v>1950.58</v>
      </c>
      <c r="AE72" s="38">
        <f t="shared" si="22"/>
        <v>195.05799999999999</v>
      </c>
      <c r="AF72" s="37">
        <v>10.23</v>
      </c>
      <c r="AG72" s="67">
        <f t="shared" si="23"/>
        <v>2155.8679999999999</v>
      </c>
      <c r="AH72" s="39"/>
      <c r="AI72" s="56"/>
      <c r="AJ72" s="39"/>
      <c r="AK72" s="39"/>
      <c r="AL72" s="56"/>
      <c r="AM72" s="39"/>
      <c r="AN72" s="39"/>
    </row>
    <row r="73" spans="1:54" x14ac:dyDescent="0.25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27"/>
        <v>1100</v>
      </c>
      <c r="L73" s="30"/>
      <c r="M73" s="30"/>
      <c r="N73" s="30"/>
      <c r="O73" s="30"/>
      <c r="P73" s="32"/>
      <c r="Q73" s="33">
        <f t="shared" si="28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26"/>
        <v>1100</v>
      </c>
      <c r="AC73" s="37">
        <f t="shared" si="24"/>
        <v>0</v>
      </c>
      <c r="AD73" s="33">
        <f t="shared" si="25"/>
        <v>1100</v>
      </c>
      <c r="AE73" s="38">
        <f t="shared" ref="AE73:AE87" si="29">IF(Q73&lt;4500,Q73*0.1,0)</f>
        <v>110</v>
      </c>
      <c r="AF73" s="37">
        <v>10.23</v>
      </c>
      <c r="AG73" s="67">
        <f t="shared" ref="AG73:AG87" si="30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 x14ac:dyDescent="0.25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27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28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26"/>
        <v>5022.8500000000004</v>
      </c>
      <c r="AC74" s="37">
        <f t="shared" si="24"/>
        <v>508.17600000000004</v>
      </c>
      <c r="AD74" s="33">
        <f t="shared" si="25"/>
        <v>4514.674</v>
      </c>
      <c r="AE74" s="38">
        <f t="shared" si="29"/>
        <v>0</v>
      </c>
      <c r="AF74" s="37">
        <v>10.23</v>
      </c>
      <c r="AG74" s="67">
        <f t="shared" si="30"/>
        <v>5091.99</v>
      </c>
      <c r="AH74" s="39"/>
      <c r="AI74" s="56"/>
      <c r="AJ74" s="39"/>
      <c r="AK74" s="39"/>
      <c r="AL74" s="56"/>
      <c r="AM74" s="39"/>
      <c r="AN74" s="39"/>
    </row>
    <row r="75" spans="1:54" x14ac:dyDescent="0.25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27"/>
        <v>543.20000000000005</v>
      </c>
      <c r="L75" s="30">
        <v>1059.4000000000001</v>
      </c>
      <c r="M75" s="30"/>
      <c r="N75" s="31"/>
      <c r="O75" s="31"/>
      <c r="P75" s="32"/>
      <c r="Q75" s="33">
        <f t="shared" si="28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26"/>
        <v>1508.0466000000001</v>
      </c>
      <c r="AC75" s="37">
        <f t="shared" si="24"/>
        <v>0</v>
      </c>
      <c r="AD75" s="33">
        <f t="shared" si="25"/>
        <v>1508.0466000000001</v>
      </c>
      <c r="AE75" s="38">
        <f t="shared" si="29"/>
        <v>160.26000000000002</v>
      </c>
      <c r="AF75" s="37">
        <v>10.23</v>
      </c>
      <c r="AG75" s="67">
        <f t="shared" si="30"/>
        <v>1773.0900000000001</v>
      </c>
      <c r="AH75" s="39"/>
      <c r="AI75" s="56"/>
      <c r="AJ75" s="39"/>
      <c r="AK75" s="39"/>
      <c r="AL75" s="56"/>
      <c r="AM75" s="39"/>
      <c r="AN75" s="39"/>
    </row>
    <row r="76" spans="1:54" x14ac:dyDescent="0.25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27"/>
        <v>608.16</v>
      </c>
      <c r="L76" s="30">
        <v>1325.5</v>
      </c>
      <c r="M76" s="30"/>
      <c r="N76" s="31"/>
      <c r="O76" s="31"/>
      <c r="P76" s="32"/>
      <c r="Q76" s="33">
        <f t="shared" si="28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26"/>
        <v>1160.6940599999998</v>
      </c>
      <c r="AC76" s="37">
        <f t="shared" ref="AC76:AC87" si="31">IF(Q76&gt;4500,Q76*0.1,0)</f>
        <v>0</v>
      </c>
      <c r="AD76" s="33">
        <f t="shared" si="25"/>
        <v>1160.6940599999998</v>
      </c>
      <c r="AE76" s="38">
        <f t="shared" si="29"/>
        <v>193.36599999999999</v>
      </c>
      <c r="AF76" s="37">
        <v>10.23</v>
      </c>
      <c r="AG76" s="67">
        <f t="shared" si="30"/>
        <v>2137.2559999999999</v>
      </c>
      <c r="AH76" s="39"/>
      <c r="AI76" s="56"/>
      <c r="AJ76" s="39"/>
      <c r="AK76" s="39"/>
      <c r="AL76" s="56"/>
      <c r="AM76" s="39"/>
      <c r="AN76" s="39"/>
    </row>
    <row r="77" spans="1:54" x14ac:dyDescent="0.25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27"/>
        <v>739.23</v>
      </c>
      <c r="L77" s="30">
        <v>1998.23</v>
      </c>
      <c r="M77" s="30"/>
      <c r="N77" s="31"/>
      <c r="O77" s="31"/>
      <c r="P77" s="32"/>
      <c r="Q77" s="33">
        <f t="shared" si="28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26"/>
        <v>2587.46</v>
      </c>
      <c r="AC77" s="37">
        <f t="shared" si="31"/>
        <v>0</v>
      </c>
      <c r="AD77" s="33">
        <f t="shared" ref="AD77:AD87" si="32">+AB77-AC77</f>
        <v>2587.46</v>
      </c>
      <c r="AE77" s="38">
        <f t="shared" si="29"/>
        <v>273.74600000000004</v>
      </c>
      <c r="AF77" s="37">
        <v>10.23</v>
      </c>
      <c r="AG77" s="67">
        <f t="shared" si="30"/>
        <v>3021.4360000000001</v>
      </c>
      <c r="AH77" s="39"/>
      <c r="AI77" s="56"/>
      <c r="AJ77" s="39"/>
      <c r="AK77" s="39"/>
      <c r="AL77" s="56"/>
      <c r="AM77" s="39"/>
      <c r="AN77" s="39"/>
    </row>
    <row r="78" spans="1:54" x14ac:dyDescent="0.25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27"/>
        <v>1400</v>
      </c>
      <c r="L78" s="30"/>
      <c r="M78" s="30"/>
      <c r="N78" s="31"/>
      <c r="O78" s="31"/>
      <c r="P78" s="32"/>
      <c r="Q78" s="33">
        <f t="shared" si="28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26"/>
        <v>972.97</v>
      </c>
      <c r="AC78" s="37">
        <f t="shared" si="31"/>
        <v>0</v>
      </c>
      <c r="AD78" s="33">
        <f t="shared" si="32"/>
        <v>972.97</v>
      </c>
      <c r="AE78" s="38">
        <f t="shared" si="29"/>
        <v>140</v>
      </c>
      <c r="AF78" s="37">
        <v>10.23</v>
      </c>
      <c r="AG78" s="67">
        <f t="shared" si="30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 x14ac:dyDescent="0.25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27"/>
        <v>1400</v>
      </c>
      <c r="L79" s="53"/>
      <c r="M79" s="53"/>
      <c r="N79" s="53"/>
      <c r="O79" s="53"/>
      <c r="P79" s="73"/>
      <c r="Q79" s="59">
        <f t="shared" si="28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33">+Q79-SUM(R79:AA79)</f>
        <v>1400</v>
      </c>
      <c r="AC79" s="60">
        <f t="shared" si="31"/>
        <v>0</v>
      </c>
      <c r="AD79" s="59">
        <f t="shared" si="32"/>
        <v>1400</v>
      </c>
      <c r="AE79" s="60">
        <f t="shared" si="29"/>
        <v>140</v>
      </c>
      <c r="AF79" s="37">
        <v>10.23</v>
      </c>
      <c r="AG79" s="67">
        <f t="shared" si="30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 x14ac:dyDescent="0.25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27"/>
        <v>739.23</v>
      </c>
      <c r="L80" s="30">
        <v>774.3</v>
      </c>
      <c r="M80" s="30"/>
      <c r="N80" s="31"/>
      <c r="O80" s="31"/>
      <c r="P80" s="32"/>
      <c r="Q80" s="33">
        <f t="shared" si="28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33"/>
        <v>1513.53</v>
      </c>
      <c r="AC80" s="37">
        <f t="shared" si="31"/>
        <v>0</v>
      </c>
      <c r="AD80" s="33">
        <f t="shared" si="32"/>
        <v>1513.53</v>
      </c>
      <c r="AE80" s="38">
        <f t="shared" si="29"/>
        <v>151.35300000000001</v>
      </c>
      <c r="AF80" s="37">
        <v>10.23</v>
      </c>
      <c r="AG80" s="67">
        <f t="shared" si="30"/>
        <v>1675.1130000000001</v>
      </c>
      <c r="AH80" s="39"/>
      <c r="AI80" s="56"/>
      <c r="AJ80" s="39"/>
      <c r="AK80" s="39"/>
      <c r="AL80" s="56"/>
      <c r="AM80" s="39"/>
      <c r="AN80" s="39"/>
    </row>
    <row r="81" spans="1:40" x14ac:dyDescent="0.25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27"/>
        <v>739.23</v>
      </c>
      <c r="L81" s="30">
        <v>1939.52</v>
      </c>
      <c r="M81" s="30"/>
      <c r="N81" s="30"/>
      <c r="O81" s="30"/>
      <c r="P81" s="32"/>
      <c r="Q81" s="33">
        <f t="shared" si="28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33"/>
        <v>2678.75</v>
      </c>
      <c r="AC81" s="37">
        <f t="shared" si="31"/>
        <v>0</v>
      </c>
      <c r="AD81" s="33">
        <f t="shared" si="32"/>
        <v>2678.75</v>
      </c>
      <c r="AE81" s="38">
        <f t="shared" si="29"/>
        <v>267.875</v>
      </c>
      <c r="AF81" s="37">
        <v>10.23</v>
      </c>
      <c r="AG81" s="67">
        <f t="shared" si="30"/>
        <v>2956.855</v>
      </c>
      <c r="AH81" s="39"/>
      <c r="AI81" s="56"/>
      <c r="AJ81" s="39"/>
      <c r="AK81" s="39"/>
      <c r="AL81" s="56"/>
      <c r="AM81" s="39"/>
      <c r="AN81" s="39"/>
    </row>
    <row r="82" spans="1:40" x14ac:dyDescent="0.25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27"/>
        <v>1166.6600000000001</v>
      </c>
      <c r="L82" s="30">
        <v>639.69000000000005</v>
      </c>
      <c r="M82" s="30"/>
      <c r="N82" s="31"/>
      <c r="O82" s="31"/>
      <c r="P82" s="32"/>
      <c r="Q82" s="33">
        <f t="shared" si="28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33"/>
        <v>757.18000000000006</v>
      </c>
      <c r="AC82" s="37">
        <f t="shared" si="31"/>
        <v>0</v>
      </c>
      <c r="AD82" s="33">
        <f t="shared" si="32"/>
        <v>757.18000000000006</v>
      </c>
      <c r="AE82" s="38">
        <f t="shared" si="29"/>
        <v>180.63500000000002</v>
      </c>
      <c r="AF82" s="37">
        <v>10.23</v>
      </c>
      <c r="AG82" s="67">
        <f t="shared" si="30"/>
        <v>1997.2150000000001</v>
      </c>
      <c r="AH82" s="39"/>
      <c r="AI82" s="56"/>
      <c r="AJ82" s="39"/>
      <c r="AK82" s="39"/>
      <c r="AL82" s="56"/>
      <c r="AM82" s="39"/>
      <c r="AN82" s="39"/>
    </row>
    <row r="83" spans="1:40" x14ac:dyDescent="0.25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27"/>
        <v>1166.67</v>
      </c>
      <c r="L83" s="30">
        <v>2500</v>
      </c>
      <c r="M83" s="30"/>
      <c r="N83" s="31"/>
      <c r="O83" s="31"/>
      <c r="P83" s="32"/>
      <c r="Q83" s="33">
        <f t="shared" si="28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33"/>
        <v>3607.76</v>
      </c>
      <c r="AC83" s="37">
        <f t="shared" si="31"/>
        <v>0</v>
      </c>
      <c r="AD83" s="33">
        <f t="shared" si="32"/>
        <v>3607.76</v>
      </c>
      <c r="AE83" s="38">
        <f t="shared" si="29"/>
        <v>366.66700000000003</v>
      </c>
      <c r="AF83" s="37">
        <v>10.23</v>
      </c>
      <c r="AG83" s="67">
        <f t="shared" si="30"/>
        <v>4043.567</v>
      </c>
      <c r="AH83" s="39"/>
      <c r="AI83" s="56"/>
      <c r="AJ83" s="39"/>
      <c r="AK83" s="39"/>
      <c r="AL83" s="56"/>
      <c r="AM83" s="39"/>
      <c r="AN83" s="39"/>
    </row>
    <row r="84" spans="1:40" x14ac:dyDescent="0.25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27"/>
        <v>608.16</v>
      </c>
      <c r="L84" s="30">
        <v>3752</v>
      </c>
      <c r="M84" s="30"/>
      <c r="N84" s="31"/>
      <c r="O84" s="31"/>
      <c r="P84" s="32"/>
      <c r="Q84" s="33">
        <f t="shared" si="28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33"/>
        <v>3902.9105599999998</v>
      </c>
      <c r="AC84" s="37">
        <f t="shared" si="31"/>
        <v>0</v>
      </c>
      <c r="AD84" s="33">
        <f t="shared" si="32"/>
        <v>3902.9105599999998</v>
      </c>
      <c r="AE84" s="38">
        <f t="shared" si="29"/>
        <v>436.01600000000002</v>
      </c>
      <c r="AF84" s="37">
        <v>10.23</v>
      </c>
      <c r="AG84" s="67">
        <f t="shared" si="30"/>
        <v>4806.405999999999</v>
      </c>
      <c r="AH84" s="39"/>
      <c r="AI84" s="56"/>
      <c r="AJ84" s="39"/>
      <c r="AK84" s="39"/>
      <c r="AL84" s="56"/>
      <c r="AM84" s="39"/>
      <c r="AN84" s="39"/>
    </row>
    <row r="85" spans="1:40" x14ac:dyDescent="0.25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27"/>
        <v>1100</v>
      </c>
      <c r="L85" s="30"/>
      <c r="M85" s="30"/>
      <c r="N85" s="30"/>
      <c r="O85" s="30"/>
      <c r="P85" s="32"/>
      <c r="Q85" s="33">
        <f t="shared" si="28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33"/>
        <v>1100</v>
      </c>
      <c r="AC85" s="37">
        <f t="shared" si="31"/>
        <v>0</v>
      </c>
      <c r="AD85" s="33">
        <f t="shared" si="32"/>
        <v>1100</v>
      </c>
      <c r="AE85" s="38">
        <f t="shared" si="29"/>
        <v>110</v>
      </c>
      <c r="AF85" s="37">
        <v>10.23</v>
      </c>
      <c r="AG85" s="67">
        <f t="shared" si="30"/>
        <v>1220.23</v>
      </c>
      <c r="AH85" s="39"/>
      <c r="AI85" s="56"/>
      <c r="AJ85" s="39"/>
      <c r="AK85" s="39"/>
      <c r="AL85" s="56"/>
      <c r="AM85" s="39"/>
      <c r="AN85" s="39"/>
    </row>
    <row r="86" spans="1:40" x14ac:dyDescent="0.25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27"/>
        <v>1166.6600000000001</v>
      </c>
      <c r="L86" s="30"/>
      <c r="M86" s="30"/>
      <c r="N86" s="31"/>
      <c r="O86" s="31"/>
      <c r="P86" s="32"/>
      <c r="Q86" s="33">
        <f t="shared" si="28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33"/>
        <v>1166.6600000000001</v>
      </c>
      <c r="AC86" s="37">
        <f t="shared" si="31"/>
        <v>0</v>
      </c>
      <c r="AD86" s="33">
        <f t="shared" si="32"/>
        <v>1166.6600000000001</v>
      </c>
      <c r="AE86" s="38">
        <f t="shared" si="29"/>
        <v>116.66600000000001</v>
      </c>
      <c r="AF86" s="37">
        <v>10.23</v>
      </c>
      <c r="AG86" s="67">
        <f t="shared" si="30"/>
        <v>1293.556</v>
      </c>
      <c r="AH86" s="39"/>
      <c r="AI86" s="56"/>
      <c r="AJ86" s="39"/>
      <c r="AK86" s="39"/>
      <c r="AL86" s="56"/>
      <c r="AM86" s="39"/>
      <c r="AN86" s="39"/>
    </row>
    <row r="87" spans="1:40" x14ac:dyDescent="0.25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27"/>
        <v>739.23</v>
      </c>
      <c r="L87" s="30">
        <v>2851</v>
      </c>
      <c r="M87" s="30"/>
      <c r="N87" s="30"/>
      <c r="O87" s="30"/>
      <c r="P87" s="32"/>
      <c r="Q87" s="33">
        <f t="shared" si="28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33"/>
        <v>3090.23</v>
      </c>
      <c r="AC87" s="37">
        <f t="shared" si="31"/>
        <v>0</v>
      </c>
      <c r="AD87" s="33">
        <f t="shared" si="32"/>
        <v>3090.23</v>
      </c>
      <c r="AE87" s="38">
        <f t="shared" si="29"/>
        <v>359.02300000000002</v>
      </c>
      <c r="AF87" s="37">
        <v>10.23</v>
      </c>
      <c r="AG87" s="67">
        <f t="shared" si="30"/>
        <v>3959.4830000000002</v>
      </c>
      <c r="AH87" s="39"/>
      <c r="AI87" s="56"/>
      <c r="AJ87" s="39"/>
      <c r="AK87" s="39"/>
      <c r="AL87" s="56"/>
      <c r="AM87" s="39"/>
      <c r="AN87" s="39"/>
    </row>
    <row r="88" spans="1:40" x14ac:dyDescent="0.25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27"/>
        <v>1166.6600000000001</v>
      </c>
      <c r="L88" s="30"/>
      <c r="M88" s="30"/>
      <c r="N88" s="30"/>
      <c r="O88" s="30"/>
      <c r="P88" s="32"/>
      <c r="Q88" s="33">
        <f t="shared" ref="Q88" si="34"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 t="shared" ref="AB88" si="35">+Q88-SUM(R88:AA88)</f>
        <v>875.16000000000008</v>
      </c>
      <c r="AC88" s="37">
        <f t="shared" ref="AC88" si="36">IF(Q88&gt;4500,Q88*0.1,0)</f>
        <v>0</v>
      </c>
      <c r="AD88" s="33">
        <f t="shared" ref="AD88" si="37">+AB88-AC88</f>
        <v>875.16000000000008</v>
      </c>
      <c r="AE88" s="38">
        <f t="shared" ref="AE88" si="38">IF(Q88&lt;4500,Q88*0.1,0)</f>
        <v>116.66600000000001</v>
      </c>
      <c r="AF88" s="37">
        <v>10.23</v>
      </c>
      <c r="AG88" s="67">
        <f t="shared" ref="AG88" si="39"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 x14ac:dyDescent="0.25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27"/>
        <v>1166.26</v>
      </c>
      <c r="L89" s="30">
        <v>2280.46</v>
      </c>
      <c r="M89" s="30"/>
      <c r="N89" s="31"/>
      <c r="O89" s="31"/>
      <c r="P89" s="32"/>
      <c r="Q89" s="33">
        <f t="shared" ref="Q89" si="40"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 t="shared" ref="AB89" si="41">+Q89-SUM(R89:AA89)</f>
        <v>3446.7200000000003</v>
      </c>
      <c r="AC89" s="37">
        <f t="shared" ref="AC89" si="42">IF(Q89&gt;4500,Q89*0.1,0)</f>
        <v>0</v>
      </c>
      <c r="AD89" s="33">
        <f t="shared" ref="AD89" si="43">+AB89-AC89</f>
        <v>3446.7200000000003</v>
      </c>
      <c r="AE89" s="38">
        <f t="shared" ref="AE89" si="44">IF(Q89&lt;4500,Q89*0.1,0)</f>
        <v>344.67200000000003</v>
      </c>
      <c r="AF89" s="37">
        <v>10.23</v>
      </c>
      <c r="AG89" s="67">
        <f t="shared" ref="AG89" si="45"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 x14ac:dyDescent="0.25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27"/>
        <v>1166.26</v>
      </c>
      <c r="L90" s="30"/>
      <c r="M90" s="30"/>
      <c r="N90" s="31"/>
      <c r="O90" s="31"/>
      <c r="P90" s="32"/>
      <c r="Q90" s="33">
        <f t="shared" ref="Q90" si="46"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 t="shared" ref="AB90" si="47">+Q90-SUM(R90:AA90)</f>
        <v>1107.3499999999999</v>
      </c>
      <c r="AC90" s="37">
        <f t="shared" ref="AC90" si="48">IF(Q90&gt;4500,Q90*0.1,0)</f>
        <v>0</v>
      </c>
      <c r="AD90" s="33">
        <f t="shared" ref="AD90" si="49">+AB90-AC90</f>
        <v>1107.3499999999999</v>
      </c>
      <c r="AE90" s="38">
        <f t="shared" ref="AE90" si="50">IF(Q90&lt;4500,Q90*0.1,0)</f>
        <v>116.626</v>
      </c>
      <c r="AF90" s="37">
        <v>10.23</v>
      </c>
      <c r="AG90" s="67">
        <f t="shared" ref="AG90" si="51"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 x14ac:dyDescent="0.25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 x14ac:dyDescent="0.25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 t="shared" ref="AI92:AI94" si="52">+AD92-AH92</f>
        <v>0</v>
      </c>
      <c r="AJ92" s="39"/>
      <c r="AK92" s="39"/>
      <c r="AL92" s="39"/>
      <c r="AM92" s="39"/>
      <c r="AN92" s="39"/>
    </row>
    <row r="93" spans="1:40" x14ac:dyDescent="0.25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 t="shared" si="52"/>
        <v>0</v>
      </c>
      <c r="AJ93" s="39"/>
      <c r="AK93" s="39"/>
      <c r="AL93" s="39"/>
      <c r="AM93" s="39"/>
      <c r="AN93" s="39"/>
    </row>
    <row r="94" spans="1:40" x14ac:dyDescent="0.25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 t="shared" si="52"/>
        <v>0</v>
      </c>
      <c r="AJ94" s="39"/>
      <c r="AK94" s="39"/>
      <c r="AL94" s="39"/>
      <c r="AM94" s="39"/>
      <c r="AN94" s="39"/>
    </row>
    <row r="95" spans="1:40" s="39" customFormat="1" x14ac:dyDescent="0.25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 x14ac:dyDescent="0.3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53">SUM(K7:K95)</f>
        <v>73736.400000000081</v>
      </c>
      <c r="L96" s="52">
        <f t="shared" si="53"/>
        <v>261382.26</v>
      </c>
      <c r="M96" s="52"/>
      <c r="N96" s="52">
        <f t="shared" si="53"/>
        <v>0</v>
      </c>
      <c r="O96" s="52">
        <f t="shared" si="53"/>
        <v>0</v>
      </c>
      <c r="P96" s="52">
        <f t="shared" si="53"/>
        <v>0</v>
      </c>
      <c r="Q96" s="52">
        <f t="shared" si="53"/>
        <v>335439.50999999989</v>
      </c>
      <c r="R96" s="52">
        <f t="shared" si="53"/>
        <v>0</v>
      </c>
      <c r="S96" s="52"/>
      <c r="T96" s="71">
        <f t="shared" ref="T96:AL96" si="54">SUM(T7:T95)</f>
        <v>4828.2170000000006</v>
      </c>
      <c r="U96" s="71">
        <f t="shared" si="54"/>
        <v>1976.21606</v>
      </c>
      <c r="V96" s="71">
        <f t="shared" si="54"/>
        <v>406.86950000000002</v>
      </c>
      <c r="W96" s="71">
        <f t="shared" si="54"/>
        <v>879.38</v>
      </c>
      <c r="X96" s="52">
        <f t="shared" si="54"/>
        <v>0</v>
      </c>
      <c r="Y96" s="52">
        <f t="shared" si="54"/>
        <v>167.44</v>
      </c>
      <c r="Z96" s="52">
        <f t="shared" si="54"/>
        <v>406.94</v>
      </c>
      <c r="AA96" s="52">
        <f t="shared" si="54"/>
        <v>7279.3550000000005</v>
      </c>
      <c r="AB96" s="52">
        <f t="shared" si="54"/>
        <v>318808.80243999982</v>
      </c>
      <c r="AC96" s="52">
        <f t="shared" si="54"/>
        <v>20983.65</v>
      </c>
      <c r="AD96" s="52">
        <f t="shared" si="54"/>
        <v>297825.15243999998</v>
      </c>
      <c r="AE96" s="52">
        <f t="shared" si="54"/>
        <v>12560.300999999996</v>
      </c>
      <c r="AF96" s="52">
        <f t="shared" si="54"/>
        <v>859.32000000000096</v>
      </c>
      <c r="AG96" s="52">
        <f t="shared" si="54"/>
        <v>348859.13099999994</v>
      </c>
      <c r="AH96" s="52">
        <f t="shared" si="54"/>
        <v>0</v>
      </c>
      <c r="AI96" s="52">
        <f t="shared" si="54"/>
        <v>0</v>
      </c>
      <c r="AJ96" s="52">
        <f t="shared" si="54"/>
        <v>0</v>
      </c>
      <c r="AK96" s="52">
        <f t="shared" si="54"/>
        <v>0</v>
      </c>
      <c r="AL96" s="52">
        <f t="shared" si="54"/>
        <v>0</v>
      </c>
    </row>
    <row r="97" spans="1:38" ht="15.75" thickTop="1" x14ac:dyDescent="0.25">
      <c r="AG97" s="24">
        <f>AG96*0.16</f>
        <v>55817.460959999989</v>
      </c>
      <c r="AH97" s="24"/>
      <c r="AI97" s="24"/>
      <c r="AJ97" s="24"/>
      <c r="AK97" s="24"/>
      <c r="AL97" s="24"/>
    </row>
    <row r="98" spans="1:38" x14ac:dyDescent="0.25">
      <c r="A98" s="131" t="s">
        <v>33</v>
      </c>
      <c r="B98" s="131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 x14ac:dyDescent="0.25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>+AB99+AE99+AF99</f>
        <v>0</v>
      </c>
      <c r="AH99" s="33">
        <f t="shared" ref="AH99:AL99" si="55">+AC99+AF99+AG99</f>
        <v>0</v>
      </c>
      <c r="AI99" s="33">
        <f t="shared" si="55"/>
        <v>0</v>
      </c>
      <c r="AJ99" s="33">
        <f t="shared" si="55"/>
        <v>0</v>
      </c>
      <c r="AK99" s="33">
        <f t="shared" si="55"/>
        <v>0</v>
      </c>
      <c r="AL99" s="33">
        <f t="shared" si="55"/>
        <v>0</v>
      </c>
    </row>
    <row r="100" spans="1:38" x14ac:dyDescent="0.25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>+AB100+AE100+AF100</f>
        <v>0</v>
      </c>
      <c r="AH100" s="33">
        <f t="shared" ref="AH100:AL100" si="56">+AC100+AF100+AG100</f>
        <v>0</v>
      </c>
      <c r="AI100" s="33">
        <f t="shared" si="56"/>
        <v>0</v>
      </c>
      <c r="AJ100" s="33">
        <f t="shared" si="56"/>
        <v>0</v>
      </c>
      <c r="AK100" s="33">
        <f t="shared" si="56"/>
        <v>0</v>
      </c>
      <c r="AL100" s="33">
        <f t="shared" si="56"/>
        <v>0</v>
      </c>
    </row>
    <row r="101" spans="1:38" x14ac:dyDescent="0.25">
      <c r="AG101" s="24">
        <f>SUM(AG99:AG100)</f>
        <v>0</v>
      </c>
    </row>
    <row r="102" spans="1:38" x14ac:dyDescent="0.25">
      <c r="B102" s="55" t="s">
        <v>18</v>
      </c>
      <c r="C102" s="55"/>
      <c r="D102" s="55"/>
      <c r="AG102" s="24">
        <f>+AG101*0.16</f>
        <v>0</v>
      </c>
    </row>
    <row r="103" spans="1:38" x14ac:dyDescent="0.25">
      <c r="B103" s="55"/>
      <c r="C103" s="55"/>
      <c r="D103" s="55"/>
      <c r="AG103" s="24">
        <f>+AG101+AG102</f>
        <v>0</v>
      </c>
    </row>
    <row r="104" spans="1:38" x14ac:dyDescent="0.25">
      <c r="B104" s="55"/>
      <c r="C104" s="55"/>
      <c r="D104" s="55"/>
    </row>
    <row r="105" spans="1:38" x14ac:dyDescent="0.25">
      <c r="B105" s="55" t="s">
        <v>19</v>
      </c>
      <c r="C105" s="55"/>
      <c r="D105" s="55"/>
      <c r="AG105" s="24">
        <f>+AG98+AG103</f>
        <v>404676.59195999993</v>
      </c>
    </row>
    <row r="112" spans="1:38" x14ac:dyDescent="0.25">
      <c r="A112" s="41" t="s">
        <v>57</v>
      </c>
      <c r="B112" s="23"/>
      <c r="C112" s="23"/>
    </row>
    <row r="113" spans="1:3" x14ac:dyDescent="0.25">
      <c r="A113" s="41" t="s">
        <v>58</v>
      </c>
      <c r="B113" s="23"/>
      <c r="C113" s="23"/>
    </row>
    <row r="114" spans="1:3" x14ac:dyDescent="0.25">
      <c r="A114" s="41" t="s">
        <v>59</v>
      </c>
      <c r="B114" s="23"/>
      <c r="C114" s="23"/>
    </row>
    <row r="115" spans="1:3" x14ac:dyDescent="0.25">
      <c r="A115" s="41" t="s">
        <v>60</v>
      </c>
      <c r="B115" s="23"/>
      <c r="C115" s="23"/>
    </row>
    <row r="116" spans="1:3" x14ac:dyDescent="0.25">
      <c r="A116" s="41" t="s">
        <v>61</v>
      </c>
      <c r="B116" s="23"/>
      <c r="C116" s="23"/>
    </row>
    <row r="117" spans="1:3" x14ac:dyDescent="0.25">
      <c r="A117" s="41" t="s">
        <v>62</v>
      </c>
      <c r="B117" s="23"/>
      <c r="C117" s="23"/>
    </row>
    <row r="121" spans="1:3" x14ac:dyDescent="0.25">
      <c r="B121" s="27"/>
      <c r="C121" s="70"/>
    </row>
    <row r="122" spans="1:3" x14ac:dyDescent="0.25">
      <c r="B122" s="27"/>
      <c r="C122" s="70"/>
    </row>
    <row r="123" spans="1:3" x14ac:dyDescent="0.25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  <mergeCell ref="R5:R6"/>
    <mergeCell ref="AB5:AB6"/>
    <mergeCell ref="X5:X6"/>
    <mergeCell ref="U5:U6"/>
    <mergeCell ref="V5:V6"/>
    <mergeCell ref="W5:W6"/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9"/>
  <sheetViews>
    <sheetView workbookViewId="0">
      <selection activeCell="B6" sqref="B6"/>
    </sheetView>
  </sheetViews>
  <sheetFormatPr baseColWidth="10" defaultColWidth="11.5703125" defaultRowHeight="12.75" x14ac:dyDescent="0.2"/>
  <cols>
    <col min="1" max="1" width="35" customWidth="1"/>
  </cols>
  <sheetData>
    <row r="6" spans="1:3" x14ac:dyDescent="0.2">
      <c r="A6" t="s">
        <v>46</v>
      </c>
    </row>
    <row r="7" spans="1:3" x14ac:dyDescent="0.2">
      <c r="B7" t="s">
        <v>45</v>
      </c>
      <c r="C7" t="s">
        <v>44</v>
      </c>
    </row>
    <row r="8" spans="1:3" x14ac:dyDescent="0.2">
      <c r="A8" t="s">
        <v>42</v>
      </c>
      <c r="B8" s="4">
        <v>14667.23</v>
      </c>
      <c r="C8" s="4">
        <f>+B8/24</f>
        <v>611.13458333333335</v>
      </c>
    </row>
    <row r="9" spans="1:3" x14ac:dyDescent="0.2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 x14ac:dyDescent="0.2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 x14ac:dyDescent="0.3">
      <c r="A1" s="1" t="s">
        <v>24</v>
      </c>
      <c r="B1" s="1"/>
    </row>
    <row r="2" spans="1:7" ht="18" x14ac:dyDescent="0.25">
      <c r="A2" s="2" t="s">
        <v>25</v>
      </c>
      <c r="B2" s="2"/>
    </row>
    <row r="3" spans="1:7" ht="15" x14ac:dyDescent="0.2">
      <c r="A3" s="3" t="s">
        <v>47</v>
      </c>
      <c r="B3" s="3"/>
    </row>
    <row r="5" spans="1:7" x14ac:dyDescent="0.2">
      <c r="C5" s="4">
        <v>73.400000000000006</v>
      </c>
      <c r="D5" s="11" t="s">
        <v>53</v>
      </c>
    </row>
    <row r="6" spans="1:7" ht="15" x14ac:dyDescent="0.2">
      <c r="A6" s="5" t="s">
        <v>5</v>
      </c>
      <c r="B6" s="5" t="s">
        <v>50</v>
      </c>
      <c r="C6" s="6" t="s">
        <v>48</v>
      </c>
      <c r="G6" s="4">
        <v>316.81</v>
      </c>
    </row>
    <row r="7" spans="1:7" ht="15" x14ac:dyDescent="0.2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 x14ac:dyDescent="0.2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 x14ac:dyDescent="0.2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 x14ac:dyDescent="0.2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 x14ac:dyDescent="0.2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 x14ac:dyDescent="0.2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 x14ac:dyDescent="0.2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 x14ac:dyDescent="0.2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 x14ac:dyDescent="0.2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 x14ac:dyDescent="0.2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 x14ac:dyDescent="0.2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 x14ac:dyDescent="0.2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 x14ac:dyDescent="0.2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 x14ac:dyDescent="0.2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 x14ac:dyDescent="0.2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 x14ac:dyDescent="0.2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 x14ac:dyDescent="0.2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 x14ac:dyDescent="0.2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 x14ac:dyDescent="0.2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 x14ac:dyDescent="0.2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 x14ac:dyDescent="0.2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NOMINA COM</vt:lpstr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ljimenez</cp:lastModifiedBy>
  <cp:lastPrinted>2016-02-12T20:59:22Z</cp:lastPrinted>
  <dcterms:created xsi:type="dcterms:W3CDTF">2015-07-23T15:19:36Z</dcterms:created>
  <dcterms:modified xsi:type="dcterms:W3CDTF">2016-03-11T22:16:53Z</dcterms:modified>
</cp:coreProperties>
</file>