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NOMINA'!$A$5:$AH$69</definedName>
  </definedNames>
  <calcPr calcId="124519"/>
</workbook>
</file>

<file path=xl/calcChain.xml><?xml version="1.0" encoding="utf-8"?>
<calcChain xmlns="http://schemas.openxmlformats.org/spreadsheetml/2006/main">
  <c r="G106" i="4"/>
  <c r="W9" l="1"/>
  <c r="X9"/>
  <c r="Y9"/>
  <c r="K9"/>
  <c r="G104" l="1"/>
  <c r="G78" l="1"/>
  <c r="G98"/>
  <c r="G102"/>
  <c r="G105"/>
  <c r="G103"/>
  <c r="G82"/>
  <c r="G94"/>
  <c r="G116"/>
  <c r="G110"/>
  <c r="G84"/>
  <c r="G89"/>
  <c r="G83"/>
  <c r="G85"/>
  <c r="G115"/>
  <c r="G100"/>
  <c r="G80"/>
  <c r="G95"/>
  <c r="G99"/>
  <c r="G97"/>
  <c r="G81"/>
  <c r="G77"/>
  <c r="G93"/>
  <c r="G109"/>
  <c r="G91"/>
  <c r="G92"/>
  <c r="G74"/>
  <c r="K96" l="1"/>
  <c r="X96" s="1"/>
  <c r="W96" l="1"/>
  <c r="Y96" s="1"/>
  <c r="K11"/>
  <c r="W11" s="1"/>
  <c r="X11" l="1"/>
  <c r="Y11" s="1"/>
  <c r="G71"/>
  <c r="K106" l="1"/>
  <c r="W106" s="1"/>
  <c r="K68"/>
  <c r="X68" s="1"/>
  <c r="V71"/>
  <c r="W68" l="1"/>
  <c r="Y68" s="1"/>
  <c r="X106"/>
  <c r="Y106" s="1"/>
  <c r="K50"/>
  <c r="X50" s="1"/>
  <c r="W50" l="1"/>
  <c r="Y50" s="1"/>
  <c r="K7"/>
  <c r="W7" s="1"/>
  <c r="X7" l="1"/>
  <c r="Y7" s="1"/>
  <c r="K17"/>
  <c r="X17" s="1"/>
  <c r="W17" l="1"/>
  <c r="Y17" s="1"/>
  <c r="K37" l="1"/>
  <c r="X37" s="1"/>
  <c r="W37" l="1"/>
  <c r="Y37" s="1"/>
  <c r="K83"/>
  <c r="W83" s="1"/>
  <c r="X83" l="1"/>
  <c r="Y83" s="1"/>
  <c r="K29" l="1"/>
  <c r="X29" s="1"/>
  <c r="W29" l="1"/>
  <c r="Y29" s="1"/>
  <c r="K105"/>
  <c r="X105" s="1"/>
  <c r="K13"/>
  <c r="X13" s="1"/>
  <c r="W105" l="1"/>
  <c r="Y105" s="1"/>
  <c r="W13"/>
  <c r="Y13" s="1"/>
  <c r="K113" l="1"/>
  <c r="W113" s="1"/>
  <c r="X113" l="1"/>
  <c r="Y113" s="1"/>
  <c r="K86"/>
  <c r="X86" s="1"/>
  <c r="W86" l="1"/>
  <c r="Y86" s="1"/>
  <c r="K90"/>
  <c r="X90" s="1"/>
  <c r="W90" l="1"/>
  <c r="Y90" s="1"/>
  <c r="K49"/>
  <c r="W49" s="1"/>
  <c r="X49" l="1"/>
  <c r="Y49" s="1"/>
  <c r="K26"/>
  <c r="X26" s="1"/>
  <c r="K48"/>
  <c r="X48" s="1"/>
  <c r="W48" l="1"/>
  <c r="Y48" s="1"/>
  <c r="W26"/>
  <c r="Y26" s="1"/>
  <c r="K57"/>
  <c r="X57" s="1"/>
  <c r="W57" l="1"/>
  <c r="Y57" s="1"/>
  <c r="K107"/>
  <c r="X107" s="1"/>
  <c r="W107" l="1"/>
  <c r="Y107" s="1"/>
  <c r="K27" l="1"/>
  <c r="X27" s="1"/>
  <c r="K69"/>
  <c r="X69" s="1"/>
  <c r="W27" l="1"/>
  <c r="Y27" s="1"/>
  <c r="W69"/>
  <c r="Y69" s="1"/>
  <c r="K60" l="1"/>
  <c r="W60" s="1"/>
  <c r="K28"/>
  <c r="X28" s="1"/>
  <c r="X60" l="1"/>
  <c r="Y60" s="1"/>
  <c r="Z60"/>
  <c r="W28"/>
  <c r="Y28" s="1"/>
  <c r="J71" l="1"/>
  <c r="K114" l="1"/>
  <c r="W114" s="1"/>
  <c r="K87"/>
  <c r="W87" s="1"/>
  <c r="K30"/>
  <c r="X30" s="1"/>
  <c r="X87" l="1"/>
  <c r="Y87" s="1"/>
  <c r="X114"/>
  <c r="Y114" s="1"/>
  <c r="W30"/>
  <c r="Y30" s="1"/>
  <c r="K76" l="1"/>
  <c r="W76" s="1"/>
  <c r="Y76" s="1"/>
  <c r="X76" l="1"/>
  <c r="K67"/>
  <c r="X67" s="1"/>
  <c r="W67" l="1"/>
  <c r="Y67" s="1"/>
  <c r="AB51" l="1"/>
  <c r="AB19"/>
  <c r="K51" l="1"/>
  <c r="K19"/>
  <c r="X51" l="1"/>
  <c r="W51"/>
  <c r="Z51"/>
  <c r="AC51" s="1"/>
  <c r="W19"/>
  <c r="X19"/>
  <c r="Z19"/>
  <c r="AC19" s="1"/>
  <c r="Y51" l="1"/>
  <c r="Y19"/>
  <c r="K43"/>
  <c r="Z43" s="1"/>
  <c r="AB43"/>
  <c r="K63"/>
  <c r="W63" s="1"/>
  <c r="AB63"/>
  <c r="AC43" l="1"/>
  <c r="W43"/>
  <c r="X43"/>
  <c r="Z63"/>
  <c r="AC63" s="1"/>
  <c r="X63"/>
  <c r="Y63" s="1"/>
  <c r="AB32"/>
  <c r="K32"/>
  <c r="K75"/>
  <c r="W75" s="1"/>
  <c r="Y43" l="1"/>
  <c r="Z32"/>
  <c r="AC32" s="1"/>
  <c r="W32"/>
  <c r="X32"/>
  <c r="Y75"/>
  <c r="Z75"/>
  <c r="AC75" s="1"/>
  <c r="X75"/>
  <c r="Y32" l="1"/>
  <c r="AF32" s="1"/>
  <c r="AB54" l="1"/>
  <c r="K54"/>
  <c r="W54" s="1"/>
  <c r="Z54" l="1"/>
  <c r="AC54" s="1"/>
  <c r="X54"/>
  <c r="Y54" s="1"/>
  <c r="AB25" l="1"/>
  <c r="AB31"/>
  <c r="AB33"/>
  <c r="AB35"/>
  <c r="AB36"/>
  <c r="AB89"/>
  <c r="AB38"/>
  <c r="AB39"/>
  <c r="K25"/>
  <c r="W25" s="1"/>
  <c r="K33"/>
  <c r="X33" s="1"/>
  <c r="W33" l="1"/>
  <c r="Y33" s="1"/>
  <c r="Z25"/>
  <c r="AC25" s="1"/>
  <c r="Z33"/>
  <c r="AC33" s="1"/>
  <c r="X25"/>
  <c r="Y25" s="1"/>
  <c r="K39" l="1"/>
  <c r="Z39" l="1"/>
  <c r="AC39" s="1"/>
  <c r="W39"/>
  <c r="X39"/>
  <c r="Y39" l="1"/>
  <c r="K89"/>
  <c r="W89" l="1"/>
  <c r="X89"/>
  <c r="Z89"/>
  <c r="AC89" s="1"/>
  <c r="Y89" l="1"/>
  <c r="AB66" l="1"/>
  <c r="K66"/>
  <c r="K35"/>
  <c r="AB53"/>
  <c r="K53"/>
  <c r="Z35" l="1"/>
  <c r="AC35" s="1"/>
  <c r="W35"/>
  <c r="X35"/>
  <c r="W66"/>
  <c r="Z66"/>
  <c r="AC66" s="1"/>
  <c r="X53"/>
  <c r="Z53"/>
  <c r="AC53" s="1"/>
  <c r="X66"/>
  <c r="W53"/>
  <c r="AB56"/>
  <c r="K56"/>
  <c r="Z56" s="1"/>
  <c r="Y35" l="1"/>
  <c r="AF35" s="1"/>
  <c r="Y66"/>
  <c r="Y53"/>
  <c r="AC56"/>
  <c r="W56"/>
  <c r="X56"/>
  <c r="Y56" l="1"/>
  <c r="AF66" l="1"/>
  <c r="AF53" l="1"/>
  <c r="AB61"/>
  <c r="K95" l="1"/>
  <c r="X95" l="1"/>
  <c r="Z95"/>
  <c r="AB95"/>
  <c r="AC95" l="1"/>
  <c r="W95"/>
  <c r="Y95" s="1"/>
  <c r="AF95" s="1"/>
  <c r="AB24" l="1"/>
  <c r="K24"/>
  <c r="W24" l="1"/>
  <c r="Z24"/>
  <c r="AC24" s="1"/>
  <c r="X24"/>
  <c r="Y24" l="1"/>
  <c r="AF24" l="1"/>
  <c r="AB55" l="1"/>
  <c r="AF123" l="1"/>
  <c r="K36"/>
  <c r="X36" l="1"/>
  <c r="Z36"/>
  <c r="AC36" s="1"/>
  <c r="W36"/>
  <c r="AB62"/>
  <c r="K62" l="1"/>
  <c r="Z62" s="1"/>
  <c r="Y36"/>
  <c r="X62" l="1"/>
  <c r="W62"/>
  <c r="AC62"/>
  <c r="Y62" l="1"/>
  <c r="AF62" s="1"/>
  <c r="AB22" l="1"/>
  <c r="K104" l="1"/>
  <c r="X104" l="1"/>
  <c r="Z104"/>
  <c r="K22"/>
  <c r="AB116"/>
  <c r="AB115"/>
  <c r="AB65"/>
  <c r="AB64"/>
  <c r="AB111"/>
  <c r="AB110"/>
  <c r="AB59"/>
  <c r="AB58"/>
  <c r="AB103"/>
  <c r="AB102"/>
  <c r="AB52"/>
  <c r="AB98"/>
  <c r="AB47"/>
  <c r="AB46"/>
  <c r="AB45"/>
  <c r="AB94"/>
  <c r="AB44"/>
  <c r="AB42"/>
  <c r="AB41"/>
  <c r="AB40"/>
  <c r="AB23"/>
  <c r="AB82"/>
  <c r="AB21"/>
  <c r="AB20"/>
  <c r="AB18"/>
  <c r="AB16"/>
  <c r="AB14"/>
  <c r="AB15"/>
  <c r="AB12"/>
  <c r="AB10"/>
  <c r="AB8"/>
  <c r="X22" l="1"/>
  <c r="Z22"/>
  <c r="AC22" s="1"/>
  <c r="W22"/>
  <c r="AB104"/>
  <c r="Y22" l="1"/>
  <c r="AF22" s="1"/>
  <c r="AC104"/>
  <c r="W104"/>
  <c r="Y104" s="1"/>
  <c r="AF104" s="1"/>
  <c r="K103"/>
  <c r="X103" l="1"/>
  <c r="W103"/>
  <c r="Z103"/>
  <c r="AC103" s="1"/>
  <c r="AA71"/>
  <c r="K74"/>
  <c r="AE71"/>
  <c r="AD71"/>
  <c r="S71"/>
  <c r="R71"/>
  <c r="L71"/>
  <c r="I71"/>
  <c r="H71"/>
  <c r="K55"/>
  <c r="K116"/>
  <c r="K115"/>
  <c r="K112"/>
  <c r="K65"/>
  <c r="K111"/>
  <c r="K61"/>
  <c r="Z61" s="1"/>
  <c r="K110"/>
  <c r="K109"/>
  <c r="K108"/>
  <c r="K59"/>
  <c r="K58"/>
  <c r="K102"/>
  <c r="K52"/>
  <c r="K100"/>
  <c r="K99"/>
  <c r="K98"/>
  <c r="K97"/>
  <c r="K47"/>
  <c r="K46"/>
  <c r="K45"/>
  <c r="K94"/>
  <c r="K93"/>
  <c r="K92"/>
  <c r="K91"/>
  <c r="K44"/>
  <c r="K42"/>
  <c r="K41"/>
  <c r="K40"/>
  <c r="K38"/>
  <c r="K85"/>
  <c r="K84"/>
  <c r="K82"/>
  <c r="K21"/>
  <c r="K81"/>
  <c r="K20"/>
  <c r="K80"/>
  <c r="K16"/>
  <c r="K78"/>
  <c r="K15"/>
  <c r="K12"/>
  <c r="K77"/>
  <c r="K10"/>
  <c r="Y103" l="1"/>
  <c r="AB97"/>
  <c r="K31"/>
  <c r="W38"/>
  <c r="X38"/>
  <c r="Z38"/>
  <c r="AC38" s="1"/>
  <c r="X52"/>
  <c r="Z52"/>
  <c r="AC52" s="1"/>
  <c r="X44"/>
  <c r="Z44"/>
  <c r="AC44" s="1"/>
  <c r="X41"/>
  <c r="Z41"/>
  <c r="AC41" s="1"/>
  <c r="X42"/>
  <c r="Z42"/>
  <c r="X47"/>
  <c r="Z47"/>
  <c r="AC47" s="1"/>
  <c r="X21"/>
  <c r="Z21"/>
  <c r="X40"/>
  <c r="Z40"/>
  <c r="X45"/>
  <c r="Z45"/>
  <c r="AC45" s="1"/>
  <c r="X46"/>
  <c r="Z46"/>
  <c r="X15"/>
  <c r="Z15"/>
  <c r="AC15" s="1"/>
  <c r="X10"/>
  <c r="Z10"/>
  <c r="AC10" s="1"/>
  <c r="X12"/>
  <c r="Z12"/>
  <c r="AC12" s="1"/>
  <c r="X20"/>
  <c r="Z20"/>
  <c r="AC20" s="1"/>
  <c r="X78"/>
  <c r="Z78"/>
  <c r="X102"/>
  <c r="Z102"/>
  <c r="AC102" s="1"/>
  <c r="X82"/>
  <c r="Z82"/>
  <c r="AC82" s="1"/>
  <c r="X80"/>
  <c r="Z80"/>
  <c r="X99"/>
  <c r="Z99"/>
  <c r="X97"/>
  <c r="Z97"/>
  <c r="X81"/>
  <c r="Z81"/>
  <c r="X77"/>
  <c r="Z77"/>
  <c r="X91"/>
  <c r="Z91"/>
  <c r="X84"/>
  <c r="Z84"/>
  <c r="X98"/>
  <c r="Z98"/>
  <c r="AC98" s="1"/>
  <c r="X94"/>
  <c r="Z94"/>
  <c r="AC94" s="1"/>
  <c r="X16"/>
  <c r="Z16"/>
  <c r="AC16" s="1"/>
  <c r="X59"/>
  <c r="Z59"/>
  <c r="X112"/>
  <c r="Z112"/>
  <c r="X110"/>
  <c r="Z110"/>
  <c r="AC110" s="1"/>
  <c r="X65"/>
  <c r="Z65"/>
  <c r="AC65" s="1"/>
  <c r="X116"/>
  <c r="Z116"/>
  <c r="AC116" s="1"/>
  <c r="X58"/>
  <c r="Z58"/>
  <c r="AC58" s="1"/>
  <c r="X109"/>
  <c r="Z109"/>
  <c r="X111"/>
  <c r="Z111"/>
  <c r="AC111" s="1"/>
  <c r="X108"/>
  <c r="Z108"/>
  <c r="X115"/>
  <c r="Z115"/>
  <c r="AC115" s="1"/>
  <c r="W55"/>
  <c r="Z55"/>
  <c r="AC55" s="1"/>
  <c r="X100"/>
  <c r="Z100"/>
  <c r="X93"/>
  <c r="Z93"/>
  <c r="X92"/>
  <c r="Z92"/>
  <c r="X85"/>
  <c r="Z85"/>
  <c r="X61"/>
  <c r="X55"/>
  <c r="K18"/>
  <c r="Z18" s="1"/>
  <c r="K64"/>
  <c r="K14"/>
  <c r="T71"/>
  <c r="K23"/>
  <c r="AF103"/>
  <c r="AB92"/>
  <c r="AC61"/>
  <c r="W102"/>
  <c r="AB84"/>
  <c r="U71"/>
  <c r="W44"/>
  <c r="AB80"/>
  <c r="W47"/>
  <c r="W98"/>
  <c r="AF36"/>
  <c r="W12"/>
  <c r="W110"/>
  <c r="W65"/>
  <c r="W20"/>
  <c r="AB93"/>
  <c r="W115"/>
  <c r="AB91"/>
  <c r="W10"/>
  <c r="W16"/>
  <c r="W94"/>
  <c r="K8"/>
  <c r="AB78"/>
  <c r="AB85"/>
  <c r="AB77"/>
  <c r="W15"/>
  <c r="W111"/>
  <c r="AB81"/>
  <c r="AF56"/>
  <c r="W82"/>
  <c r="W45"/>
  <c r="AB99"/>
  <c r="AB100"/>
  <c r="AB112"/>
  <c r="W41"/>
  <c r="W58"/>
  <c r="AB108"/>
  <c r="AB109"/>
  <c r="W52"/>
  <c r="W61"/>
  <c r="W116"/>
  <c r="W31" l="1"/>
  <c r="Z31"/>
  <c r="AC31" s="1"/>
  <c r="X31"/>
  <c r="Y38"/>
  <c r="Y15"/>
  <c r="AF15" s="1"/>
  <c r="Y65"/>
  <c r="AF65" s="1"/>
  <c r="Y116"/>
  <c r="AF116" s="1"/>
  <c r="Y16"/>
  <c r="AF16" s="1"/>
  <c r="Y52"/>
  <c r="AF52" s="1"/>
  <c r="Y41"/>
  <c r="AF41" s="1"/>
  <c r="Y94"/>
  <c r="AF94" s="1"/>
  <c r="Y44"/>
  <c r="AF44" s="1"/>
  <c r="X23"/>
  <c r="Z23"/>
  <c r="AC23" s="1"/>
  <c r="Z14"/>
  <c r="AC14" s="1"/>
  <c r="X8"/>
  <c r="Z8"/>
  <c r="AC8" s="1"/>
  <c r="Y115"/>
  <c r="AF115" s="1"/>
  <c r="X64"/>
  <c r="Z64"/>
  <c r="AC64" s="1"/>
  <c r="X18"/>
  <c r="W18"/>
  <c r="W74"/>
  <c r="X74" s="1"/>
  <c r="Y55"/>
  <c r="AF55" s="1"/>
  <c r="W14"/>
  <c r="X14"/>
  <c r="W64"/>
  <c r="AC18"/>
  <c r="W23"/>
  <c r="AF89"/>
  <c r="Y98"/>
  <c r="AF98" s="1"/>
  <c r="Y45"/>
  <c r="AF45" s="1"/>
  <c r="Y20"/>
  <c r="AF20" s="1"/>
  <c r="Y10"/>
  <c r="AF10" s="1"/>
  <c r="Y102"/>
  <c r="AF102" s="1"/>
  <c r="Y47"/>
  <c r="AF47" s="1"/>
  <c r="Y82"/>
  <c r="AF82" s="1"/>
  <c r="Y110"/>
  <c r="AF110" s="1"/>
  <c r="Y111"/>
  <c r="AF111" s="1"/>
  <c r="Y58"/>
  <c r="AF58" s="1"/>
  <c r="Y12"/>
  <c r="AF12" s="1"/>
  <c r="Y61"/>
  <c r="AF61" s="1"/>
  <c r="AC85"/>
  <c r="AC112"/>
  <c r="AC109"/>
  <c r="AC92"/>
  <c r="AC91"/>
  <c r="AC97"/>
  <c r="AC93"/>
  <c r="AC80"/>
  <c r="AC77"/>
  <c r="AC99"/>
  <c r="AC81"/>
  <c r="AC84"/>
  <c r="AC78"/>
  <c r="AC100"/>
  <c r="AC108"/>
  <c r="AB71"/>
  <c r="W92"/>
  <c r="Y92" s="1"/>
  <c r="AF92" s="1"/>
  <c r="W93"/>
  <c r="Y93" s="1"/>
  <c r="AF93" s="1"/>
  <c r="W109"/>
  <c r="Y109" s="1"/>
  <c r="AF109" s="1"/>
  <c r="W84"/>
  <c r="Y84" s="1"/>
  <c r="AF84" s="1"/>
  <c r="W40"/>
  <c r="AC40"/>
  <c r="AC21"/>
  <c r="AC59"/>
  <c r="W42"/>
  <c r="AC42"/>
  <c r="W46"/>
  <c r="AC46"/>
  <c r="W80"/>
  <c r="Y80" s="1"/>
  <c r="AF80" s="1"/>
  <c r="W21"/>
  <c r="W99"/>
  <c r="Y99" s="1"/>
  <c r="AF99" s="1"/>
  <c r="W100"/>
  <c r="Y100" s="1"/>
  <c r="AF100" s="1"/>
  <c r="W91"/>
  <c r="Y91" s="1"/>
  <c r="AF91" s="1"/>
  <c r="W85"/>
  <c r="Y85" s="1"/>
  <c r="AF85" s="1"/>
  <c r="W78"/>
  <c r="Y78" s="1"/>
  <c r="AF78" s="1"/>
  <c r="O71"/>
  <c r="W97"/>
  <c r="Y97" s="1"/>
  <c r="AF97" s="1"/>
  <c r="W112"/>
  <c r="Y112" s="1"/>
  <c r="AF112" s="1"/>
  <c r="P71"/>
  <c r="Q71"/>
  <c r="W8"/>
  <c r="W59"/>
  <c r="W81"/>
  <c r="Y81" s="1"/>
  <c r="AF81" s="1"/>
  <c r="W77"/>
  <c r="Y77" s="1"/>
  <c r="AF77" s="1"/>
  <c r="W108"/>
  <c r="Y108" s="1"/>
  <c r="AF108" s="1"/>
  <c r="Y31" l="1"/>
  <c r="AF31" s="1"/>
  <c r="Y23"/>
  <c r="AF23" s="1"/>
  <c r="Y18"/>
  <c r="AF18" s="1"/>
  <c r="Y64"/>
  <c r="AF64" s="1"/>
  <c r="Y74"/>
  <c r="Z74"/>
  <c r="AC74" s="1"/>
  <c r="AC121" s="1"/>
  <c r="AC122" s="1"/>
  <c r="Y14"/>
  <c r="AF14" s="1"/>
  <c r="AF38"/>
  <c r="Y21"/>
  <c r="AF21" s="1"/>
  <c r="Y42"/>
  <c r="Y40"/>
  <c r="AF40" s="1"/>
  <c r="Y59"/>
  <c r="AF59" s="1"/>
  <c r="Y46"/>
  <c r="AF46" s="1"/>
  <c r="Y8"/>
  <c r="AF8" s="1"/>
  <c r="K71" l="1"/>
  <c r="Z71"/>
  <c r="X71"/>
  <c r="W71" l="1"/>
  <c r="AC71"/>
  <c r="Y71" l="1"/>
  <c r="AF71"/>
  <c r="AC72"/>
  <c r="AC73" s="1"/>
</calcChain>
</file>

<file path=xl/comments1.xml><?xml version="1.0" encoding="utf-8"?>
<comments xmlns="http://schemas.openxmlformats.org/spreadsheetml/2006/main">
  <authors>
    <author>usuario</author>
  </authors>
  <commentList>
    <comment ref="G11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7 DIAS DE VACACIONES</t>
        </r>
      </text>
    </comment>
  </commentList>
</comments>
</file>

<file path=xl/sharedStrings.xml><?xml version="1.0" encoding="utf-8"?>
<sst xmlns="http://schemas.openxmlformats.org/spreadsheetml/2006/main" count="499" uniqueCount="243">
  <si>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</si>
  <si>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</si>
  <si>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</si>
  <si>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</si>
  <si>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</si>
  <si>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</si>
  <si>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</si>
  <si>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</si>
  <si>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</si>
  <si>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</si>
  <si>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</si>
  <si>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</si>
  <si>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</si>
  <si>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</si>
  <si>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</si>
  <si>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</si>
  <si>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</si>
  <si>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</si>
  <si>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</si>
  <si>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</si>
  <si>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</si>
  <si>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</si>
  <si>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</si>
  <si>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</si>
  <si>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</si>
  <si>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</si>
  <si>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</si>
  <si>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</si>
  <si>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</si>
  <si>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</si>
  <si>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</si>
  <si>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</si>
  <si>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</si>
  <si>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</si>
  <si>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</si>
  <si>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</si>
  <si>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</si>
  <si>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</si>
  <si>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</si>
  <si>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</si>
  <si>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</si>
  <si>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</si>
  <si>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</si>
  <si>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</si>
  <si>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</si>
  <si>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</si>
  <si>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</si>
  <si>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</si>
  <si>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</si>
  <si>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</si>
  <si>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</si>
  <si>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</si>
  <si>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</si>
  <si>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</si>
  <si>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</si>
  <si>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</si>
  <si>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</si>
  <si>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</si>
  <si>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</si>
  <si>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</si>
  <si>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</si>
  <si>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</si>
  <si>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</si>
  <si>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</si>
  <si>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</si>
  <si>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</si>
  <si>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</si>
  <si>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</si>
  <si>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</si>
  <si>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</si>
  <si>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</si>
  <si>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</si>
  <si>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</si>
  <si>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</si>
  <si>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</si>
  <si>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</si>
  <si>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</si>
  <si>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</si>
  <si>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</si>
  <si>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</si>
  <si>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</si>
  <si>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</si>
  <si>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</si>
  <si>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</si>
  <si>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</si>
  <si>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</si>
  <si>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</si>
  <si>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</si>
  <si>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</si>
  <si>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</si>
  <si>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</si>
  <si>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</si>
  <si>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</si>
  <si>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</si>
  <si>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</si>
  <si>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</si>
  <si>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</si>
  <si>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</si>
  <si>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</si>
  <si>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</si>
  <si>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</si>
  <si>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</si>
  <si>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</si>
  <si>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</si>
  <si>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</si>
  <si>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</si>
  <si>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</si>
  <si>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</si>
  <si>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</si>
  <si>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</si>
  <si>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</si>
  <si>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</si>
  <si>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</si>
  <si>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</si>
  <si>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</si>
  <si>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</si>
  <si>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</si>
  <si>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</si>
  <si>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</si>
  <si>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</si>
  <si>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</si>
  <si>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</si>
  <si>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</si>
  <si>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</si>
  <si>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</si>
  <si>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</si>
  <si>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</si>
  <si>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</si>
  <si>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</si>
  <si>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</si>
  <si>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</si>
  <si>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</si>
  <si>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</si>
  <si>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</si>
  <si>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</si>
  <si>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</si>
  <si>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</si>
  <si>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</si>
  <si>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</si>
  <si>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</si>
  <si>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</si>
  <si>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</si>
  <si>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</si>
  <si>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</si>
  <si>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</si>
  <si>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</si>
  <si>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</si>
  <si>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</si>
  <si>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</si>
  <si>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</si>
  <si>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</si>
  <si>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</si>
  <si>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</si>
  <si>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</si>
  <si>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</si>
  <si>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</si>
  <si>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</si>
  <si>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</si>
  <si>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</si>
  <si>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</si>
  <si>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</si>
  <si>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</si>
  <si>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</si>
  <si>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</si>
  <si>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</si>
  <si>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</si>
  <si>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</si>
  <si>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</si>
  <si>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</si>
  <si>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</si>
  <si>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</si>
  <si>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</si>
  <si>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</si>
  <si>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</si>
  <si>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</si>
  <si>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</si>
  <si>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</si>
  <si>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</si>
  <si>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</si>
  <si>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</si>
  <si>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</si>
  <si>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</si>
  <si>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</si>
  <si>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</si>
  <si>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</si>
  <si>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</si>
  <si>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</si>
  <si>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</si>
  <si>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</si>
  <si>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</si>
  <si>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</si>
  <si>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</si>
  <si>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</si>
  <si>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</si>
  <si>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</si>
  <si>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</si>
  <si>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</si>
  <si>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</si>
  <si>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</si>
  <si>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</si>
  <si>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</si>
  <si>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</si>
  <si>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</si>
  <si>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</si>
  <si>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</si>
  <si>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</si>
  <si>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</si>
  <si>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</si>
  <si>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</si>
  <si>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</si>
  <si>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</si>
  <si>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SUELDO SEMANAL $1,516 FAVOR DE PASAR SU SUELDO A SINDICATO Y DESCONTARLE EL 10%</t>
  </si>
  <si>
    <t xml:space="preserve">VAZQUEZ RANGEL JOSE EDUARDO </t>
  </si>
  <si>
    <t>ARIAS MONROY JOSE</t>
  </si>
  <si>
    <t>ROMERO OLVERA MIGUEL ANGEL</t>
  </si>
  <si>
    <t>GAYTAN MARTINEZ RAUL</t>
  </si>
  <si>
    <t>DOMINGUEZ GUDIÑO OMAR</t>
  </si>
  <si>
    <t>HERNANDEZ SANCHEZ RODRIGO</t>
  </si>
  <si>
    <t>BARRERA MACIAS OSCAR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</si>
  <si>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</si>
  <si>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</si>
  <si>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</si>
  <si>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</si>
  <si>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</si>
  <si>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CUENTA EN TRAMITE</t>
  </si>
  <si>
    <t>FAVOR DE PASAR SU SUELDO A SINDICATO $1667 Y DESCONTARLE EL 10%</t>
  </si>
  <si>
    <t>RUIZ VARGAS FRANCISCO DE JESUS</t>
  </si>
  <si>
    <t>Ingenieria Fiscal Laboral S.C.</t>
  </si>
  <si>
    <t>VASQUEZ CHAVES LILIANA ANDREA</t>
  </si>
  <si>
    <t>NAVA RUBIO JAVIER</t>
  </si>
  <si>
    <t>PAEZ PAREDES ERICK JESUS</t>
  </si>
  <si>
    <t>TECNICO</t>
  </si>
  <si>
    <t>ALVIZAR ORGANISTA EDUARDO</t>
  </si>
  <si>
    <t>HERNANDEZ CASAS JUAN ROBERTO</t>
  </si>
  <si>
    <t>AVILEZ ARELLANO MARCOS</t>
  </si>
  <si>
    <t>EN TRAMITE</t>
  </si>
  <si>
    <t>Periodo Semana 52</t>
  </si>
  <si>
    <t>21/12/16 AL 27/12/16</t>
  </si>
  <si>
    <t xml:space="preserve">BAJA </t>
  </si>
  <si>
    <t>DESCUENTO CTA 254 POR CONCEPTO DE OPTICA</t>
  </si>
  <si>
    <t>BAJA</t>
  </si>
  <si>
    <t>AGUILAR HERNANDEZ CARLA CECILIA</t>
  </si>
  <si>
    <t>NUEVO INGRESO 21/12/2016. SUELDO SEMANAL $1166.66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</si>
</sst>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9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5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164" fontId="13" fillId="0" borderId="7" xfId="0" applyNumberFormat="1" applyFont="1" applyFill="1" applyBorder="1" applyAlignment="1">
      <alignment horizontal="right"/>
    </xf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" fontId="13" fillId="9" borderId="7" xfId="0" applyNumberFormat="1" applyFont="1" applyFill="1" applyBorder="1" applyAlignment="1">
      <alignment wrapText="1"/>
    </xf>
    <xf numFmtId="43" fontId="13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13" fillId="9" borderId="7" xfId="0" applyFont="1" applyFill="1" applyBorder="1"/>
    <xf numFmtId="4" fontId="13" fillId="9" borderId="7" xfId="0" applyNumberFormat="1" applyFont="1" applyFill="1" applyBorder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1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3.71093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227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236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237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31" t="s">
        <v>13</v>
      </c>
      <c r="B5" s="133" t="s">
        <v>14</v>
      </c>
      <c r="C5" s="131" t="s">
        <v>130</v>
      </c>
      <c r="D5" s="133" t="s">
        <v>15</v>
      </c>
      <c r="E5" s="133" t="s">
        <v>0</v>
      </c>
      <c r="F5" s="131" t="s">
        <v>126</v>
      </c>
      <c r="G5" s="129" t="s">
        <v>34</v>
      </c>
      <c r="H5" s="122" t="s">
        <v>9</v>
      </c>
      <c r="I5" s="122" t="s">
        <v>10</v>
      </c>
      <c r="J5" s="122" t="s">
        <v>24</v>
      </c>
      <c r="K5" s="122" t="s">
        <v>11</v>
      </c>
      <c r="L5" s="122" t="s">
        <v>12</v>
      </c>
      <c r="M5" s="82"/>
      <c r="N5" s="24"/>
      <c r="O5" s="127" t="s">
        <v>95</v>
      </c>
      <c r="P5" s="127" t="s">
        <v>111</v>
      </c>
      <c r="Q5" s="127" t="s">
        <v>110</v>
      </c>
      <c r="R5" s="127" t="s">
        <v>96</v>
      </c>
      <c r="S5" s="122" t="s">
        <v>6</v>
      </c>
      <c r="T5" s="122" t="s">
        <v>17</v>
      </c>
      <c r="U5" s="122" t="s">
        <v>16</v>
      </c>
      <c r="V5" s="122" t="s">
        <v>8</v>
      </c>
      <c r="W5" s="122" t="s">
        <v>25</v>
      </c>
      <c r="X5" s="122" t="s">
        <v>3</v>
      </c>
      <c r="Y5" s="122" t="s">
        <v>7</v>
      </c>
      <c r="Z5" s="122" t="s">
        <v>2</v>
      </c>
      <c r="AA5" s="122" t="s">
        <v>4</v>
      </c>
      <c r="AB5" s="27"/>
      <c r="AC5" s="122" t="s">
        <v>5</v>
      </c>
      <c r="AD5" s="124" t="s">
        <v>152</v>
      </c>
      <c r="AE5" s="125"/>
      <c r="AF5" s="126" t="s">
        <v>97</v>
      </c>
      <c r="AG5" s="120" t="s">
        <v>134</v>
      </c>
      <c r="AH5" s="120" t="s">
        <v>135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32"/>
      <c r="B6" s="134"/>
      <c r="C6" s="132"/>
      <c r="D6" s="134"/>
      <c r="E6" s="134"/>
      <c r="F6" s="132"/>
      <c r="G6" s="130"/>
      <c r="H6" s="123"/>
      <c r="I6" s="123"/>
      <c r="J6" s="123"/>
      <c r="K6" s="123"/>
      <c r="L6" s="123"/>
      <c r="M6" s="28" t="s">
        <v>175</v>
      </c>
      <c r="N6" s="28" t="s">
        <v>143</v>
      </c>
      <c r="O6" s="128"/>
      <c r="P6" s="128"/>
      <c r="Q6" s="128"/>
      <c r="R6" s="128"/>
      <c r="S6" s="123"/>
      <c r="T6" s="123"/>
      <c r="U6" s="123"/>
      <c r="V6" s="123"/>
      <c r="W6" s="123"/>
      <c r="X6" s="123"/>
      <c r="Y6" s="123"/>
      <c r="Z6" s="123"/>
      <c r="AA6" s="123"/>
      <c r="AB6" s="24"/>
      <c r="AC6" s="123"/>
      <c r="AD6" s="55" t="s">
        <v>26</v>
      </c>
      <c r="AE6" s="55" t="s">
        <v>27</v>
      </c>
      <c r="AF6" s="126"/>
      <c r="AG6" s="120"/>
      <c r="AH6" s="120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30</v>
      </c>
      <c r="B7" s="40" t="s">
        <v>219</v>
      </c>
      <c r="C7" s="40"/>
      <c r="D7" s="40"/>
      <c r="E7" s="40" t="s">
        <v>32</v>
      </c>
      <c r="F7" s="99">
        <v>42689</v>
      </c>
      <c r="G7" s="42">
        <v>6216.16</v>
      </c>
      <c r="H7" s="42"/>
      <c r="I7" s="42"/>
      <c r="J7" s="64"/>
      <c r="K7" s="65">
        <f t="shared" ref="K7:K33" si="0">SUM(G7:I7)-J7</f>
        <v>6216.16</v>
      </c>
      <c r="L7" s="42"/>
      <c r="M7" s="84"/>
      <c r="N7" s="42"/>
      <c r="O7" s="42"/>
      <c r="P7" s="85"/>
      <c r="Q7" s="85"/>
      <c r="R7" s="42"/>
      <c r="S7" s="38"/>
      <c r="T7" s="38"/>
      <c r="U7" s="40"/>
      <c r="V7" s="40"/>
      <c r="W7" s="65">
        <f t="shared" ref="W7:W33" si="1">+K7-SUM(L7:V7)</f>
        <v>6216.16</v>
      </c>
      <c r="X7" s="38">
        <f t="shared" ref="X7:X33" si="2">IF(K7&gt;2250,K7*0.1,0)</f>
        <v>621.61599999999999</v>
      </c>
      <c r="Y7" s="65">
        <f t="shared" ref="Y7:Y33" si="3">+W7-X7</f>
        <v>5594.5439999999999</v>
      </c>
      <c r="Z7" s="38"/>
      <c r="AA7" s="38"/>
      <c r="AB7" s="38"/>
      <c r="AC7" s="65"/>
      <c r="AD7" s="72"/>
      <c r="AE7" s="73"/>
      <c r="AF7" s="66"/>
      <c r="AG7" s="40">
        <v>1500716952</v>
      </c>
      <c r="AH7" s="40"/>
    </row>
    <row r="8" spans="1:48" s="18" customFormat="1">
      <c r="A8" s="40" t="s">
        <v>42</v>
      </c>
      <c r="B8" s="40" t="s">
        <v>121</v>
      </c>
      <c r="C8" s="40"/>
      <c r="D8" s="40" t="s">
        <v>46</v>
      </c>
      <c r="E8" s="40" t="s">
        <v>31</v>
      </c>
      <c r="F8" s="70">
        <v>42062</v>
      </c>
      <c r="G8" s="42">
        <v>815.81</v>
      </c>
      <c r="H8" s="42"/>
      <c r="I8" s="42"/>
      <c r="J8" s="64"/>
      <c r="K8" s="65">
        <f t="shared" si="0"/>
        <v>815.81</v>
      </c>
      <c r="L8" s="42"/>
      <c r="M8" s="84"/>
      <c r="N8" s="42"/>
      <c r="O8" s="42">
        <v>0</v>
      </c>
      <c r="P8" s="85"/>
      <c r="Q8" s="85"/>
      <c r="R8" s="42"/>
      <c r="S8" s="38"/>
      <c r="T8" s="38"/>
      <c r="U8" s="40"/>
      <c r="V8" s="40">
        <v>0</v>
      </c>
      <c r="W8" s="65">
        <f t="shared" si="1"/>
        <v>815.81</v>
      </c>
      <c r="X8" s="38">
        <f t="shared" si="2"/>
        <v>0</v>
      </c>
      <c r="Y8" s="65">
        <f t="shared" si="3"/>
        <v>815.81</v>
      </c>
      <c r="Z8" s="38">
        <f t="shared" ref="Z8:Z33" si="4">IF(K8&lt;2250,K8*0.1,0)</f>
        <v>81.581000000000003</v>
      </c>
      <c r="AA8" s="38">
        <v>10.23</v>
      </c>
      <c r="AB8" s="38">
        <f t="shared" ref="AB8:AB33" si="5">+P8</f>
        <v>0</v>
      </c>
      <c r="AC8" s="65">
        <f t="shared" ref="AC8:AC33" si="6">+K8+Z8+AA8+AB8</f>
        <v>907.62099999999998</v>
      </c>
      <c r="AD8" s="72"/>
      <c r="AE8" s="73"/>
      <c r="AF8" s="66">
        <f t="shared" ref="AF8:AF18" si="7">+AD8+AE8-Y8</f>
        <v>-815.81</v>
      </c>
      <c r="AG8" s="40"/>
      <c r="AH8" s="40"/>
    </row>
    <row r="9" spans="1:48" s="18" customFormat="1">
      <c r="A9" s="114" t="s">
        <v>42</v>
      </c>
      <c r="B9" s="114" t="s">
        <v>241</v>
      </c>
      <c r="C9" s="114"/>
      <c r="D9" s="114"/>
      <c r="E9" s="114" t="s">
        <v>31</v>
      </c>
      <c r="F9" s="115">
        <v>42725</v>
      </c>
      <c r="G9" s="116"/>
      <c r="H9" s="116"/>
      <c r="I9" s="116"/>
      <c r="J9" s="117"/>
      <c r="K9" s="65">
        <f t="shared" si="0"/>
        <v>0</v>
      </c>
      <c r="L9" s="42"/>
      <c r="M9" s="84"/>
      <c r="N9" s="42"/>
      <c r="O9" s="42"/>
      <c r="P9" s="85"/>
      <c r="Q9" s="85"/>
      <c r="R9" s="42"/>
      <c r="S9" s="38"/>
      <c r="T9" s="38"/>
      <c r="U9" s="40"/>
      <c r="V9" s="40"/>
      <c r="W9" s="65">
        <f t="shared" ref="W9" si="8">+K9-SUM(L9:V9)</f>
        <v>0</v>
      </c>
      <c r="X9" s="38">
        <f t="shared" ref="X9" si="9">IF(K9&gt;2250,K9*0.1,0)</f>
        <v>0</v>
      </c>
      <c r="Y9" s="65">
        <f t="shared" ref="Y9" si="10">+W9-X9</f>
        <v>0</v>
      </c>
      <c r="Z9" s="38"/>
      <c r="AA9" s="38"/>
      <c r="AB9" s="38"/>
      <c r="AC9" s="65"/>
      <c r="AD9" s="72"/>
      <c r="AE9" s="73"/>
      <c r="AF9" s="66"/>
      <c r="AG9" s="118">
        <v>1133645940</v>
      </c>
      <c r="AH9" s="118" t="s">
        <v>242</v>
      </c>
    </row>
    <row r="10" spans="1:48" s="18" customFormat="1">
      <c r="A10" s="40" t="s">
        <v>30</v>
      </c>
      <c r="B10" s="40" t="s">
        <v>115</v>
      </c>
      <c r="C10" s="40" t="s">
        <v>130</v>
      </c>
      <c r="D10" s="40" t="s">
        <v>79</v>
      </c>
      <c r="E10" s="40" t="s">
        <v>33</v>
      </c>
      <c r="F10" s="70">
        <v>41797</v>
      </c>
      <c r="G10" s="42">
        <v>81073.78</v>
      </c>
      <c r="H10" s="42"/>
      <c r="I10" s="42"/>
      <c r="J10" s="64"/>
      <c r="K10" s="65">
        <f t="shared" si="0"/>
        <v>81073.78</v>
      </c>
      <c r="L10" s="42">
        <v>400</v>
      </c>
      <c r="M10" s="84"/>
      <c r="N10" s="84"/>
      <c r="O10" s="42">
        <v>0</v>
      </c>
      <c r="P10" s="85"/>
      <c r="Q10" s="85"/>
      <c r="R10" s="42"/>
      <c r="S10" s="38"/>
      <c r="T10" s="38"/>
      <c r="U10" s="40"/>
      <c r="V10" s="40">
        <v>0</v>
      </c>
      <c r="W10" s="65">
        <f t="shared" si="1"/>
        <v>80673.78</v>
      </c>
      <c r="X10" s="38">
        <f t="shared" si="2"/>
        <v>8107.3780000000006</v>
      </c>
      <c r="Y10" s="65">
        <f t="shared" si="3"/>
        <v>72566.402000000002</v>
      </c>
      <c r="Z10" s="38">
        <f t="shared" si="4"/>
        <v>0</v>
      </c>
      <c r="AA10" s="38">
        <v>10.23</v>
      </c>
      <c r="AB10" s="38">
        <f t="shared" si="5"/>
        <v>0</v>
      </c>
      <c r="AC10" s="65">
        <f t="shared" si="6"/>
        <v>81084.009999999995</v>
      </c>
      <c r="AD10" s="72"/>
      <c r="AE10" s="73"/>
      <c r="AF10" s="66">
        <f t="shared" si="7"/>
        <v>-72566.402000000002</v>
      </c>
      <c r="AG10" s="40"/>
      <c r="AH10" s="43" t="s">
        <v>239</v>
      </c>
    </row>
    <row r="11" spans="1:48" s="18" customFormat="1">
      <c r="A11" s="40"/>
      <c r="B11" s="40" t="s">
        <v>232</v>
      </c>
      <c r="C11" s="40"/>
      <c r="D11" s="40"/>
      <c r="E11" s="40" t="s">
        <v>172</v>
      </c>
      <c r="F11" s="70">
        <v>42718</v>
      </c>
      <c r="G11" s="42">
        <v>2930</v>
      </c>
      <c r="H11" s="42"/>
      <c r="I11" s="42"/>
      <c r="J11" s="64"/>
      <c r="K11" s="65">
        <f t="shared" si="0"/>
        <v>2930</v>
      </c>
      <c r="L11" s="42"/>
      <c r="M11" s="84"/>
      <c r="N11" s="84"/>
      <c r="O11" s="42"/>
      <c r="P11" s="85"/>
      <c r="Q11" s="85"/>
      <c r="R11" s="42"/>
      <c r="S11" s="38"/>
      <c r="T11" s="38"/>
      <c r="U11" s="40"/>
      <c r="V11" s="40">
        <v>2000</v>
      </c>
      <c r="W11" s="65">
        <f t="shared" ref="W11" si="11">+K11-SUM(L11:V11)</f>
        <v>930</v>
      </c>
      <c r="X11" s="38">
        <f t="shared" ref="X11" si="12">IF(K11&gt;2250,K11*0.1,0)</f>
        <v>293</v>
      </c>
      <c r="Y11" s="65">
        <f t="shared" ref="Y11" si="13">+W11-X11</f>
        <v>637</v>
      </c>
      <c r="Z11" s="38"/>
      <c r="AA11" s="38"/>
      <c r="AB11" s="38"/>
      <c r="AC11" s="65"/>
      <c r="AD11" s="72"/>
      <c r="AE11" s="73"/>
      <c r="AF11" s="66"/>
      <c r="AG11" s="40" t="s">
        <v>235</v>
      </c>
      <c r="AH11" s="40"/>
    </row>
    <row r="12" spans="1:48" s="18" customFormat="1">
      <c r="A12" s="40" t="s">
        <v>30</v>
      </c>
      <c r="B12" s="40" t="s">
        <v>40</v>
      </c>
      <c r="C12" s="40" t="s">
        <v>130</v>
      </c>
      <c r="D12" s="40">
        <v>16</v>
      </c>
      <c r="E12" s="40" t="s">
        <v>33</v>
      </c>
      <c r="F12" s="70">
        <v>39508</v>
      </c>
      <c r="G12" s="42">
        <v>65604.759999999995</v>
      </c>
      <c r="H12" s="42"/>
      <c r="I12" s="42"/>
      <c r="J12" s="64"/>
      <c r="K12" s="65">
        <f t="shared" si="0"/>
        <v>65604.759999999995</v>
      </c>
      <c r="L12" s="42">
        <v>200</v>
      </c>
      <c r="M12" s="84"/>
      <c r="N12" s="42"/>
      <c r="O12" s="42">
        <v>0</v>
      </c>
      <c r="P12" s="85"/>
      <c r="Q12" s="85"/>
      <c r="R12" s="42"/>
      <c r="S12" s="38"/>
      <c r="T12" s="38"/>
      <c r="U12" s="40"/>
      <c r="V12" s="40">
        <v>0</v>
      </c>
      <c r="W12" s="65">
        <f t="shared" si="1"/>
        <v>65404.759999999995</v>
      </c>
      <c r="X12" s="38">
        <f t="shared" si="2"/>
        <v>6560.4759999999997</v>
      </c>
      <c r="Y12" s="65">
        <f t="shared" si="3"/>
        <v>58844.283999999992</v>
      </c>
      <c r="Z12" s="38">
        <f t="shared" si="4"/>
        <v>0</v>
      </c>
      <c r="AA12" s="38">
        <v>10.23</v>
      </c>
      <c r="AB12" s="38">
        <f t="shared" si="5"/>
        <v>0</v>
      </c>
      <c r="AC12" s="65">
        <f t="shared" si="6"/>
        <v>65614.989999999991</v>
      </c>
      <c r="AD12" s="72"/>
      <c r="AE12" s="73"/>
      <c r="AF12" s="66">
        <f t="shared" si="7"/>
        <v>-58844.283999999992</v>
      </c>
      <c r="AG12" s="40"/>
      <c r="AH12" s="43" t="s">
        <v>239</v>
      </c>
    </row>
    <row r="13" spans="1:48" s="18" customFormat="1" ht="15" customHeight="1">
      <c r="A13" s="94" t="s">
        <v>30</v>
      </c>
      <c r="B13" s="94" t="s">
        <v>213</v>
      </c>
      <c r="C13" s="94"/>
      <c r="D13" s="94"/>
      <c r="E13" s="94" t="s">
        <v>32</v>
      </c>
      <c r="F13" s="97">
        <v>42668</v>
      </c>
      <c r="G13" s="54">
        <v>5391.17</v>
      </c>
      <c r="H13" s="54"/>
      <c r="I13" s="54"/>
      <c r="J13" s="64"/>
      <c r="K13" s="65">
        <f t="shared" si="0"/>
        <v>5391.17</v>
      </c>
      <c r="L13" s="42"/>
      <c r="M13" s="84"/>
      <c r="N13" s="42"/>
      <c r="O13" s="42"/>
      <c r="P13" s="85"/>
      <c r="Q13" s="85"/>
      <c r="R13" s="42"/>
      <c r="S13" s="38"/>
      <c r="T13" s="91"/>
      <c r="U13" s="40"/>
      <c r="V13" s="80"/>
      <c r="W13" s="65">
        <f t="shared" ref="W13" si="14">+K13-SUM(L13:V13)</f>
        <v>5391.17</v>
      </c>
      <c r="X13" s="38">
        <f t="shared" ref="X13" si="15">IF(K13&gt;2250,K13*0.1,0)</f>
        <v>539.11700000000008</v>
      </c>
      <c r="Y13" s="65">
        <f t="shared" ref="Y13" si="16">+W13-X13</f>
        <v>4852.0529999999999</v>
      </c>
      <c r="Z13" s="38"/>
      <c r="AA13" s="38"/>
      <c r="AB13" s="38"/>
      <c r="AC13" s="65"/>
      <c r="AD13" s="74"/>
      <c r="AE13" s="72"/>
      <c r="AF13" s="66"/>
      <c r="AG13" s="40">
        <v>1196048064</v>
      </c>
      <c r="AH13" s="96" t="s">
        <v>204</v>
      </c>
    </row>
    <row r="14" spans="1:48" s="18" customFormat="1">
      <c r="A14" s="40" t="s">
        <v>30</v>
      </c>
      <c r="B14" s="40" t="s">
        <v>116</v>
      </c>
      <c r="C14" s="40" t="s">
        <v>127</v>
      </c>
      <c r="D14" s="40" t="s">
        <v>80</v>
      </c>
      <c r="E14" s="40" t="s">
        <v>32</v>
      </c>
      <c r="F14" s="70">
        <v>42383</v>
      </c>
      <c r="G14" s="42">
        <v>1085.7</v>
      </c>
      <c r="H14" s="42"/>
      <c r="I14" s="42"/>
      <c r="J14" s="64"/>
      <c r="K14" s="65">
        <f t="shared" si="0"/>
        <v>1085.7</v>
      </c>
      <c r="L14" s="42"/>
      <c r="M14" s="84"/>
      <c r="N14" s="42"/>
      <c r="O14" s="42">
        <v>0</v>
      </c>
      <c r="P14" s="85"/>
      <c r="Q14" s="85"/>
      <c r="R14" s="42"/>
      <c r="S14" s="38"/>
      <c r="T14" s="38"/>
      <c r="U14" s="40"/>
      <c r="V14" s="40">
        <v>389</v>
      </c>
      <c r="W14" s="65">
        <f t="shared" si="1"/>
        <v>696.7</v>
      </c>
      <c r="X14" s="38">
        <f t="shared" si="2"/>
        <v>0</v>
      </c>
      <c r="Y14" s="65">
        <f t="shared" si="3"/>
        <v>696.7</v>
      </c>
      <c r="Z14" s="38">
        <f t="shared" si="4"/>
        <v>108.57000000000001</v>
      </c>
      <c r="AA14" s="38">
        <v>10.23</v>
      </c>
      <c r="AB14" s="38">
        <f t="shared" si="5"/>
        <v>0</v>
      </c>
      <c r="AC14" s="65">
        <f t="shared" si="6"/>
        <v>1204.5</v>
      </c>
      <c r="AD14" s="72"/>
      <c r="AE14" s="73"/>
      <c r="AF14" s="66">
        <f t="shared" si="7"/>
        <v>-696.7</v>
      </c>
      <c r="AG14" s="40"/>
      <c r="AH14" s="40"/>
    </row>
    <row r="15" spans="1:48" s="18" customFormat="1">
      <c r="A15" s="40" t="s">
        <v>29</v>
      </c>
      <c r="B15" s="40" t="s">
        <v>105</v>
      </c>
      <c r="C15" s="40" t="s">
        <v>149</v>
      </c>
      <c r="D15" s="40"/>
      <c r="E15" s="40" t="s">
        <v>93</v>
      </c>
      <c r="F15" s="70">
        <v>42416</v>
      </c>
      <c r="G15" s="42">
        <v>8675.99</v>
      </c>
      <c r="H15" s="42"/>
      <c r="I15" s="42"/>
      <c r="J15" s="64"/>
      <c r="K15" s="65">
        <f t="shared" si="0"/>
        <v>8675.99</v>
      </c>
      <c r="L15" s="42"/>
      <c r="M15" s="84"/>
      <c r="N15" s="42"/>
      <c r="O15" s="42">
        <v>0</v>
      </c>
      <c r="P15" s="85"/>
      <c r="Q15" s="85"/>
      <c r="R15" s="42"/>
      <c r="S15" s="38">
        <v>114.82</v>
      </c>
      <c r="T15" s="38"/>
      <c r="U15" s="40"/>
      <c r="V15" s="40">
        <v>788.04</v>
      </c>
      <c r="W15" s="65">
        <f t="shared" si="1"/>
        <v>7773.13</v>
      </c>
      <c r="X15" s="38">
        <f t="shared" si="2"/>
        <v>867.59900000000005</v>
      </c>
      <c r="Y15" s="65">
        <f t="shared" si="3"/>
        <v>6905.5309999999999</v>
      </c>
      <c r="Z15" s="38">
        <f t="shared" si="4"/>
        <v>0</v>
      </c>
      <c r="AA15" s="38">
        <v>10.23</v>
      </c>
      <c r="AB15" s="38">
        <f t="shared" si="5"/>
        <v>0</v>
      </c>
      <c r="AC15" s="65">
        <f t="shared" si="6"/>
        <v>8686.2199999999993</v>
      </c>
      <c r="AD15" s="72"/>
      <c r="AE15" s="73"/>
      <c r="AF15" s="66">
        <f t="shared" si="7"/>
        <v>-6905.5309999999999</v>
      </c>
      <c r="AG15" s="40"/>
      <c r="AH15" s="40"/>
    </row>
    <row r="16" spans="1:48" s="18" customFormat="1">
      <c r="A16" s="40" t="s">
        <v>28</v>
      </c>
      <c r="B16" s="40" t="s">
        <v>178</v>
      </c>
      <c r="C16" s="40"/>
      <c r="D16" s="40" t="s">
        <v>56</v>
      </c>
      <c r="E16" s="40" t="s">
        <v>91</v>
      </c>
      <c r="F16" s="70">
        <v>42116</v>
      </c>
      <c r="G16" s="42">
        <v>650</v>
      </c>
      <c r="H16" s="42"/>
      <c r="I16" s="42"/>
      <c r="J16" s="64"/>
      <c r="K16" s="65">
        <f t="shared" si="0"/>
        <v>650</v>
      </c>
      <c r="L16" s="42">
        <v>200</v>
      </c>
      <c r="M16" s="84"/>
      <c r="N16" s="42"/>
      <c r="O16" s="42">
        <v>0</v>
      </c>
      <c r="P16" s="85"/>
      <c r="Q16" s="85"/>
      <c r="R16" s="42"/>
      <c r="S16" s="38"/>
      <c r="T16" s="38"/>
      <c r="U16" s="67"/>
      <c r="V16" s="40">
        <v>0</v>
      </c>
      <c r="W16" s="65">
        <f t="shared" si="1"/>
        <v>450</v>
      </c>
      <c r="X16" s="38">
        <f t="shared" si="2"/>
        <v>0</v>
      </c>
      <c r="Y16" s="65">
        <f t="shared" si="3"/>
        <v>450</v>
      </c>
      <c r="Z16" s="38">
        <f t="shared" si="4"/>
        <v>65</v>
      </c>
      <c r="AA16" s="38">
        <v>10.23</v>
      </c>
      <c r="AB16" s="38">
        <f t="shared" si="5"/>
        <v>0</v>
      </c>
      <c r="AC16" s="65">
        <f t="shared" si="6"/>
        <v>725.23</v>
      </c>
      <c r="AD16" s="78"/>
      <c r="AE16" s="78"/>
      <c r="AF16" s="66">
        <f t="shared" si="7"/>
        <v>-450</v>
      </c>
      <c r="AG16" s="40"/>
      <c r="AH16" s="43" t="s">
        <v>239</v>
      </c>
    </row>
    <row r="17" spans="1:34" s="111" customFormat="1">
      <c r="A17" s="100" t="s">
        <v>30</v>
      </c>
      <c r="B17" s="100" t="s">
        <v>218</v>
      </c>
      <c r="C17" s="100"/>
      <c r="D17" s="100"/>
      <c r="E17" s="100" t="s">
        <v>32</v>
      </c>
      <c r="F17" s="101">
        <v>42685</v>
      </c>
      <c r="G17" s="102"/>
      <c r="H17" s="102"/>
      <c r="I17" s="102"/>
      <c r="J17" s="103"/>
      <c r="K17" s="49">
        <f t="shared" si="0"/>
        <v>0</v>
      </c>
      <c r="L17" s="102">
        <v>200</v>
      </c>
      <c r="M17" s="104"/>
      <c r="N17" s="102"/>
      <c r="O17" s="102"/>
      <c r="P17" s="105"/>
      <c r="Q17" s="105"/>
      <c r="R17" s="102"/>
      <c r="S17" s="106"/>
      <c r="T17" s="106"/>
      <c r="U17" s="100"/>
      <c r="V17" s="100"/>
      <c r="W17" s="49">
        <f t="shared" ref="W17" si="17">+K17-SUM(L17:V17)</f>
        <v>-200</v>
      </c>
      <c r="X17" s="106">
        <f t="shared" ref="X17" si="18">IF(K17&gt;2250,K17*0.1,0)</f>
        <v>0</v>
      </c>
      <c r="Y17" s="49">
        <f t="shared" ref="Y17" si="19">+W17-X17</f>
        <v>-200</v>
      </c>
      <c r="Z17" s="106"/>
      <c r="AA17" s="106"/>
      <c r="AB17" s="106"/>
      <c r="AC17" s="49"/>
      <c r="AD17" s="112"/>
      <c r="AE17" s="113"/>
      <c r="AF17" s="109"/>
      <c r="AG17" s="100">
        <v>1500638390</v>
      </c>
      <c r="AH17" s="110" t="s">
        <v>240</v>
      </c>
    </row>
    <row r="18" spans="1:34" s="18" customFormat="1" ht="15" customHeight="1">
      <c r="A18" s="40" t="s">
        <v>30</v>
      </c>
      <c r="B18" s="40" t="s">
        <v>136</v>
      </c>
      <c r="C18" s="40" t="s">
        <v>129</v>
      </c>
      <c r="D18" s="40" t="s">
        <v>81</v>
      </c>
      <c r="E18" s="40" t="s">
        <v>32</v>
      </c>
      <c r="F18" s="70">
        <v>41831</v>
      </c>
      <c r="G18" s="42"/>
      <c r="H18" s="42"/>
      <c r="I18" s="42"/>
      <c r="J18" s="64"/>
      <c r="K18" s="65">
        <f t="shared" si="0"/>
        <v>0</v>
      </c>
      <c r="L18" s="42"/>
      <c r="M18" s="84"/>
      <c r="N18" s="42"/>
      <c r="O18" s="42"/>
      <c r="P18" s="85"/>
      <c r="Q18" s="85"/>
      <c r="R18" s="42"/>
      <c r="S18" s="38"/>
      <c r="T18" s="91" t="s">
        <v>194</v>
      </c>
      <c r="U18" s="40"/>
      <c r="V18" s="80">
        <v>241</v>
      </c>
      <c r="W18" s="65">
        <f t="shared" si="1"/>
        <v>-241</v>
      </c>
      <c r="X18" s="38">
        <f t="shared" si="2"/>
        <v>0</v>
      </c>
      <c r="Y18" s="65">
        <f t="shared" si="3"/>
        <v>-241</v>
      </c>
      <c r="Z18" s="38">
        <f t="shared" si="4"/>
        <v>0</v>
      </c>
      <c r="AA18" s="38">
        <v>10.23</v>
      </c>
      <c r="AB18" s="38">
        <f t="shared" si="5"/>
        <v>0</v>
      </c>
      <c r="AC18" s="65">
        <f t="shared" si="6"/>
        <v>10.23</v>
      </c>
      <c r="AD18" s="74"/>
      <c r="AE18" s="72"/>
      <c r="AF18" s="66">
        <f t="shared" si="7"/>
        <v>241</v>
      </c>
      <c r="AG18" s="40"/>
      <c r="AH18" s="43"/>
    </row>
    <row r="19" spans="1:34" s="18" customFormat="1" ht="15" customHeight="1">
      <c r="A19" s="94" t="s">
        <v>44</v>
      </c>
      <c r="B19" s="94" t="s">
        <v>188</v>
      </c>
      <c r="C19" s="94"/>
      <c r="D19" s="94"/>
      <c r="E19" s="94" t="s">
        <v>92</v>
      </c>
      <c r="F19" s="97">
        <v>32540</v>
      </c>
      <c r="G19" s="54"/>
      <c r="H19" s="54"/>
      <c r="I19" s="54"/>
      <c r="J19" s="98"/>
      <c r="K19" s="65">
        <f t="shared" si="0"/>
        <v>0</v>
      </c>
      <c r="L19" s="42"/>
      <c r="M19" s="84"/>
      <c r="N19" s="42"/>
      <c r="O19" s="42"/>
      <c r="P19" s="85"/>
      <c r="Q19" s="85"/>
      <c r="R19" s="42"/>
      <c r="S19" s="38"/>
      <c r="T19" s="91"/>
      <c r="U19" s="40"/>
      <c r="V19" s="80">
        <v>0</v>
      </c>
      <c r="W19" s="65">
        <f t="shared" si="1"/>
        <v>0</v>
      </c>
      <c r="X19" s="38">
        <f t="shared" si="2"/>
        <v>0</v>
      </c>
      <c r="Y19" s="65">
        <f t="shared" si="3"/>
        <v>0</v>
      </c>
      <c r="Z19" s="38">
        <f t="shared" si="4"/>
        <v>0</v>
      </c>
      <c r="AA19" s="38">
        <v>11.23</v>
      </c>
      <c r="AB19" s="38">
        <f t="shared" si="5"/>
        <v>0</v>
      </c>
      <c r="AC19" s="65">
        <f t="shared" si="6"/>
        <v>11.23</v>
      </c>
      <c r="AD19" s="74"/>
      <c r="AE19" s="72"/>
      <c r="AF19" s="66"/>
      <c r="AG19" s="40">
        <v>1461266403</v>
      </c>
      <c r="AH19" s="96" t="s">
        <v>225</v>
      </c>
    </row>
    <row r="20" spans="1:34" s="18" customFormat="1">
      <c r="A20" s="40" t="s">
        <v>30</v>
      </c>
      <c r="B20" s="40" t="s">
        <v>139</v>
      </c>
      <c r="C20" s="40" t="s">
        <v>130</v>
      </c>
      <c r="D20" s="40">
        <v>18</v>
      </c>
      <c r="E20" s="40" t="s">
        <v>33</v>
      </c>
      <c r="F20" s="70">
        <v>39699</v>
      </c>
      <c r="G20" s="42">
        <v>119745.89</v>
      </c>
      <c r="H20" s="42"/>
      <c r="I20" s="42"/>
      <c r="J20" s="64"/>
      <c r="K20" s="65">
        <f t="shared" si="0"/>
        <v>119745.89</v>
      </c>
      <c r="L20" s="42"/>
      <c r="M20" s="84"/>
      <c r="N20" s="42"/>
      <c r="O20" s="42">
        <v>1000</v>
      </c>
      <c r="P20" s="85"/>
      <c r="Q20" s="85"/>
      <c r="R20" s="42"/>
      <c r="S20" s="38"/>
      <c r="T20" s="38"/>
      <c r="U20" s="40"/>
      <c r="V20" s="40">
        <v>0</v>
      </c>
      <c r="W20" s="65">
        <f t="shared" si="1"/>
        <v>118745.89</v>
      </c>
      <c r="X20" s="38">
        <f t="shared" si="2"/>
        <v>11974.589</v>
      </c>
      <c r="Y20" s="65">
        <f t="shared" si="3"/>
        <v>106771.30100000001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119756.12</v>
      </c>
      <c r="AD20" s="72"/>
      <c r="AE20" s="73"/>
      <c r="AF20" s="66">
        <f t="shared" ref="AF20:AF22" si="20">+AD20+AE20-Y20</f>
        <v>-106771.30100000001</v>
      </c>
      <c r="AG20" s="40"/>
      <c r="AH20" s="40"/>
    </row>
    <row r="21" spans="1:34" s="18" customFormat="1">
      <c r="A21" s="40" t="s">
        <v>29</v>
      </c>
      <c r="B21" s="40" t="s">
        <v>125</v>
      </c>
      <c r="C21" s="40" t="s">
        <v>149</v>
      </c>
      <c r="D21" s="40" t="s">
        <v>61</v>
      </c>
      <c r="E21" s="40" t="s">
        <v>93</v>
      </c>
      <c r="F21" s="70">
        <v>42332</v>
      </c>
      <c r="G21" s="42">
        <v>5432.61</v>
      </c>
      <c r="H21" s="42"/>
      <c r="I21" s="42"/>
      <c r="J21" s="64"/>
      <c r="K21" s="65">
        <f t="shared" si="0"/>
        <v>5432.61</v>
      </c>
      <c r="L21" s="42">
        <v>375</v>
      </c>
      <c r="M21" s="84"/>
      <c r="N21" s="42"/>
      <c r="O21" s="42">
        <v>0</v>
      </c>
      <c r="P21" s="85"/>
      <c r="Q21" s="85"/>
      <c r="R21" s="42"/>
      <c r="S21" s="38"/>
      <c r="T21" s="38"/>
      <c r="U21" s="40"/>
      <c r="V21" s="40">
        <v>633</v>
      </c>
      <c r="W21" s="65">
        <f t="shared" si="1"/>
        <v>4424.6099999999997</v>
      </c>
      <c r="X21" s="38">
        <f t="shared" si="2"/>
        <v>543.26099999999997</v>
      </c>
      <c r="Y21" s="65">
        <f t="shared" si="3"/>
        <v>3881.3489999999997</v>
      </c>
      <c r="Z21" s="38">
        <f t="shared" si="4"/>
        <v>0</v>
      </c>
      <c r="AA21" s="38">
        <v>10.23</v>
      </c>
      <c r="AB21" s="38">
        <f t="shared" si="5"/>
        <v>0</v>
      </c>
      <c r="AC21" s="65">
        <f t="shared" si="6"/>
        <v>5442.8399999999992</v>
      </c>
      <c r="AD21" s="72"/>
      <c r="AE21" s="73"/>
      <c r="AF21" s="66">
        <f t="shared" si="20"/>
        <v>-3881.3489999999997</v>
      </c>
      <c r="AG21" s="40"/>
      <c r="AH21" s="43" t="s">
        <v>239</v>
      </c>
    </row>
    <row r="22" spans="1:34" s="18" customFormat="1">
      <c r="A22" s="40" t="s">
        <v>30</v>
      </c>
      <c r="B22" s="40" t="s">
        <v>147</v>
      </c>
      <c r="C22" s="40" t="s">
        <v>132</v>
      </c>
      <c r="D22" s="40"/>
      <c r="E22" s="40" t="s">
        <v>32</v>
      </c>
      <c r="F22" s="70">
        <v>42437</v>
      </c>
      <c r="G22" s="42">
        <v>8913.2199999999993</v>
      </c>
      <c r="H22" s="42"/>
      <c r="I22" s="42"/>
      <c r="J22" s="64"/>
      <c r="K22" s="65">
        <f t="shared" si="0"/>
        <v>8913.2199999999993</v>
      </c>
      <c r="L22" s="42">
        <v>275</v>
      </c>
      <c r="M22" s="84"/>
      <c r="N22" s="42"/>
      <c r="O22" s="42">
        <v>0</v>
      </c>
      <c r="P22" s="85"/>
      <c r="Q22" s="85"/>
      <c r="R22" s="42"/>
      <c r="S22" s="38"/>
      <c r="T22" s="38"/>
      <c r="U22" s="40"/>
      <c r="V22" s="40">
        <v>0</v>
      </c>
      <c r="W22" s="65">
        <f t="shared" si="1"/>
        <v>8638.2199999999993</v>
      </c>
      <c r="X22" s="38">
        <f t="shared" si="2"/>
        <v>891.322</v>
      </c>
      <c r="Y22" s="65">
        <f t="shared" si="3"/>
        <v>7746.8979999999992</v>
      </c>
      <c r="Z22" s="38">
        <f t="shared" si="4"/>
        <v>0</v>
      </c>
      <c r="AA22" s="38">
        <v>10.23</v>
      </c>
      <c r="AB22" s="38">
        <f t="shared" si="5"/>
        <v>0</v>
      </c>
      <c r="AC22" s="65">
        <f t="shared" si="6"/>
        <v>8923.4499999999989</v>
      </c>
      <c r="AD22" s="72"/>
      <c r="AE22" s="73"/>
      <c r="AF22" s="66">
        <f t="shared" si="20"/>
        <v>-7746.8979999999992</v>
      </c>
      <c r="AG22" s="40"/>
      <c r="AH22" s="43" t="s">
        <v>239</v>
      </c>
    </row>
    <row r="23" spans="1:34" s="18" customFormat="1" ht="15.75">
      <c r="A23" s="40" t="s">
        <v>131</v>
      </c>
      <c r="B23" s="40" t="s">
        <v>106</v>
      </c>
      <c r="C23" s="40"/>
      <c r="D23" s="40" t="s">
        <v>58</v>
      </c>
      <c r="E23" s="40" t="s">
        <v>92</v>
      </c>
      <c r="F23" s="70">
        <v>42205</v>
      </c>
      <c r="G23" s="92">
        <v>180</v>
      </c>
      <c r="H23" s="42"/>
      <c r="I23" s="42"/>
      <c r="J23" s="64"/>
      <c r="K23" s="65">
        <f t="shared" si="0"/>
        <v>180</v>
      </c>
      <c r="L23" s="42"/>
      <c r="M23" s="84"/>
      <c r="N23" s="42"/>
      <c r="O23" s="42">
        <v>300</v>
      </c>
      <c r="P23" s="85"/>
      <c r="Q23" s="85"/>
      <c r="R23" s="42"/>
      <c r="S23" s="38"/>
      <c r="T23" s="91" t="s">
        <v>194</v>
      </c>
      <c r="U23" s="40"/>
      <c r="V23" s="40">
        <v>0</v>
      </c>
      <c r="W23" s="65">
        <f t="shared" si="1"/>
        <v>-120</v>
      </c>
      <c r="X23" s="38">
        <f t="shared" si="2"/>
        <v>0</v>
      </c>
      <c r="Y23" s="65">
        <f t="shared" si="3"/>
        <v>-120</v>
      </c>
      <c r="Z23" s="38">
        <f t="shared" si="4"/>
        <v>18</v>
      </c>
      <c r="AA23" s="38">
        <v>10.23</v>
      </c>
      <c r="AB23" s="38">
        <f t="shared" si="5"/>
        <v>0</v>
      </c>
      <c r="AC23" s="65">
        <f t="shared" si="6"/>
        <v>208.23</v>
      </c>
      <c r="AD23" s="72"/>
      <c r="AE23" s="72"/>
      <c r="AF23" s="66">
        <f t="shared" ref="AF23:AF24" si="21">+AD23+AE23-Y23</f>
        <v>120</v>
      </c>
      <c r="AG23" s="40"/>
      <c r="AH23" s="40"/>
    </row>
    <row r="24" spans="1:34" s="18" customFormat="1">
      <c r="A24" s="40" t="s">
        <v>131</v>
      </c>
      <c r="B24" s="40" t="s">
        <v>163</v>
      </c>
      <c r="C24" s="40"/>
      <c r="D24" s="40"/>
      <c r="E24" s="40" t="s">
        <v>92</v>
      </c>
      <c r="F24" s="70">
        <v>42476</v>
      </c>
      <c r="G24" s="92">
        <v>433</v>
      </c>
      <c r="H24" s="42"/>
      <c r="I24" s="42"/>
      <c r="J24" s="64"/>
      <c r="K24" s="65">
        <f t="shared" si="0"/>
        <v>433</v>
      </c>
      <c r="L24" s="42"/>
      <c r="M24" s="84"/>
      <c r="N24" s="42"/>
      <c r="O24" s="42">
        <v>0</v>
      </c>
      <c r="P24" s="85"/>
      <c r="Q24" s="85"/>
      <c r="R24" s="42"/>
      <c r="S24" s="38"/>
      <c r="T24" s="38"/>
      <c r="U24" s="40"/>
      <c r="V24" s="40">
        <v>0</v>
      </c>
      <c r="W24" s="65">
        <f t="shared" si="1"/>
        <v>433</v>
      </c>
      <c r="X24" s="38">
        <f t="shared" si="2"/>
        <v>0</v>
      </c>
      <c r="Y24" s="65">
        <f t="shared" si="3"/>
        <v>433</v>
      </c>
      <c r="Z24" s="38">
        <f t="shared" si="4"/>
        <v>43.300000000000004</v>
      </c>
      <c r="AA24" s="38">
        <v>10.23</v>
      </c>
      <c r="AB24" s="38">
        <f t="shared" si="5"/>
        <v>0</v>
      </c>
      <c r="AC24" s="65">
        <f t="shared" si="6"/>
        <v>486.53000000000003</v>
      </c>
      <c r="AD24" s="72"/>
      <c r="AE24" s="72"/>
      <c r="AF24" s="66">
        <f t="shared" si="21"/>
        <v>-433</v>
      </c>
      <c r="AG24" s="40">
        <v>2919685839</v>
      </c>
      <c r="AH24" s="43"/>
    </row>
    <row r="25" spans="1:34" s="18" customFormat="1">
      <c r="A25" s="40" t="s">
        <v>42</v>
      </c>
      <c r="B25" s="40" t="s">
        <v>173</v>
      </c>
      <c r="C25" s="40"/>
      <c r="D25" s="40"/>
      <c r="E25" s="40" t="s">
        <v>31</v>
      </c>
      <c r="F25" s="70">
        <v>42514</v>
      </c>
      <c r="G25" s="42">
        <v>1507.56</v>
      </c>
      <c r="H25" s="42"/>
      <c r="I25" s="42"/>
      <c r="J25" s="64"/>
      <c r="K25" s="65">
        <f t="shared" si="0"/>
        <v>1507.56</v>
      </c>
      <c r="L25" s="42"/>
      <c r="M25" s="84"/>
      <c r="N25" s="42"/>
      <c r="O25" s="42">
        <v>0</v>
      </c>
      <c r="P25" s="85"/>
      <c r="Q25" s="85"/>
      <c r="R25" s="42"/>
      <c r="S25" s="38"/>
      <c r="T25" s="38"/>
      <c r="U25" s="40"/>
      <c r="V25" s="40">
        <v>0</v>
      </c>
      <c r="W25" s="65">
        <f t="shared" si="1"/>
        <v>1507.56</v>
      </c>
      <c r="X25" s="38">
        <f t="shared" si="2"/>
        <v>0</v>
      </c>
      <c r="Y25" s="65">
        <f t="shared" si="3"/>
        <v>1507.56</v>
      </c>
      <c r="Z25" s="38">
        <f t="shared" si="4"/>
        <v>150.756</v>
      </c>
      <c r="AA25" s="38">
        <v>11.23</v>
      </c>
      <c r="AB25" s="38">
        <f t="shared" si="5"/>
        <v>0</v>
      </c>
      <c r="AC25" s="65">
        <f t="shared" si="6"/>
        <v>1669.546</v>
      </c>
      <c r="AD25" s="72"/>
      <c r="AE25" s="73"/>
      <c r="AF25" s="66"/>
      <c r="AG25" s="40">
        <v>2747910657</v>
      </c>
      <c r="AH25" s="43"/>
    </row>
    <row r="26" spans="1:34" s="18" customFormat="1">
      <c r="A26" s="40" t="s">
        <v>30</v>
      </c>
      <c r="B26" s="40" t="s">
        <v>206</v>
      </c>
      <c r="C26" s="40"/>
      <c r="D26" s="40"/>
      <c r="E26" s="40" t="s">
        <v>207</v>
      </c>
      <c r="F26" s="70">
        <v>41359</v>
      </c>
      <c r="G26" s="42">
        <v>39337.230000000003</v>
      </c>
      <c r="H26" s="42"/>
      <c r="I26" s="42"/>
      <c r="J26" s="64"/>
      <c r="K26" s="65">
        <f t="shared" si="0"/>
        <v>39337.230000000003</v>
      </c>
      <c r="L26" s="42"/>
      <c r="M26" s="84"/>
      <c r="N26" s="42"/>
      <c r="O26" s="42"/>
      <c r="P26" s="85"/>
      <c r="Q26" s="85"/>
      <c r="R26" s="42"/>
      <c r="S26" s="38"/>
      <c r="T26" s="38"/>
      <c r="U26" s="40"/>
      <c r="V26" s="40"/>
      <c r="W26" s="65">
        <f t="shared" ref="W26" si="22">+K26-SUM(L26:V26)</f>
        <v>39337.230000000003</v>
      </c>
      <c r="X26" s="38">
        <f t="shared" ref="X26" si="23">IF(K26&gt;2250,K26*0.1,0)</f>
        <v>3933.7230000000004</v>
      </c>
      <c r="Y26" s="65">
        <f t="shared" ref="Y26" si="24">+W26-X26</f>
        <v>35403.507000000005</v>
      </c>
      <c r="Z26" s="38"/>
      <c r="AA26" s="38"/>
      <c r="AB26" s="38"/>
      <c r="AC26" s="65"/>
      <c r="AD26" s="72"/>
      <c r="AE26" s="73"/>
      <c r="AF26" s="66"/>
      <c r="AG26" s="40"/>
      <c r="AH26" s="43"/>
    </row>
    <row r="27" spans="1:34" s="18" customFormat="1">
      <c r="A27" s="40" t="s">
        <v>30</v>
      </c>
      <c r="B27" s="40" t="s">
        <v>201</v>
      </c>
      <c r="C27" s="40"/>
      <c r="D27" s="40"/>
      <c r="E27" s="40" t="s">
        <v>32</v>
      </c>
      <c r="F27" s="70">
        <v>42627</v>
      </c>
      <c r="G27" s="42">
        <v>2718.86</v>
      </c>
      <c r="H27" s="42"/>
      <c r="I27" s="42"/>
      <c r="J27" s="64"/>
      <c r="K27" s="65">
        <f t="shared" si="0"/>
        <v>2718.86</v>
      </c>
      <c r="L27" s="42"/>
      <c r="M27" s="84"/>
      <c r="N27" s="42"/>
      <c r="O27" s="42"/>
      <c r="P27" s="85"/>
      <c r="Q27" s="85"/>
      <c r="R27" s="42"/>
      <c r="S27" s="38"/>
      <c r="T27" s="38"/>
      <c r="U27" s="40"/>
      <c r="V27" s="40"/>
      <c r="W27" s="65">
        <f t="shared" ref="W27" si="25">+K27-SUM(L27:V27)</f>
        <v>2718.86</v>
      </c>
      <c r="X27" s="38">
        <f t="shared" ref="X27" si="26">IF(K27&gt;2250,K27*0.1,0)</f>
        <v>271.88600000000002</v>
      </c>
      <c r="Y27" s="65">
        <f t="shared" ref="Y27" si="27">+W27-X27</f>
        <v>2446.9740000000002</v>
      </c>
      <c r="Z27" s="38"/>
      <c r="AA27" s="38"/>
      <c r="AB27" s="38"/>
      <c r="AC27" s="65"/>
      <c r="AD27" s="72"/>
      <c r="AE27" s="73"/>
      <c r="AF27" s="66"/>
      <c r="AG27" s="40">
        <v>2723461904</v>
      </c>
      <c r="AH27" s="43"/>
    </row>
    <row r="28" spans="1:34" s="18" customFormat="1">
      <c r="A28" s="40" t="s">
        <v>28</v>
      </c>
      <c r="B28" s="40" t="s">
        <v>195</v>
      </c>
      <c r="C28" s="40"/>
      <c r="D28" s="40"/>
      <c r="E28" s="33" t="s">
        <v>196</v>
      </c>
      <c r="F28" s="70">
        <v>42591</v>
      </c>
      <c r="G28" s="42"/>
      <c r="H28" s="42"/>
      <c r="I28" s="42"/>
      <c r="J28" s="64"/>
      <c r="K28" s="65">
        <f t="shared" si="0"/>
        <v>0</v>
      </c>
      <c r="L28" s="42"/>
      <c r="M28" s="84"/>
      <c r="N28" s="42"/>
      <c r="O28" s="42"/>
      <c r="P28" s="85"/>
      <c r="Q28" s="85"/>
      <c r="R28" s="42"/>
      <c r="S28" s="38"/>
      <c r="T28" s="38"/>
      <c r="U28" s="40"/>
      <c r="V28" s="40"/>
      <c r="W28" s="65">
        <f t="shared" ref="W28" si="28">+K28-SUM(L28:V28)</f>
        <v>0</v>
      </c>
      <c r="X28" s="38">
        <f t="shared" ref="X28" si="29">IF(K28&gt;2250,K28*0.1,0)</f>
        <v>0</v>
      </c>
      <c r="Y28" s="65">
        <f t="shared" ref="Y28" si="30">+W28-X28</f>
        <v>0</v>
      </c>
      <c r="Z28" s="38"/>
      <c r="AA28" s="38"/>
      <c r="AB28" s="38"/>
      <c r="AC28" s="65"/>
      <c r="AD28" s="72"/>
      <c r="AE28" s="73"/>
      <c r="AF28" s="66"/>
      <c r="AG28" s="40">
        <v>2851254995</v>
      </c>
      <c r="AH28" s="43"/>
    </row>
    <row r="29" spans="1:34" s="18" customFormat="1" ht="15.75">
      <c r="A29" s="94"/>
      <c r="B29" s="94" t="s">
        <v>215</v>
      </c>
      <c r="C29" s="94"/>
      <c r="D29" s="94"/>
      <c r="E29" s="94" t="s">
        <v>92</v>
      </c>
      <c r="F29" s="97"/>
      <c r="G29" s="54">
        <v>180</v>
      </c>
      <c r="H29" s="54"/>
      <c r="I29" s="54"/>
      <c r="J29" s="64"/>
      <c r="K29" s="65">
        <f t="shared" si="0"/>
        <v>180</v>
      </c>
      <c r="L29" s="42"/>
      <c r="M29" s="84"/>
      <c r="N29" s="42"/>
      <c r="O29" s="42">
        <v>150</v>
      </c>
      <c r="P29" s="85"/>
      <c r="Q29" s="85"/>
      <c r="R29" s="42"/>
      <c r="S29" s="38"/>
      <c r="T29" s="91"/>
      <c r="U29" s="40"/>
      <c r="V29" s="80"/>
      <c r="W29" s="65">
        <f t="shared" ref="W29" si="31">+K29-SUM(L29:V29)</f>
        <v>30</v>
      </c>
      <c r="X29" s="38">
        <f t="shared" ref="X29" si="32">IF(K29&gt;2250,K29*0.1,0)</f>
        <v>0</v>
      </c>
      <c r="Y29" s="65">
        <f t="shared" ref="Y29" si="33">+W29-X29</f>
        <v>30</v>
      </c>
      <c r="Z29" s="38"/>
      <c r="AA29" s="38"/>
      <c r="AB29" s="38"/>
      <c r="AC29" s="65"/>
      <c r="AD29" s="74"/>
      <c r="AE29" s="72"/>
      <c r="AF29" s="66"/>
      <c r="AG29" s="40"/>
      <c r="AH29" s="96" t="s">
        <v>204</v>
      </c>
    </row>
    <row r="30" spans="1:34" s="18" customFormat="1">
      <c r="A30" s="40" t="s">
        <v>42</v>
      </c>
      <c r="B30" s="40" t="s">
        <v>200</v>
      </c>
      <c r="C30" s="40"/>
      <c r="D30" s="40"/>
      <c r="E30" s="40" t="s">
        <v>31</v>
      </c>
      <c r="F30" s="70">
        <v>42604</v>
      </c>
      <c r="G30" s="42">
        <v>1993.91</v>
      </c>
      <c r="H30" s="42"/>
      <c r="I30" s="42"/>
      <c r="J30" s="64"/>
      <c r="K30" s="65">
        <f t="shared" si="0"/>
        <v>1993.91</v>
      </c>
      <c r="L30" s="42"/>
      <c r="M30" s="84"/>
      <c r="N30" s="42"/>
      <c r="O30" s="42"/>
      <c r="P30" s="85"/>
      <c r="Q30" s="85"/>
      <c r="R30" s="42"/>
      <c r="S30" s="38"/>
      <c r="T30" s="38"/>
      <c r="U30" s="40"/>
      <c r="V30" s="40"/>
      <c r="W30" s="65">
        <f t="shared" ref="W30" si="34">+K30-SUM(L30:V30)</f>
        <v>1993.91</v>
      </c>
      <c r="X30" s="38">
        <f t="shared" ref="X30" si="35">IF(K30&gt;2250,K30*0.1,0)</f>
        <v>0</v>
      </c>
      <c r="Y30" s="65">
        <f t="shared" ref="Y30" si="36">+W30-X30</f>
        <v>1993.91</v>
      </c>
      <c r="Z30" s="38"/>
      <c r="AA30" s="38"/>
      <c r="AB30" s="38"/>
      <c r="AC30" s="65"/>
      <c r="AD30" s="72"/>
      <c r="AE30" s="73"/>
      <c r="AF30" s="66"/>
      <c r="AG30" s="40">
        <v>1143946878</v>
      </c>
      <c r="AH30" s="43"/>
    </row>
    <row r="31" spans="1:34" s="18" customFormat="1">
      <c r="A31" s="40" t="s">
        <v>30</v>
      </c>
      <c r="B31" s="40" t="s">
        <v>162</v>
      </c>
      <c r="C31" s="40" t="s">
        <v>127</v>
      </c>
      <c r="D31" s="40"/>
      <c r="E31" s="40" t="s">
        <v>32</v>
      </c>
      <c r="F31" s="70">
        <v>42413</v>
      </c>
      <c r="G31" s="42">
        <v>7179.93</v>
      </c>
      <c r="H31" s="42"/>
      <c r="I31" s="42"/>
      <c r="J31" s="64"/>
      <c r="K31" s="65">
        <f t="shared" si="0"/>
        <v>7179.93</v>
      </c>
      <c r="L31" s="42"/>
      <c r="M31" s="84"/>
      <c r="N31" s="42"/>
      <c r="O31" s="42">
        <v>0</v>
      </c>
      <c r="P31" s="85"/>
      <c r="Q31" s="85"/>
      <c r="R31" s="42"/>
      <c r="S31" s="38"/>
      <c r="T31" s="38"/>
      <c r="U31" s="40"/>
      <c r="V31" s="40">
        <v>0</v>
      </c>
      <c r="W31" s="65">
        <f t="shared" si="1"/>
        <v>7179.93</v>
      </c>
      <c r="X31" s="38">
        <f t="shared" si="2"/>
        <v>717.99300000000005</v>
      </c>
      <c r="Y31" s="65">
        <f t="shared" si="3"/>
        <v>6461.9369999999999</v>
      </c>
      <c r="Z31" s="38">
        <f t="shared" si="4"/>
        <v>0</v>
      </c>
      <c r="AA31" s="38">
        <v>13.23</v>
      </c>
      <c r="AB31" s="38">
        <f t="shared" si="5"/>
        <v>0</v>
      </c>
      <c r="AC31" s="65">
        <f t="shared" si="6"/>
        <v>7193.16</v>
      </c>
      <c r="AD31" s="72"/>
      <c r="AE31" s="73"/>
      <c r="AF31" s="66">
        <f>+AD31+AE31-Y31</f>
        <v>-6461.9369999999999</v>
      </c>
      <c r="AG31" s="40"/>
      <c r="AH31" s="43"/>
    </row>
    <row r="32" spans="1:34" s="18" customFormat="1">
      <c r="A32" s="40" t="s">
        <v>30</v>
      </c>
      <c r="B32" s="40" t="s">
        <v>176</v>
      </c>
      <c r="C32" s="40"/>
      <c r="D32" s="40"/>
      <c r="E32" s="40" t="s">
        <v>32</v>
      </c>
      <c r="F32" s="70">
        <v>42532</v>
      </c>
      <c r="G32" s="42">
        <v>16590.21</v>
      </c>
      <c r="H32" s="42"/>
      <c r="I32" s="42"/>
      <c r="J32" s="64"/>
      <c r="K32" s="65">
        <f t="shared" si="0"/>
        <v>16590.21</v>
      </c>
      <c r="L32" s="42"/>
      <c r="M32" s="84"/>
      <c r="N32" s="42"/>
      <c r="O32" s="42">
        <v>0</v>
      </c>
      <c r="P32" s="85"/>
      <c r="Q32" s="85"/>
      <c r="R32" s="42"/>
      <c r="S32" s="38"/>
      <c r="T32" s="38"/>
      <c r="U32" s="40"/>
      <c r="V32" s="40">
        <v>0</v>
      </c>
      <c r="W32" s="65">
        <f t="shared" si="1"/>
        <v>16590.21</v>
      </c>
      <c r="X32" s="38">
        <f t="shared" si="2"/>
        <v>1659.021</v>
      </c>
      <c r="Y32" s="65">
        <f t="shared" si="3"/>
        <v>14931.188999999998</v>
      </c>
      <c r="Z32" s="38">
        <f t="shared" si="4"/>
        <v>0</v>
      </c>
      <c r="AA32" s="38">
        <v>13.23</v>
      </c>
      <c r="AB32" s="38">
        <f t="shared" si="5"/>
        <v>0</v>
      </c>
      <c r="AC32" s="65">
        <f t="shared" si="6"/>
        <v>16603.439999999999</v>
      </c>
      <c r="AD32" s="72"/>
      <c r="AE32" s="73"/>
      <c r="AF32" s="66">
        <f>+AD32+AE32-Y32</f>
        <v>-14931.188999999998</v>
      </c>
      <c r="AG32" s="40"/>
      <c r="AH32" s="43"/>
    </row>
    <row r="33" spans="1:34" s="18" customFormat="1">
      <c r="A33" s="40" t="s">
        <v>30</v>
      </c>
      <c r="B33" s="40" t="s">
        <v>169</v>
      </c>
      <c r="C33" s="40"/>
      <c r="D33" s="40"/>
      <c r="E33" s="40" t="s">
        <v>32</v>
      </c>
      <c r="F33" s="70">
        <v>42520</v>
      </c>
      <c r="G33" s="42">
        <v>5972.34</v>
      </c>
      <c r="H33" s="42"/>
      <c r="I33" s="42"/>
      <c r="J33" s="64"/>
      <c r="K33" s="65">
        <f t="shared" si="0"/>
        <v>5972.34</v>
      </c>
      <c r="L33" s="42"/>
      <c r="M33" s="84"/>
      <c r="N33" s="42"/>
      <c r="O33" s="42">
        <v>0</v>
      </c>
      <c r="P33" s="85"/>
      <c r="Q33" s="85"/>
      <c r="R33" s="42"/>
      <c r="S33" s="38"/>
      <c r="T33" s="38"/>
      <c r="U33" s="40"/>
      <c r="V33" s="40">
        <v>0</v>
      </c>
      <c r="W33" s="65">
        <f t="shared" si="1"/>
        <v>5972.34</v>
      </c>
      <c r="X33" s="38">
        <f t="shared" si="2"/>
        <v>597.23400000000004</v>
      </c>
      <c r="Y33" s="65">
        <f t="shared" si="3"/>
        <v>5375.1059999999998</v>
      </c>
      <c r="Z33" s="38">
        <f t="shared" si="4"/>
        <v>0</v>
      </c>
      <c r="AA33" s="38">
        <v>14.23</v>
      </c>
      <c r="AB33" s="38">
        <f t="shared" si="5"/>
        <v>0</v>
      </c>
      <c r="AC33" s="65">
        <f t="shared" si="6"/>
        <v>5986.57</v>
      </c>
      <c r="AD33" s="72"/>
      <c r="AE33" s="73"/>
      <c r="AF33" s="66"/>
      <c r="AG33" s="40">
        <v>1175437504</v>
      </c>
      <c r="AH33" s="43"/>
    </row>
    <row r="34" spans="1:34" s="18" customFormat="1">
      <c r="A34" s="86" t="s">
        <v>28</v>
      </c>
      <c r="B34" s="86" t="s">
        <v>197</v>
      </c>
      <c r="C34" s="86"/>
      <c r="D34" s="86"/>
      <c r="E34" s="86" t="s">
        <v>196</v>
      </c>
      <c r="F34" s="87">
        <v>42010</v>
      </c>
      <c r="G34" s="88"/>
      <c r="H34" s="88"/>
      <c r="I34" s="88"/>
      <c r="J34" s="89"/>
      <c r="K34" s="65"/>
      <c r="L34" s="42"/>
      <c r="M34" s="84"/>
      <c r="N34" s="42"/>
      <c r="O34" s="42"/>
      <c r="P34" s="85"/>
      <c r="Q34" s="85"/>
      <c r="R34" s="42"/>
      <c r="S34" s="38"/>
      <c r="T34" s="38"/>
      <c r="U34" s="40"/>
      <c r="V34" s="40"/>
      <c r="W34" s="65"/>
      <c r="X34" s="38"/>
      <c r="Y34" s="65"/>
      <c r="Z34" s="38"/>
      <c r="AA34" s="38"/>
      <c r="AB34" s="38"/>
      <c r="AC34" s="65"/>
      <c r="AD34" s="72"/>
      <c r="AE34" s="73"/>
      <c r="AF34" s="66"/>
      <c r="AG34" s="40">
        <v>2871132644</v>
      </c>
      <c r="AH34" s="90" t="s">
        <v>198</v>
      </c>
    </row>
    <row r="35" spans="1:34" s="18" customFormat="1">
      <c r="A35" s="40" t="s">
        <v>30</v>
      </c>
      <c r="B35" s="40" t="s">
        <v>168</v>
      </c>
      <c r="C35" s="40"/>
      <c r="D35" s="40"/>
      <c r="E35" s="40" t="s">
        <v>185</v>
      </c>
      <c r="F35" s="70">
        <v>42480</v>
      </c>
      <c r="G35" s="42"/>
      <c r="H35" s="42"/>
      <c r="I35" s="42"/>
      <c r="J35" s="64"/>
      <c r="K35" s="65">
        <f t="shared" ref="K35:K53" si="37">SUM(G35:I35)-J35</f>
        <v>0</v>
      </c>
      <c r="L35" s="42"/>
      <c r="M35" s="84"/>
      <c r="N35" s="42"/>
      <c r="O35" s="42">
        <v>0</v>
      </c>
      <c r="P35" s="85"/>
      <c r="Q35" s="85"/>
      <c r="R35" s="42"/>
      <c r="S35" s="38"/>
      <c r="T35" s="38"/>
      <c r="U35" s="40"/>
      <c r="V35" s="40">
        <v>0</v>
      </c>
      <c r="W35" s="65">
        <f t="shared" ref="W35:W53" si="38">+K35-SUM(L35:V35)</f>
        <v>0</v>
      </c>
      <c r="X35" s="38">
        <f t="shared" ref="X35:X53" si="39">IF(K35&gt;2250,K35*0.1,0)</f>
        <v>0</v>
      </c>
      <c r="Y35" s="65">
        <f t="shared" ref="Y35:Y53" si="40">+W35-X35</f>
        <v>0</v>
      </c>
      <c r="Z35" s="38">
        <f t="shared" ref="Z35:Z53" si="41">IF(K35&lt;2250,K35*0.1,0)</f>
        <v>0</v>
      </c>
      <c r="AA35" s="38">
        <v>17.23</v>
      </c>
      <c r="AB35" s="38">
        <f t="shared" ref="AB35:AB53" si="42">+P35</f>
        <v>0</v>
      </c>
      <c r="AC35" s="65">
        <f t="shared" ref="AC35:AC53" si="43">+K35+Z35+AA35+AB35</f>
        <v>17.23</v>
      </c>
      <c r="AD35" s="72"/>
      <c r="AE35" s="73"/>
      <c r="AF35" s="66">
        <f>+AD35+AE35-Y35</f>
        <v>0</v>
      </c>
      <c r="AG35" s="40">
        <v>1116618499</v>
      </c>
      <c r="AH35" s="43"/>
    </row>
    <row r="36" spans="1:34" s="18" customFormat="1">
      <c r="A36" s="40" t="s">
        <v>30</v>
      </c>
      <c r="B36" s="40" t="s">
        <v>128</v>
      </c>
      <c r="C36" s="40" t="s">
        <v>127</v>
      </c>
      <c r="D36" s="45"/>
      <c r="E36" s="40" t="s">
        <v>32</v>
      </c>
      <c r="F36" s="70">
        <v>42240</v>
      </c>
      <c r="G36" s="42">
        <v>5746.57</v>
      </c>
      <c r="H36" s="42"/>
      <c r="I36" s="42"/>
      <c r="J36" s="64"/>
      <c r="K36" s="65">
        <f t="shared" si="37"/>
        <v>5746.57</v>
      </c>
      <c r="L36" s="42"/>
      <c r="M36" s="84"/>
      <c r="N36" s="42"/>
      <c r="O36" s="42">
        <v>0</v>
      </c>
      <c r="P36" s="85"/>
      <c r="Q36" s="85"/>
      <c r="R36" s="42"/>
      <c r="S36" s="38"/>
      <c r="T36" s="38"/>
      <c r="U36" s="40"/>
      <c r="V36" s="40">
        <v>0</v>
      </c>
      <c r="W36" s="65">
        <f t="shared" si="38"/>
        <v>5746.57</v>
      </c>
      <c r="X36" s="38">
        <f t="shared" si="39"/>
        <v>574.65700000000004</v>
      </c>
      <c r="Y36" s="65">
        <f t="shared" si="40"/>
        <v>5171.9129999999996</v>
      </c>
      <c r="Z36" s="38">
        <f t="shared" si="41"/>
        <v>0</v>
      </c>
      <c r="AA36" s="38">
        <v>18.23</v>
      </c>
      <c r="AB36" s="38">
        <f t="shared" si="42"/>
        <v>0</v>
      </c>
      <c r="AC36" s="65">
        <f t="shared" si="43"/>
        <v>5764.7999999999993</v>
      </c>
      <c r="AD36" s="74"/>
      <c r="AE36" s="74"/>
      <c r="AF36" s="66">
        <f>+AD36+AE36-Y36</f>
        <v>-5171.9129999999996</v>
      </c>
      <c r="AG36" s="40"/>
      <c r="AH36" s="43"/>
    </row>
    <row r="37" spans="1:34" s="18" customFormat="1">
      <c r="A37" s="40" t="s">
        <v>30</v>
      </c>
      <c r="B37" s="40" t="s">
        <v>217</v>
      </c>
      <c r="C37" s="40"/>
      <c r="D37" s="45"/>
      <c r="E37" s="40" t="s">
        <v>32</v>
      </c>
      <c r="F37" s="70">
        <v>42415</v>
      </c>
      <c r="G37" s="42">
        <v>14891</v>
      </c>
      <c r="H37" s="42"/>
      <c r="I37" s="42"/>
      <c r="J37" s="64"/>
      <c r="K37" s="65">
        <f t="shared" si="37"/>
        <v>14891</v>
      </c>
      <c r="L37" s="42"/>
      <c r="M37" s="84"/>
      <c r="N37" s="42"/>
      <c r="O37" s="42"/>
      <c r="P37" s="85"/>
      <c r="Q37" s="85"/>
      <c r="R37" s="42"/>
      <c r="S37" s="38"/>
      <c r="T37" s="38"/>
      <c r="U37" s="40"/>
      <c r="V37" s="40"/>
      <c r="W37" s="65">
        <f t="shared" ref="W37" si="44">+K37-SUM(L37:V37)</f>
        <v>14891</v>
      </c>
      <c r="X37" s="38">
        <f t="shared" ref="X37" si="45">IF(K37&gt;2250,K37*0.1,0)</f>
        <v>1489.1000000000001</v>
      </c>
      <c r="Y37" s="65">
        <f t="shared" ref="Y37" si="46">+W37-X37</f>
        <v>13401.9</v>
      </c>
      <c r="Z37" s="38"/>
      <c r="AA37" s="38"/>
      <c r="AB37" s="38"/>
      <c r="AC37" s="65"/>
      <c r="AD37" s="74"/>
      <c r="AE37" s="74"/>
      <c r="AF37" s="66"/>
      <c r="AG37" s="40"/>
      <c r="AH37" s="43"/>
    </row>
    <row r="38" spans="1:34" s="18" customFormat="1">
      <c r="A38" s="40" t="s">
        <v>30</v>
      </c>
      <c r="B38" s="40" t="s">
        <v>117</v>
      </c>
      <c r="C38" s="40" t="s">
        <v>129</v>
      </c>
      <c r="D38" s="40" t="s">
        <v>82</v>
      </c>
      <c r="E38" s="40" t="s">
        <v>32</v>
      </c>
      <c r="F38" s="70">
        <v>41463</v>
      </c>
      <c r="G38" s="42">
        <v>4861.92</v>
      </c>
      <c r="H38" s="42"/>
      <c r="I38" s="42"/>
      <c r="J38" s="64"/>
      <c r="K38" s="65">
        <f t="shared" si="37"/>
        <v>4861.92</v>
      </c>
      <c r="L38" s="42"/>
      <c r="M38" s="84"/>
      <c r="N38" s="42"/>
      <c r="O38" s="42">
        <v>0</v>
      </c>
      <c r="P38" s="85"/>
      <c r="Q38" s="85"/>
      <c r="R38" s="42"/>
      <c r="S38" s="38"/>
      <c r="T38" s="38"/>
      <c r="U38" s="40"/>
      <c r="V38" s="40">
        <v>0</v>
      </c>
      <c r="W38" s="65">
        <f t="shared" si="38"/>
        <v>4861.92</v>
      </c>
      <c r="X38" s="38">
        <f t="shared" si="39"/>
        <v>486.19200000000001</v>
      </c>
      <c r="Y38" s="65">
        <f t="shared" si="40"/>
        <v>4375.7280000000001</v>
      </c>
      <c r="Z38" s="38">
        <f t="shared" si="41"/>
        <v>0</v>
      </c>
      <c r="AA38" s="38">
        <v>20.23</v>
      </c>
      <c r="AB38" s="38">
        <f t="shared" si="42"/>
        <v>0</v>
      </c>
      <c r="AC38" s="65">
        <f t="shared" si="43"/>
        <v>4882.1499999999996</v>
      </c>
      <c r="AD38" s="72"/>
      <c r="AE38" s="73"/>
      <c r="AF38" s="66">
        <f>+AD38+AE38-Y38</f>
        <v>-4375.7280000000001</v>
      </c>
      <c r="AG38" s="40"/>
      <c r="AH38" s="40"/>
    </row>
    <row r="39" spans="1:34" s="18" customFormat="1">
      <c r="A39" s="40" t="s">
        <v>28</v>
      </c>
      <c r="B39" s="40" t="s">
        <v>170</v>
      </c>
      <c r="C39" s="40"/>
      <c r="D39" s="40" t="s">
        <v>171</v>
      </c>
      <c r="E39" s="40" t="s">
        <v>172</v>
      </c>
      <c r="F39" s="75">
        <v>40618</v>
      </c>
      <c r="G39" s="42">
        <v>4251.3999999999996</v>
      </c>
      <c r="H39" s="42"/>
      <c r="I39" s="42"/>
      <c r="J39" s="64"/>
      <c r="K39" s="65">
        <f t="shared" si="37"/>
        <v>4251.3999999999996</v>
      </c>
      <c r="L39" s="42"/>
      <c r="M39" s="84"/>
      <c r="N39" s="42"/>
      <c r="O39" s="42">
        <v>0</v>
      </c>
      <c r="P39" s="85"/>
      <c r="Q39" s="85"/>
      <c r="R39" s="42"/>
      <c r="S39" s="38"/>
      <c r="T39" s="38"/>
      <c r="U39" s="40"/>
      <c r="V39" s="40">
        <v>0</v>
      </c>
      <c r="W39" s="65">
        <f t="shared" si="38"/>
        <v>4251.3999999999996</v>
      </c>
      <c r="X39" s="38">
        <f t="shared" si="39"/>
        <v>425.14</v>
      </c>
      <c r="Y39" s="65">
        <f t="shared" si="40"/>
        <v>3826.2599999999998</v>
      </c>
      <c r="Z39" s="38">
        <f t="shared" si="41"/>
        <v>0</v>
      </c>
      <c r="AA39" s="38">
        <v>21.23</v>
      </c>
      <c r="AB39" s="38">
        <f t="shared" si="42"/>
        <v>0</v>
      </c>
      <c r="AC39" s="65">
        <f t="shared" si="43"/>
        <v>4272.6299999999992</v>
      </c>
      <c r="AD39" s="72"/>
      <c r="AE39" s="73"/>
      <c r="AF39" s="66"/>
      <c r="AG39" s="40">
        <v>2659973974</v>
      </c>
      <c r="AH39" s="43"/>
    </row>
    <row r="40" spans="1:34" s="18" customFormat="1">
      <c r="A40" s="40" t="s">
        <v>30</v>
      </c>
      <c r="B40" s="40" t="s">
        <v>161</v>
      </c>
      <c r="C40" s="40" t="s">
        <v>132</v>
      </c>
      <c r="D40" s="40" t="s">
        <v>83</v>
      </c>
      <c r="E40" s="40" t="s">
        <v>32</v>
      </c>
      <c r="F40" s="70">
        <v>42296</v>
      </c>
      <c r="G40" s="42">
        <v>10255.69</v>
      </c>
      <c r="H40" s="42"/>
      <c r="I40" s="42"/>
      <c r="J40" s="64"/>
      <c r="K40" s="65">
        <f t="shared" si="37"/>
        <v>10255.69</v>
      </c>
      <c r="L40" s="42"/>
      <c r="M40" s="84"/>
      <c r="N40" s="42"/>
      <c r="O40" s="42">
        <v>0</v>
      </c>
      <c r="P40" s="85"/>
      <c r="Q40" s="85"/>
      <c r="R40" s="42"/>
      <c r="S40" s="38"/>
      <c r="T40" s="38"/>
      <c r="U40" s="40"/>
      <c r="V40" s="40">
        <v>3679</v>
      </c>
      <c r="W40" s="65">
        <f t="shared" si="38"/>
        <v>6576.6900000000005</v>
      </c>
      <c r="X40" s="38">
        <f t="shared" si="39"/>
        <v>1025.5690000000002</v>
      </c>
      <c r="Y40" s="65">
        <f t="shared" si="40"/>
        <v>5551.1210000000001</v>
      </c>
      <c r="Z40" s="38">
        <f t="shared" si="41"/>
        <v>0</v>
      </c>
      <c r="AA40" s="38">
        <v>10.23</v>
      </c>
      <c r="AB40" s="38">
        <f t="shared" si="42"/>
        <v>0</v>
      </c>
      <c r="AC40" s="65">
        <f t="shared" si="43"/>
        <v>10265.92</v>
      </c>
      <c r="AD40" s="72"/>
      <c r="AE40" s="73"/>
      <c r="AF40" s="66">
        <f>+AD40+AE40-Y40</f>
        <v>-5551.1210000000001</v>
      </c>
      <c r="AG40" s="40"/>
      <c r="AH40" s="43"/>
    </row>
    <row r="41" spans="1:34" s="18" customFormat="1">
      <c r="A41" s="40" t="s">
        <v>29</v>
      </c>
      <c r="B41" s="40" t="s">
        <v>39</v>
      </c>
      <c r="C41" s="40" t="s">
        <v>149</v>
      </c>
      <c r="D41" s="40" t="s">
        <v>62</v>
      </c>
      <c r="E41" s="40" t="s">
        <v>93</v>
      </c>
      <c r="F41" s="70">
        <v>42199</v>
      </c>
      <c r="G41" s="42">
        <v>8762.3700000000008</v>
      </c>
      <c r="H41" s="42"/>
      <c r="I41" s="42"/>
      <c r="J41" s="64"/>
      <c r="K41" s="65">
        <f t="shared" si="37"/>
        <v>8762.3700000000008</v>
      </c>
      <c r="L41" s="42"/>
      <c r="M41" s="84"/>
      <c r="N41" s="42"/>
      <c r="O41" s="42">
        <v>0</v>
      </c>
      <c r="P41" s="85"/>
      <c r="Q41" s="85"/>
      <c r="R41" s="42"/>
      <c r="S41" s="38"/>
      <c r="T41" s="38"/>
      <c r="U41" s="40"/>
      <c r="V41" s="40">
        <v>0</v>
      </c>
      <c r="W41" s="65">
        <f t="shared" si="38"/>
        <v>8762.3700000000008</v>
      </c>
      <c r="X41" s="38">
        <f t="shared" si="39"/>
        <v>876.23700000000008</v>
      </c>
      <c r="Y41" s="65">
        <f t="shared" si="40"/>
        <v>7886.1330000000007</v>
      </c>
      <c r="Z41" s="38">
        <f t="shared" si="41"/>
        <v>0</v>
      </c>
      <c r="AA41" s="38">
        <v>10.23</v>
      </c>
      <c r="AB41" s="38">
        <f t="shared" si="42"/>
        <v>0</v>
      </c>
      <c r="AC41" s="65">
        <f t="shared" si="43"/>
        <v>8772.6</v>
      </c>
      <c r="AD41" s="72"/>
      <c r="AE41" s="73"/>
      <c r="AF41" s="66">
        <f>+AD41+AE41-Y41</f>
        <v>-7886.1330000000007</v>
      </c>
      <c r="AG41" s="40"/>
      <c r="AH41" s="40"/>
    </row>
    <row r="42" spans="1:34" s="18" customFormat="1">
      <c r="A42" s="40" t="s">
        <v>30</v>
      </c>
      <c r="B42" s="40" t="s">
        <v>133</v>
      </c>
      <c r="C42" s="40" t="s">
        <v>132</v>
      </c>
      <c r="D42" s="40" t="s">
        <v>84</v>
      </c>
      <c r="E42" s="40" t="s">
        <v>32</v>
      </c>
      <c r="F42" s="70">
        <v>42304</v>
      </c>
      <c r="G42" s="42">
        <v>2757.51</v>
      </c>
      <c r="H42" s="42"/>
      <c r="I42" s="42"/>
      <c r="J42" s="64"/>
      <c r="K42" s="65">
        <f t="shared" si="37"/>
        <v>2757.51</v>
      </c>
      <c r="L42" s="42"/>
      <c r="M42" s="84"/>
      <c r="N42" s="42"/>
      <c r="O42" s="42">
        <v>0</v>
      </c>
      <c r="P42" s="85"/>
      <c r="Q42" s="85"/>
      <c r="R42" s="42"/>
      <c r="S42" s="38"/>
      <c r="T42" s="38"/>
      <c r="U42" s="40"/>
      <c r="V42" s="40">
        <v>0</v>
      </c>
      <c r="W42" s="65">
        <f t="shared" si="38"/>
        <v>2757.51</v>
      </c>
      <c r="X42" s="38">
        <f t="shared" si="39"/>
        <v>275.75100000000003</v>
      </c>
      <c r="Y42" s="65">
        <f t="shared" si="40"/>
        <v>2481.759</v>
      </c>
      <c r="Z42" s="38">
        <f t="shared" si="41"/>
        <v>0</v>
      </c>
      <c r="AA42" s="38">
        <v>10.23</v>
      </c>
      <c r="AB42" s="38">
        <f t="shared" si="42"/>
        <v>0</v>
      </c>
      <c r="AC42" s="65">
        <f t="shared" si="43"/>
        <v>2767.7400000000002</v>
      </c>
      <c r="AD42" s="66"/>
      <c r="AE42" s="66"/>
      <c r="AF42" s="66"/>
      <c r="AG42" s="40"/>
      <c r="AH42" s="43"/>
    </row>
    <row r="43" spans="1:34" s="18" customFormat="1">
      <c r="A43" s="40" t="s">
        <v>29</v>
      </c>
      <c r="B43" s="40" t="s">
        <v>180</v>
      </c>
      <c r="C43" s="40"/>
      <c r="D43" s="40"/>
      <c r="E43" s="40" t="s">
        <v>93</v>
      </c>
      <c r="F43" s="70">
        <v>42576</v>
      </c>
      <c r="G43" s="42">
        <v>5353.98</v>
      </c>
      <c r="H43" s="42"/>
      <c r="I43" s="42"/>
      <c r="J43" s="64"/>
      <c r="K43" s="65">
        <f t="shared" si="37"/>
        <v>5353.98</v>
      </c>
      <c r="L43" s="42"/>
      <c r="M43" s="84"/>
      <c r="N43" s="42"/>
      <c r="O43" s="42">
        <v>0</v>
      </c>
      <c r="P43" s="85"/>
      <c r="Q43" s="85"/>
      <c r="R43" s="42"/>
      <c r="S43" s="38"/>
      <c r="T43" s="38"/>
      <c r="U43" s="40"/>
      <c r="V43" s="40">
        <v>0</v>
      </c>
      <c r="W43" s="65">
        <f t="shared" si="38"/>
        <v>5353.98</v>
      </c>
      <c r="X43" s="38">
        <f t="shared" si="39"/>
        <v>535.39800000000002</v>
      </c>
      <c r="Y43" s="65">
        <f t="shared" si="40"/>
        <v>4818.5819999999994</v>
      </c>
      <c r="Z43" s="38">
        <f t="shared" si="41"/>
        <v>0</v>
      </c>
      <c r="AA43" s="38">
        <v>11.23</v>
      </c>
      <c r="AB43" s="38">
        <f t="shared" si="42"/>
        <v>0</v>
      </c>
      <c r="AC43" s="65">
        <f t="shared" si="43"/>
        <v>5365.2099999999991</v>
      </c>
      <c r="AD43" s="68"/>
      <c r="AE43" s="68"/>
      <c r="AF43" s="68"/>
      <c r="AG43" s="40">
        <v>2960710474</v>
      </c>
      <c r="AH43" s="43"/>
    </row>
    <row r="44" spans="1:34" s="18" customFormat="1">
      <c r="A44" s="40" t="s">
        <v>44</v>
      </c>
      <c r="B44" s="40" t="s">
        <v>104</v>
      </c>
      <c r="C44" s="40"/>
      <c r="D44" s="40"/>
      <c r="E44" s="40" t="s">
        <v>92</v>
      </c>
      <c r="F44" s="70">
        <v>42413</v>
      </c>
      <c r="G44" s="92">
        <v>180</v>
      </c>
      <c r="H44" s="42"/>
      <c r="I44" s="42"/>
      <c r="J44" s="64"/>
      <c r="K44" s="65">
        <f t="shared" si="37"/>
        <v>180</v>
      </c>
      <c r="L44" s="42"/>
      <c r="M44" s="84"/>
      <c r="N44" s="42"/>
      <c r="O44" s="42">
        <v>0</v>
      </c>
      <c r="P44" s="85"/>
      <c r="Q44" s="85"/>
      <c r="R44" s="42"/>
      <c r="S44" s="38"/>
      <c r="T44" s="38"/>
      <c r="U44" s="40"/>
      <c r="V44" s="40">
        <v>0</v>
      </c>
      <c r="W44" s="65">
        <f t="shared" si="38"/>
        <v>180</v>
      </c>
      <c r="X44" s="38">
        <f t="shared" si="39"/>
        <v>0</v>
      </c>
      <c r="Y44" s="65">
        <f t="shared" si="40"/>
        <v>180</v>
      </c>
      <c r="Z44" s="38">
        <f t="shared" si="41"/>
        <v>18</v>
      </c>
      <c r="AA44" s="38">
        <v>10.23</v>
      </c>
      <c r="AB44" s="38">
        <f t="shared" si="42"/>
        <v>0</v>
      </c>
      <c r="AC44" s="65">
        <f t="shared" si="43"/>
        <v>208.23</v>
      </c>
      <c r="AD44" s="72"/>
      <c r="AE44" s="73"/>
      <c r="AF44" s="66">
        <f t="shared" ref="AF44:AF47" si="47">+AD44+AE44-Y44</f>
        <v>-180</v>
      </c>
      <c r="AG44" s="40"/>
      <c r="AH44" s="40"/>
    </row>
    <row r="45" spans="1:34" s="18" customFormat="1">
      <c r="A45" s="40" t="s">
        <v>30</v>
      </c>
      <c r="B45" s="40" t="s">
        <v>158</v>
      </c>
      <c r="C45" s="40" t="s">
        <v>132</v>
      </c>
      <c r="D45" s="40" t="s">
        <v>85</v>
      </c>
      <c r="E45" s="40" t="s">
        <v>32</v>
      </c>
      <c r="F45" s="70">
        <v>41622</v>
      </c>
      <c r="G45" s="42">
        <v>121.11</v>
      </c>
      <c r="H45" s="42"/>
      <c r="I45" s="42"/>
      <c r="J45" s="64"/>
      <c r="K45" s="65">
        <f t="shared" si="37"/>
        <v>121.11</v>
      </c>
      <c r="L45" s="42"/>
      <c r="M45" s="84"/>
      <c r="N45" s="42"/>
      <c r="O45" s="42">
        <v>0</v>
      </c>
      <c r="P45" s="85"/>
      <c r="Q45" s="85"/>
      <c r="R45" s="42"/>
      <c r="S45" s="38"/>
      <c r="T45" s="38"/>
      <c r="U45" s="40"/>
      <c r="V45" s="40">
        <v>0</v>
      </c>
      <c r="W45" s="65">
        <f t="shared" si="38"/>
        <v>121.11</v>
      </c>
      <c r="X45" s="38">
        <f t="shared" si="39"/>
        <v>0</v>
      </c>
      <c r="Y45" s="65">
        <f t="shared" si="40"/>
        <v>121.11</v>
      </c>
      <c r="Z45" s="38">
        <f t="shared" si="41"/>
        <v>12.111000000000001</v>
      </c>
      <c r="AA45" s="38">
        <v>10.23</v>
      </c>
      <c r="AB45" s="38">
        <f t="shared" si="42"/>
        <v>0</v>
      </c>
      <c r="AC45" s="65">
        <f t="shared" si="43"/>
        <v>143.45099999999999</v>
      </c>
      <c r="AD45" s="72"/>
      <c r="AE45" s="72"/>
      <c r="AF45" s="66">
        <f t="shared" si="47"/>
        <v>-121.11</v>
      </c>
      <c r="AG45" s="40"/>
      <c r="AH45" s="40"/>
    </row>
    <row r="46" spans="1:34" s="18" customFormat="1">
      <c r="A46" s="40" t="s">
        <v>30</v>
      </c>
      <c r="B46" s="40" t="s">
        <v>164</v>
      </c>
      <c r="C46" s="40" t="s">
        <v>129</v>
      </c>
      <c r="D46" s="40">
        <v>30</v>
      </c>
      <c r="E46" s="40" t="s">
        <v>32</v>
      </c>
      <c r="F46" s="70">
        <v>37834</v>
      </c>
      <c r="G46" s="42">
        <v>13625.1</v>
      </c>
      <c r="H46" s="42"/>
      <c r="I46" s="42"/>
      <c r="J46" s="64"/>
      <c r="K46" s="65">
        <f t="shared" si="37"/>
        <v>13625.1</v>
      </c>
      <c r="L46" s="42"/>
      <c r="M46" s="84"/>
      <c r="N46" s="42"/>
      <c r="O46" s="42">
        <v>0</v>
      </c>
      <c r="P46" s="85"/>
      <c r="Q46" s="85"/>
      <c r="R46" s="42"/>
      <c r="S46" s="38"/>
      <c r="T46" s="38"/>
      <c r="U46" s="40"/>
      <c r="V46" s="40">
        <v>0</v>
      </c>
      <c r="W46" s="65">
        <f t="shared" si="38"/>
        <v>13625.1</v>
      </c>
      <c r="X46" s="38">
        <f t="shared" si="39"/>
        <v>1362.5100000000002</v>
      </c>
      <c r="Y46" s="65">
        <f t="shared" si="40"/>
        <v>12262.59</v>
      </c>
      <c r="Z46" s="38">
        <f t="shared" si="41"/>
        <v>0</v>
      </c>
      <c r="AA46" s="38">
        <v>10.23</v>
      </c>
      <c r="AB46" s="38">
        <f t="shared" si="42"/>
        <v>0</v>
      </c>
      <c r="AC46" s="65">
        <f t="shared" si="43"/>
        <v>13635.33</v>
      </c>
      <c r="AD46" s="72"/>
      <c r="AE46" s="73"/>
      <c r="AF46" s="66">
        <f t="shared" si="47"/>
        <v>-12262.59</v>
      </c>
      <c r="AG46" s="40"/>
      <c r="AH46" s="43"/>
    </row>
    <row r="47" spans="1:34" s="18" customFormat="1">
      <c r="A47" s="40" t="s">
        <v>30</v>
      </c>
      <c r="B47" s="40" t="s">
        <v>112</v>
      </c>
      <c r="C47" s="40" t="s">
        <v>127</v>
      </c>
      <c r="D47" s="40" t="s">
        <v>86</v>
      </c>
      <c r="E47" s="40" t="s">
        <v>32</v>
      </c>
      <c r="F47" s="70">
        <v>42394</v>
      </c>
      <c r="G47" s="42">
        <v>12430.72</v>
      </c>
      <c r="H47" s="42"/>
      <c r="I47" s="42"/>
      <c r="J47" s="64"/>
      <c r="K47" s="65">
        <f t="shared" si="37"/>
        <v>12430.72</v>
      </c>
      <c r="L47" s="42">
        <v>275</v>
      </c>
      <c r="M47" s="84"/>
      <c r="N47" s="42"/>
      <c r="O47" s="42">
        <v>0</v>
      </c>
      <c r="P47" s="85"/>
      <c r="Q47" s="85"/>
      <c r="R47" s="42"/>
      <c r="S47" s="38"/>
      <c r="T47" s="38"/>
      <c r="U47" s="67"/>
      <c r="V47" s="67">
        <v>925.57</v>
      </c>
      <c r="W47" s="65">
        <f t="shared" si="38"/>
        <v>11230.15</v>
      </c>
      <c r="X47" s="38">
        <f t="shared" si="39"/>
        <v>1243.0720000000001</v>
      </c>
      <c r="Y47" s="65">
        <f t="shared" si="40"/>
        <v>9987.0779999999995</v>
      </c>
      <c r="Z47" s="38">
        <f t="shared" si="41"/>
        <v>0</v>
      </c>
      <c r="AA47" s="38">
        <v>10.23</v>
      </c>
      <c r="AB47" s="38">
        <f t="shared" si="42"/>
        <v>0</v>
      </c>
      <c r="AC47" s="65">
        <f t="shared" si="43"/>
        <v>12440.949999999999</v>
      </c>
      <c r="AD47" s="72"/>
      <c r="AE47" s="73"/>
      <c r="AF47" s="66">
        <f t="shared" si="47"/>
        <v>-9987.0779999999995</v>
      </c>
      <c r="AG47" s="40"/>
      <c r="AH47" s="43" t="s">
        <v>239</v>
      </c>
    </row>
    <row r="48" spans="1:34" s="18" customFormat="1">
      <c r="A48" s="40" t="s">
        <v>30</v>
      </c>
      <c r="B48" s="40" t="s">
        <v>205</v>
      </c>
      <c r="C48" s="40"/>
      <c r="D48" s="40"/>
      <c r="E48" s="40" t="s">
        <v>32</v>
      </c>
      <c r="F48" s="70">
        <v>42342</v>
      </c>
      <c r="G48" s="42">
        <v>7379.27</v>
      </c>
      <c r="H48" s="42"/>
      <c r="I48" s="42"/>
      <c r="J48" s="64"/>
      <c r="K48" s="65">
        <f t="shared" si="37"/>
        <v>7379.27</v>
      </c>
      <c r="L48" s="42">
        <v>200</v>
      </c>
      <c r="M48" s="84"/>
      <c r="N48" s="42"/>
      <c r="O48" s="42">
        <v>0</v>
      </c>
      <c r="P48" s="85"/>
      <c r="Q48" s="85"/>
      <c r="R48" s="42"/>
      <c r="S48" s="38">
        <v>257.3</v>
      </c>
      <c r="T48" s="38"/>
      <c r="U48" s="67"/>
      <c r="V48" s="67"/>
      <c r="W48" s="65">
        <f t="shared" ref="W48" si="48">+K48-SUM(L48:V48)</f>
        <v>6921.97</v>
      </c>
      <c r="X48" s="38">
        <f t="shared" ref="X48" si="49">IF(K48&gt;2250,K48*0.1,0)</f>
        <v>737.92700000000013</v>
      </c>
      <c r="Y48" s="65">
        <f t="shared" ref="Y48" si="50">+W48-X48</f>
        <v>6184.0429999999997</v>
      </c>
      <c r="Z48" s="38"/>
      <c r="AA48" s="38"/>
      <c r="AB48" s="38"/>
      <c r="AC48" s="65"/>
      <c r="AD48" s="72"/>
      <c r="AE48" s="73"/>
      <c r="AF48" s="66"/>
      <c r="AG48" s="40"/>
      <c r="AH48" s="43" t="s">
        <v>239</v>
      </c>
    </row>
    <row r="49" spans="1:34" s="18" customFormat="1">
      <c r="A49" s="40" t="s">
        <v>30</v>
      </c>
      <c r="B49" s="40" t="s">
        <v>208</v>
      </c>
      <c r="C49" s="40"/>
      <c r="D49" s="40"/>
      <c r="E49" s="40" t="s">
        <v>32</v>
      </c>
      <c r="F49" s="70">
        <v>42648</v>
      </c>
      <c r="G49" s="42">
        <v>6166.61</v>
      </c>
      <c r="H49" s="42"/>
      <c r="I49" s="42"/>
      <c r="J49" s="64"/>
      <c r="K49" s="65">
        <f t="shared" si="37"/>
        <v>6166.61</v>
      </c>
      <c r="L49" s="42"/>
      <c r="M49" s="84"/>
      <c r="N49" s="42"/>
      <c r="O49" s="42"/>
      <c r="P49" s="85"/>
      <c r="Q49" s="85"/>
      <c r="R49" s="42"/>
      <c r="S49" s="38"/>
      <c r="T49" s="38"/>
      <c r="U49" s="67"/>
      <c r="V49" s="67"/>
      <c r="W49" s="65">
        <f t="shared" ref="W49" si="51">+K49-SUM(L49:V49)</f>
        <v>6166.61</v>
      </c>
      <c r="X49" s="38">
        <f t="shared" ref="X49" si="52">IF(K49&gt;2250,K49*0.1,0)</f>
        <v>616.66100000000006</v>
      </c>
      <c r="Y49" s="65">
        <f t="shared" ref="Y49" si="53">+W49-X49</f>
        <v>5549.9489999999996</v>
      </c>
      <c r="Z49" s="38"/>
      <c r="AA49" s="38"/>
      <c r="AB49" s="38"/>
      <c r="AC49" s="65"/>
      <c r="AD49" s="72"/>
      <c r="AE49" s="73"/>
      <c r="AF49" s="66"/>
      <c r="AG49" s="40">
        <v>1128031436</v>
      </c>
      <c r="AH49" s="43"/>
    </row>
    <row r="50" spans="1:34" s="18" customFormat="1">
      <c r="A50" s="40" t="s">
        <v>29</v>
      </c>
      <c r="B50" s="40" t="s">
        <v>220</v>
      </c>
      <c r="C50" s="40"/>
      <c r="D50" s="40"/>
      <c r="E50" s="40" t="s">
        <v>93</v>
      </c>
      <c r="F50" s="70">
        <v>42644</v>
      </c>
      <c r="G50" s="42">
        <v>5768.2</v>
      </c>
      <c r="H50" s="42"/>
      <c r="I50" s="42"/>
      <c r="J50" s="64"/>
      <c r="K50" s="65">
        <f t="shared" si="37"/>
        <v>5768.2</v>
      </c>
      <c r="L50" s="42">
        <v>200</v>
      </c>
      <c r="M50" s="84"/>
      <c r="N50" s="42"/>
      <c r="O50" s="42"/>
      <c r="P50" s="85"/>
      <c r="Q50" s="85"/>
      <c r="R50" s="42"/>
      <c r="S50" s="38"/>
      <c r="T50" s="38"/>
      <c r="U50" s="67"/>
      <c r="V50" s="67"/>
      <c r="W50" s="65">
        <f t="shared" ref="W50" si="54">+K50-SUM(L50:V50)</f>
        <v>5568.2</v>
      </c>
      <c r="X50" s="38">
        <f t="shared" ref="X50" si="55">IF(K50&gt;2250,K50*0.1,0)</f>
        <v>576.82000000000005</v>
      </c>
      <c r="Y50" s="65">
        <f t="shared" ref="Y50" si="56">+W50-X50</f>
        <v>4991.38</v>
      </c>
      <c r="Z50" s="38"/>
      <c r="AA50" s="38"/>
      <c r="AB50" s="38"/>
      <c r="AC50" s="65"/>
      <c r="AD50" s="72"/>
      <c r="AE50" s="73"/>
      <c r="AF50" s="66"/>
      <c r="AG50" s="40">
        <v>2778034427</v>
      </c>
      <c r="AH50" s="43" t="s">
        <v>239</v>
      </c>
    </row>
    <row r="51" spans="1:34" s="18" customFormat="1">
      <c r="A51" s="40" t="s">
        <v>44</v>
      </c>
      <c r="B51" s="40" t="s">
        <v>189</v>
      </c>
      <c r="C51" s="40"/>
      <c r="D51" s="40"/>
      <c r="E51" s="40" t="s">
        <v>92</v>
      </c>
      <c r="F51" s="70">
        <v>41709</v>
      </c>
      <c r="G51" s="92">
        <v>433</v>
      </c>
      <c r="H51" s="42"/>
      <c r="I51" s="42"/>
      <c r="J51" s="64"/>
      <c r="K51" s="65">
        <f t="shared" si="37"/>
        <v>433</v>
      </c>
      <c r="L51" s="42"/>
      <c r="M51" s="84"/>
      <c r="N51" s="42"/>
      <c r="O51" s="42"/>
      <c r="P51" s="85"/>
      <c r="Q51" s="85"/>
      <c r="R51" s="42"/>
      <c r="S51" s="38"/>
      <c r="T51" s="38"/>
      <c r="U51" s="40"/>
      <c r="V51" s="40">
        <v>0</v>
      </c>
      <c r="W51" s="65">
        <f t="shared" si="38"/>
        <v>433</v>
      </c>
      <c r="X51" s="38">
        <f t="shared" si="39"/>
        <v>0</v>
      </c>
      <c r="Y51" s="65">
        <f t="shared" si="40"/>
        <v>433</v>
      </c>
      <c r="Z51" s="38">
        <f t="shared" si="41"/>
        <v>43.300000000000004</v>
      </c>
      <c r="AA51" s="38">
        <v>11.23</v>
      </c>
      <c r="AB51" s="38">
        <f t="shared" si="42"/>
        <v>0</v>
      </c>
      <c r="AC51" s="65">
        <f t="shared" si="43"/>
        <v>487.53000000000003</v>
      </c>
      <c r="AD51" s="72"/>
      <c r="AE51" s="73"/>
      <c r="AF51" s="66"/>
      <c r="AG51" s="40">
        <v>2836126510</v>
      </c>
      <c r="AH51" s="40"/>
    </row>
    <row r="52" spans="1:34" s="18" customFormat="1">
      <c r="A52" s="40" t="s">
        <v>30</v>
      </c>
      <c r="B52" s="40" t="s">
        <v>144</v>
      </c>
      <c r="C52" s="40" t="s">
        <v>132</v>
      </c>
      <c r="D52" s="40" t="s">
        <v>87</v>
      </c>
      <c r="E52" s="40" t="s">
        <v>32</v>
      </c>
      <c r="F52" s="70">
        <v>42251</v>
      </c>
      <c r="G52" s="42">
        <v>2917.39</v>
      </c>
      <c r="H52" s="42"/>
      <c r="I52" s="42"/>
      <c r="J52" s="64"/>
      <c r="K52" s="65">
        <f t="shared" si="37"/>
        <v>2917.39</v>
      </c>
      <c r="L52" s="42"/>
      <c r="M52" s="84"/>
      <c r="N52" s="42"/>
      <c r="O52" s="42">
        <v>0</v>
      </c>
      <c r="P52" s="85"/>
      <c r="Q52" s="85"/>
      <c r="R52" s="42"/>
      <c r="S52" s="38"/>
      <c r="T52" s="38"/>
      <c r="U52" s="40"/>
      <c r="V52" s="40">
        <v>0</v>
      </c>
      <c r="W52" s="65">
        <f t="shared" si="38"/>
        <v>2917.39</v>
      </c>
      <c r="X52" s="38">
        <f t="shared" si="39"/>
        <v>291.73899999999998</v>
      </c>
      <c r="Y52" s="65">
        <f t="shared" si="40"/>
        <v>2625.6509999999998</v>
      </c>
      <c r="Z52" s="38">
        <f t="shared" si="41"/>
        <v>0</v>
      </c>
      <c r="AA52" s="38">
        <v>10.23</v>
      </c>
      <c r="AB52" s="38">
        <f t="shared" si="42"/>
        <v>0</v>
      </c>
      <c r="AC52" s="65">
        <f t="shared" si="43"/>
        <v>2927.62</v>
      </c>
      <c r="AD52" s="72"/>
      <c r="AE52" s="73"/>
      <c r="AF52" s="66">
        <f t="shared" ref="AF52:AF53" si="57">+AD52+AE52-Y52</f>
        <v>-2625.6509999999998</v>
      </c>
      <c r="AH52" s="40"/>
    </row>
    <row r="53" spans="1:34" s="18" customFormat="1">
      <c r="A53" s="40" t="s">
        <v>42</v>
      </c>
      <c r="B53" s="40" t="s">
        <v>167</v>
      </c>
      <c r="C53" s="40"/>
      <c r="D53" s="40"/>
      <c r="E53" s="40" t="s">
        <v>31</v>
      </c>
      <c r="F53" s="70">
        <v>42506</v>
      </c>
      <c r="G53" s="42">
        <v>1461.21</v>
      </c>
      <c r="H53" s="42"/>
      <c r="I53" s="42"/>
      <c r="J53" s="64"/>
      <c r="K53" s="65">
        <f t="shared" si="37"/>
        <v>1461.21</v>
      </c>
      <c r="L53" s="42"/>
      <c r="M53" s="84"/>
      <c r="N53" s="42"/>
      <c r="O53" s="42">
        <v>0</v>
      </c>
      <c r="P53" s="85"/>
      <c r="Q53" s="85"/>
      <c r="R53" s="42"/>
      <c r="S53" s="38"/>
      <c r="T53" s="38"/>
      <c r="U53" s="40"/>
      <c r="V53" s="40">
        <v>0</v>
      </c>
      <c r="W53" s="65">
        <f t="shared" si="38"/>
        <v>1461.21</v>
      </c>
      <c r="X53" s="38">
        <f t="shared" si="39"/>
        <v>0</v>
      </c>
      <c r="Y53" s="65">
        <f t="shared" si="40"/>
        <v>1461.21</v>
      </c>
      <c r="Z53" s="38">
        <f t="shared" si="41"/>
        <v>146.12100000000001</v>
      </c>
      <c r="AA53" s="38">
        <v>10.23</v>
      </c>
      <c r="AB53" s="38">
        <f t="shared" si="42"/>
        <v>0</v>
      </c>
      <c r="AC53" s="65">
        <f t="shared" si="43"/>
        <v>1617.5610000000001</v>
      </c>
      <c r="AD53" s="72"/>
      <c r="AE53" s="72"/>
      <c r="AF53" s="66">
        <f t="shared" si="57"/>
        <v>-1461.21</v>
      </c>
      <c r="AG53" s="53">
        <v>2928860106</v>
      </c>
      <c r="AH53" s="43"/>
    </row>
    <row r="54" spans="1:34" s="18" customFormat="1">
      <c r="A54" s="40" t="s">
        <v>30</v>
      </c>
      <c r="B54" s="40" t="s">
        <v>174</v>
      </c>
      <c r="C54" s="40"/>
      <c r="D54" s="40"/>
      <c r="E54" s="40" t="s">
        <v>32</v>
      </c>
      <c r="F54" s="70">
        <v>42522</v>
      </c>
      <c r="G54" s="42">
        <v>3612.56</v>
      </c>
      <c r="H54" s="42"/>
      <c r="I54" s="42"/>
      <c r="J54" s="64"/>
      <c r="K54" s="65">
        <f t="shared" ref="K54:K69" si="58">SUM(G54:I54)-J54</f>
        <v>3612.56</v>
      </c>
      <c r="L54" s="42"/>
      <c r="M54" s="84"/>
      <c r="N54" s="42"/>
      <c r="O54" s="42">
        <v>0</v>
      </c>
      <c r="P54" s="85"/>
      <c r="Q54" s="85"/>
      <c r="R54" s="42"/>
      <c r="S54" s="38"/>
      <c r="T54" s="38"/>
      <c r="U54" s="40"/>
      <c r="V54" s="40">
        <v>0</v>
      </c>
      <c r="W54" s="65">
        <f t="shared" ref="W54:W67" si="59">+K54-SUM(L54:V54)</f>
        <v>3612.56</v>
      </c>
      <c r="X54" s="38">
        <f t="shared" ref="X54:X59" si="60">IF(K54&gt;2250,K54*0.1,0)</f>
        <v>361.25600000000003</v>
      </c>
      <c r="Y54" s="65">
        <f t="shared" ref="Y54:Y67" si="61">+W54-X54</f>
        <v>3251.3040000000001</v>
      </c>
      <c r="Z54" s="38">
        <f t="shared" ref="Z54:Z66" si="62">IF(K54&lt;2250,K54*0.1,0)</f>
        <v>0</v>
      </c>
      <c r="AA54" s="38">
        <v>10.23</v>
      </c>
      <c r="AB54" s="38">
        <f t="shared" ref="AB54:AB66" si="63">+P54</f>
        <v>0</v>
      </c>
      <c r="AC54" s="65">
        <f t="shared" ref="AC54:AC66" si="64">+K54+Z54+AA54+AB54</f>
        <v>3622.79</v>
      </c>
      <c r="AD54" s="72"/>
      <c r="AE54" s="72"/>
      <c r="AF54" s="66"/>
      <c r="AG54" s="40">
        <v>2952708604</v>
      </c>
      <c r="AH54" s="43"/>
    </row>
    <row r="55" spans="1:34" s="18" customFormat="1">
      <c r="A55" s="40" t="s">
        <v>30</v>
      </c>
      <c r="B55" s="40" t="s">
        <v>113</v>
      </c>
      <c r="C55" s="40" t="s">
        <v>129</v>
      </c>
      <c r="D55" s="45" t="s">
        <v>114</v>
      </c>
      <c r="E55" s="40" t="s">
        <v>32</v>
      </c>
      <c r="F55" s="70">
        <v>42396</v>
      </c>
      <c r="G55" s="42">
        <v>7295.82</v>
      </c>
      <c r="H55" s="42"/>
      <c r="I55" s="42"/>
      <c r="J55" s="64"/>
      <c r="K55" s="65">
        <f t="shared" si="58"/>
        <v>7295.82</v>
      </c>
      <c r="L55" s="42"/>
      <c r="M55" s="84"/>
      <c r="N55" s="42"/>
      <c r="O55" s="42">
        <v>0</v>
      </c>
      <c r="P55" s="85"/>
      <c r="Q55" s="85"/>
      <c r="R55" s="42"/>
      <c r="S55" s="38"/>
      <c r="T55" s="38"/>
      <c r="U55" s="40"/>
      <c r="V55" s="40">
        <v>481</v>
      </c>
      <c r="W55" s="65">
        <f t="shared" si="59"/>
        <v>6814.82</v>
      </c>
      <c r="X55" s="38">
        <f t="shared" si="60"/>
        <v>729.58199999999999</v>
      </c>
      <c r="Y55" s="65">
        <f t="shared" si="61"/>
        <v>6085.2379999999994</v>
      </c>
      <c r="Z55" s="38">
        <f t="shared" si="62"/>
        <v>0</v>
      </c>
      <c r="AA55" s="38">
        <v>10.23</v>
      </c>
      <c r="AB55" s="38">
        <f t="shared" si="63"/>
        <v>0</v>
      </c>
      <c r="AC55" s="65">
        <f t="shared" si="64"/>
        <v>7306.0499999999993</v>
      </c>
      <c r="AD55" s="72"/>
      <c r="AE55" s="72"/>
      <c r="AF55" s="66">
        <f t="shared" ref="AF55:AF59" si="65">+AD55+AE55-Y55</f>
        <v>-6085.2379999999994</v>
      </c>
      <c r="AG55" s="40"/>
      <c r="AH55" s="43"/>
    </row>
    <row r="56" spans="1:34" s="18" customFormat="1">
      <c r="A56" s="40" t="s">
        <v>42</v>
      </c>
      <c r="B56" s="40" t="s">
        <v>124</v>
      </c>
      <c r="C56" s="40"/>
      <c r="D56" s="40" t="s">
        <v>59</v>
      </c>
      <c r="E56" s="40" t="s">
        <v>92</v>
      </c>
      <c r="F56" s="70">
        <v>42321</v>
      </c>
      <c r="G56" s="92"/>
      <c r="H56" s="42"/>
      <c r="I56" s="42"/>
      <c r="J56" s="64"/>
      <c r="K56" s="65">
        <f t="shared" si="58"/>
        <v>0</v>
      </c>
      <c r="L56" s="42"/>
      <c r="M56" s="84"/>
      <c r="N56" s="42"/>
      <c r="O56" s="42">
        <v>0</v>
      </c>
      <c r="P56" s="85"/>
      <c r="Q56" s="85"/>
      <c r="R56" s="42"/>
      <c r="S56" s="38"/>
      <c r="T56" s="38"/>
      <c r="U56" s="40"/>
      <c r="V56" s="40">
        <v>0</v>
      </c>
      <c r="W56" s="65">
        <f t="shared" si="59"/>
        <v>0</v>
      </c>
      <c r="X56" s="38">
        <f t="shared" si="60"/>
        <v>0</v>
      </c>
      <c r="Y56" s="65">
        <f t="shared" si="61"/>
        <v>0</v>
      </c>
      <c r="Z56" s="38">
        <f t="shared" si="62"/>
        <v>0</v>
      </c>
      <c r="AA56" s="38">
        <v>10.23</v>
      </c>
      <c r="AB56" s="38">
        <f t="shared" si="63"/>
        <v>0</v>
      </c>
      <c r="AC56" s="65">
        <f t="shared" si="64"/>
        <v>10.23</v>
      </c>
      <c r="AD56" s="72"/>
      <c r="AE56" s="73"/>
      <c r="AF56" s="66">
        <f t="shared" si="65"/>
        <v>0</v>
      </c>
      <c r="AG56" s="40"/>
      <c r="AH56" s="40"/>
    </row>
    <row r="57" spans="1:34" s="18" customFormat="1">
      <c r="A57" s="40" t="s">
        <v>42</v>
      </c>
      <c r="B57" s="40" t="s">
        <v>203</v>
      </c>
      <c r="C57" s="40"/>
      <c r="D57" s="40"/>
      <c r="E57" s="40" t="s">
        <v>31</v>
      </c>
      <c r="F57" s="70">
        <v>42646</v>
      </c>
      <c r="G57" s="42">
        <v>1425.87</v>
      </c>
      <c r="H57" s="42"/>
      <c r="I57" s="42"/>
      <c r="J57" s="64"/>
      <c r="K57" s="65">
        <f t="shared" si="58"/>
        <v>1425.87</v>
      </c>
      <c r="L57" s="42">
        <v>200</v>
      </c>
      <c r="M57" s="84"/>
      <c r="N57" s="42"/>
      <c r="O57" s="42">
        <v>0</v>
      </c>
      <c r="P57" s="85"/>
      <c r="Q57" s="85"/>
      <c r="R57" s="42"/>
      <c r="S57" s="38"/>
      <c r="T57" s="38"/>
      <c r="U57" s="40"/>
      <c r="V57" s="40"/>
      <c r="W57" s="65">
        <f t="shared" ref="W57" si="66">+K57-SUM(L57:V57)</f>
        <v>1225.8699999999999</v>
      </c>
      <c r="X57" s="38">
        <f t="shared" ref="X57" si="67">IF(K57&gt;2250,K57*0.1,0)</f>
        <v>0</v>
      </c>
      <c r="Y57" s="65">
        <f t="shared" ref="Y57" si="68">+W57-X57</f>
        <v>1225.8699999999999</v>
      </c>
      <c r="Z57" s="38"/>
      <c r="AA57" s="38"/>
      <c r="AB57" s="38"/>
      <c r="AC57" s="65"/>
      <c r="AD57" s="72"/>
      <c r="AE57" s="73"/>
      <c r="AF57" s="66"/>
      <c r="AG57" s="40">
        <v>1128532117</v>
      </c>
      <c r="AH57" s="43" t="s">
        <v>239</v>
      </c>
    </row>
    <row r="58" spans="1:34" s="18" customFormat="1">
      <c r="A58" s="40" t="s">
        <v>42</v>
      </c>
      <c r="B58" s="40" t="s">
        <v>122</v>
      </c>
      <c r="C58" s="40"/>
      <c r="D58" s="40" t="s">
        <v>47</v>
      </c>
      <c r="E58" s="40" t="s">
        <v>31</v>
      </c>
      <c r="F58" s="70">
        <v>42065</v>
      </c>
      <c r="G58" s="42">
        <v>1728.34</v>
      </c>
      <c r="H58" s="42"/>
      <c r="I58" s="42"/>
      <c r="J58" s="64"/>
      <c r="K58" s="65">
        <f t="shared" si="58"/>
        <v>1728.34</v>
      </c>
      <c r="L58" s="42"/>
      <c r="M58" s="84"/>
      <c r="N58" s="42"/>
      <c r="O58" s="42">
        <v>0</v>
      </c>
      <c r="P58" s="85"/>
      <c r="Q58" s="85"/>
      <c r="R58" s="42"/>
      <c r="S58" s="38"/>
      <c r="T58" s="38"/>
      <c r="U58" s="40"/>
      <c r="V58" s="40">
        <v>0</v>
      </c>
      <c r="W58" s="65">
        <f t="shared" si="59"/>
        <v>1728.34</v>
      </c>
      <c r="X58" s="38">
        <f t="shared" si="60"/>
        <v>0</v>
      </c>
      <c r="Y58" s="65">
        <f t="shared" si="61"/>
        <v>1728.34</v>
      </c>
      <c r="Z58" s="38">
        <f t="shared" si="62"/>
        <v>172.834</v>
      </c>
      <c r="AA58" s="38">
        <v>10.23</v>
      </c>
      <c r="AB58" s="38">
        <f t="shared" si="63"/>
        <v>0</v>
      </c>
      <c r="AC58" s="65">
        <f t="shared" si="64"/>
        <v>1911.404</v>
      </c>
      <c r="AD58" s="72"/>
      <c r="AE58" s="73"/>
      <c r="AF58" s="66">
        <f t="shared" si="65"/>
        <v>-1728.34</v>
      </c>
      <c r="AG58" s="40"/>
      <c r="AH58" s="43"/>
    </row>
    <row r="59" spans="1:34" s="18" customFormat="1">
      <c r="A59" s="40" t="s">
        <v>30</v>
      </c>
      <c r="B59" s="40" t="s">
        <v>41</v>
      </c>
      <c r="C59" s="40" t="s">
        <v>127</v>
      </c>
      <c r="D59" s="40" t="s">
        <v>88</v>
      </c>
      <c r="E59" s="40" t="s">
        <v>32</v>
      </c>
      <c r="F59" s="70">
        <v>41218</v>
      </c>
      <c r="G59" s="42">
        <v>944.8</v>
      </c>
      <c r="H59" s="42"/>
      <c r="I59" s="42"/>
      <c r="J59" s="64"/>
      <c r="K59" s="65">
        <f t="shared" si="58"/>
        <v>944.8</v>
      </c>
      <c r="L59" s="42"/>
      <c r="M59" s="84"/>
      <c r="N59" s="42"/>
      <c r="O59" s="42">
        <v>0</v>
      </c>
      <c r="P59" s="85"/>
      <c r="Q59" s="85"/>
      <c r="R59" s="42"/>
      <c r="S59" s="38"/>
      <c r="T59" s="38"/>
      <c r="U59" s="40"/>
      <c r="V59" s="40">
        <v>0</v>
      </c>
      <c r="W59" s="65">
        <f t="shared" si="59"/>
        <v>944.8</v>
      </c>
      <c r="X59" s="38">
        <f t="shared" si="60"/>
        <v>0</v>
      </c>
      <c r="Y59" s="65">
        <f t="shared" si="61"/>
        <v>944.8</v>
      </c>
      <c r="Z59" s="38">
        <f t="shared" si="62"/>
        <v>94.48</v>
      </c>
      <c r="AA59" s="38">
        <v>10.23</v>
      </c>
      <c r="AB59" s="38">
        <f t="shared" si="63"/>
        <v>0</v>
      </c>
      <c r="AC59" s="65">
        <f t="shared" si="64"/>
        <v>1049.51</v>
      </c>
      <c r="AD59" s="72"/>
      <c r="AE59" s="73"/>
      <c r="AF59" s="66">
        <f t="shared" si="65"/>
        <v>-944.8</v>
      </c>
      <c r="AG59" s="40"/>
      <c r="AH59" s="40"/>
    </row>
    <row r="60" spans="1:34" s="18" customFormat="1">
      <c r="A60" s="40" t="s">
        <v>28</v>
      </c>
      <c r="B60" s="40" t="s">
        <v>199</v>
      </c>
      <c r="C60" s="40"/>
      <c r="D60" s="40"/>
      <c r="E60" s="40" t="s">
        <v>196</v>
      </c>
      <c r="F60" s="70">
        <v>42241</v>
      </c>
      <c r="G60" s="42">
        <v>923.13</v>
      </c>
      <c r="H60" s="42"/>
      <c r="I60" s="42"/>
      <c r="J60" s="64"/>
      <c r="K60" s="65">
        <f t="shared" si="58"/>
        <v>923.13</v>
      </c>
      <c r="L60" s="42"/>
      <c r="M60" s="84"/>
      <c r="N60" s="42"/>
      <c r="O60" s="42"/>
      <c r="P60" s="85"/>
      <c r="Q60" s="85"/>
      <c r="R60" s="42"/>
      <c r="S60" s="38"/>
      <c r="T60" s="38"/>
      <c r="U60" s="40"/>
      <c r="V60" s="40"/>
      <c r="W60" s="65">
        <f t="shared" ref="W60" si="69">+K60-SUM(L60:V60)</f>
        <v>923.13</v>
      </c>
      <c r="X60" s="38">
        <f t="shared" ref="X60" si="70">IF(K60&gt;2250,K60*0.1,0)</f>
        <v>0</v>
      </c>
      <c r="Y60" s="65">
        <f t="shared" ref="Y60" si="71">+W60-X60</f>
        <v>923.13</v>
      </c>
      <c r="Z60" s="38">
        <f t="shared" si="62"/>
        <v>92.313000000000002</v>
      </c>
      <c r="AA60" s="38"/>
      <c r="AB60" s="38"/>
      <c r="AC60" s="65"/>
      <c r="AD60" s="72"/>
      <c r="AE60" s="73"/>
      <c r="AF60" s="66"/>
      <c r="AG60" s="40">
        <v>2965106850</v>
      </c>
      <c r="AH60" s="43"/>
    </row>
    <row r="61" spans="1:34" s="18" customFormat="1">
      <c r="A61" s="40" t="s">
        <v>44</v>
      </c>
      <c r="B61" s="40" t="s">
        <v>151</v>
      </c>
      <c r="C61" s="40"/>
      <c r="D61" s="40" t="s">
        <v>60</v>
      </c>
      <c r="E61" s="40" t="s">
        <v>92</v>
      </c>
      <c r="F61" s="70">
        <v>42333</v>
      </c>
      <c r="G61" s="92">
        <v>433</v>
      </c>
      <c r="H61" s="42"/>
      <c r="I61" s="42"/>
      <c r="J61" s="64"/>
      <c r="K61" s="65">
        <f t="shared" si="58"/>
        <v>433</v>
      </c>
      <c r="L61" s="42"/>
      <c r="M61" s="84"/>
      <c r="N61" s="42"/>
      <c r="O61" s="42">
        <v>0</v>
      </c>
      <c r="P61" s="85"/>
      <c r="Q61" s="85"/>
      <c r="R61" s="42"/>
      <c r="S61" s="38"/>
      <c r="T61" s="38"/>
      <c r="U61" s="40"/>
      <c r="V61" s="40">
        <v>222.71</v>
      </c>
      <c r="W61" s="65">
        <f t="shared" si="59"/>
        <v>210.29</v>
      </c>
      <c r="X61" s="38">
        <f t="shared" ref="X61:X67" si="72">IF(K61&gt;2250,K61*0.1,0)</f>
        <v>0</v>
      </c>
      <c r="Y61" s="65">
        <f t="shared" si="61"/>
        <v>210.29</v>
      </c>
      <c r="Z61" s="38">
        <f t="shared" si="62"/>
        <v>43.300000000000004</v>
      </c>
      <c r="AA61" s="38">
        <v>10.23</v>
      </c>
      <c r="AB61" s="38">
        <f t="shared" si="63"/>
        <v>0</v>
      </c>
      <c r="AC61" s="65">
        <f t="shared" si="64"/>
        <v>486.53000000000003</v>
      </c>
      <c r="AD61" s="72"/>
      <c r="AE61" s="73"/>
      <c r="AF61" s="66">
        <f>+AD61+AE61-Y61</f>
        <v>-210.29</v>
      </c>
      <c r="AG61" s="40"/>
      <c r="AH61" s="40"/>
    </row>
    <row r="62" spans="1:34" s="18" customFormat="1">
      <c r="A62" s="40" t="s">
        <v>30</v>
      </c>
      <c r="B62" s="40" t="s">
        <v>181</v>
      </c>
      <c r="C62" s="40"/>
      <c r="D62" s="40"/>
      <c r="E62" s="40" t="s">
        <v>32</v>
      </c>
      <c r="F62" s="70">
        <v>42459</v>
      </c>
      <c r="G62" s="42">
        <v>8359.75</v>
      </c>
      <c r="H62" s="42"/>
      <c r="I62" s="42"/>
      <c r="J62" s="64"/>
      <c r="K62" s="65">
        <f t="shared" si="58"/>
        <v>8359.75</v>
      </c>
      <c r="L62" s="42">
        <v>312.5</v>
      </c>
      <c r="M62" s="84"/>
      <c r="N62" s="42"/>
      <c r="O62" s="42">
        <v>0</v>
      </c>
      <c r="P62" s="85"/>
      <c r="Q62" s="85"/>
      <c r="R62" s="42"/>
      <c r="S62" s="38"/>
      <c r="T62" s="38"/>
      <c r="U62" s="40"/>
      <c r="V62" s="40"/>
      <c r="W62" s="65">
        <f t="shared" si="59"/>
        <v>8047.25</v>
      </c>
      <c r="X62" s="38">
        <f t="shared" si="72"/>
        <v>835.97500000000002</v>
      </c>
      <c r="Y62" s="65">
        <f t="shared" si="61"/>
        <v>7211.2749999999996</v>
      </c>
      <c r="Z62" s="38">
        <f t="shared" si="62"/>
        <v>0</v>
      </c>
      <c r="AA62" s="38">
        <v>10.23</v>
      </c>
      <c r="AB62" s="38">
        <f t="shared" si="63"/>
        <v>0</v>
      </c>
      <c r="AC62" s="65">
        <f t="shared" si="64"/>
        <v>8369.98</v>
      </c>
      <c r="AD62" s="78"/>
      <c r="AE62" s="73"/>
      <c r="AF62" s="66">
        <f>+AD62+AE62-Y62</f>
        <v>-7211.2749999999996</v>
      </c>
      <c r="AG62" s="40"/>
      <c r="AH62" s="43" t="s">
        <v>239</v>
      </c>
    </row>
    <row r="63" spans="1:34" s="18" customFormat="1">
      <c r="A63" s="40" t="s">
        <v>28</v>
      </c>
      <c r="B63" s="40" t="s">
        <v>177</v>
      </c>
      <c r="C63" s="40"/>
      <c r="D63" s="40"/>
      <c r="E63" s="40" t="s">
        <v>91</v>
      </c>
      <c r="F63" s="70">
        <v>42566</v>
      </c>
      <c r="G63" s="42">
        <v>1170</v>
      </c>
      <c r="H63" s="42"/>
      <c r="I63" s="42"/>
      <c r="J63" s="64"/>
      <c r="K63" s="65">
        <f t="shared" si="58"/>
        <v>1170</v>
      </c>
      <c r="L63" s="42">
        <v>200</v>
      </c>
      <c r="M63" s="84"/>
      <c r="N63" s="42"/>
      <c r="O63" s="42"/>
      <c r="P63" s="85"/>
      <c r="Q63" s="85"/>
      <c r="R63" s="42"/>
      <c r="S63" s="38"/>
      <c r="T63" s="38"/>
      <c r="U63" s="40"/>
      <c r="V63" s="40"/>
      <c r="W63" s="65">
        <f t="shared" si="59"/>
        <v>970</v>
      </c>
      <c r="X63" s="38">
        <f t="shared" si="72"/>
        <v>0</v>
      </c>
      <c r="Y63" s="65">
        <f t="shared" si="61"/>
        <v>970</v>
      </c>
      <c r="Z63" s="38">
        <f t="shared" si="62"/>
        <v>117</v>
      </c>
      <c r="AA63" s="38">
        <v>21.23</v>
      </c>
      <c r="AB63" s="38">
        <f t="shared" si="63"/>
        <v>0</v>
      </c>
      <c r="AC63" s="65">
        <f t="shared" si="64"/>
        <v>1308.23</v>
      </c>
      <c r="AD63" s="78"/>
      <c r="AE63" s="73"/>
      <c r="AF63" s="66"/>
      <c r="AG63" s="40">
        <v>2671903578</v>
      </c>
      <c r="AH63" s="43" t="s">
        <v>239</v>
      </c>
    </row>
    <row r="64" spans="1:34" s="18" customFormat="1">
      <c r="A64" s="40" t="s">
        <v>30</v>
      </c>
      <c r="B64" s="40" t="s">
        <v>154</v>
      </c>
      <c r="C64" s="40" t="s">
        <v>129</v>
      </c>
      <c r="D64" s="40" t="s">
        <v>89</v>
      </c>
      <c r="E64" s="40" t="s">
        <v>32</v>
      </c>
      <c r="F64" s="70">
        <v>42327</v>
      </c>
      <c r="G64" s="42">
        <v>9802.3799999999992</v>
      </c>
      <c r="H64" s="42"/>
      <c r="I64" s="42"/>
      <c r="J64" s="64"/>
      <c r="K64" s="65">
        <f t="shared" si="58"/>
        <v>9802.3799999999992</v>
      </c>
      <c r="L64" s="42">
        <v>200</v>
      </c>
      <c r="M64" s="84"/>
      <c r="N64" s="42"/>
      <c r="O64" s="42">
        <v>0</v>
      </c>
      <c r="P64" s="85"/>
      <c r="Q64" s="85"/>
      <c r="R64" s="42"/>
      <c r="S64" s="38"/>
      <c r="T64" s="38"/>
      <c r="U64" s="40"/>
      <c r="V64" s="81">
        <v>618.03</v>
      </c>
      <c r="W64" s="65">
        <f t="shared" si="59"/>
        <v>8984.3499999999985</v>
      </c>
      <c r="X64" s="38">
        <f t="shared" si="72"/>
        <v>980.23799999999994</v>
      </c>
      <c r="Y64" s="65">
        <f t="shared" si="61"/>
        <v>8004.1119999999983</v>
      </c>
      <c r="Z64" s="38">
        <f t="shared" si="62"/>
        <v>0</v>
      </c>
      <c r="AA64" s="38">
        <v>10.23</v>
      </c>
      <c r="AB64" s="38">
        <f t="shared" si="63"/>
        <v>0</v>
      </c>
      <c r="AC64" s="65">
        <f t="shared" si="64"/>
        <v>9812.6099999999988</v>
      </c>
      <c r="AD64" s="72"/>
      <c r="AE64" s="73"/>
      <c r="AF64" s="66">
        <f t="shared" ref="AF64:AF66" si="73">+AD64+AE64-Y64</f>
        <v>-8004.1119999999983</v>
      </c>
      <c r="AG64" s="40"/>
      <c r="AH64" s="43" t="s">
        <v>239</v>
      </c>
    </row>
    <row r="65" spans="1:188" s="18" customFormat="1">
      <c r="A65" s="40" t="s">
        <v>29</v>
      </c>
      <c r="B65" s="40" t="s">
        <v>142</v>
      </c>
      <c r="C65" s="40" t="s">
        <v>130</v>
      </c>
      <c r="D65" s="40" t="s">
        <v>63</v>
      </c>
      <c r="E65" s="40" t="s">
        <v>150</v>
      </c>
      <c r="F65" s="70">
        <v>42173</v>
      </c>
      <c r="G65" s="42">
        <v>1853.68</v>
      </c>
      <c r="H65" s="42"/>
      <c r="I65" s="42"/>
      <c r="J65" s="64"/>
      <c r="K65" s="65">
        <f t="shared" si="58"/>
        <v>1853.68</v>
      </c>
      <c r="L65" s="42"/>
      <c r="M65" s="84"/>
      <c r="N65" s="42"/>
      <c r="O65" s="42">
        <v>0</v>
      </c>
      <c r="P65" s="85"/>
      <c r="Q65" s="85"/>
      <c r="R65" s="42"/>
      <c r="S65" s="38"/>
      <c r="T65" s="38"/>
      <c r="U65" s="40"/>
      <c r="V65" s="40">
        <v>0</v>
      </c>
      <c r="W65" s="65">
        <f t="shared" si="59"/>
        <v>1853.68</v>
      </c>
      <c r="X65" s="38">
        <f t="shared" si="72"/>
        <v>0</v>
      </c>
      <c r="Y65" s="65">
        <f t="shared" si="61"/>
        <v>1853.68</v>
      </c>
      <c r="Z65" s="38">
        <f t="shared" si="62"/>
        <v>185.36800000000002</v>
      </c>
      <c r="AA65" s="38">
        <v>10.23</v>
      </c>
      <c r="AB65" s="38">
        <f t="shared" si="63"/>
        <v>0</v>
      </c>
      <c r="AC65" s="65">
        <f t="shared" si="64"/>
        <v>2049.2779999999998</v>
      </c>
      <c r="AD65" s="78"/>
      <c r="AE65" s="79"/>
      <c r="AF65" s="66">
        <f t="shared" si="73"/>
        <v>-1853.68</v>
      </c>
      <c r="AH65" s="40"/>
    </row>
    <row r="66" spans="1:188" s="18" customFormat="1">
      <c r="A66" s="40" t="s">
        <v>30</v>
      </c>
      <c r="B66" s="40" t="s">
        <v>166</v>
      </c>
      <c r="C66" s="40" t="s">
        <v>127</v>
      </c>
      <c r="D66" s="40"/>
      <c r="E66" s="40" t="s">
        <v>32</v>
      </c>
      <c r="F66" s="70">
        <v>42506</v>
      </c>
      <c r="G66" s="42">
        <v>8471.4</v>
      </c>
      <c r="H66" s="42"/>
      <c r="I66" s="42"/>
      <c r="J66" s="64"/>
      <c r="K66" s="65">
        <f t="shared" si="58"/>
        <v>8471.4</v>
      </c>
      <c r="L66" s="42"/>
      <c r="M66" s="84"/>
      <c r="N66" s="42"/>
      <c r="O66" s="42">
        <v>0</v>
      </c>
      <c r="P66" s="85"/>
      <c r="Q66" s="85"/>
      <c r="R66" s="42"/>
      <c r="S66" s="38"/>
      <c r="T66" s="38"/>
      <c r="U66" s="40"/>
      <c r="V66" s="81">
        <v>0</v>
      </c>
      <c r="W66" s="65">
        <f t="shared" si="59"/>
        <v>8471.4</v>
      </c>
      <c r="X66" s="38">
        <f t="shared" si="72"/>
        <v>847.14</v>
      </c>
      <c r="Y66" s="65">
        <f t="shared" si="61"/>
        <v>7624.2599999999993</v>
      </c>
      <c r="Z66" s="38">
        <f t="shared" si="62"/>
        <v>0</v>
      </c>
      <c r="AA66" s="38">
        <v>10.23</v>
      </c>
      <c r="AB66" s="38">
        <f t="shared" si="63"/>
        <v>0</v>
      </c>
      <c r="AC66" s="65">
        <f t="shared" si="64"/>
        <v>8481.6299999999992</v>
      </c>
      <c r="AD66" s="78"/>
      <c r="AE66" s="78"/>
      <c r="AF66" s="66">
        <f t="shared" si="73"/>
        <v>-7624.2599999999993</v>
      </c>
      <c r="AG66" s="53">
        <v>1179675078</v>
      </c>
      <c r="AH66" s="43"/>
    </row>
    <row r="67" spans="1:188" s="18" customFormat="1">
      <c r="A67" s="40" t="s">
        <v>28</v>
      </c>
      <c r="B67" s="40" t="s">
        <v>191</v>
      </c>
      <c r="C67" s="40"/>
      <c r="D67" s="40"/>
      <c r="E67" s="40" t="s">
        <v>91</v>
      </c>
      <c r="F67" s="70">
        <v>42597</v>
      </c>
      <c r="G67" s="42">
        <v>2850</v>
      </c>
      <c r="H67" s="42"/>
      <c r="I67" s="42"/>
      <c r="J67" s="64"/>
      <c r="K67" s="65">
        <f t="shared" si="58"/>
        <v>2850</v>
      </c>
      <c r="L67" s="42">
        <v>200</v>
      </c>
      <c r="M67" s="84"/>
      <c r="N67" s="42"/>
      <c r="O67" s="42"/>
      <c r="P67" s="85"/>
      <c r="Q67" s="85"/>
      <c r="R67" s="42"/>
      <c r="S67" s="38"/>
      <c r="T67" s="38"/>
      <c r="U67" s="40"/>
      <c r="V67" s="81">
        <v>0</v>
      </c>
      <c r="W67" s="65">
        <f t="shared" si="59"/>
        <v>2650</v>
      </c>
      <c r="X67" s="38">
        <f t="shared" si="72"/>
        <v>285</v>
      </c>
      <c r="Y67" s="65">
        <f t="shared" si="61"/>
        <v>2365</v>
      </c>
      <c r="Z67" s="38"/>
      <c r="AA67" s="38"/>
      <c r="AB67" s="38"/>
      <c r="AC67" s="65"/>
      <c r="AD67" s="78"/>
      <c r="AE67" s="78"/>
      <c r="AF67" s="66"/>
      <c r="AG67" s="53">
        <v>2983558908</v>
      </c>
      <c r="AH67" s="43"/>
    </row>
    <row r="68" spans="1:188" s="18" customFormat="1">
      <c r="A68" s="40" t="s">
        <v>42</v>
      </c>
      <c r="B68" s="40" t="s">
        <v>223</v>
      </c>
      <c r="C68" s="40"/>
      <c r="D68" s="40"/>
      <c r="E68" s="40" t="s">
        <v>31</v>
      </c>
      <c r="F68" s="70">
        <v>42696</v>
      </c>
      <c r="G68" s="42">
        <v>2672.07</v>
      </c>
      <c r="H68" s="42"/>
      <c r="I68" s="42"/>
      <c r="J68" s="64"/>
      <c r="K68" s="65">
        <f t="shared" si="58"/>
        <v>2672.07</v>
      </c>
      <c r="L68" s="42"/>
      <c r="M68" s="84"/>
      <c r="N68" s="42"/>
      <c r="O68" s="42"/>
      <c r="P68" s="85"/>
      <c r="Q68" s="85"/>
      <c r="R68" s="42"/>
      <c r="S68" s="38"/>
      <c r="T68" s="38"/>
      <c r="U68" s="40"/>
      <c r="V68" s="81"/>
      <c r="W68" s="65">
        <f t="shared" ref="W68" si="74">+K68-SUM(L68:V68)</f>
        <v>2672.07</v>
      </c>
      <c r="X68" s="38">
        <f t="shared" ref="X68" si="75">IF(K68&gt;2250,K68*0.1,0)</f>
        <v>267.20700000000005</v>
      </c>
      <c r="Y68" s="65">
        <f t="shared" ref="Y68" si="76">+W68-X68</f>
        <v>2404.8630000000003</v>
      </c>
      <c r="Z68" s="38"/>
      <c r="AA68" s="38"/>
      <c r="AB68" s="38"/>
      <c r="AC68" s="65"/>
      <c r="AD68" s="78"/>
      <c r="AE68" s="78"/>
      <c r="AF68" s="66"/>
      <c r="AG68" s="53">
        <v>1501548794</v>
      </c>
      <c r="AH68" s="43"/>
    </row>
    <row r="69" spans="1:188" s="18" customFormat="1">
      <c r="A69" s="40" t="s">
        <v>30</v>
      </c>
      <c r="B69" s="40" t="s">
        <v>228</v>
      </c>
      <c r="C69" s="40"/>
      <c r="D69" s="40"/>
      <c r="E69" s="40" t="s">
        <v>32</v>
      </c>
      <c r="F69" s="70">
        <v>42632</v>
      </c>
      <c r="G69" s="42">
        <v>7512.97</v>
      </c>
      <c r="H69" s="42"/>
      <c r="I69" s="42"/>
      <c r="J69" s="64"/>
      <c r="K69" s="65">
        <f t="shared" si="58"/>
        <v>7512.97</v>
      </c>
      <c r="L69" s="42">
        <v>200</v>
      </c>
      <c r="M69" s="84"/>
      <c r="N69" s="42"/>
      <c r="O69" s="42"/>
      <c r="P69" s="85"/>
      <c r="Q69" s="85"/>
      <c r="R69" s="42"/>
      <c r="S69" s="38"/>
      <c r="T69" s="38"/>
      <c r="U69" s="40"/>
      <c r="V69" s="81"/>
      <c r="W69" s="65">
        <f t="shared" ref="W69" si="77">+K69-SUM(L69:V69)</f>
        <v>7312.97</v>
      </c>
      <c r="X69" s="38">
        <f t="shared" ref="X69" si="78">IF(K69&gt;2250,K69*0.1,0)</f>
        <v>751.29700000000003</v>
      </c>
      <c r="Y69" s="65">
        <f t="shared" ref="Y69" si="79">+W69-X69</f>
        <v>6561.6730000000007</v>
      </c>
      <c r="Z69" s="38"/>
      <c r="AA69" s="38"/>
      <c r="AB69" s="38"/>
      <c r="AC69" s="65"/>
      <c r="AD69" s="78"/>
      <c r="AE69" s="78"/>
      <c r="AF69" s="66"/>
      <c r="AG69" s="53">
        <v>2856562434</v>
      </c>
      <c r="AH69" s="43"/>
    </row>
    <row r="70" spans="1:188" s="18" customFormat="1">
      <c r="A70" s="29"/>
      <c r="B70" s="30"/>
      <c r="C70" s="30"/>
      <c r="D70" s="30"/>
      <c r="E70" s="30"/>
      <c r="F70" s="30"/>
      <c r="G70" s="31"/>
      <c r="H70" s="31"/>
      <c r="I70" s="31"/>
      <c r="J70" s="31"/>
      <c r="K70" s="32"/>
      <c r="L70" s="31"/>
      <c r="M70" s="31"/>
      <c r="N70" s="31"/>
      <c r="O70" s="31"/>
      <c r="P70" s="31"/>
      <c r="Q70" s="31"/>
      <c r="R70" s="31"/>
      <c r="S70" s="46"/>
      <c r="T70" s="46"/>
      <c r="U70" s="46"/>
      <c r="V70" s="46"/>
      <c r="W70" s="32"/>
      <c r="X70" s="46"/>
      <c r="Y70" s="32"/>
      <c r="Z70" s="46"/>
      <c r="AA70" s="46"/>
      <c r="AB70" s="46"/>
      <c r="AC70" s="32"/>
      <c r="AD70" s="58"/>
      <c r="AE70" s="58"/>
      <c r="AF70" s="26"/>
    </row>
    <row r="71" spans="1:188">
      <c r="B71" s="47" t="s">
        <v>1</v>
      </c>
      <c r="C71" s="47"/>
      <c r="D71" s="47"/>
      <c r="E71" s="47"/>
      <c r="F71" s="47"/>
      <c r="G71" s="48">
        <f>SUM(G7:G70)</f>
        <v>549046.94999999995</v>
      </c>
      <c r="H71" s="48">
        <f t="shared" ref="H71:L71" si="80">SUM(H8:H70)</f>
        <v>0</v>
      </c>
      <c r="I71" s="48">
        <f t="shared" si="80"/>
        <v>0</v>
      </c>
      <c r="J71" s="48">
        <f t="shared" si="80"/>
        <v>0</v>
      </c>
      <c r="K71" s="48">
        <f t="shared" si="80"/>
        <v>542830.7899999998</v>
      </c>
      <c r="L71" s="48">
        <f t="shared" si="80"/>
        <v>3637.5</v>
      </c>
      <c r="M71" s="48"/>
      <c r="N71" s="48"/>
      <c r="O71" s="49">
        <f t="shared" ref="O71:AF71" si="81">SUM(O8:O70)</f>
        <v>1450</v>
      </c>
      <c r="P71" s="49">
        <f t="shared" si="81"/>
        <v>0</v>
      </c>
      <c r="Q71" s="49">
        <f t="shared" si="81"/>
        <v>0</v>
      </c>
      <c r="R71" s="49">
        <f t="shared" si="81"/>
        <v>0</v>
      </c>
      <c r="S71" s="48">
        <f t="shared" si="81"/>
        <v>372.12</v>
      </c>
      <c r="T71" s="48">
        <f t="shared" si="81"/>
        <v>0</v>
      </c>
      <c r="U71" s="48">
        <f t="shared" si="81"/>
        <v>0</v>
      </c>
      <c r="V71" s="48">
        <f t="shared" si="81"/>
        <v>9977.35</v>
      </c>
      <c r="W71" s="48">
        <f t="shared" si="81"/>
        <v>527393.81999999995</v>
      </c>
      <c r="X71" s="48">
        <f t="shared" si="81"/>
        <v>52531.067000000003</v>
      </c>
      <c r="Y71" s="48">
        <f t="shared" si="81"/>
        <v>474862.75300000008</v>
      </c>
      <c r="Z71" s="48">
        <f t="shared" si="81"/>
        <v>1392.0339999999999</v>
      </c>
      <c r="AA71" s="48">
        <f t="shared" si="81"/>
        <v>500.89000000000038</v>
      </c>
      <c r="AB71" s="48">
        <f t="shared" si="81"/>
        <v>0</v>
      </c>
      <c r="AC71" s="48">
        <f t="shared" si="81"/>
        <v>442491.11099999992</v>
      </c>
      <c r="AD71" s="59">
        <f t="shared" si="81"/>
        <v>0</v>
      </c>
      <c r="AE71" s="59">
        <f t="shared" si="81"/>
        <v>0</v>
      </c>
      <c r="AF71" s="50">
        <f t="shared" si="81"/>
        <v>-363427.93</v>
      </c>
      <c r="AG71" s="33"/>
      <c r="AH71" s="33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C72" s="14">
        <f>AC71*0.16</f>
        <v>70798.577759999986</v>
      </c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121" t="s">
        <v>145</v>
      </c>
      <c r="B73" s="121"/>
      <c r="C73" s="51"/>
      <c r="D73" s="33"/>
      <c r="E73" s="33"/>
      <c r="F73" s="33"/>
      <c r="G73" s="35"/>
      <c r="H73" s="35"/>
      <c r="I73" s="35"/>
      <c r="J73" s="35"/>
      <c r="K73" s="48"/>
      <c r="L73" s="35"/>
      <c r="M73" s="35"/>
      <c r="N73" s="35"/>
      <c r="O73" s="42"/>
      <c r="P73" s="42"/>
      <c r="Q73" s="42"/>
      <c r="R73" s="42"/>
      <c r="S73" s="35"/>
      <c r="T73" s="35"/>
      <c r="U73" s="35"/>
      <c r="V73" s="35"/>
      <c r="W73" s="48"/>
      <c r="X73" s="35"/>
      <c r="Y73" s="48"/>
      <c r="Z73" s="35"/>
      <c r="AA73" s="35"/>
      <c r="AB73" s="35"/>
      <c r="AC73" s="48">
        <f>+AC71+AC72</f>
        <v>513289.68875999993</v>
      </c>
      <c r="AD73" s="59"/>
      <c r="AE73" s="59"/>
      <c r="AF73" s="50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40" t="s">
        <v>45</v>
      </c>
      <c r="B74" s="40" t="s">
        <v>146</v>
      </c>
      <c r="C74" s="34"/>
      <c r="D74" s="34"/>
      <c r="E74" s="34" t="s">
        <v>187</v>
      </c>
      <c r="F74" s="71">
        <v>41142</v>
      </c>
      <c r="G74" s="42">
        <f>2383.385+5.571</f>
        <v>2388.9560000000001</v>
      </c>
      <c r="H74" s="36"/>
      <c r="I74" s="36"/>
      <c r="J74" s="36"/>
      <c r="K74" s="65">
        <f>SUM(G74:J74)</f>
        <v>2388.9560000000001</v>
      </c>
      <c r="L74" s="42"/>
      <c r="M74" s="84"/>
      <c r="N74" s="42"/>
      <c r="O74" s="42"/>
      <c r="P74" s="85" t="s">
        <v>194</v>
      </c>
      <c r="Q74" s="85" t="s">
        <v>194</v>
      </c>
      <c r="R74" s="42"/>
      <c r="S74" s="38"/>
      <c r="T74" s="38"/>
      <c r="U74" s="40"/>
      <c r="V74" s="40"/>
      <c r="W74" s="65">
        <f>+K74-SUM(L74:V74)</f>
        <v>2388.9560000000001</v>
      </c>
      <c r="X74" s="38">
        <f>+W74*0.05</f>
        <v>119.44780000000002</v>
      </c>
      <c r="Y74" s="65">
        <f>+W74-S74-V74</f>
        <v>2388.9560000000001</v>
      </c>
      <c r="Z74" s="77">
        <f>IF(W74&lt;3000,W74*0.1,0)</f>
        <v>238.89560000000003</v>
      </c>
      <c r="AA74" s="77">
        <v>0</v>
      </c>
      <c r="AB74" s="77"/>
      <c r="AC74" s="76">
        <f>+W74+Z74+AA74</f>
        <v>2627.8516</v>
      </c>
      <c r="AD74" s="60"/>
      <c r="AE74" s="60"/>
      <c r="AF74" s="52"/>
      <c r="AG74" s="33"/>
      <c r="AH74" s="33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33" t="s">
        <v>30</v>
      </c>
      <c r="B75" s="40" t="s">
        <v>148</v>
      </c>
      <c r="C75" s="33"/>
      <c r="D75" s="33"/>
      <c r="E75" s="33" t="s">
        <v>92</v>
      </c>
      <c r="F75" s="83">
        <v>40813</v>
      </c>
      <c r="G75" s="93">
        <v>180</v>
      </c>
      <c r="H75" s="35"/>
      <c r="I75" s="35"/>
      <c r="J75" s="35"/>
      <c r="K75" s="65">
        <f>SUM(G75:J75)</f>
        <v>180</v>
      </c>
      <c r="L75" s="42"/>
      <c r="M75" s="84"/>
      <c r="N75" s="42"/>
      <c r="O75" s="42"/>
      <c r="P75" s="85"/>
      <c r="Q75" s="85"/>
      <c r="R75" s="42"/>
      <c r="S75" s="38"/>
      <c r="T75" s="38"/>
      <c r="U75" s="40"/>
      <c r="V75" s="40"/>
      <c r="W75" s="65">
        <f t="shared" ref="W75" si="82">+K75-SUM(L75:V75)</f>
        <v>180</v>
      </c>
      <c r="X75" s="38">
        <f t="shared" ref="X75" si="83">+W75*0.05</f>
        <v>9</v>
      </c>
      <c r="Y75" s="65">
        <f t="shared" ref="Y75" si="84">+W75-S75-V75</f>
        <v>180</v>
      </c>
      <c r="Z75" s="77">
        <f t="shared" ref="Z75" si="85">IF(W75&lt;3000,W75*0.1,0)</f>
        <v>18</v>
      </c>
      <c r="AA75" s="77"/>
      <c r="AB75" s="77"/>
      <c r="AC75" s="76">
        <f t="shared" ref="AC75" si="86">+W75+Z75+AA75</f>
        <v>198</v>
      </c>
      <c r="AD75" s="59"/>
      <c r="AE75" s="59"/>
      <c r="AF75" s="50"/>
      <c r="AG75" s="33"/>
      <c r="AH75" s="43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>
      <c r="A76" s="94" t="s">
        <v>42</v>
      </c>
      <c r="B76" s="94" t="s">
        <v>190</v>
      </c>
      <c r="C76" s="94"/>
      <c r="D76" s="94"/>
      <c r="E76" s="94" t="s">
        <v>92</v>
      </c>
      <c r="F76" s="95">
        <v>34275</v>
      </c>
      <c r="G76" s="54">
        <v>180</v>
      </c>
      <c r="H76" s="54"/>
      <c r="I76" s="54"/>
      <c r="J76" s="35"/>
      <c r="K76" s="65">
        <f>SUM(G76:J76)</f>
        <v>180</v>
      </c>
      <c r="L76" s="42"/>
      <c r="M76" s="84"/>
      <c r="N76" s="42"/>
      <c r="O76" s="42"/>
      <c r="P76" s="85"/>
      <c r="Q76" s="85"/>
      <c r="R76" s="42"/>
      <c r="S76" s="38"/>
      <c r="T76" s="38"/>
      <c r="U76" s="40"/>
      <c r="V76" s="40"/>
      <c r="W76" s="65">
        <f t="shared" ref="W76" si="87">+K76-SUM(L76:V76)</f>
        <v>180</v>
      </c>
      <c r="X76" s="38">
        <f t="shared" ref="X76" si="88">+W76*0.05</f>
        <v>9</v>
      </c>
      <c r="Y76" s="65">
        <f t="shared" ref="Y76" si="89">+W76-S76-V76</f>
        <v>180</v>
      </c>
      <c r="Z76" s="77"/>
      <c r="AA76" s="77"/>
      <c r="AB76" s="77"/>
      <c r="AC76" s="76"/>
      <c r="AD76" s="59"/>
      <c r="AE76" s="59"/>
      <c r="AF76" s="50"/>
      <c r="AG76" s="33"/>
      <c r="AH76" s="96" t="s">
        <v>211</v>
      </c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</row>
    <row r="77" spans="1:188" s="18" customFormat="1">
      <c r="A77" s="40" t="s">
        <v>45</v>
      </c>
      <c r="B77" s="40" t="s">
        <v>101</v>
      </c>
      <c r="C77" s="40"/>
      <c r="D77" s="40" t="s">
        <v>64</v>
      </c>
      <c r="E77" s="40" t="s">
        <v>187</v>
      </c>
      <c r="F77" s="70">
        <v>41381</v>
      </c>
      <c r="G77" s="42">
        <f>3468.641+2.599</f>
        <v>3471.2400000000002</v>
      </c>
      <c r="H77" s="42"/>
      <c r="I77" s="42"/>
      <c r="J77" s="64"/>
      <c r="K77" s="65">
        <f t="shared" ref="K77:K116" si="90">SUM(G77:I77)-J77</f>
        <v>3471.2400000000002</v>
      </c>
      <c r="L77" s="42"/>
      <c r="M77" s="84"/>
      <c r="N77" s="42"/>
      <c r="O77" s="42">
        <v>0</v>
      </c>
      <c r="P77" s="85" t="s">
        <v>194</v>
      </c>
      <c r="Q77" s="85" t="s">
        <v>194</v>
      </c>
      <c r="R77" s="42"/>
      <c r="S77" s="38"/>
      <c r="T77" s="38"/>
      <c r="U77" s="40"/>
      <c r="V77" s="40">
        <v>0</v>
      </c>
      <c r="W77" s="65">
        <f t="shared" ref="W77:W85" si="91">+K77-SUM(L77:V77)</f>
        <v>3471.2400000000002</v>
      </c>
      <c r="X77" s="38">
        <f t="shared" ref="X77:X85" si="92">IF(K77&gt;2250,K77*0.1,0)</f>
        <v>347.12400000000002</v>
      </c>
      <c r="Y77" s="65">
        <f t="shared" ref="Y77:Y85" si="93">+W77-X77</f>
        <v>3124.116</v>
      </c>
      <c r="Z77" s="38">
        <f t="shared" ref="Z77:Z85" si="94">IF(K77&lt;2250,K77*0.1,0)</f>
        <v>0</v>
      </c>
      <c r="AA77" s="38">
        <v>10.23</v>
      </c>
      <c r="AB77" s="38" t="str">
        <f t="shared" ref="AB77:AB85" si="95">+P77</f>
        <v>X</v>
      </c>
      <c r="AC77" s="65" t="e">
        <f t="shared" ref="AC77:AC85" si="96">+K77+Z77+AA77+AB77</f>
        <v>#VALUE!</v>
      </c>
      <c r="AD77" s="72"/>
      <c r="AE77" s="73"/>
      <c r="AF77" s="66">
        <f t="shared" ref="AF77:AF81" si="97">+AD77+AE77-Y77</f>
        <v>-3124.116</v>
      </c>
      <c r="AG77" s="40"/>
      <c r="AH77" s="40"/>
    </row>
    <row r="78" spans="1:188" s="18" customFormat="1">
      <c r="A78" s="40" t="s">
        <v>45</v>
      </c>
      <c r="B78" s="40" t="s">
        <v>160</v>
      </c>
      <c r="C78" s="40"/>
      <c r="D78" s="40" t="s">
        <v>65</v>
      </c>
      <c r="E78" s="40" t="s">
        <v>187</v>
      </c>
      <c r="F78" s="70">
        <v>41740</v>
      </c>
      <c r="G78" s="42">
        <f>2003.664+5.571</f>
        <v>2009.2349999999999</v>
      </c>
      <c r="H78" s="42"/>
      <c r="I78" s="42"/>
      <c r="J78" s="64"/>
      <c r="K78" s="65">
        <f t="shared" si="90"/>
        <v>2009.2349999999999</v>
      </c>
      <c r="L78" s="42"/>
      <c r="M78" s="84"/>
      <c r="N78" s="42"/>
      <c r="O78" s="42">
        <v>300</v>
      </c>
      <c r="P78" s="85" t="s">
        <v>194</v>
      </c>
      <c r="Q78" s="85" t="s">
        <v>194</v>
      </c>
      <c r="R78" s="42"/>
      <c r="S78" s="38"/>
      <c r="T78" s="38"/>
      <c r="U78" s="40"/>
      <c r="V78" s="40">
        <v>0</v>
      </c>
      <c r="W78" s="65">
        <f t="shared" si="91"/>
        <v>1709.2349999999999</v>
      </c>
      <c r="X78" s="38">
        <f t="shared" si="92"/>
        <v>0</v>
      </c>
      <c r="Y78" s="65">
        <f t="shared" si="93"/>
        <v>1709.2349999999999</v>
      </c>
      <c r="Z78" s="38">
        <f t="shared" si="94"/>
        <v>200.92349999999999</v>
      </c>
      <c r="AA78" s="38">
        <v>10.23</v>
      </c>
      <c r="AB78" s="38" t="str">
        <f t="shared" si="95"/>
        <v>X</v>
      </c>
      <c r="AC78" s="65" t="e">
        <f t="shared" si="96"/>
        <v>#VALUE!</v>
      </c>
      <c r="AD78" s="72"/>
      <c r="AE78" s="73"/>
      <c r="AF78" s="66">
        <f t="shared" si="97"/>
        <v>-1709.2349999999999</v>
      </c>
      <c r="AG78" s="40"/>
      <c r="AH78" s="40"/>
    </row>
    <row r="79" spans="1:188" s="18" customFormat="1">
      <c r="A79" s="40" t="s">
        <v>43</v>
      </c>
      <c r="B79" s="40" t="s">
        <v>234</v>
      </c>
      <c r="C79" s="40"/>
      <c r="D79" s="40"/>
      <c r="E79" s="40" t="s">
        <v>183</v>
      </c>
      <c r="F79" s="70">
        <v>42718</v>
      </c>
      <c r="G79" s="42"/>
      <c r="H79" s="42"/>
      <c r="I79" s="42"/>
      <c r="J79" s="64"/>
      <c r="K79" s="65"/>
      <c r="L79" s="42"/>
      <c r="M79" s="84">
        <v>1</v>
      </c>
      <c r="N79" s="42"/>
      <c r="O79" s="42"/>
      <c r="P79" s="85"/>
      <c r="Q79" s="85"/>
      <c r="R79" s="42"/>
      <c r="S79" s="38"/>
      <c r="T79" s="38"/>
      <c r="U79" s="40"/>
      <c r="V79" s="40"/>
      <c r="W79" s="65"/>
      <c r="X79" s="38"/>
      <c r="Y79" s="65"/>
      <c r="Z79" s="38"/>
      <c r="AA79" s="38"/>
      <c r="AB79" s="38"/>
      <c r="AC79" s="65"/>
      <c r="AD79" s="72"/>
      <c r="AE79" s="73"/>
      <c r="AF79" s="66"/>
      <c r="AG79" s="40" t="s">
        <v>235</v>
      </c>
      <c r="AH79" s="40"/>
    </row>
    <row r="80" spans="1:188" s="18" customFormat="1">
      <c r="A80" s="40" t="s">
        <v>45</v>
      </c>
      <c r="B80" s="40" t="s">
        <v>102</v>
      </c>
      <c r="C80" s="40"/>
      <c r="D80" s="40" t="s">
        <v>66</v>
      </c>
      <c r="E80" s="40" t="s">
        <v>94</v>
      </c>
      <c r="F80" s="70">
        <v>41227</v>
      </c>
      <c r="G80" s="42">
        <f>3844.8+7.428</f>
        <v>3852.2280000000001</v>
      </c>
      <c r="H80" s="42"/>
      <c r="I80" s="42"/>
      <c r="J80" s="64"/>
      <c r="K80" s="65">
        <f t="shared" si="90"/>
        <v>3852.2280000000001</v>
      </c>
      <c r="L80" s="42"/>
      <c r="M80" s="84"/>
      <c r="N80" s="42"/>
      <c r="O80" s="42">
        <v>700</v>
      </c>
      <c r="P80" s="85" t="s">
        <v>194</v>
      </c>
      <c r="Q80" s="85" t="s">
        <v>194</v>
      </c>
      <c r="R80" s="42"/>
      <c r="S80" s="38"/>
      <c r="T80" s="38"/>
      <c r="U80" s="40"/>
      <c r="V80" s="40">
        <v>0</v>
      </c>
      <c r="W80" s="65">
        <f t="shared" si="91"/>
        <v>3152.2280000000001</v>
      </c>
      <c r="X80" s="38">
        <f t="shared" si="92"/>
        <v>385.22280000000001</v>
      </c>
      <c r="Y80" s="65">
        <f t="shared" si="93"/>
        <v>2767.0052000000001</v>
      </c>
      <c r="Z80" s="38">
        <f t="shared" si="94"/>
        <v>0</v>
      </c>
      <c r="AA80" s="38">
        <v>10.23</v>
      </c>
      <c r="AB80" s="38" t="str">
        <f t="shared" si="95"/>
        <v>X</v>
      </c>
      <c r="AC80" s="65" t="e">
        <f t="shared" si="96"/>
        <v>#VALUE!</v>
      </c>
      <c r="AD80" s="72"/>
      <c r="AE80" s="72"/>
      <c r="AF80" s="66">
        <f t="shared" si="97"/>
        <v>-2767.0052000000001</v>
      </c>
      <c r="AG80" s="40"/>
      <c r="AH80" s="43"/>
    </row>
    <row r="81" spans="1:34" s="18" customFormat="1">
      <c r="A81" s="40" t="s">
        <v>45</v>
      </c>
      <c r="B81" s="40" t="s">
        <v>140</v>
      </c>
      <c r="C81" s="40"/>
      <c r="D81" s="40" t="s">
        <v>67</v>
      </c>
      <c r="E81" s="40" t="s">
        <v>231</v>
      </c>
      <c r="F81" s="70">
        <v>42242</v>
      </c>
      <c r="G81" s="42">
        <f>496.863+2.599</f>
        <v>499.46199999999999</v>
      </c>
      <c r="H81" s="42"/>
      <c r="I81" s="42"/>
      <c r="J81" s="64"/>
      <c r="K81" s="65">
        <f t="shared" si="90"/>
        <v>499.46199999999999</v>
      </c>
      <c r="L81" s="42"/>
      <c r="M81" s="84"/>
      <c r="N81" s="42"/>
      <c r="O81" s="42">
        <v>0</v>
      </c>
      <c r="P81" s="85" t="s">
        <v>194</v>
      </c>
      <c r="Q81" s="85" t="s">
        <v>194</v>
      </c>
      <c r="R81" s="42"/>
      <c r="S81" s="38"/>
      <c r="T81" s="38"/>
      <c r="U81" s="40"/>
      <c r="V81" s="40">
        <v>0</v>
      </c>
      <c r="W81" s="65">
        <f t="shared" si="91"/>
        <v>499.46199999999999</v>
      </c>
      <c r="X81" s="38">
        <f t="shared" si="92"/>
        <v>0</v>
      </c>
      <c r="Y81" s="65">
        <f t="shared" si="93"/>
        <v>499.46199999999999</v>
      </c>
      <c r="Z81" s="38">
        <f t="shared" si="94"/>
        <v>49.946200000000005</v>
      </c>
      <c r="AA81" s="38">
        <v>10.23</v>
      </c>
      <c r="AB81" s="38" t="str">
        <f t="shared" si="95"/>
        <v>X</v>
      </c>
      <c r="AC81" s="65" t="e">
        <f t="shared" si="96"/>
        <v>#VALUE!</v>
      </c>
      <c r="AD81" s="72"/>
      <c r="AE81" s="73"/>
      <c r="AF81" s="66">
        <f t="shared" si="97"/>
        <v>-499.46199999999999</v>
      </c>
      <c r="AG81" s="40"/>
      <c r="AH81" s="40"/>
    </row>
    <row r="82" spans="1:34" s="18" customFormat="1">
      <c r="A82" s="40" t="s">
        <v>43</v>
      </c>
      <c r="B82" s="40" t="s">
        <v>155</v>
      </c>
      <c r="C82" s="40"/>
      <c r="D82" s="40" t="s">
        <v>57</v>
      </c>
      <c r="E82" s="40" t="s">
        <v>183</v>
      </c>
      <c r="F82" s="70">
        <v>42338</v>
      </c>
      <c r="G82" s="42">
        <f>982.026+2.972</f>
        <v>984.99799999999993</v>
      </c>
      <c r="H82" s="42"/>
      <c r="I82" s="42"/>
      <c r="J82" s="64"/>
      <c r="K82" s="65">
        <f t="shared" si="90"/>
        <v>984.99799999999993</v>
      </c>
      <c r="L82" s="42"/>
      <c r="M82" s="84"/>
      <c r="N82" s="42"/>
      <c r="O82" s="42">
        <v>0</v>
      </c>
      <c r="P82" s="85"/>
      <c r="Q82" s="85"/>
      <c r="R82" s="42"/>
      <c r="S82" s="38"/>
      <c r="T82" s="38"/>
      <c r="U82" s="40"/>
      <c r="V82" s="40">
        <v>0</v>
      </c>
      <c r="W82" s="65">
        <f t="shared" si="91"/>
        <v>984.99799999999993</v>
      </c>
      <c r="X82" s="38">
        <f t="shared" si="92"/>
        <v>0</v>
      </c>
      <c r="Y82" s="65">
        <f t="shared" si="93"/>
        <v>984.99799999999993</v>
      </c>
      <c r="Z82" s="38">
        <f t="shared" si="94"/>
        <v>98.499799999999993</v>
      </c>
      <c r="AA82" s="38">
        <v>10.23</v>
      </c>
      <c r="AB82" s="38">
        <f t="shared" si="95"/>
        <v>0</v>
      </c>
      <c r="AC82" s="65">
        <f t="shared" si="96"/>
        <v>1093.7277999999999</v>
      </c>
      <c r="AD82" s="72"/>
      <c r="AE82" s="73"/>
      <c r="AF82" s="66">
        <f>+AD82+AE82-Y82</f>
        <v>-984.99799999999993</v>
      </c>
      <c r="AG82" s="40"/>
      <c r="AH82" s="43"/>
    </row>
    <row r="83" spans="1:34" s="18" customFormat="1">
      <c r="A83" s="40" t="s">
        <v>43</v>
      </c>
      <c r="B83" s="40" t="s">
        <v>216</v>
      </c>
      <c r="C83" s="40"/>
      <c r="D83" s="40"/>
      <c r="E83" s="40" t="s">
        <v>90</v>
      </c>
      <c r="F83" s="70">
        <v>42681</v>
      </c>
      <c r="G83" s="42">
        <f>2894.28+7.428</f>
        <v>2901.7080000000001</v>
      </c>
      <c r="H83" s="42"/>
      <c r="I83" s="42"/>
      <c r="J83" s="64"/>
      <c r="K83" s="65">
        <f t="shared" si="90"/>
        <v>2901.7080000000001</v>
      </c>
      <c r="L83" s="42"/>
      <c r="M83" s="84"/>
      <c r="N83" s="42"/>
      <c r="O83" s="42"/>
      <c r="P83" s="85"/>
      <c r="Q83" s="85"/>
      <c r="R83" s="42"/>
      <c r="S83" s="38"/>
      <c r="T83" s="38"/>
      <c r="U83" s="40"/>
      <c r="V83" s="40"/>
      <c r="W83" s="65">
        <f t="shared" ref="W83" si="98">+K83-SUM(L83:V83)</f>
        <v>2901.7080000000001</v>
      </c>
      <c r="X83" s="38">
        <f t="shared" ref="X83" si="99">IF(K83&gt;2250,K83*0.1,0)</f>
        <v>290.17080000000004</v>
      </c>
      <c r="Y83" s="65">
        <f t="shared" ref="Y83" si="100">+W83-X83</f>
        <v>2611.5372000000002</v>
      </c>
      <c r="Z83" s="38"/>
      <c r="AA83" s="38"/>
      <c r="AB83" s="38"/>
      <c r="AC83" s="65"/>
      <c r="AD83" s="72"/>
      <c r="AE83" s="73"/>
      <c r="AF83" s="66"/>
      <c r="AG83" s="40">
        <v>1500026042</v>
      </c>
      <c r="AH83" s="43"/>
    </row>
    <row r="84" spans="1:34" s="18" customFormat="1">
      <c r="A84" s="40" t="s">
        <v>45</v>
      </c>
      <c r="B84" s="40" t="s">
        <v>165</v>
      </c>
      <c r="C84" s="40"/>
      <c r="D84" s="40" t="s">
        <v>68</v>
      </c>
      <c r="E84" s="40" t="s">
        <v>187</v>
      </c>
      <c r="F84" s="70">
        <v>41227</v>
      </c>
      <c r="G84" s="42">
        <f>2428.204+2.599</f>
        <v>2430.8030000000003</v>
      </c>
      <c r="H84" s="42"/>
      <c r="I84" s="42"/>
      <c r="J84" s="64"/>
      <c r="K84" s="65">
        <f t="shared" si="90"/>
        <v>2430.8030000000003</v>
      </c>
      <c r="L84" s="42"/>
      <c r="M84" s="84"/>
      <c r="N84" s="42"/>
      <c r="O84" s="42">
        <v>500</v>
      </c>
      <c r="P84" s="85" t="s">
        <v>194</v>
      </c>
      <c r="Q84" s="85" t="s">
        <v>194</v>
      </c>
      <c r="R84" s="42"/>
      <c r="S84" s="38"/>
      <c r="T84" s="38"/>
      <c r="U84" s="40"/>
      <c r="V84" s="40">
        <v>0</v>
      </c>
      <c r="W84" s="65">
        <f t="shared" si="91"/>
        <v>1930.8030000000003</v>
      </c>
      <c r="X84" s="38">
        <f t="shared" si="92"/>
        <v>243.08030000000005</v>
      </c>
      <c r="Y84" s="65">
        <f t="shared" si="93"/>
        <v>1687.7227000000003</v>
      </c>
      <c r="Z84" s="38">
        <f t="shared" si="94"/>
        <v>0</v>
      </c>
      <c r="AA84" s="38">
        <v>10.23</v>
      </c>
      <c r="AB84" s="38" t="str">
        <f t="shared" si="95"/>
        <v>X</v>
      </c>
      <c r="AC84" s="65" t="e">
        <f t="shared" si="96"/>
        <v>#VALUE!</v>
      </c>
      <c r="AD84" s="72"/>
      <c r="AE84" s="72"/>
      <c r="AF84" s="66">
        <f>+AD84+AE84-Y84</f>
        <v>-1687.7227000000003</v>
      </c>
      <c r="AG84" s="40"/>
      <c r="AH84" s="43"/>
    </row>
    <row r="85" spans="1:34" s="18" customFormat="1">
      <c r="A85" s="40" t="s">
        <v>45</v>
      </c>
      <c r="B85" s="40" t="s">
        <v>118</v>
      </c>
      <c r="C85" s="40"/>
      <c r="D85" s="40" t="s">
        <v>69</v>
      </c>
      <c r="E85" s="40" t="s">
        <v>187</v>
      </c>
      <c r="F85" s="70">
        <v>41227</v>
      </c>
      <c r="G85" s="42">
        <f>4121.946+2.972</f>
        <v>4124.9179999999997</v>
      </c>
      <c r="H85" s="42"/>
      <c r="I85" s="42"/>
      <c r="J85" s="64"/>
      <c r="K85" s="65">
        <f t="shared" si="90"/>
        <v>4124.9179999999997</v>
      </c>
      <c r="L85" s="42"/>
      <c r="M85" s="84"/>
      <c r="N85" s="42"/>
      <c r="O85" s="42">
        <v>0</v>
      </c>
      <c r="P85" s="85" t="s">
        <v>194</v>
      </c>
      <c r="Q85" s="85" t="s">
        <v>194</v>
      </c>
      <c r="R85" s="42"/>
      <c r="S85" s="38"/>
      <c r="T85" s="38"/>
      <c r="U85" s="67"/>
      <c r="V85" s="40">
        <v>0</v>
      </c>
      <c r="W85" s="65">
        <f t="shared" si="91"/>
        <v>4124.9179999999997</v>
      </c>
      <c r="X85" s="38">
        <f t="shared" si="92"/>
        <v>412.49180000000001</v>
      </c>
      <c r="Y85" s="65">
        <f t="shared" si="93"/>
        <v>3712.4261999999999</v>
      </c>
      <c r="Z85" s="38">
        <f t="shared" si="94"/>
        <v>0</v>
      </c>
      <c r="AA85" s="38">
        <v>10.23</v>
      </c>
      <c r="AB85" s="38" t="str">
        <f t="shared" si="95"/>
        <v>X</v>
      </c>
      <c r="AC85" s="65" t="e">
        <f t="shared" si="96"/>
        <v>#VALUE!</v>
      </c>
      <c r="AD85" s="72"/>
      <c r="AE85" s="73"/>
      <c r="AF85" s="66">
        <f>+AD85+AE85-Y85</f>
        <v>-3712.4261999999999</v>
      </c>
      <c r="AG85" s="40"/>
      <c r="AH85" s="43"/>
    </row>
    <row r="86" spans="1:34" s="18" customFormat="1">
      <c r="A86" s="40" t="s">
        <v>45</v>
      </c>
      <c r="B86" s="40" t="s">
        <v>210</v>
      </c>
      <c r="C86" s="40"/>
      <c r="D86" s="40"/>
      <c r="E86" s="40" t="s">
        <v>183</v>
      </c>
      <c r="F86" s="70">
        <v>42660</v>
      </c>
      <c r="G86" s="42"/>
      <c r="H86" s="42"/>
      <c r="I86" s="42"/>
      <c r="J86" s="64"/>
      <c r="K86" s="65">
        <f t="shared" si="90"/>
        <v>0</v>
      </c>
      <c r="L86" s="42"/>
      <c r="M86" s="84"/>
      <c r="N86" s="42"/>
      <c r="O86" s="42"/>
      <c r="P86" s="85"/>
      <c r="Q86" s="85"/>
      <c r="R86" s="42"/>
      <c r="S86" s="38"/>
      <c r="T86" s="38"/>
      <c r="U86" s="67"/>
      <c r="V86" s="40"/>
      <c r="W86" s="65">
        <f t="shared" ref="W86" si="101">+K86-SUM(L86:V86)</f>
        <v>0</v>
      </c>
      <c r="X86" s="38">
        <f t="shared" ref="X86" si="102">IF(K86&gt;2250,K86*0.1,0)</f>
        <v>0</v>
      </c>
      <c r="Y86" s="65">
        <f t="shared" ref="Y86" si="103">+W86-X86</f>
        <v>0</v>
      </c>
      <c r="Z86" s="38"/>
      <c r="AA86" s="38"/>
      <c r="AB86" s="38"/>
      <c r="AC86" s="65"/>
      <c r="AD86" s="72"/>
      <c r="AE86" s="73"/>
      <c r="AF86" s="66"/>
      <c r="AG86" s="40">
        <v>2954141431</v>
      </c>
      <c r="AH86" s="43"/>
    </row>
    <row r="87" spans="1:34" s="18" customFormat="1">
      <c r="A87" s="40" t="s">
        <v>43</v>
      </c>
      <c r="B87" s="40" t="s">
        <v>192</v>
      </c>
      <c r="C87" s="40"/>
      <c r="D87" s="40"/>
      <c r="E87" s="40" t="s">
        <v>231</v>
      </c>
      <c r="F87" s="70">
        <v>42604</v>
      </c>
      <c r="G87" s="42">
        <v>326.108</v>
      </c>
      <c r="H87" s="42"/>
      <c r="I87" s="42"/>
      <c r="J87" s="64"/>
      <c r="K87" s="65">
        <f t="shared" si="90"/>
        <v>326.108</v>
      </c>
      <c r="L87" s="42"/>
      <c r="M87" s="84"/>
      <c r="N87" s="42"/>
      <c r="O87" s="42"/>
      <c r="P87" s="85"/>
      <c r="Q87" s="85"/>
      <c r="R87" s="42"/>
      <c r="S87" s="38"/>
      <c r="T87" s="38"/>
      <c r="U87" s="40"/>
      <c r="V87" s="40"/>
      <c r="W87" s="65">
        <f t="shared" ref="W87" si="104">+K87-SUM(L87:V87)</f>
        <v>326.108</v>
      </c>
      <c r="X87" s="38">
        <f t="shared" ref="X87" si="105">IF(K87&gt;2250,K87*0.1,0)</f>
        <v>0</v>
      </c>
      <c r="Y87" s="65">
        <f t="shared" ref="Y87" si="106">+W87-X87</f>
        <v>326.108</v>
      </c>
      <c r="Z87" s="38"/>
      <c r="AA87" s="38"/>
      <c r="AB87" s="38"/>
      <c r="AC87" s="65"/>
      <c r="AD87" s="72"/>
      <c r="AE87" s="73"/>
      <c r="AF87" s="66"/>
      <c r="AG87" s="40">
        <v>1258728658</v>
      </c>
      <c r="AH87" s="43"/>
    </row>
    <row r="88" spans="1:34" s="18" customFormat="1">
      <c r="A88" s="40" t="s">
        <v>45</v>
      </c>
      <c r="B88" s="40" t="s">
        <v>233</v>
      </c>
      <c r="C88" s="40"/>
      <c r="D88" s="40"/>
      <c r="E88" s="40" t="s">
        <v>183</v>
      </c>
      <c r="F88" s="70">
        <v>42719</v>
      </c>
      <c r="G88" s="42"/>
      <c r="H88" s="42"/>
      <c r="I88" s="42"/>
      <c r="J88" s="64"/>
      <c r="K88" s="65"/>
      <c r="L88" s="42"/>
      <c r="M88" s="84"/>
      <c r="N88" s="42"/>
      <c r="O88" s="42"/>
      <c r="P88" s="85"/>
      <c r="Q88" s="85"/>
      <c r="R88" s="42"/>
      <c r="S88" s="38"/>
      <c r="T88" s="38"/>
      <c r="U88" s="40"/>
      <c r="V88" s="40"/>
      <c r="W88" s="65"/>
      <c r="X88" s="38"/>
      <c r="Y88" s="65"/>
      <c r="Z88" s="38"/>
      <c r="AA88" s="38"/>
      <c r="AB88" s="38"/>
      <c r="AC88" s="65"/>
      <c r="AD88" s="72"/>
      <c r="AE88" s="73"/>
      <c r="AF88" s="66"/>
      <c r="AG88" s="40" t="s">
        <v>235</v>
      </c>
      <c r="AH88" s="43"/>
    </row>
    <row r="89" spans="1:34" s="18" customFormat="1">
      <c r="A89" s="40" t="s">
        <v>43</v>
      </c>
      <c r="B89" s="40" t="s">
        <v>119</v>
      </c>
      <c r="C89" s="40"/>
      <c r="D89" s="40" t="s">
        <v>48</v>
      </c>
      <c r="E89" s="40" t="s">
        <v>90</v>
      </c>
      <c r="F89" s="70">
        <v>42319</v>
      </c>
      <c r="G89" s="42">
        <f>1090.428+5.571</f>
        <v>1095.999</v>
      </c>
      <c r="H89" s="42"/>
      <c r="I89" s="42"/>
      <c r="J89" s="64"/>
      <c r="K89" s="65">
        <f t="shared" si="90"/>
        <v>1095.999</v>
      </c>
      <c r="L89" s="42"/>
      <c r="M89" s="84"/>
      <c r="N89" s="42"/>
      <c r="O89" s="42">
        <v>0</v>
      </c>
      <c r="P89" s="85"/>
      <c r="Q89" s="85"/>
      <c r="R89" s="42"/>
      <c r="S89" s="38"/>
      <c r="T89" s="38"/>
      <c r="U89" s="40"/>
      <c r="V89" s="40">
        <v>0</v>
      </c>
      <c r="W89" s="65">
        <f t="shared" ref="W89:W112" si="107">+K89-SUM(L89:V89)</f>
        <v>1095.999</v>
      </c>
      <c r="X89" s="38">
        <f t="shared" ref="X89:X112" si="108">IF(K89&gt;2250,K89*0.1,0)</f>
        <v>0</v>
      </c>
      <c r="Y89" s="65">
        <f t="shared" ref="Y89:Y112" si="109">+W89-X89</f>
        <v>1095.999</v>
      </c>
      <c r="Z89" s="38">
        <f t="shared" ref="Z89:Z112" si="110">IF(K89&lt;2250,K89*0.1,0)</f>
        <v>109.59990000000001</v>
      </c>
      <c r="AA89" s="38">
        <v>19.23</v>
      </c>
      <c r="AB89" s="38">
        <f t="shared" ref="AB89:AB112" si="111">+P89</f>
        <v>0</v>
      </c>
      <c r="AC89" s="65">
        <f t="shared" ref="AC89:AC112" si="112">+K89+Z89+AA89+AB89</f>
        <v>1224.8289</v>
      </c>
      <c r="AD89" s="72"/>
      <c r="AE89" s="73"/>
      <c r="AF89" s="66">
        <f>+AD89+AE89-Y89</f>
        <v>-1095.999</v>
      </c>
      <c r="AG89" s="40"/>
      <c r="AH89" s="43"/>
    </row>
    <row r="90" spans="1:34" s="18" customFormat="1">
      <c r="A90" s="40" t="s">
        <v>45</v>
      </c>
      <c r="B90" s="40" t="s">
        <v>209</v>
      </c>
      <c r="C90" s="40"/>
      <c r="D90" s="40"/>
      <c r="E90" s="40" t="s">
        <v>183</v>
      </c>
      <c r="F90" s="70">
        <v>42654</v>
      </c>
      <c r="G90" s="42">
        <v>501.608</v>
      </c>
      <c r="H90" s="42"/>
      <c r="I90" s="42"/>
      <c r="J90" s="64"/>
      <c r="K90" s="65">
        <f t="shared" si="90"/>
        <v>501.608</v>
      </c>
      <c r="L90" s="42"/>
      <c r="M90" s="84"/>
      <c r="N90" s="42"/>
      <c r="O90" s="42"/>
      <c r="P90" s="85"/>
      <c r="Q90" s="85"/>
      <c r="R90" s="42"/>
      <c r="S90" s="38"/>
      <c r="T90" s="38"/>
      <c r="U90" s="40"/>
      <c r="V90" s="40"/>
      <c r="W90" s="65">
        <f t="shared" ref="W90" si="113">+K90-SUM(L90:V90)</f>
        <v>501.608</v>
      </c>
      <c r="X90" s="38">
        <f t="shared" ref="X90" si="114">IF(K90&gt;2250,K90*0.1,0)</f>
        <v>0</v>
      </c>
      <c r="Y90" s="65">
        <f t="shared" ref="Y90" si="115">+W90-X90</f>
        <v>501.608</v>
      </c>
      <c r="Z90" s="38"/>
      <c r="AA90" s="38"/>
      <c r="AB90" s="38"/>
      <c r="AC90" s="65"/>
      <c r="AD90" s="72"/>
      <c r="AE90" s="73"/>
      <c r="AF90" s="66"/>
      <c r="AG90" s="40">
        <v>1126929044</v>
      </c>
      <c r="AH90" s="43"/>
    </row>
    <row r="91" spans="1:34" s="18" customFormat="1">
      <c r="A91" s="40" t="s">
        <v>45</v>
      </c>
      <c r="B91" s="40" t="s">
        <v>98</v>
      </c>
      <c r="C91" s="40"/>
      <c r="D91" s="40" t="s">
        <v>70</v>
      </c>
      <c r="E91" s="40" t="s">
        <v>231</v>
      </c>
      <c r="F91" s="70">
        <v>41981</v>
      </c>
      <c r="G91" s="42">
        <f>1267.733+5.571</f>
        <v>1273.3039999999999</v>
      </c>
      <c r="H91" s="42"/>
      <c r="I91" s="42"/>
      <c r="J91" s="64"/>
      <c r="K91" s="65">
        <f t="shared" si="90"/>
        <v>1273.3039999999999</v>
      </c>
      <c r="L91" s="42"/>
      <c r="M91" s="84"/>
      <c r="N91" s="42"/>
      <c r="O91" s="42">
        <v>300</v>
      </c>
      <c r="P91" s="85" t="s">
        <v>194</v>
      </c>
      <c r="Q91" s="85" t="s">
        <v>194</v>
      </c>
      <c r="R91" s="42"/>
      <c r="S91" s="38"/>
      <c r="T91" s="38"/>
      <c r="U91" s="40"/>
      <c r="V91" s="40">
        <v>0</v>
      </c>
      <c r="W91" s="65">
        <f t="shared" si="107"/>
        <v>973.30399999999986</v>
      </c>
      <c r="X91" s="38">
        <f t="shared" si="108"/>
        <v>0</v>
      </c>
      <c r="Y91" s="65">
        <f t="shared" si="109"/>
        <v>973.30399999999986</v>
      </c>
      <c r="Z91" s="38">
        <f t="shared" si="110"/>
        <v>127.3304</v>
      </c>
      <c r="AA91" s="38">
        <v>10.23</v>
      </c>
      <c r="AB91" s="38" t="str">
        <f t="shared" si="111"/>
        <v>X</v>
      </c>
      <c r="AC91" s="65" t="e">
        <f t="shared" si="112"/>
        <v>#VALUE!</v>
      </c>
      <c r="AD91" s="72"/>
      <c r="AE91" s="72"/>
      <c r="AF91" s="66">
        <f t="shared" ref="AF91:AF112" si="116">+AD91+AE91-Y91</f>
        <v>-973.30399999999986</v>
      </c>
      <c r="AG91" s="40"/>
      <c r="AH91" s="40"/>
    </row>
    <row r="92" spans="1:34" s="18" customFormat="1">
      <c r="A92" s="40" t="s">
        <v>45</v>
      </c>
      <c r="B92" s="40" t="s">
        <v>137</v>
      </c>
      <c r="C92" s="40"/>
      <c r="D92" s="40" t="s">
        <v>138</v>
      </c>
      <c r="E92" s="40" t="s">
        <v>187</v>
      </c>
      <c r="F92" s="69">
        <v>41284</v>
      </c>
      <c r="G92" s="42">
        <f>2445.553+2.599</f>
        <v>2448.152</v>
      </c>
      <c r="H92" s="42"/>
      <c r="I92" s="42"/>
      <c r="J92" s="64"/>
      <c r="K92" s="65">
        <f t="shared" si="90"/>
        <v>2448.152</v>
      </c>
      <c r="L92" s="42"/>
      <c r="M92" s="84"/>
      <c r="N92" s="42"/>
      <c r="O92" s="42">
        <v>0</v>
      </c>
      <c r="P92" s="85" t="s">
        <v>194</v>
      </c>
      <c r="Q92" s="85" t="s">
        <v>194</v>
      </c>
      <c r="R92" s="42"/>
      <c r="S92" s="38"/>
      <c r="T92" s="38"/>
      <c r="U92" s="40"/>
      <c r="V92" s="40">
        <v>0</v>
      </c>
      <c r="W92" s="65">
        <f t="shared" si="107"/>
        <v>2448.152</v>
      </c>
      <c r="X92" s="38">
        <f t="shared" si="108"/>
        <v>244.8152</v>
      </c>
      <c r="Y92" s="65">
        <f t="shared" si="109"/>
        <v>2203.3368</v>
      </c>
      <c r="Z92" s="38">
        <f t="shared" si="110"/>
        <v>0</v>
      </c>
      <c r="AA92" s="38">
        <v>10.23</v>
      </c>
      <c r="AB92" s="38" t="str">
        <f t="shared" si="111"/>
        <v>X</v>
      </c>
      <c r="AC92" s="65" t="e">
        <f t="shared" si="112"/>
        <v>#VALUE!</v>
      </c>
      <c r="AD92" s="72"/>
      <c r="AE92" s="73"/>
      <c r="AF92" s="66">
        <f t="shared" si="116"/>
        <v>-2203.3368</v>
      </c>
      <c r="AG92" s="40">
        <v>2948910731</v>
      </c>
      <c r="AH92" s="43"/>
    </row>
    <row r="93" spans="1:34" s="18" customFormat="1">
      <c r="A93" s="40" t="s">
        <v>45</v>
      </c>
      <c r="B93" s="40" t="s">
        <v>100</v>
      </c>
      <c r="C93" s="40"/>
      <c r="D93" s="40" t="s">
        <v>71</v>
      </c>
      <c r="E93" s="40" t="s">
        <v>187</v>
      </c>
      <c r="F93" s="69">
        <v>41227</v>
      </c>
      <c r="G93" s="42">
        <f>4367.216+2.972</f>
        <v>4370.1880000000001</v>
      </c>
      <c r="H93" s="42"/>
      <c r="I93" s="42"/>
      <c r="J93" s="64"/>
      <c r="K93" s="65">
        <f t="shared" si="90"/>
        <v>4370.1880000000001</v>
      </c>
      <c r="L93" s="42"/>
      <c r="M93" s="84"/>
      <c r="N93" s="42"/>
      <c r="O93" s="42">
        <v>0</v>
      </c>
      <c r="P93" s="85" t="s">
        <v>194</v>
      </c>
      <c r="Q93" s="85" t="s">
        <v>194</v>
      </c>
      <c r="R93" s="42"/>
      <c r="S93" s="38"/>
      <c r="T93" s="38"/>
      <c r="U93" s="40"/>
      <c r="V93" s="40">
        <v>0</v>
      </c>
      <c r="W93" s="65">
        <f t="shared" si="107"/>
        <v>4370.1880000000001</v>
      </c>
      <c r="X93" s="38">
        <f t="shared" si="108"/>
        <v>437.01880000000006</v>
      </c>
      <c r="Y93" s="65">
        <f t="shared" si="109"/>
        <v>3933.1692000000003</v>
      </c>
      <c r="Z93" s="38">
        <f t="shared" si="110"/>
        <v>0</v>
      </c>
      <c r="AA93" s="38">
        <v>10.23</v>
      </c>
      <c r="AB93" s="38" t="str">
        <f t="shared" si="111"/>
        <v>X</v>
      </c>
      <c r="AC93" s="65" t="e">
        <f t="shared" si="112"/>
        <v>#VALUE!</v>
      </c>
      <c r="AD93" s="72"/>
      <c r="AE93" s="72"/>
      <c r="AF93" s="66">
        <f t="shared" si="116"/>
        <v>-3933.1692000000003</v>
      </c>
      <c r="AG93" s="40"/>
      <c r="AH93" s="43"/>
    </row>
    <row r="94" spans="1:34" s="18" customFormat="1">
      <c r="A94" s="40" t="s">
        <v>43</v>
      </c>
      <c r="B94" s="40" t="s">
        <v>120</v>
      </c>
      <c r="C94" s="40"/>
      <c r="D94" s="40" t="s">
        <v>49</v>
      </c>
      <c r="E94" s="40" t="s">
        <v>90</v>
      </c>
      <c r="F94" s="69">
        <v>41493</v>
      </c>
      <c r="G94" s="42">
        <f>1335.137+7.428</f>
        <v>1342.5650000000001</v>
      </c>
      <c r="H94" s="42"/>
      <c r="I94" s="42"/>
      <c r="J94" s="64"/>
      <c r="K94" s="65">
        <f t="shared" si="90"/>
        <v>1342.5650000000001</v>
      </c>
      <c r="L94" s="42"/>
      <c r="M94" s="84"/>
      <c r="N94" s="42"/>
      <c r="O94" s="42">
        <v>0</v>
      </c>
      <c r="P94" s="85"/>
      <c r="Q94" s="85"/>
      <c r="R94" s="42"/>
      <c r="S94" s="38"/>
      <c r="T94" s="38"/>
      <c r="U94" s="40"/>
      <c r="V94" s="40">
        <v>0</v>
      </c>
      <c r="W94" s="65">
        <f t="shared" si="107"/>
        <v>1342.5650000000001</v>
      </c>
      <c r="X94" s="38">
        <f t="shared" si="108"/>
        <v>0</v>
      </c>
      <c r="Y94" s="65">
        <f t="shared" si="109"/>
        <v>1342.5650000000001</v>
      </c>
      <c r="Z94" s="38">
        <f t="shared" si="110"/>
        <v>134.25650000000002</v>
      </c>
      <c r="AA94" s="38">
        <v>10.23</v>
      </c>
      <c r="AB94" s="38">
        <f t="shared" si="111"/>
        <v>0</v>
      </c>
      <c r="AC94" s="65">
        <f t="shared" si="112"/>
        <v>1487.0515</v>
      </c>
      <c r="AD94" s="72"/>
      <c r="AE94" s="73"/>
      <c r="AF94" s="66">
        <f t="shared" si="116"/>
        <v>-1342.5650000000001</v>
      </c>
      <c r="AG94" s="40"/>
      <c r="AH94" s="43"/>
    </row>
    <row r="95" spans="1:34" s="18" customFormat="1">
      <c r="A95" s="40" t="s">
        <v>45</v>
      </c>
      <c r="B95" s="40" t="s">
        <v>179</v>
      </c>
      <c r="C95" s="40"/>
      <c r="D95" s="40"/>
      <c r="E95" s="40" t="s">
        <v>231</v>
      </c>
      <c r="F95" s="70">
        <v>42493</v>
      </c>
      <c r="G95" s="42">
        <f>1839.707+5.571</f>
        <v>1845.278</v>
      </c>
      <c r="H95" s="42"/>
      <c r="I95" s="42"/>
      <c r="J95" s="64"/>
      <c r="K95" s="65">
        <f t="shared" si="90"/>
        <v>1845.278</v>
      </c>
      <c r="L95" s="42"/>
      <c r="M95" s="84"/>
      <c r="N95" s="42"/>
      <c r="O95" s="42">
        <v>0</v>
      </c>
      <c r="P95" s="85" t="s">
        <v>194</v>
      </c>
      <c r="Q95" s="85" t="s">
        <v>194</v>
      </c>
      <c r="R95" s="42"/>
      <c r="S95" s="38"/>
      <c r="T95" s="38"/>
      <c r="U95" s="40"/>
      <c r="V95" s="40">
        <v>0</v>
      </c>
      <c r="W95" s="65">
        <f t="shared" si="107"/>
        <v>1845.278</v>
      </c>
      <c r="X95" s="38">
        <f t="shared" si="108"/>
        <v>0</v>
      </c>
      <c r="Y95" s="65">
        <f t="shared" si="109"/>
        <v>1845.278</v>
      </c>
      <c r="Z95" s="38">
        <f t="shared" si="110"/>
        <v>184.52780000000001</v>
      </c>
      <c r="AA95" s="38">
        <v>10.23</v>
      </c>
      <c r="AB95" s="38" t="str">
        <f t="shared" si="111"/>
        <v>X</v>
      </c>
      <c r="AC95" s="65" t="e">
        <f t="shared" si="112"/>
        <v>#VALUE!</v>
      </c>
      <c r="AD95" s="72"/>
      <c r="AE95" s="72"/>
      <c r="AF95" s="66">
        <f t="shared" si="116"/>
        <v>-1845.278</v>
      </c>
      <c r="AG95" s="40"/>
      <c r="AH95" s="43"/>
    </row>
    <row r="96" spans="1:34" s="18" customFormat="1">
      <c r="A96" s="40" t="s">
        <v>43</v>
      </c>
      <c r="B96" s="40" t="s">
        <v>229</v>
      </c>
      <c r="C96" s="40"/>
      <c r="D96" s="40"/>
      <c r="E96" s="40" t="s">
        <v>183</v>
      </c>
      <c r="F96" s="70">
        <v>42716</v>
      </c>
      <c r="G96" s="42"/>
      <c r="H96" s="42"/>
      <c r="I96" s="42"/>
      <c r="J96" s="64"/>
      <c r="K96" s="65">
        <f t="shared" si="90"/>
        <v>0</v>
      </c>
      <c r="L96" s="42"/>
      <c r="M96" s="84">
        <v>1</v>
      </c>
      <c r="N96" s="42"/>
      <c r="O96" s="42"/>
      <c r="P96" s="85"/>
      <c r="Q96" s="85"/>
      <c r="R96" s="42"/>
      <c r="S96" s="38"/>
      <c r="T96" s="38"/>
      <c r="U96" s="40"/>
      <c r="V96" s="40">
        <v>428.22</v>
      </c>
      <c r="W96" s="65">
        <f t="shared" ref="W96" si="117">+K96-SUM(L96:V96)</f>
        <v>-429.22</v>
      </c>
      <c r="X96" s="38">
        <f t="shared" ref="X96" si="118">IF(K96&gt;2250,K96*0.1,0)</f>
        <v>0</v>
      </c>
      <c r="Y96" s="65">
        <f t="shared" ref="Y96" si="119">+W96-X96</f>
        <v>-429.22</v>
      </c>
      <c r="Z96" s="38"/>
      <c r="AA96" s="38"/>
      <c r="AB96" s="38"/>
      <c r="AC96" s="65"/>
      <c r="AD96" s="72"/>
      <c r="AE96" s="72"/>
      <c r="AF96" s="66"/>
      <c r="AG96" s="40"/>
      <c r="AH96" s="43"/>
    </row>
    <row r="97" spans="1:34" s="18" customFormat="1">
      <c r="A97" s="40" t="s">
        <v>45</v>
      </c>
      <c r="B97" s="40" t="s">
        <v>123</v>
      </c>
      <c r="C97" s="40"/>
      <c r="D97" s="40" t="s">
        <v>72</v>
      </c>
      <c r="E97" s="40" t="s">
        <v>231</v>
      </c>
      <c r="F97" s="70">
        <v>42242</v>
      </c>
      <c r="G97" s="42">
        <f>790.216+2.599</f>
        <v>792.81500000000005</v>
      </c>
      <c r="H97" s="42"/>
      <c r="I97" s="42"/>
      <c r="J97" s="64"/>
      <c r="K97" s="65">
        <f t="shared" si="90"/>
        <v>792.81500000000005</v>
      </c>
      <c r="L97" s="42"/>
      <c r="M97" s="84"/>
      <c r="N97" s="42"/>
      <c r="O97" s="42">
        <v>0</v>
      </c>
      <c r="P97" s="85" t="s">
        <v>194</v>
      </c>
      <c r="Q97" s="85" t="s">
        <v>194</v>
      </c>
      <c r="R97" s="42"/>
      <c r="S97" s="38"/>
      <c r="T97" s="38"/>
      <c r="U97" s="40"/>
      <c r="V97" s="40">
        <v>0</v>
      </c>
      <c r="W97" s="65">
        <f t="shared" si="107"/>
        <v>792.81500000000005</v>
      </c>
      <c r="X97" s="38">
        <f t="shared" si="108"/>
        <v>0</v>
      </c>
      <c r="Y97" s="65">
        <f t="shared" si="109"/>
        <v>792.81500000000005</v>
      </c>
      <c r="Z97" s="38">
        <f t="shared" si="110"/>
        <v>79.281500000000008</v>
      </c>
      <c r="AA97" s="38">
        <v>10.23</v>
      </c>
      <c r="AB97" s="38" t="str">
        <f t="shared" si="111"/>
        <v>X</v>
      </c>
      <c r="AC97" s="65" t="e">
        <f t="shared" si="112"/>
        <v>#VALUE!</v>
      </c>
      <c r="AD97" s="72"/>
      <c r="AE97" s="72"/>
      <c r="AF97" s="66">
        <f t="shared" si="116"/>
        <v>-792.81500000000005</v>
      </c>
      <c r="AG97" s="40"/>
      <c r="AH97" s="43"/>
    </row>
    <row r="98" spans="1:34" s="18" customFormat="1">
      <c r="A98" s="40" t="s">
        <v>43</v>
      </c>
      <c r="B98" s="40" t="s">
        <v>156</v>
      </c>
      <c r="C98" s="40"/>
      <c r="D98" s="40" t="s">
        <v>50</v>
      </c>
      <c r="E98" s="40" t="s">
        <v>90</v>
      </c>
      <c r="F98" s="70">
        <v>42170</v>
      </c>
      <c r="G98" s="42">
        <f>3638.724+13.099</f>
        <v>3651.8230000000003</v>
      </c>
      <c r="H98" s="42"/>
      <c r="I98" s="42"/>
      <c r="J98" s="64"/>
      <c r="K98" s="65">
        <f t="shared" si="90"/>
        <v>3651.8230000000003</v>
      </c>
      <c r="L98" s="84">
        <v>250</v>
      </c>
      <c r="M98" s="84"/>
      <c r="N98" s="42"/>
      <c r="O98" s="42">
        <v>0</v>
      </c>
      <c r="P98" s="85"/>
      <c r="Q98" s="85"/>
      <c r="R98" s="42"/>
      <c r="S98" s="38"/>
      <c r="T98" s="38"/>
      <c r="U98" s="40"/>
      <c r="V98" s="40">
        <v>0</v>
      </c>
      <c r="W98" s="65">
        <f t="shared" si="107"/>
        <v>3401.8230000000003</v>
      </c>
      <c r="X98" s="38">
        <f t="shared" si="108"/>
        <v>365.18230000000005</v>
      </c>
      <c r="Y98" s="65">
        <f t="shared" si="109"/>
        <v>3036.6407000000004</v>
      </c>
      <c r="Z98" s="38">
        <f t="shared" si="110"/>
        <v>0</v>
      </c>
      <c r="AA98" s="38">
        <v>10.23</v>
      </c>
      <c r="AB98" s="38">
        <f t="shared" si="111"/>
        <v>0</v>
      </c>
      <c r="AC98" s="65">
        <f t="shared" si="112"/>
        <v>3662.0530000000003</v>
      </c>
      <c r="AD98" s="72"/>
      <c r="AE98" s="73"/>
      <c r="AF98" s="66">
        <f t="shared" si="116"/>
        <v>-3036.6407000000004</v>
      </c>
      <c r="AG98" s="40"/>
      <c r="AH98" s="43" t="s">
        <v>239</v>
      </c>
    </row>
    <row r="99" spans="1:34" s="18" customFormat="1">
      <c r="A99" s="40" t="s">
        <v>45</v>
      </c>
      <c r="B99" s="40" t="s">
        <v>107</v>
      </c>
      <c r="C99" s="40"/>
      <c r="D99" s="40" t="s">
        <v>73</v>
      </c>
      <c r="E99" s="40" t="s">
        <v>186</v>
      </c>
      <c r="F99" s="70">
        <v>36868</v>
      </c>
      <c r="G99" s="42">
        <f>2347.861+3.714</f>
        <v>2351.5749999999998</v>
      </c>
      <c r="H99" s="42"/>
      <c r="I99" s="42"/>
      <c r="J99" s="64"/>
      <c r="K99" s="65">
        <f t="shared" si="90"/>
        <v>2351.5749999999998</v>
      </c>
      <c r="L99" s="42"/>
      <c r="M99" s="84"/>
      <c r="N99" s="42"/>
      <c r="O99" s="42">
        <v>0</v>
      </c>
      <c r="P99" s="85" t="s">
        <v>194</v>
      </c>
      <c r="Q99" s="85" t="s">
        <v>194</v>
      </c>
      <c r="R99" s="42"/>
      <c r="S99" s="38"/>
      <c r="T99" s="38"/>
      <c r="U99" s="40"/>
      <c r="V99" s="40">
        <v>0</v>
      </c>
      <c r="W99" s="65">
        <f t="shared" si="107"/>
        <v>2351.5749999999998</v>
      </c>
      <c r="X99" s="38">
        <f t="shared" si="108"/>
        <v>235.1575</v>
      </c>
      <c r="Y99" s="65">
        <f t="shared" si="109"/>
        <v>2116.4175</v>
      </c>
      <c r="Z99" s="38">
        <f t="shared" si="110"/>
        <v>0</v>
      </c>
      <c r="AA99" s="38">
        <v>10.23</v>
      </c>
      <c r="AB99" s="38" t="str">
        <f t="shared" si="111"/>
        <v>X</v>
      </c>
      <c r="AC99" s="65" t="e">
        <f t="shared" si="112"/>
        <v>#VALUE!</v>
      </c>
      <c r="AD99" s="72"/>
      <c r="AE99" s="72"/>
      <c r="AF99" s="66">
        <f t="shared" si="116"/>
        <v>-2116.4175</v>
      </c>
      <c r="AG99" s="40"/>
      <c r="AH99" s="40"/>
    </row>
    <row r="100" spans="1:34" s="18" customFormat="1">
      <c r="A100" s="40" t="s">
        <v>45</v>
      </c>
      <c r="B100" s="40" t="s">
        <v>103</v>
      </c>
      <c r="C100" s="40"/>
      <c r="D100" s="40" t="s">
        <v>74</v>
      </c>
      <c r="E100" s="40" t="s">
        <v>184</v>
      </c>
      <c r="F100" s="70">
        <v>41949</v>
      </c>
      <c r="G100" s="42">
        <f>1441.8+7.428</f>
        <v>1449.2280000000001</v>
      </c>
      <c r="H100" s="42"/>
      <c r="I100" s="42"/>
      <c r="J100" s="64"/>
      <c r="K100" s="65">
        <f t="shared" si="90"/>
        <v>1449.2280000000001</v>
      </c>
      <c r="L100" s="42"/>
      <c r="M100" s="84"/>
      <c r="N100" s="42"/>
      <c r="O100" s="42">
        <v>250</v>
      </c>
      <c r="P100" s="85" t="s">
        <v>194</v>
      </c>
      <c r="Q100" s="85" t="s">
        <v>194</v>
      </c>
      <c r="R100" s="42"/>
      <c r="S100" s="38"/>
      <c r="T100" s="38"/>
      <c r="U100" s="40"/>
      <c r="V100" s="40">
        <v>0</v>
      </c>
      <c r="W100" s="65">
        <f t="shared" si="107"/>
        <v>1199.2280000000001</v>
      </c>
      <c r="X100" s="38">
        <f t="shared" si="108"/>
        <v>0</v>
      </c>
      <c r="Y100" s="65">
        <f t="shared" si="109"/>
        <v>1199.2280000000001</v>
      </c>
      <c r="Z100" s="38">
        <f t="shared" si="110"/>
        <v>144.92280000000002</v>
      </c>
      <c r="AA100" s="38">
        <v>10.23</v>
      </c>
      <c r="AB100" s="38" t="str">
        <f t="shared" si="111"/>
        <v>X</v>
      </c>
      <c r="AC100" s="65" t="e">
        <f t="shared" si="112"/>
        <v>#VALUE!</v>
      </c>
      <c r="AD100" s="72"/>
      <c r="AE100" s="73"/>
      <c r="AF100" s="66">
        <f t="shared" si="116"/>
        <v>-1199.2280000000001</v>
      </c>
      <c r="AG100" s="40"/>
      <c r="AH100" s="40"/>
    </row>
    <row r="101" spans="1:34" s="18" customFormat="1">
      <c r="A101" s="40" t="s">
        <v>45</v>
      </c>
      <c r="B101" s="40" t="s">
        <v>230</v>
      </c>
      <c r="C101" s="40"/>
      <c r="D101" s="40"/>
      <c r="E101" s="40" t="s">
        <v>183</v>
      </c>
      <c r="F101" s="70">
        <v>42712</v>
      </c>
      <c r="G101" s="42">
        <v>467.12299999999999</v>
      </c>
      <c r="H101" s="42"/>
      <c r="I101" s="42"/>
      <c r="J101" s="64"/>
      <c r="K101" s="65"/>
      <c r="L101" s="42"/>
      <c r="M101" s="84"/>
      <c r="N101" s="42"/>
      <c r="O101" s="42"/>
      <c r="P101" s="85"/>
      <c r="Q101" s="85"/>
      <c r="R101" s="42"/>
      <c r="S101" s="38"/>
      <c r="T101" s="38"/>
      <c r="U101" s="40"/>
      <c r="V101" s="40"/>
      <c r="W101" s="65"/>
      <c r="X101" s="38"/>
      <c r="Y101" s="65"/>
      <c r="Z101" s="38"/>
      <c r="AA101" s="38"/>
      <c r="AB101" s="38"/>
      <c r="AC101" s="65"/>
      <c r="AD101" s="72"/>
      <c r="AE101" s="72"/>
      <c r="AF101" s="66"/>
      <c r="AG101" s="40"/>
      <c r="AH101" s="43"/>
    </row>
    <row r="102" spans="1:34" s="18" customFormat="1">
      <c r="A102" s="40" t="s">
        <v>43</v>
      </c>
      <c r="B102" s="40" t="s">
        <v>36</v>
      </c>
      <c r="C102" s="40"/>
      <c r="D102" s="40" t="s">
        <v>51</v>
      </c>
      <c r="E102" s="40" t="s">
        <v>90</v>
      </c>
      <c r="F102" s="70">
        <v>42129</v>
      </c>
      <c r="G102" s="42">
        <f>2532.112+13.099</f>
        <v>2545.2110000000002</v>
      </c>
      <c r="H102" s="44"/>
      <c r="I102" s="42"/>
      <c r="J102" s="64"/>
      <c r="K102" s="65">
        <f t="shared" si="90"/>
        <v>2545.2110000000002</v>
      </c>
      <c r="L102" s="42"/>
      <c r="M102" s="84"/>
      <c r="N102" s="42"/>
      <c r="O102" s="42">
        <v>0</v>
      </c>
      <c r="P102" s="85"/>
      <c r="Q102" s="85"/>
      <c r="R102" s="42"/>
      <c r="S102" s="38"/>
      <c r="T102" s="38"/>
      <c r="U102" s="40"/>
      <c r="V102" s="40">
        <v>0</v>
      </c>
      <c r="W102" s="65">
        <f t="shared" si="107"/>
        <v>2545.2110000000002</v>
      </c>
      <c r="X102" s="38">
        <f t="shared" si="108"/>
        <v>254.52110000000005</v>
      </c>
      <c r="Y102" s="65">
        <f t="shared" si="109"/>
        <v>2290.6899000000003</v>
      </c>
      <c r="Z102" s="38">
        <f t="shared" si="110"/>
        <v>0</v>
      </c>
      <c r="AA102" s="38">
        <v>10.23</v>
      </c>
      <c r="AB102" s="38">
        <f t="shared" si="111"/>
        <v>0</v>
      </c>
      <c r="AC102" s="65">
        <f t="shared" si="112"/>
        <v>2555.4410000000003</v>
      </c>
      <c r="AD102" s="72"/>
      <c r="AE102" s="73"/>
      <c r="AF102" s="66">
        <f t="shared" si="116"/>
        <v>-2290.6899000000003</v>
      </c>
      <c r="AG102" s="40"/>
      <c r="AH102" s="43"/>
    </row>
    <row r="103" spans="1:34" s="18" customFormat="1">
      <c r="A103" s="40" t="s">
        <v>43</v>
      </c>
      <c r="B103" s="40" t="s">
        <v>141</v>
      </c>
      <c r="C103" s="40"/>
      <c r="D103" s="40"/>
      <c r="E103" s="40" t="s">
        <v>183</v>
      </c>
      <c r="F103" s="70">
        <v>42422</v>
      </c>
      <c r="G103" s="42">
        <f>7705.032+13.099</f>
        <v>7718.1310000000003</v>
      </c>
      <c r="H103" s="42"/>
      <c r="I103" s="42"/>
      <c r="J103" s="64"/>
      <c r="K103" s="65">
        <f t="shared" si="90"/>
        <v>7718.1310000000003</v>
      </c>
      <c r="L103" s="42"/>
      <c r="M103" s="84"/>
      <c r="N103" s="42"/>
      <c r="O103" s="42">
        <v>0</v>
      </c>
      <c r="P103" s="85"/>
      <c r="Q103" s="85"/>
      <c r="R103" s="42"/>
      <c r="S103" s="38"/>
      <c r="T103" s="38"/>
      <c r="U103" s="40"/>
      <c r="V103" s="40">
        <v>0</v>
      </c>
      <c r="W103" s="65">
        <f t="shared" ref="W103" si="120">+K103-SUM(L103:V103)</f>
        <v>7718.1310000000003</v>
      </c>
      <c r="X103" s="38">
        <f t="shared" ref="X103" si="121">IF(K103&gt;2250,K103*0.1,0)</f>
        <v>771.81310000000008</v>
      </c>
      <c r="Y103" s="65">
        <f t="shared" ref="Y103" si="122">+W103-X103</f>
        <v>6946.3179</v>
      </c>
      <c r="Z103" s="38">
        <f t="shared" si="110"/>
        <v>0</v>
      </c>
      <c r="AA103" s="38">
        <v>10.23</v>
      </c>
      <c r="AB103" s="38">
        <f t="shared" si="111"/>
        <v>0</v>
      </c>
      <c r="AC103" s="65">
        <f t="shared" si="112"/>
        <v>7728.3609999999999</v>
      </c>
      <c r="AD103" s="72"/>
      <c r="AE103" s="73"/>
      <c r="AF103" s="66">
        <f t="shared" si="116"/>
        <v>-6946.3179</v>
      </c>
      <c r="AG103" s="40"/>
      <c r="AH103" s="43"/>
    </row>
    <row r="104" spans="1:34" s="18" customFormat="1">
      <c r="A104" s="40" t="s">
        <v>45</v>
      </c>
      <c r="B104" s="40" t="s">
        <v>157</v>
      </c>
      <c r="C104" s="40"/>
      <c r="D104" s="40" t="s">
        <v>75</v>
      </c>
      <c r="E104" s="40" t="s">
        <v>187</v>
      </c>
      <c r="F104" s="70">
        <v>41227</v>
      </c>
      <c r="G104" s="42">
        <f>523.024+2.599+1505.52</f>
        <v>2031.143</v>
      </c>
      <c r="H104" s="42"/>
      <c r="I104" s="42"/>
      <c r="J104" s="64"/>
      <c r="K104" s="65">
        <f t="shared" si="90"/>
        <v>2031.143</v>
      </c>
      <c r="L104" s="42"/>
      <c r="M104" s="84"/>
      <c r="N104" s="42"/>
      <c r="O104" s="42">
        <v>200</v>
      </c>
      <c r="P104" s="85" t="s">
        <v>194</v>
      </c>
      <c r="Q104" s="85" t="s">
        <v>194</v>
      </c>
      <c r="R104" s="42"/>
      <c r="S104" s="38"/>
      <c r="T104" s="38"/>
      <c r="U104" s="40"/>
      <c r="V104" s="40">
        <v>0</v>
      </c>
      <c r="W104" s="65">
        <f t="shared" si="107"/>
        <v>1831.143</v>
      </c>
      <c r="X104" s="38">
        <f t="shared" si="108"/>
        <v>0</v>
      </c>
      <c r="Y104" s="65">
        <f t="shared" si="109"/>
        <v>1831.143</v>
      </c>
      <c r="Z104" s="38">
        <f t="shared" si="110"/>
        <v>203.11430000000001</v>
      </c>
      <c r="AA104" s="38">
        <v>10.23</v>
      </c>
      <c r="AB104" s="38" t="str">
        <f t="shared" si="111"/>
        <v>X</v>
      </c>
      <c r="AC104" s="65" t="e">
        <f t="shared" si="112"/>
        <v>#VALUE!</v>
      </c>
      <c r="AD104" s="72"/>
      <c r="AE104" s="72"/>
      <c r="AF104" s="66">
        <f t="shared" si="116"/>
        <v>-1831.143</v>
      </c>
      <c r="AG104" s="40"/>
      <c r="AH104" s="43"/>
    </row>
    <row r="105" spans="1:34" s="18" customFormat="1">
      <c r="A105" s="40" t="s">
        <v>43</v>
      </c>
      <c r="B105" s="40" t="s">
        <v>214</v>
      </c>
      <c r="C105" s="40"/>
      <c r="D105" s="40"/>
      <c r="E105" s="40" t="s">
        <v>90</v>
      </c>
      <c r="F105" s="70">
        <v>42671</v>
      </c>
      <c r="G105" s="42">
        <f>547.35+2.972</f>
        <v>550.322</v>
      </c>
      <c r="H105" s="42"/>
      <c r="I105" s="42"/>
      <c r="J105" s="64"/>
      <c r="K105" s="65">
        <f t="shared" si="90"/>
        <v>550.322</v>
      </c>
      <c r="L105" s="42"/>
      <c r="M105" s="84"/>
      <c r="N105" s="42"/>
      <c r="O105" s="42"/>
      <c r="P105" s="85"/>
      <c r="Q105" s="85"/>
      <c r="R105" s="42"/>
      <c r="S105" s="38"/>
      <c r="T105" s="38"/>
      <c r="U105" s="40"/>
      <c r="V105" s="40"/>
      <c r="W105" s="65">
        <f t="shared" ref="W105" si="123">+K105-SUM(L105:V105)</f>
        <v>550.322</v>
      </c>
      <c r="X105" s="38">
        <f t="shared" ref="X105" si="124">IF(K105&gt;2250,K105*0.1,0)</f>
        <v>0</v>
      </c>
      <c r="Y105" s="65">
        <f t="shared" si="109"/>
        <v>550.322</v>
      </c>
      <c r="Z105" s="38"/>
      <c r="AA105" s="38"/>
      <c r="AB105" s="38"/>
      <c r="AC105" s="65"/>
      <c r="AD105" s="72"/>
      <c r="AE105" s="72"/>
      <c r="AF105" s="66"/>
      <c r="AG105" s="43" t="s">
        <v>221</v>
      </c>
      <c r="AH105" s="43" t="s">
        <v>222</v>
      </c>
    </row>
    <row r="106" spans="1:34" s="18" customFormat="1">
      <c r="A106" s="40" t="s">
        <v>45</v>
      </c>
      <c r="B106" s="40" t="s">
        <v>226</v>
      </c>
      <c r="C106" s="40"/>
      <c r="D106" s="40"/>
      <c r="E106" s="40" t="s">
        <v>183</v>
      </c>
      <c r="F106" s="70">
        <v>42699</v>
      </c>
      <c r="G106" s="42">
        <f>714.577+73.04</f>
        <v>787.61699999999996</v>
      </c>
      <c r="H106" s="42"/>
      <c r="I106" s="42"/>
      <c r="J106" s="64"/>
      <c r="K106" s="65">
        <f t="shared" si="90"/>
        <v>787.61699999999996</v>
      </c>
      <c r="L106" s="42"/>
      <c r="M106" s="84"/>
      <c r="N106" s="42"/>
      <c r="O106" s="42"/>
      <c r="P106" s="85"/>
      <c r="Q106" s="85"/>
      <c r="R106" s="42"/>
      <c r="S106" s="38"/>
      <c r="T106" s="38"/>
      <c r="U106" s="40"/>
      <c r="V106" s="40"/>
      <c r="W106" s="65">
        <f t="shared" ref="W106" si="125">+K106-SUM(L106:V106)</f>
        <v>787.61699999999996</v>
      </c>
      <c r="X106" s="38">
        <f t="shared" ref="X106" si="126">IF(K106&gt;2250,K106*0.1,0)</f>
        <v>0</v>
      </c>
      <c r="Y106" s="65">
        <f t="shared" ref="Y106" si="127">+W106-X106</f>
        <v>787.61699999999996</v>
      </c>
      <c r="Z106" s="38"/>
      <c r="AA106" s="38"/>
      <c r="AB106" s="38"/>
      <c r="AC106" s="65"/>
      <c r="AD106" s="72"/>
      <c r="AE106" s="73"/>
      <c r="AF106" s="66"/>
      <c r="AG106" s="40" t="s">
        <v>224</v>
      </c>
      <c r="AH106" s="40"/>
    </row>
    <row r="107" spans="1:34" s="18" customFormat="1">
      <c r="A107" s="40" t="s">
        <v>45</v>
      </c>
      <c r="B107" s="40" t="s">
        <v>202</v>
      </c>
      <c r="C107" s="40"/>
      <c r="D107" s="40"/>
      <c r="E107" s="40" t="s">
        <v>183</v>
      </c>
      <c r="F107" s="70">
        <v>42635</v>
      </c>
      <c r="G107" s="42">
        <v>671.5</v>
      </c>
      <c r="H107" s="42"/>
      <c r="I107" s="42"/>
      <c r="J107" s="64"/>
      <c r="K107" s="65">
        <f t="shared" si="90"/>
        <v>671.5</v>
      </c>
      <c r="L107" s="42"/>
      <c r="M107" s="84"/>
      <c r="N107" s="42"/>
      <c r="O107" s="42"/>
      <c r="P107" s="85"/>
      <c r="Q107" s="85"/>
      <c r="R107" s="42"/>
      <c r="S107" s="38"/>
      <c r="T107" s="38"/>
      <c r="U107" s="40"/>
      <c r="V107" s="40"/>
      <c r="W107" s="65">
        <f t="shared" ref="W107" si="128">+K107-SUM(L107:V107)</f>
        <v>671.5</v>
      </c>
      <c r="X107" s="38">
        <f t="shared" ref="X107" si="129">IF(K107&gt;2250,K107*0.1,0)</f>
        <v>0</v>
      </c>
      <c r="Y107" s="65">
        <f t="shared" ref="Y107" si="130">+W107-X107</f>
        <v>671.5</v>
      </c>
      <c r="Z107" s="38"/>
      <c r="AA107" s="38"/>
      <c r="AB107" s="38"/>
      <c r="AC107" s="65"/>
      <c r="AD107" s="72"/>
      <c r="AE107" s="72"/>
      <c r="AF107" s="66"/>
      <c r="AG107" s="40">
        <v>1133340031</v>
      </c>
      <c r="AH107" s="40"/>
    </row>
    <row r="108" spans="1:34" s="18" customFormat="1">
      <c r="A108" s="40" t="s">
        <v>45</v>
      </c>
      <c r="B108" s="40" t="s">
        <v>159</v>
      </c>
      <c r="C108" s="40"/>
      <c r="D108" s="40" t="s">
        <v>76</v>
      </c>
      <c r="E108" s="40" t="s">
        <v>187</v>
      </c>
      <c r="F108" s="70">
        <v>41703</v>
      </c>
      <c r="G108" s="42">
        <v>712.10799999999995</v>
      </c>
      <c r="H108" s="42"/>
      <c r="I108" s="42"/>
      <c r="J108" s="64"/>
      <c r="K108" s="65">
        <f t="shared" si="90"/>
        <v>712.10799999999995</v>
      </c>
      <c r="L108" s="42"/>
      <c r="M108" s="84"/>
      <c r="N108" s="42"/>
      <c r="O108" s="42">
        <v>0</v>
      </c>
      <c r="P108" s="85" t="s">
        <v>194</v>
      </c>
      <c r="Q108" s="85" t="s">
        <v>194</v>
      </c>
      <c r="R108" s="42"/>
      <c r="S108" s="38"/>
      <c r="T108" s="38"/>
      <c r="U108" s="40"/>
      <c r="V108" s="40">
        <v>0</v>
      </c>
      <c r="W108" s="65">
        <f t="shared" si="107"/>
        <v>712.10799999999995</v>
      </c>
      <c r="X108" s="38">
        <f t="shared" si="108"/>
        <v>0</v>
      </c>
      <c r="Y108" s="65">
        <f t="shared" si="109"/>
        <v>712.10799999999995</v>
      </c>
      <c r="Z108" s="38">
        <f t="shared" si="110"/>
        <v>71.210799999999992</v>
      </c>
      <c r="AA108" s="38">
        <v>10.23</v>
      </c>
      <c r="AB108" s="38" t="str">
        <f t="shared" si="111"/>
        <v>X</v>
      </c>
      <c r="AC108" s="65" t="e">
        <f t="shared" si="112"/>
        <v>#VALUE!</v>
      </c>
      <c r="AD108" s="72"/>
      <c r="AE108" s="72"/>
      <c r="AF108" s="66">
        <f t="shared" si="116"/>
        <v>-712.10799999999995</v>
      </c>
      <c r="AG108" s="40"/>
      <c r="AH108" s="40"/>
    </row>
    <row r="109" spans="1:34" s="18" customFormat="1">
      <c r="A109" s="40" t="s">
        <v>45</v>
      </c>
      <c r="B109" s="40" t="s">
        <v>99</v>
      </c>
      <c r="C109" s="40"/>
      <c r="D109" s="40" t="s">
        <v>77</v>
      </c>
      <c r="E109" s="40" t="s">
        <v>187</v>
      </c>
      <c r="F109" s="70">
        <v>41291</v>
      </c>
      <c r="G109" s="42">
        <f>2307.069+2.599</f>
        <v>2309.6680000000001</v>
      </c>
      <c r="H109" s="42"/>
      <c r="I109" s="42"/>
      <c r="J109" s="64"/>
      <c r="K109" s="65">
        <f t="shared" si="90"/>
        <v>2309.6680000000001</v>
      </c>
      <c r="L109" s="42"/>
      <c r="M109" s="84"/>
      <c r="N109" s="42"/>
      <c r="O109" s="42">
        <v>200</v>
      </c>
      <c r="P109" s="85" t="s">
        <v>194</v>
      </c>
      <c r="Q109" s="85" t="s">
        <v>194</v>
      </c>
      <c r="R109" s="42"/>
      <c r="S109" s="38"/>
      <c r="T109" s="38"/>
      <c r="U109" s="40"/>
      <c r="V109" s="40">
        <v>0</v>
      </c>
      <c r="W109" s="65">
        <f t="shared" si="107"/>
        <v>2109.6680000000001</v>
      </c>
      <c r="X109" s="38">
        <f t="shared" si="108"/>
        <v>230.96680000000003</v>
      </c>
      <c r="Y109" s="65">
        <f t="shared" si="109"/>
        <v>1878.7012</v>
      </c>
      <c r="Z109" s="38">
        <f t="shared" si="110"/>
        <v>0</v>
      </c>
      <c r="AA109" s="38">
        <v>10.23</v>
      </c>
      <c r="AB109" s="38" t="str">
        <f t="shared" si="111"/>
        <v>X</v>
      </c>
      <c r="AC109" s="65" t="e">
        <f t="shared" si="112"/>
        <v>#VALUE!</v>
      </c>
      <c r="AD109" s="72"/>
      <c r="AE109" s="72"/>
      <c r="AF109" s="66">
        <f t="shared" si="116"/>
        <v>-1878.7012</v>
      </c>
      <c r="AG109" s="40"/>
      <c r="AH109" s="43"/>
    </row>
    <row r="110" spans="1:34" s="18" customFormat="1">
      <c r="A110" s="40" t="s">
        <v>43</v>
      </c>
      <c r="B110" s="40" t="s">
        <v>109</v>
      </c>
      <c r="C110" s="40"/>
      <c r="D110" s="40" t="s">
        <v>52</v>
      </c>
      <c r="E110" s="40" t="s">
        <v>90</v>
      </c>
      <c r="F110" s="70">
        <v>41666</v>
      </c>
      <c r="G110" s="42">
        <f>1470.102+7.428</f>
        <v>1477.5300000000002</v>
      </c>
      <c r="H110" s="42"/>
      <c r="I110" s="42"/>
      <c r="J110" s="64"/>
      <c r="K110" s="65">
        <f t="shared" si="90"/>
        <v>1477.5300000000002</v>
      </c>
      <c r="L110" s="42"/>
      <c r="M110" s="84"/>
      <c r="N110" s="42"/>
      <c r="O110" s="42">
        <v>150</v>
      </c>
      <c r="P110" s="85"/>
      <c r="Q110" s="85"/>
      <c r="R110" s="42"/>
      <c r="S110" s="38"/>
      <c r="T110" s="38"/>
      <c r="U110" s="40"/>
      <c r="V110" s="40">
        <v>0</v>
      </c>
      <c r="W110" s="65">
        <f t="shared" si="107"/>
        <v>1327.5300000000002</v>
      </c>
      <c r="X110" s="38">
        <f t="shared" si="108"/>
        <v>0</v>
      </c>
      <c r="Y110" s="65">
        <f t="shared" si="109"/>
        <v>1327.5300000000002</v>
      </c>
      <c r="Z110" s="38">
        <f t="shared" si="110"/>
        <v>147.75300000000001</v>
      </c>
      <c r="AA110" s="38">
        <v>10.23</v>
      </c>
      <c r="AB110" s="38">
        <f t="shared" si="111"/>
        <v>0</v>
      </c>
      <c r="AC110" s="65">
        <f t="shared" si="112"/>
        <v>1635.5130000000001</v>
      </c>
      <c r="AD110" s="72"/>
      <c r="AE110" s="73"/>
      <c r="AF110" s="66">
        <f t="shared" si="116"/>
        <v>-1327.5300000000002</v>
      </c>
      <c r="AG110" s="40"/>
      <c r="AH110" s="40"/>
    </row>
    <row r="111" spans="1:34" s="111" customFormat="1">
      <c r="A111" s="100" t="s">
        <v>43</v>
      </c>
      <c r="B111" s="100" t="s">
        <v>37</v>
      </c>
      <c r="C111" s="100"/>
      <c r="D111" s="100" t="s">
        <v>53</v>
      </c>
      <c r="E111" s="100" t="s">
        <v>90</v>
      </c>
      <c r="F111" s="101">
        <v>42100</v>
      </c>
      <c r="G111" s="102"/>
      <c r="H111" s="102"/>
      <c r="I111" s="102"/>
      <c r="J111" s="103"/>
      <c r="K111" s="49">
        <f t="shared" si="90"/>
        <v>0</v>
      </c>
      <c r="L111" s="104"/>
      <c r="M111" s="104"/>
      <c r="N111" s="102"/>
      <c r="O111" s="102">
        <v>0</v>
      </c>
      <c r="P111" s="105"/>
      <c r="Q111" s="105"/>
      <c r="R111" s="102"/>
      <c r="S111" s="106"/>
      <c r="T111" s="106"/>
      <c r="U111" s="100"/>
      <c r="V111" s="100">
        <v>0</v>
      </c>
      <c r="W111" s="49">
        <f t="shared" si="107"/>
        <v>0</v>
      </c>
      <c r="X111" s="106">
        <f t="shared" si="108"/>
        <v>0</v>
      </c>
      <c r="Y111" s="49">
        <f t="shared" si="109"/>
        <v>0</v>
      </c>
      <c r="Z111" s="106">
        <f t="shared" si="110"/>
        <v>0</v>
      </c>
      <c r="AA111" s="106">
        <v>10.23</v>
      </c>
      <c r="AB111" s="106">
        <f t="shared" si="111"/>
        <v>0</v>
      </c>
      <c r="AC111" s="49">
        <f t="shared" si="112"/>
        <v>10.23</v>
      </c>
      <c r="AD111" s="107"/>
      <c r="AE111" s="108"/>
      <c r="AF111" s="109">
        <f t="shared" si="116"/>
        <v>0</v>
      </c>
      <c r="AG111" s="100"/>
      <c r="AH111" s="110" t="s">
        <v>238</v>
      </c>
    </row>
    <row r="112" spans="1:34" s="18" customFormat="1">
      <c r="A112" s="40" t="s">
        <v>45</v>
      </c>
      <c r="B112" s="40" t="s">
        <v>182</v>
      </c>
      <c r="C112" s="40"/>
      <c r="D112" s="40" t="s">
        <v>78</v>
      </c>
      <c r="E112" s="40" t="s">
        <v>186</v>
      </c>
      <c r="F112" s="70">
        <v>29733</v>
      </c>
      <c r="G112" s="42">
        <v>2615.9</v>
      </c>
      <c r="H112" s="42"/>
      <c r="I112" s="42"/>
      <c r="J112" s="64"/>
      <c r="K112" s="65">
        <f t="shared" si="90"/>
        <v>2615.9</v>
      </c>
      <c r="L112" s="42"/>
      <c r="M112" s="84"/>
      <c r="N112" s="42"/>
      <c r="O112" s="42">
        <v>50</v>
      </c>
      <c r="P112" s="85" t="s">
        <v>194</v>
      </c>
      <c r="Q112" s="85" t="s">
        <v>194</v>
      </c>
      <c r="R112" s="42"/>
      <c r="S112" s="38"/>
      <c r="T112" s="38"/>
      <c r="U112" s="40"/>
      <c r="V112" s="40">
        <v>0</v>
      </c>
      <c r="W112" s="65">
        <f t="shared" si="107"/>
        <v>2565.9</v>
      </c>
      <c r="X112" s="38">
        <f t="shared" si="108"/>
        <v>261.59000000000003</v>
      </c>
      <c r="Y112" s="65">
        <f t="shared" si="109"/>
        <v>2304.31</v>
      </c>
      <c r="Z112" s="38">
        <f t="shared" si="110"/>
        <v>0</v>
      </c>
      <c r="AA112" s="38">
        <v>10.23</v>
      </c>
      <c r="AB112" s="38" t="str">
        <f t="shared" si="111"/>
        <v>X</v>
      </c>
      <c r="AC112" s="65" t="e">
        <f t="shared" si="112"/>
        <v>#VALUE!</v>
      </c>
      <c r="AD112" s="72"/>
      <c r="AE112" s="73"/>
      <c r="AF112" s="66">
        <f t="shared" si="116"/>
        <v>-2304.31</v>
      </c>
      <c r="AG112" s="40"/>
      <c r="AH112" s="43"/>
    </row>
    <row r="113" spans="1:188" s="18" customFormat="1">
      <c r="A113" s="40" t="s">
        <v>45</v>
      </c>
      <c r="B113" s="40" t="s">
        <v>212</v>
      </c>
      <c r="C113" s="40"/>
      <c r="D113" s="40"/>
      <c r="E113" s="40" t="s">
        <v>183</v>
      </c>
      <c r="F113" s="70">
        <v>42662</v>
      </c>
      <c r="G113" s="42">
        <v>461.2</v>
      </c>
      <c r="H113" s="42"/>
      <c r="I113" s="42"/>
      <c r="J113" s="64"/>
      <c r="K113" s="65">
        <f t="shared" si="90"/>
        <v>461.2</v>
      </c>
      <c r="L113" s="42"/>
      <c r="M113" s="84"/>
      <c r="N113" s="42"/>
      <c r="O113" s="42"/>
      <c r="P113" s="85"/>
      <c r="Q113" s="85"/>
      <c r="R113" s="42"/>
      <c r="S113" s="38"/>
      <c r="T113" s="38"/>
      <c r="U113" s="40"/>
      <c r="V113" s="40"/>
      <c r="W113" s="65">
        <f t="shared" ref="W113" si="131">+K113-SUM(L113:V113)</f>
        <v>461.2</v>
      </c>
      <c r="X113" s="38">
        <f t="shared" ref="X113" si="132">IF(K113&gt;2250,K113*0.1,0)</f>
        <v>0</v>
      </c>
      <c r="Y113" s="65">
        <f t="shared" ref="Y113" si="133">+W113-X113</f>
        <v>461.2</v>
      </c>
      <c r="Z113" s="38"/>
      <c r="AA113" s="38"/>
      <c r="AB113" s="38"/>
      <c r="AC113" s="65"/>
      <c r="AD113" s="72"/>
      <c r="AE113" s="73"/>
      <c r="AF113" s="66"/>
      <c r="AG113" s="40">
        <v>1121368761</v>
      </c>
      <c r="AH113" s="43"/>
    </row>
    <row r="114" spans="1:188" s="18" customFormat="1">
      <c r="A114" s="40" t="s">
        <v>43</v>
      </c>
      <c r="B114" s="40" t="s">
        <v>193</v>
      </c>
      <c r="C114" s="40"/>
      <c r="D114" s="40"/>
      <c r="E114" s="40" t="s">
        <v>231</v>
      </c>
      <c r="F114" s="70">
        <v>42604</v>
      </c>
      <c r="G114" s="42">
        <v>301.577</v>
      </c>
      <c r="H114" s="42"/>
      <c r="I114" s="42"/>
      <c r="J114" s="64"/>
      <c r="K114" s="65">
        <f t="shared" si="90"/>
        <v>301.577</v>
      </c>
      <c r="L114" s="42"/>
      <c r="M114" s="84"/>
      <c r="N114" s="42"/>
      <c r="O114" s="42"/>
      <c r="P114" s="85"/>
      <c r="Q114" s="85"/>
      <c r="R114" s="42"/>
      <c r="S114" s="38"/>
      <c r="T114" s="38"/>
      <c r="U114" s="40"/>
      <c r="V114" s="40"/>
      <c r="W114" s="65">
        <f t="shared" ref="W114" si="134">+K114-SUM(L114:V114)</f>
        <v>301.577</v>
      </c>
      <c r="X114" s="38">
        <f t="shared" ref="X114" si="135">IF(K114&gt;2250,K114*0.1,0)</f>
        <v>0</v>
      </c>
      <c r="Y114" s="65">
        <f t="shared" ref="Y114" si="136">+W114-X114</f>
        <v>301.577</v>
      </c>
      <c r="Z114" s="38"/>
      <c r="AA114" s="38"/>
      <c r="AB114" s="38"/>
      <c r="AC114" s="65"/>
      <c r="AD114" s="72"/>
      <c r="AE114" s="79"/>
      <c r="AF114" s="66"/>
      <c r="AG114" s="40">
        <v>1258728771</v>
      </c>
      <c r="AH114" s="40"/>
    </row>
    <row r="115" spans="1:188" s="18" customFormat="1">
      <c r="A115" s="40" t="s">
        <v>43</v>
      </c>
      <c r="B115" s="40" t="s">
        <v>38</v>
      </c>
      <c r="C115" s="40"/>
      <c r="D115" s="40" t="s">
        <v>55</v>
      </c>
      <c r="E115" s="40" t="s">
        <v>90</v>
      </c>
      <c r="F115" s="70">
        <v>42361</v>
      </c>
      <c r="G115" s="42">
        <f>2326.104+7.428</f>
        <v>2333.5319999999997</v>
      </c>
      <c r="H115" s="42"/>
      <c r="I115" s="42"/>
      <c r="J115" s="64"/>
      <c r="K115" s="65">
        <f t="shared" si="90"/>
        <v>2333.5319999999997</v>
      </c>
      <c r="L115" s="42">
        <v>150</v>
      </c>
      <c r="M115" s="84">
        <v>1</v>
      </c>
      <c r="N115" s="42"/>
      <c r="O115" s="42">
        <v>0</v>
      </c>
      <c r="P115" s="85"/>
      <c r="Q115" s="85"/>
      <c r="R115" s="42"/>
      <c r="S115" s="38"/>
      <c r="T115" s="38"/>
      <c r="U115" s="40"/>
      <c r="V115" s="40">
        <v>0</v>
      </c>
      <c r="W115" s="65">
        <f>+K115-SUM(L115:V115)</f>
        <v>2182.5319999999997</v>
      </c>
      <c r="X115" s="38">
        <f>IF(K115&gt;2250,K115*0.1,0)</f>
        <v>233.35319999999999</v>
      </c>
      <c r="Y115" s="65">
        <f>+W115-X115</f>
        <v>1949.1787999999997</v>
      </c>
      <c r="Z115" s="38">
        <f>IF(K115&lt;2250,K115*0.1,0)</f>
        <v>0</v>
      </c>
      <c r="AA115" s="38">
        <v>10.23</v>
      </c>
      <c r="AB115" s="38">
        <f>+P115</f>
        <v>0</v>
      </c>
      <c r="AC115" s="65">
        <f>+K115+Z115+AA115+AB115</f>
        <v>2343.7619999999997</v>
      </c>
      <c r="AD115" s="72"/>
      <c r="AE115" s="78"/>
      <c r="AF115" s="66">
        <f>+AD115+AE115-Y115</f>
        <v>-1949.1787999999997</v>
      </c>
      <c r="AG115" s="40"/>
      <c r="AH115" s="43" t="s">
        <v>239</v>
      </c>
    </row>
    <row r="116" spans="1:188" s="18" customFormat="1">
      <c r="A116" s="40" t="s">
        <v>43</v>
      </c>
      <c r="B116" s="40" t="s">
        <v>108</v>
      </c>
      <c r="C116" s="40"/>
      <c r="D116" s="40" t="s">
        <v>54</v>
      </c>
      <c r="E116" s="40" t="s">
        <v>90</v>
      </c>
      <c r="F116" s="70">
        <v>41549</v>
      </c>
      <c r="G116" s="42">
        <f>6301.795+13.099</f>
        <v>6314.8940000000002</v>
      </c>
      <c r="H116" s="42"/>
      <c r="I116" s="42"/>
      <c r="J116" s="64"/>
      <c r="K116" s="65">
        <f t="shared" si="90"/>
        <v>6314.8940000000002</v>
      </c>
      <c r="L116" s="42"/>
      <c r="M116" s="84"/>
      <c r="N116" s="42"/>
      <c r="O116" s="42">
        <v>500</v>
      </c>
      <c r="P116" s="85"/>
      <c r="Q116" s="85"/>
      <c r="R116" s="42"/>
      <c r="S116" s="38"/>
      <c r="T116" s="38"/>
      <c r="U116" s="40"/>
      <c r="V116" s="40">
        <v>0</v>
      </c>
      <c r="W116" s="65">
        <f>+K116-SUM(L116:V116)</f>
        <v>5814.8940000000002</v>
      </c>
      <c r="X116" s="38">
        <f>IF(K116&gt;2250,K116*0.1,0)</f>
        <v>631.48940000000005</v>
      </c>
      <c r="Y116" s="65">
        <f>+W116-X116</f>
        <v>5183.4045999999998</v>
      </c>
      <c r="Z116" s="38">
        <f>IF(K116&lt;2250,K116*0.1,0)</f>
        <v>0</v>
      </c>
      <c r="AA116" s="38">
        <v>10.23</v>
      </c>
      <c r="AB116" s="38">
        <f>+P116</f>
        <v>0</v>
      </c>
      <c r="AC116" s="65">
        <f>+K116+Z116+AA116+AB116</f>
        <v>6325.1239999999998</v>
      </c>
      <c r="AD116" s="72"/>
      <c r="AE116" s="73"/>
      <c r="AF116" s="66">
        <f>+AD116+AE116-Y116</f>
        <v>-5183.4045999999998</v>
      </c>
      <c r="AG116" s="40"/>
      <c r="AH116" s="43"/>
    </row>
    <row r="117" spans="1:188">
      <c r="A117" s="33"/>
      <c r="B117" s="40"/>
      <c r="C117" s="33"/>
      <c r="D117" s="33"/>
      <c r="E117" s="33"/>
      <c r="F117" s="83"/>
      <c r="G117" s="35"/>
      <c r="H117" s="35"/>
      <c r="I117" s="35"/>
      <c r="J117" s="35"/>
      <c r="K117" s="37"/>
      <c r="L117" s="54"/>
      <c r="M117" s="54"/>
      <c r="N117" s="54"/>
      <c r="O117" s="54"/>
      <c r="P117" s="54"/>
      <c r="Q117" s="54"/>
      <c r="R117" s="54"/>
      <c r="S117" s="77"/>
      <c r="T117" s="77"/>
      <c r="U117" s="77"/>
      <c r="V117" s="77"/>
      <c r="W117" s="76"/>
      <c r="X117" s="77"/>
      <c r="Y117" s="76"/>
      <c r="Z117" s="77"/>
      <c r="AA117" s="77"/>
      <c r="AB117" s="77"/>
      <c r="AC117" s="76"/>
      <c r="AD117" s="59"/>
      <c r="AE117" s="59"/>
      <c r="AF117" s="50"/>
      <c r="AG117" s="33"/>
      <c r="AH117" s="33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118" s="33"/>
      <c r="B118" s="40"/>
      <c r="C118" s="33"/>
      <c r="D118" s="33"/>
      <c r="E118" s="33"/>
      <c r="F118" s="83"/>
      <c r="G118" s="35"/>
      <c r="H118" s="35"/>
      <c r="I118" s="35"/>
      <c r="J118" s="35"/>
      <c r="K118" s="37"/>
      <c r="L118" s="54"/>
      <c r="M118" s="54"/>
      <c r="N118" s="54"/>
      <c r="O118" s="54"/>
      <c r="P118" s="54"/>
      <c r="Q118" s="54"/>
      <c r="R118" s="54"/>
      <c r="S118" s="77"/>
      <c r="T118" s="77"/>
      <c r="U118" s="77"/>
      <c r="V118" s="77"/>
      <c r="W118" s="76"/>
      <c r="X118" s="77"/>
      <c r="Y118" s="76"/>
      <c r="Z118" s="77"/>
      <c r="AA118" s="77"/>
      <c r="AB118" s="77"/>
      <c r="AC118" s="76"/>
      <c r="AD118" s="59"/>
      <c r="AE118" s="59"/>
      <c r="AF118" s="50"/>
      <c r="AG118" s="33"/>
      <c r="AH118" s="33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119" s="33"/>
      <c r="B119" s="40"/>
      <c r="C119" s="33"/>
      <c r="D119" s="33"/>
      <c r="E119" s="33"/>
      <c r="F119" s="83"/>
      <c r="G119" s="35"/>
      <c r="H119" s="35"/>
      <c r="I119" s="35"/>
      <c r="J119" s="35"/>
      <c r="K119" s="37"/>
      <c r="L119" s="54"/>
      <c r="M119" s="54"/>
      <c r="N119" s="54"/>
      <c r="O119" s="54"/>
      <c r="P119" s="54"/>
      <c r="Q119" s="54"/>
      <c r="R119" s="54"/>
      <c r="S119" s="77"/>
      <c r="T119" s="77"/>
      <c r="U119" s="77"/>
      <c r="V119" s="77"/>
      <c r="W119" s="76"/>
      <c r="X119" s="77"/>
      <c r="Y119" s="76"/>
      <c r="Z119" s="77"/>
      <c r="AA119" s="77"/>
      <c r="AB119" s="77"/>
      <c r="AC119" s="76"/>
      <c r="AD119" s="59"/>
      <c r="AE119" s="59"/>
      <c r="AF119" s="50"/>
      <c r="AG119" s="33"/>
      <c r="AH119" s="33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120" s="33"/>
      <c r="B120" s="40"/>
      <c r="C120" s="33"/>
      <c r="D120" s="33"/>
      <c r="E120" s="33"/>
      <c r="F120" s="83"/>
      <c r="G120" s="35"/>
      <c r="H120" s="35"/>
      <c r="I120" s="35"/>
      <c r="J120" s="35"/>
      <c r="K120" s="37"/>
      <c r="L120" s="54"/>
      <c r="M120" s="54"/>
      <c r="N120" s="54"/>
      <c r="O120" s="54"/>
      <c r="P120" s="54"/>
      <c r="Q120" s="54"/>
      <c r="R120" s="54"/>
      <c r="S120" s="77"/>
      <c r="T120" s="77"/>
      <c r="U120" s="77"/>
      <c r="V120" s="77"/>
      <c r="W120" s="76"/>
      <c r="X120" s="77"/>
      <c r="Y120" s="76"/>
      <c r="Z120" s="77"/>
      <c r="AA120" s="77"/>
      <c r="AB120" s="77"/>
      <c r="AC120" s="76"/>
      <c r="AD120" s="59"/>
      <c r="AE120" s="59"/>
      <c r="AF120" s="50"/>
      <c r="AG120" s="33"/>
      <c r="AH120" s="33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B121" s="20"/>
      <c r="C121" s="20"/>
      <c r="D121" s="20"/>
      <c r="AC121" s="14">
        <f>+AC75*0.16</f>
        <v>31.68</v>
      </c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122" s="119" t="s">
        <v>153</v>
      </c>
      <c r="B122" s="119"/>
      <c r="C122" s="20"/>
      <c r="D122" s="20"/>
      <c r="AC122" s="14">
        <f>+AC75+AC121</f>
        <v>229.68</v>
      </c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 s="18" customFormat="1">
      <c r="A123" s="40"/>
      <c r="B123" s="40"/>
      <c r="C123" s="40"/>
      <c r="D123" s="45"/>
      <c r="E123" s="40"/>
      <c r="F123" s="41"/>
      <c r="G123" s="42"/>
      <c r="H123" s="42"/>
      <c r="I123" s="42"/>
      <c r="J123" s="64"/>
      <c r="K123" s="65"/>
      <c r="L123" s="42"/>
      <c r="M123" s="42"/>
      <c r="N123" s="42"/>
      <c r="O123" s="42"/>
      <c r="P123" s="42"/>
      <c r="Q123" s="42"/>
      <c r="R123" s="42"/>
      <c r="S123" s="38"/>
      <c r="T123" s="38"/>
      <c r="U123" s="40"/>
      <c r="V123" s="40"/>
      <c r="W123" s="65"/>
      <c r="X123" s="38"/>
      <c r="Y123" s="65"/>
      <c r="Z123" s="38"/>
      <c r="AA123" s="38"/>
      <c r="AB123" s="38"/>
      <c r="AC123" s="65"/>
      <c r="AD123" s="61"/>
      <c r="AE123" s="62"/>
      <c r="AF123" s="39">
        <f t="shared" ref="AF123" si="137">+AD123+AE123-Y123</f>
        <v>0</v>
      </c>
      <c r="AG123" s="40"/>
      <c r="AH123" s="63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19" t="s">
        <v>18</v>
      </c>
      <c r="B130" s="13"/>
      <c r="C130" s="13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19" t="s">
        <v>19</v>
      </c>
      <c r="B131" s="13"/>
      <c r="C131" s="13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132" s="19" t="s">
        <v>20</v>
      </c>
      <c r="B132" s="13"/>
      <c r="C132" s="13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133" s="19" t="s">
        <v>21</v>
      </c>
      <c r="B133" s="13"/>
      <c r="C133" s="13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134" s="19" t="s">
        <v>22</v>
      </c>
      <c r="B134" s="13"/>
      <c r="C134" s="13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135" s="19" t="s">
        <v>23</v>
      </c>
      <c r="B135" s="13"/>
      <c r="C135" s="13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9" spans="1:188">
      <c r="B139" s="17"/>
      <c r="C139" s="23"/>
    </row>
    <row r="140" spans="1:188">
      <c r="B140" s="17"/>
      <c r="C140" s="23"/>
    </row>
    <row r="141" spans="1:188">
      <c r="B141" s="17"/>
      <c r="C141" s="23"/>
    </row>
  </sheetData>
  <sheetProtection selectLockedCells="1" selectUnlockedCells="1"/>
  <autoFilter ref="A5:AH69">
    <filterColumn colId="29" showButton="0"/>
    <sortState ref="A8:AH99">
      <sortCondition ref="B5:B99"/>
    </sortState>
  </autoFilter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22:B122"/>
    <mergeCell ref="AH5:AH6"/>
    <mergeCell ref="A73:B73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2016-12-30T18:09:03Z</dcterms:modified>
</cp:coreProperties>
</file>