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2045"/>
  </bookViews>
  <sheets>
    <sheet name="FORMATO NOMINA" sheetId="4" r:id="rId1"/>
    <sheet name="Hoja1" sheetId="5" r:id="rId2"/>
  </sheets>
  <definedNames>
    <definedName name="_xlnm._FilterDatabase" localSheetId="0" hidden="1">'FORMATO NOMINA'!$A$5:$AH$68</definedName>
  </definedNames>
  <calcPr calcId="124519"/>
</workbook>
</file>

<file path=xl/calcChain.xml><?xml version="1.0" encoding="utf-8"?>
<calcChain xmlns="http://schemas.openxmlformats.org/spreadsheetml/2006/main">
  <c r="G77" i="4"/>
  <c r="G97"/>
  <c r="G102"/>
  <c r="G105"/>
  <c r="G103"/>
  <c r="G81"/>
  <c r="G93"/>
  <c r="G116"/>
  <c r="G110"/>
  <c r="G111"/>
  <c r="G83"/>
  <c r="G88"/>
  <c r="G82"/>
  <c r="G104"/>
  <c r="G84"/>
  <c r="G85"/>
  <c r="G115"/>
  <c r="G99"/>
  <c r="G79"/>
  <c r="G112"/>
  <c r="G94"/>
  <c r="G98"/>
  <c r="G96"/>
  <c r="G80"/>
  <c r="G76"/>
  <c r="G92"/>
  <c r="G109"/>
  <c r="G90"/>
  <c r="G91"/>
  <c r="G73"/>
  <c r="W95"/>
  <c r="Y95" s="1"/>
  <c r="X95"/>
  <c r="K95"/>
  <c r="K10" l="1"/>
  <c r="W10" s="1"/>
  <c r="X10" l="1"/>
  <c r="Y10"/>
  <c r="G70"/>
  <c r="K106" l="1"/>
  <c r="W106" s="1"/>
  <c r="K100"/>
  <c r="W100" s="1"/>
  <c r="K67"/>
  <c r="X67" s="1"/>
  <c r="V70"/>
  <c r="W67" l="1"/>
  <c r="Y67" s="1"/>
  <c r="X106"/>
  <c r="Y106" s="1"/>
  <c r="X100"/>
  <c r="Y100" s="1"/>
  <c r="K49"/>
  <c r="X49" s="1"/>
  <c r="W49" l="1"/>
  <c r="Y49" s="1"/>
  <c r="K7"/>
  <c r="W7" s="1"/>
  <c r="X7" l="1"/>
  <c r="Y7" s="1"/>
  <c r="K16"/>
  <c r="X16" s="1"/>
  <c r="W16" l="1"/>
  <c r="Y16" s="1"/>
  <c r="K36" l="1"/>
  <c r="X36" s="1"/>
  <c r="W36" l="1"/>
  <c r="Y36" s="1"/>
  <c r="K82"/>
  <c r="W82" s="1"/>
  <c r="X82" l="1"/>
  <c r="Y82" s="1"/>
  <c r="K28" l="1"/>
  <c r="X28" s="1"/>
  <c r="W28" l="1"/>
  <c r="Y28" s="1"/>
  <c r="K105"/>
  <c r="X105" s="1"/>
  <c r="K12"/>
  <c r="X12" s="1"/>
  <c r="W105" l="1"/>
  <c r="Y105" s="1"/>
  <c r="W12"/>
  <c r="Y12" s="1"/>
  <c r="K113" l="1"/>
  <c r="W113" s="1"/>
  <c r="X113" l="1"/>
  <c r="Y113" s="1"/>
  <c r="K85"/>
  <c r="X85" s="1"/>
  <c r="W85" l="1"/>
  <c r="Y85" s="1"/>
  <c r="K89"/>
  <c r="X89" s="1"/>
  <c r="W89" l="1"/>
  <c r="Y89" s="1"/>
  <c r="K48"/>
  <c r="W48" s="1"/>
  <c r="X48" l="1"/>
  <c r="Y48" s="1"/>
  <c r="K25"/>
  <c r="X25" s="1"/>
  <c r="K47"/>
  <c r="X47" s="1"/>
  <c r="W47" l="1"/>
  <c r="Y47" s="1"/>
  <c r="W25"/>
  <c r="Y25" s="1"/>
  <c r="K56"/>
  <c r="X56" s="1"/>
  <c r="W56" l="1"/>
  <c r="Y56" s="1"/>
  <c r="K107"/>
  <c r="X107" s="1"/>
  <c r="W107" l="1"/>
  <c r="Y107" s="1"/>
  <c r="K26" l="1"/>
  <c r="X26" s="1"/>
  <c r="K68"/>
  <c r="X68" s="1"/>
  <c r="W26" l="1"/>
  <c r="Y26" s="1"/>
  <c r="W68"/>
  <c r="Y68" s="1"/>
  <c r="K59" l="1"/>
  <c r="W59" s="1"/>
  <c r="K27"/>
  <c r="X27" s="1"/>
  <c r="X59" l="1"/>
  <c r="Y59" s="1"/>
  <c r="Z59"/>
  <c r="W27"/>
  <c r="Y27" s="1"/>
  <c r="J70" l="1"/>
  <c r="K114" l="1"/>
  <c r="W114" s="1"/>
  <c r="K86"/>
  <c r="W86" s="1"/>
  <c r="K29"/>
  <c r="X29" s="1"/>
  <c r="X86" l="1"/>
  <c r="Y86" s="1"/>
  <c r="X114"/>
  <c r="Y114" s="1"/>
  <c r="W29"/>
  <c r="Y29" s="1"/>
  <c r="K75" l="1"/>
  <c r="W75" s="1"/>
  <c r="Y75" s="1"/>
  <c r="X75" l="1"/>
  <c r="K66"/>
  <c r="X66" s="1"/>
  <c r="W66" l="1"/>
  <c r="Y66" s="1"/>
  <c r="AB50" l="1"/>
  <c r="AB18"/>
  <c r="K50" l="1"/>
  <c r="K18"/>
  <c r="X50" l="1"/>
  <c r="W50"/>
  <c r="Z50"/>
  <c r="AC50" s="1"/>
  <c r="W18"/>
  <c r="X18"/>
  <c r="Z18"/>
  <c r="AC18" s="1"/>
  <c r="Y50" l="1"/>
  <c r="Y18"/>
  <c r="K42"/>
  <c r="Z42" s="1"/>
  <c r="AB42"/>
  <c r="K62"/>
  <c r="W62" s="1"/>
  <c r="AB62"/>
  <c r="AC42" l="1"/>
  <c r="W42"/>
  <c r="X42"/>
  <c r="Z62"/>
  <c r="AC62" s="1"/>
  <c r="X62"/>
  <c r="Y62" s="1"/>
  <c r="AB31"/>
  <c r="K31"/>
  <c r="K74"/>
  <c r="W74" s="1"/>
  <c r="Y42" l="1"/>
  <c r="Z31"/>
  <c r="AC31" s="1"/>
  <c r="W31"/>
  <c r="X31"/>
  <c r="Y74"/>
  <c r="Z74"/>
  <c r="AC74" s="1"/>
  <c r="X74"/>
  <c r="Y31" l="1"/>
  <c r="AF31" s="1"/>
  <c r="AB53" l="1"/>
  <c r="K53"/>
  <c r="W53" s="1"/>
  <c r="Z53" l="1"/>
  <c r="AC53" s="1"/>
  <c r="X53"/>
  <c r="Y53" s="1"/>
  <c r="AB24" l="1"/>
  <c r="AB30"/>
  <c r="AB32"/>
  <c r="AB34"/>
  <c r="AB35"/>
  <c r="AB88"/>
  <c r="AB37"/>
  <c r="AB38"/>
  <c r="K24"/>
  <c r="W24" s="1"/>
  <c r="K32"/>
  <c r="X32" s="1"/>
  <c r="W32" l="1"/>
  <c r="Y32" s="1"/>
  <c r="Z24"/>
  <c r="AC24" s="1"/>
  <c r="Z32"/>
  <c r="AC32" s="1"/>
  <c r="X24"/>
  <c r="Y24" s="1"/>
  <c r="K38" l="1"/>
  <c r="Z38" l="1"/>
  <c r="AC38" s="1"/>
  <c r="W38"/>
  <c r="X38"/>
  <c r="Y38" l="1"/>
  <c r="K88"/>
  <c r="W88" l="1"/>
  <c r="X88"/>
  <c r="Z88"/>
  <c r="AC88" s="1"/>
  <c r="Y88" l="1"/>
  <c r="AB65" l="1"/>
  <c r="K65"/>
  <c r="K34"/>
  <c r="AB52"/>
  <c r="K52"/>
  <c r="Z34" l="1"/>
  <c r="AC34" s="1"/>
  <c r="W34"/>
  <c r="X34"/>
  <c r="W65"/>
  <c r="Z65"/>
  <c r="AC65" s="1"/>
  <c r="X52"/>
  <c r="Z52"/>
  <c r="AC52" s="1"/>
  <c r="X65"/>
  <c r="W52"/>
  <c r="AB55"/>
  <c r="K55"/>
  <c r="Z55" s="1"/>
  <c r="Y34" l="1"/>
  <c r="AF34" s="1"/>
  <c r="Y65"/>
  <c r="Y52"/>
  <c r="AC55"/>
  <c r="W55"/>
  <c r="X55"/>
  <c r="Y55" l="1"/>
  <c r="AF65" l="1"/>
  <c r="AF52" l="1"/>
  <c r="AB60"/>
  <c r="K94" l="1"/>
  <c r="X94" l="1"/>
  <c r="Z94"/>
  <c r="AB94"/>
  <c r="AC94" l="1"/>
  <c r="W94"/>
  <c r="Y94" s="1"/>
  <c r="AF94" s="1"/>
  <c r="AB23" l="1"/>
  <c r="K23"/>
  <c r="W23" l="1"/>
  <c r="Z23"/>
  <c r="AC23" s="1"/>
  <c r="X23"/>
  <c r="Y23" l="1"/>
  <c r="AF23" l="1"/>
  <c r="AB54" l="1"/>
  <c r="AF123" l="1"/>
  <c r="K35"/>
  <c r="X35" l="1"/>
  <c r="Z35"/>
  <c r="AC35" s="1"/>
  <c r="W35"/>
  <c r="AB61"/>
  <c r="K61" l="1"/>
  <c r="Z61" s="1"/>
  <c r="Y35"/>
  <c r="X61" l="1"/>
  <c r="W61"/>
  <c r="AC61"/>
  <c r="Y61" l="1"/>
  <c r="AF61" s="1"/>
  <c r="AB21" l="1"/>
  <c r="K104" l="1"/>
  <c r="X104" l="1"/>
  <c r="Z104"/>
  <c r="K21"/>
  <c r="AB116"/>
  <c r="AB115"/>
  <c r="AB64"/>
  <c r="AB63"/>
  <c r="AB111"/>
  <c r="AB110"/>
  <c r="AB58"/>
  <c r="AB57"/>
  <c r="AB103"/>
  <c r="AB102"/>
  <c r="AB51"/>
  <c r="AB97"/>
  <c r="AB46"/>
  <c r="AB45"/>
  <c r="AB44"/>
  <c r="AB93"/>
  <c r="AB43"/>
  <c r="AB41"/>
  <c r="AB40"/>
  <c r="AB39"/>
  <c r="AB22"/>
  <c r="AB81"/>
  <c r="AB20"/>
  <c r="AB19"/>
  <c r="AB17"/>
  <c r="AB15"/>
  <c r="AB13"/>
  <c r="AB14"/>
  <c r="AB11"/>
  <c r="AB9"/>
  <c r="AB8"/>
  <c r="X21" l="1"/>
  <c r="Z21"/>
  <c r="AC21" s="1"/>
  <c r="W21"/>
  <c r="AB104"/>
  <c r="Y21" l="1"/>
  <c r="AF21" s="1"/>
  <c r="AC104"/>
  <c r="W104"/>
  <c r="Y104" s="1"/>
  <c r="AF104" s="1"/>
  <c r="K103"/>
  <c r="X103" l="1"/>
  <c r="W103"/>
  <c r="Z103"/>
  <c r="AC103" s="1"/>
  <c r="AA70"/>
  <c r="K73"/>
  <c r="AE70"/>
  <c r="AD70"/>
  <c r="S70"/>
  <c r="R70"/>
  <c r="L70"/>
  <c r="I70"/>
  <c r="H70"/>
  <c r="K54"/>
  <c r="K116"/>
  <c r="K115"/>
  <c r="K112"/>
  <c r="K64"/>
  <c r="K111"/>
  <c r="K60"/>
  <c r="Z60" s="1"/>
  <c r="K110"/>
  <c r="K109"/>
  <c r="K108"/>
  <c r="K58"/>
  <c r="K57"/>
  <c r="K102"/>
  <c r="K51"/>
  <c r="K99"/>
  <c r="K98"/>
  <c r="K97"/>
  <c r="K96"/>
  <c r="K46"/>
  <c r="K45"/>
  <c r="K44"/>
  <c r="K93"/>
  <c r="K92"/>
  <c r="K91"/>
  <c r="K90"/>
  <c r="K43"/>
  <c r="K41"/>
  <c r="K40"/>
  <c r="K39"/>
  <c r="K37"/>
  <c r="K84"/>
  <c r="K83"/>
  <c r="K81"/>
  <c r="K20"/>
  <c r="K80"/>
  <c r="K19"/>
  <c r="K79"/>
  <c r="K15"/>
  <c r="K77"/>
  <c r="K14"/>
  <c r="K11"/>
  <c r="K76"/>
  <c r="K9"/>
  <c r="Y103" l="1"/>
  <c r="AB96"/>
  <c r="K30"/>
  <c r="W37"/>
  <c r="X37"/>
  <c r="Z37"/>
  <c r="AC37" s="1"/>
  <c r="X51"/>
  <c r="Z51"/>
  <c r="AC51" s="1"/>
  <c r="X43"/>
  <c r="Z43"/>
  <c r="AC43" s="1"/>
  <c r="X40"/>
  <c r="Z40"/>
  <c r="AC40" s="1"/>
  <c r="X41"/>
  <c r="Z41"/>
  <c r="X46"/>
  <c r="Z46"/>
  <c r="AC46" s="1"/>
  <c r="X20"/>
  <c r="Z20"/>
  <c r="X39"/>
  <c r="Z39"/>
  <c r="X44"/>
  <c r="Z44"/>
  <c r="AC44" s="1"/>
  <c r="X45"/>
  <c r="Z45"/>
  <c r="X14"/>
  <c r="Z14"/>
  <c r="AC14" s="1"/>
  <c r="X9"/>
  <c r="Z9"/>
  <c r="AC9" s="1"/>
  <c r="X11"/>
  <c r="Z11"/>
  <c r="AC11" s="1"/>
  <c r="X19"/>
  <c r="Z19"/>
  <c r="AC19" s="1"/>
  <c r="X77"/>
  <c r="Z77"/>
  <c r="X102"/>
  <c r="Z102"/>
  <c r="AC102" s="1"/>
  <c r="X81"/>
  <c r="Z81"/>
  <c r="AC81" s="1"/>
  <c r="X79"/>
  <c r="Z79"/>
  <c r="X98"/>
  <c r="Z98"/>
  <c r="X96"/>
  <c r="Z96"/>
  <c r="X80"/>
  <c r="Z80"/>
  <c r="X76"/>
  <c r="Z76"/>
  <c r="X90"/>
  <c r="Z90"/>
  <c r="X83"/>
  <c r="Z83"/>
  <c r="X97"/>
  <c r="Z97"/>
  <c r="AC97" s="1"/>
  <c r="X93"/>
  <c r="Z93"/>
  <c r="AC93" s="1"/>
  <c r="X15"/>
  <c r="Z15"/>
  <c r="AC15" s="1"/>
  <c r="X58"/>
  <c r="Z58"/>
  <c r="X112"/>
  <c r="Z112"/>
  <c r="X110"/>
  <c r="Z110"/>
  <c r="AC110" s="1"/>
  <c r="X64"/>
  <c r="Z64"/>
  <c r="AC64" s="1"/>
  <c r="X116"/>
  <c r="Z116"/>
  <c r="AC116" s="1"/>
  <c r="X57"/>
  <c r="Z57"/>
  <c r="AC57" s="1"/>
  <c r="X109"/>
  <c r="Z109"/>
  <c r="X111"/>
  <c r="Z111"/>
  <c r="AC111" s="1"/>
  <c r="X108"/>
  <c r="Z108"/>
  <c r="X115"/>
  <c r="Z115"/>
  <c r="AC115" s="1"/>
  <c r="W54"/>
  <c r="Z54"/>
  <c r="AC54" s="1"/>
  <c r="X99"/>
  <c r="Z99"/>
  <c r="X92"/>
  <c r="Z92"/>
  <c r="X91"/>
  <c r="Z91"/>
  <c r="X84"/>
  <c r="Z84"/>
  <c r="X60"/>
  <c r="X54"/>
  <c r="K17"/>
  <c r="Z17" s="1"/>
  <c r="K63"/>
  <c r="K13"/>
  <c r="T70"/>
  <c r="K22"/>
  <c r="AF103"/>
  <c r="AB91"/>
  <c r="AC60"/>
  <c r="W102"/>
  <c r="AB83"/>
  <c r="U70"/>
  <c r="W43"/>
  <c r="AB79"/>
  <c r="W46"/>
  <c r="W97"/>
  <c r="AF35"/>
  <c r="W11"/>
  <c r="W110"/>
  <c r="W64"/>
  <c r="W19"/>
  <c r="AB92"/>
  <c r="W115"/>
  <c r="AB90"/>
  <c r="W9"/>
  <c r="W15"/>
  <c r="W93"/>
  <c r="K8"/>
  <c r="AB77"/>
  <c r="AB84"/>
  <c r="AB76"/>
  <c r="W14"/>
  <c r="W111"/>
  <c r="AB80"/>
  <c r="AF55"/>
  <c r="W81"/>
  <c r="W44"/>
  <c r="AB98"/>
  <c r="AB99"/>
  <c r="AB112"/>
  <c r="W40"/>
  <c r="W57"/>
  <c r="AB108"/>
  <c r="AB109"/>
  <c r="W51"/>
  <c r="W60"/>
  <c r="W116"/>
  <c r="W30" l="1"/>
  <c r="Z30"/>
  <c r="AC30" s="1"/>
  <c r="X30"/>
  <c r="Y37"/>
  <c r="Y14"/>
  <c r="AF14" s="1"/>
  <c r="Y64"/>
  <c r="AF64" s="1"/>
  <c r="Y116"/>
  <c r="AF116" s="1"/>
  <c r="Y15"/>
  <c r="AF15" s="1"/>
  <c r="Y51"/>
  <c r="AF51" s="1"/>
  <c r="Y40"/>
  <c r="AF40" s="1"/>
  <c r="Y93"/>
  <c r="AF93" s="1"/>
  <c r="Y43"/>
  <c r="AF43" s="1"/>
  <c r="X22"/>
  <c r="Z22"/>
  <c r="AC22" s="1"/>
  <c r="Z13"/>
  <c r="AC13" s="1"/>
  <c r="X8"/>
  <c r="Z8"/>
  <c r="AC8" s="1"/>
  <c r="Y115"/>
  <c r="AF115" s="1"/>
  <c r="X63"/>
  <c r="Z63"/>
  <c r="AC63" s="1"/>
  <c r="X17"/>
  <c r="W17"/>
  <c r="W73"/>
  <c r="X73" s="1"/>
  <c r="Y54"/>
  <c r="AF54" s="1"/>
  <c r="W13"/>
  <c r="X13"/>
  <c r="W63"/>
  <c r="AC17"/>
  <c r="W22"/>
  <c r="AF88"/>
  <c r="Y97"/>
  <c r="AF97" s="1"/>
  <c r="Y44"/>
  <c r="AF44" s="1"/>
  <c r="Y19"/>
  <c r="AF19" s="1"/>
  <c r="Y9"/>
  <c r="AF9" s="1"/>
  <c r="Y102"/>
  <c r="AF102" s="1"/>
  <c r="Y46"/>
  <c r="AF46" s="1"/>
  <c r="Y81"/>
  <c r="AF81" s="1"/>
  <c r="Y110"/>
  <c r="AF110" s="1"/>
  <c r="Y111"/>
  <c r="AF111" s="1"/>
  <c r="Y57"/>
  <c r="AF57" s="1"/>
  <c r="Y11"/>
  <c r="AF11" s="1"/>
  <c r="Y60"/>
  <c r="AF60" s="1"/>
  <c r="AC84"/>
  <c r="AC112"/>
  <c r="AC109"/>
  <c r="AC91"/>
  <c r="AC90"/>
  <c r="AC96"/>
  <c r="AC92"/>
  <c r="AC79"/>
  <c r="AC76"/>
  <c r="AC98"/>
  <c r="AC80"/>
  <c r="AC83"/>
  <c r="AC77"/>
  <c r="AC99"/>
  <c r="AC108"/>
  <c r="AB70"/>
  <c r="W91"/>
  <c r="Y91" s="1"/>
  <c r="AF91" s="1"/>
  <c r="W92"/>
  <c r="Y92" s="1"/>
  <c r="AF92" s="1"/>
  <c r="W109"/>
  <c r="Y109" s="1"/>
  <c r="AF109" s="1"/>
  <c r="W83"/>
  <c r="Y83" s="1"/>
  <c r="AF83" s="1"/>
  <c r="W39"/>
  <c r="AC39"/>
  <c r="AC20"/>
  <c r="AC58"/>
  <c r="W41"/>
  <c r="AC41"/>
  <c r="W45"/>
  <c r="AC45"/>
  <c r="W79"/>
  <c r="Y79" s="1"/>
  <c r="AF79" s="1"/>
  <c r="W20"/>
  <c r="W98"/>
  <c r="Y98" s="1"/>
  <c r="AF98" s="1"/>
  <c r="W99"/>
  <c r="Y99" s="1"/>
  <c r="AF99" s="1"/>
  <c r="W90"/>
  <c r="Y90" s="1"/>
  <c r="AF90" s="1"/>
  <c r="W84"/>
  <c r="Y84" s="1"/>
  <c r="AF84" s="1"/>
  <c r="W77"/>
  <c r="Y77" s="1"/>
  <c r="AF77" s="1"/>
  <c r="O70"/>
  <c r="W96"/>
  <c r="Y96" s="1"/>
  <c r="AF96" s="1"/>
  <c r="W112"/>
  <c r="Y112" s="1"/>
  <c r="AF112" s="1"/>
  <c r="P70"/>
  <c r="Q70"/>
  <c r="W8"/>
  <c r="W58"/>
  <c r="W80"/>
  <c r="Y80" s="1"/>
  <c r="AF80" s="1"/>
  <c r="W76"/>
  <c r="Y76" s="1"/>
  <c r="AF76" s="1"/>
  <c r="W108"/>
  <c r="Y108" s="1"/>
  <c r="AF108" s="1"/>
  <c r="Y30" l="1"/>
  <c r="AF30" s="1"/>
  <c r="Y22"/>
  <c r="AF22" s="1"/>
  <c r="Y17"/>
  <c r="AF17" s="1"/>
  <c r="Y63"/>
  <c r="AF63" s="1"/>
  <c r="Y73"/>
  <c r="Z73"/>
  <c r="AC73" s="1"/>
  <c r="AC121" s="1"/>
  <c r="AC122" s="1"/>
  <c r="Y13"/>
  <c r="AF13" s="1"/>
  <c r="AF37"/>
  <c r="Y20"/>
  <c r="AF20" s="1"/>
  <c r="Y41"/>
  <c r="Y39"/>
  <c r="AF39" s="1"/>
  <c r="Y58"/>
  <c r="AF58" s="1"/>
  <c r="Y45"/>
  <c r="AF45" s="1"/>
  <c r="Y8"/>
  <c r="AF8" s="1"/>
  <c r="K70" l="1"/>
  <c r="Z70"/>
  <c r="X70"/>
  <c r="W70" l="1"/>
  <c r="AC70"/>
  <c r="Y70" l="1"/>
  <c r="AF70"/>
  <c r="AC71"/>
  <c r="AC72" s="1"/>
</calcChain>
</file>

<file path=xl/sharedStrings.xml><?xml version="1.0" encoding="utf-8"?>
<sst xmlns="http://schemas.openxmlformats.org/spreadsheetml/2006/main" count="489" uniqueCount="244">
  <si>
    <t>Puesto</t>
  </si>
  <si>
    <t>TOTAL NOMINA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</si>
  <si>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</si>
  <si>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</si>
  <si>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</si>
  <si>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</si>
  <si>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</si>
  <si>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</si>
  <si>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</si>
  <si>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</si>
  <si>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</si>
  <si>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</si>
  <si>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</si>
  <si>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</si>
  <si>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</si>
  <si>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</si>
  <si>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</si>
  <si>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</si>
  <si>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</si>
  <si>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</si>
  <si>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</si>
  <si>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</si>
  <si>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</si>
  <si>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</si>
  <si>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SEGURO DE VIDA (-)</t>
  </si>
  <si>
    <t>Total Deduciones</t>
  </si>
  <si>
    <t>CONSULTORES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</si>
  <si>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</si>
  <si>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</si>
  <si>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</si>
  <si>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</si>
  <si>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</si>
  <si>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</si>
  <si>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</si>
  <si>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</si>
  <si>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</si>
  <si>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PEREZ PEREZ ISMAEL</t>
  </si>
  <si>
    <t>TELLEZ GAYTAN DANIEL</t>
  </si>
  <si>
    <t>VEGA RIVERA ISMAEL</t>
  </si>
  <si>
    <t>LARA OVIEDO SORAYA</t>
  </si>
  <si>
    <t>ARENAS VARGAS MOISES</t>
  </si>
  <si>
    <t>RUIZ RODRIGUEZ OMAR</t>
  </si>
  <si>
    <t>SERVICIO</t>
  </si>
  <si>
    <t>HOJALATERIA</t>
  </si>
  <si>
    <t>ADMINISTRACION</t>
  </si>
  <si>
    <t>COSTO</t>
  </si>
  <si>
    <t>AB27</t>
  </si>
  <si>
    <t>RR02</t>
  </si>
  <si>
    <t>HS11</t>
  </si>
  <si>
    <t>ML23</t>
  </si>
  <si>
    <t>OB15</t>
  </si>
  <si>
    <t>PP05</t>
  </si>
  <si>
    <t>SR27</t>
  </si>
  <si>
    <t>TG06</t>
  </si>
  <si>
    <t>VM21</t>
  </si>
  <si>
    <t>VR23</t>
  </si>
  <si>
    <t>BC22</t>
  </si>
  <si>
    <t>CO02</t>
  </si>
  <si>
    <t>DC20</t>
  </si>
  <si>
    <t>RA13</t>
  </si>
  <si>
    <t>SC25</t>
  </si>
  <si>
    <t>CO24</t>
  </si>
  <si>
    <t>LO14</t>
  </si>
  <si>
    <t>TDA18</t>
  </si>
  <si>
    <t>AL17</t>
  </si>
  <si>
    <t>AR01</t>
  </si>
  <si>
    <t>CR14</t>
  </si>
  <si>
    <t>CT26</t>
  </si>
  <si>
    <t>ER14</t>
  </si>
  <si>
    <t>FG14</t>
  </si>
  <si>
    <t>MA08</t>
  </si>
  <si>
    <t>MG14</t>
  </si>
  <si>
    <t>NS26</t>
  </si>
  <si>
    <t>OH11</t>
  </si>
  <si>
    <t>OS06</t>
  </si>
  <si>
    <t>RE14</t>
  </si>
  <si>
    <t>SG05</t>
  </si>
  <si>
    <t>SH17</t>
  </si>
  <si>
    <t>VM14</t>
  </si>
  <si>
    <t>AG07</t>
  </si>
  <si>
    <t>AZ14</t>
  </si>
  <si>
    <t>BL011</t>
  </si>
  <si>
    <t>HS08</t>
  </si>
  <si>
    <t>JH19</t>
  </si>
  <si>
    <t>LR05</t>
  </si>
  <si>
    <t>MC14</t>
  </si>
  <si>
    <t>MH25</t>
  </si>
  <si>
    <t>PG04</t>
  </si>
  <si>
    <t>RR05</t>
  </si>
  <si>
    <t>TS31</t>
  </si>
  <si>
    <t>HOJALATERO</t>
  </si>
  <si>
    <t>TELEMARKETING</t>
  </si>
  <si>
    <t>VIGILANTE</t>
  </si>
  <si>
    <t>ASESOR DE VENTAS SEM</t>
  </si>
  <si>
    <t>ESTETICAS</t>
  </si>
  <si>
    <t>AHORRO CTM</t>
  </si>
  <si>
    <t>PRESTAMO CTM</t>
  </si>
  <si>
    <t>DIFERENCIA</t>
  </si>
  <si>
    <t>MARTINEZ ALVARADO ADRIAN</t>
  </si>
  <si>
    <t>SANCHEZ HURTADO CARLOS</t>
  </si>
  <si>
    <t>MARTINEZ GUERRERO LEONEL</t>
  </si>
  <si>
    <t>ALAVEZ LOPEZ INOCENCIO</t>
  </si>
  <si>
    <t>CANCINO RODRIGUEZ GREGORIO</t>
  </si>
  <si>
    <t>OLVERA SOTO LUIS ANGEL</t>
  </si>
  <si>
    <t>MATA GONZALEZ ALEJANDRO</t>
  </si>
  <si>
    <t>ARTEAGA SILVA ALFREDO</t>
  </si>
  <si>
    <t>DE JESUS CRUZ JUAN CARLOS</t>
  </si>
  <si>
    <t>OLVERA HERNANDEZ JOSE TOMAS</t>
  </si>
  <si>
    <t>VIGUERAS MARTINEZ JUAN CARLOS</t>
  </si>
  <si>
    <t>SANCHEZ RODRIGUEZ FREDY</t>
  </si>
  <si>
    <t>CUOTA SINDICAL 1%</t>
  </si>
  <si>
    <t>FONDO DE AHORRO 4.9%</t>
  </si>
  <si>
    <t>MIJANGOS HERNANDEZ JULIO CESAR</t>
  </si>
  <si>
    <t>REYES FLORES ALAN RICARDO</t>
  </si>
  <si>
    <t>RF27</t>
  </si>
  <si>
    <t>AGUILAR GONZALEZ ANAEL</t>
  </si>
  <si>
    <t>ARROYO ZARAZUA GILBERTO</t>
  </si>
  <si>
    <t>HERNANDEZ SOLIS GUMERCINDO</t>
  </si>
  <si>
    <t>FONSECA GUILLEN JOSE FELIPE</t>
  </si>
  <si>
    <t>HERNANDEZ SILVA EDGAR SAMUEL</t>
  </si>
  <si>
    <t>MARTINEZ LORENZO LUIS ALEJANDRO</t>
  </si>
  <si>
    <t>AGUILAR BRAVO CRISTIAN SAUL</t>
  </si>
  <si>
    <t>RODRIGUEZ RODRIGUEZ ANUAR</t>
  </si>
  <si>
    <t>NUÑEZ DE JESUS JOSE DANIEL</t>
  </si>
  <si>
    <t>RIVERA AGUILAR GABRIEL</t>
  </si>
  <si>
    <t>CASTILLO ORDOÑEZ JORGE</t>
  </si>
  <si>
    <t>FECHA DE INICIO</t>
  </si>
  <si>
    <t>ANAEL</t>
  </si>
  <si>
    <t xml:space="preserve">HERNANDEZ CHAVEZ PEDRO </t>
  </si>
  <si>
    <t>ARTURO</t>
  </si>
  <si>
    <t>COACH</t>
  </si>
  <si>
    <t>ADMON VENTAS</t>
  </si>
  <si>
    <t>MOISES</t>
  </si>
  <si>
    <t>LOBATO RECAMIER ROSELLIN</t>
  </si>
  <si>
    <t>CUENTA</t>
  </si>
  <si>
    <t>OBSERVACIONES</t>
  </si>
  <si>
    <t>BERDEJA LEON FRANCISCO</t>
  </si>
  <si>
    <t>MARTINEZ GALLEGOS LUIS FERNANDO</t>
  </si>
  <si>
    <t>MG</t>
  </si>
  <si>
    <t>CARRASCO TOVAR ARTURO</t>
  </si>
  <si>
    <t>CASTAÑON TAVARES MANUEL</t>
  </si>
  <si>
    <t>RESENDIZ CAMPUZANO ISRAEL</t>
  </si>
  <si>
    <t>TORIBIO DEL ANGEL OSCAR</t>
  </si>
  <si>
    <t>UNIFORMES</t>
  </si>
  <si>
    <t>PALETA GUADARRAMA RICARDO</t>
  </si>
  <si>
    <t>ESPECIALES</t>
  </si>
  <si>
    <t xml:space="preserve">AGUILAR PEREZ MARCOS ARTEMIO </t>
  </si>
  <si>
    <t>CORONEL DE LEON JONATHAN</t>
  </si>
  <si>
    <t>MORALES SANCHEZ ANGEL</t>
  </si>
  <si>
    <t>OSCAR</t>
  </si>
  <si>
    <t>COACH DE VENTAS SEMINUEVOS</t>
  </si>
  <si>
    <t>SERENO CUELLAR JUVENAL</t>
  </si>
  <si>
    <t>DISPERSION</t>
  </si>
  <si>
    <t>INCAPACIDADES</t>
  </si>
  <si>
    <t>TIRADO SAAVEDRA CARLOS ALEJANDRO</t>
  </si>
  <si>
    <t>CORTEZ OVANDO FAUSTINO ALI</t>
  </si>
  <si>
    <t>OLVERA BAUTISTA J. DOLORES GILBERTO</t>
  </si>
  <si>
    <t>RESENDIZ ECHEVERRIA MARIO ALBERTO</t>
  </si>
  <si>
    <t>MEDINA CASTRO CARLOS MANUEL</t>
  </si>
  <si>
    <t>SALDAÑA GARCIA MARCO ANTONIO</t>
  </si>
  <si>
    <t>ARVIZU RODRIGUEZ ALEJANDRO URIEL</t>
  </si>
  <si>
    <t>JIMENEZ HERNANDEZ JULIO CESAR</t>
  </si>
  <si>
    <t>GRANADOS PEREZ BRENDA LAURA</t>
  </si>
  <si>
    <t>DOMINGUEZ ALCANTARA MIGUEL ANGEL</t>
  </si>
  <si>
    <t>MELENDEZ PADILLA CLAUDIA CRISTINA</t>
  </si>
  <si>
    <t>ENRIQUEZ RUBIO FERNANDO</t>
  </si>
  <si>
    <t>TRONCOSO PEÑA GERARDO</t>
  </si>
  <si>
    <t>PATIÑO NAVARRO OSCAR MARTIN</t>
  </si>
  <si>
    <t>HERNANDEZ ARREOLA RODOLFO MAYOLO</t>
  </si>
  <si>
    <t>GUTIERREZ OLVERA ARMANDO</t>
  </si>
  <si>
    <t>HURTADO PAJARO JOSE</t>
  </si>
  <si>
    <t>HP16</t>
  </si>
  <si>
    <t>JEFE DE TALLER</t>
  </si>
  <si>
    <t>GALLEGOS RAMIREZ JOSE</t>
  </si>
  <si>
    <t>REYES ARMADILLO JORGE ANDRES</t>
  </si>
  <si>
    <t>FALTAS</t>
  </si>
  <si>
    <t>GUERRERO GOMEZ MARVIN NOE</t>
  </si>
  <si>
    <t>SOLORZANO LUNA MARIANA</t>
  </si>
  <si>
    <t>BARCENAS COLMENERO JORGE ALEJANDRO</t>
  </si>
  <si>
    <t>MATILDE SANTIAGO URIEL</t>
  </si>
  <si>
    <t>LUPERCIO ESPINO ALAN JAIRO</t>
  </si>
  <si>
    <t>SIFONTES SARDUA DAYAN JESUS</t>
  </si>
  <si>
    <t>VALDEZ MARTINEZ MARTIN</t>
  </si>
  <si>
    <t>AYUDANTE</t>
  </si>
  <si>
    <t>ESTETICAS AYUDANTE</t>
  </si>
  <si>
    <t>MANTENIMIENTO</t>
  </si>
  <si>
    <t>TECNICO A</t>
  </si>
  <si>
    <t>TECNICO B</t>
  </si>
  <si>
    <t>CAMACHO HERNANDEZ LEOPOLDO</t>
  </si>
  <si>
    <t>PADILLA RUIZ JOSE ANTONIO</t>
  </si>
  <si>
    <t>SANCHEZ DE SANTIAGO RICARDO</t>
  </si>
  <si>
    <t>VALDEZ HERNANDEZ ELDA NELY</t>
  </si>
  <si>
    <t>HERNANDEZ AGUILAR ROBERTO CARLOS</t>
  </si>
  <si>
    <t xml:space="preserve">VEGA GRANADOS JUAN MANUEL </t>
  </si>
  <si>
    <t>X</t>
  </si>
  <si>
    <t>GARCIA RODRIGUEZ SERGIO EDUARDO</t>
  </si>
  <si>
    <t>WEB MASTER</t>
  </si>
  <si>
    <t>GUZMAN NAVARRO EDUARDO</t>
  </si>
  <si>
    <t xml:space="preserve">INCAPACIDAD </t>
  </si>
  <si>
    <t>SALDAÑA SANCHEZ JULIO CESAR</t>
  </si>
  <si>
    <t>GONZALEZ RAMIREZ FRANCISCO JAVIER</t>
  </si>
  <si>
    <t>GANDARILLAS GARCIA ALEJANDRO</t>
  </si>
  <si>
    <t>SALAS MARTINEZ OSCAR JESUS</t>
  </si>
  <si>
    <t>RODRIGUEZ PINACHO CESAR OCTAVIO</t>
  </si>
  <si>
    <t>FAVOR DE PASAR SU SUELDO A SINDICATO Y DESCONTARLE EL 10%</t>
  </si>
  <si>
    <t>MIRANDA PEON JULIO CESAR</t>
  </si>
  <si>
    <t>GALLEGOS ROMERO CRISTIAN</t>
  </si>
  <si>
    <t>COACH BDC</t>
  </si>
  <si>
    <t>MUÑOZ RODRIGUEZ CONRADO ISRAEL</t>
  </si>
  <si>
    <t>LICEA ORTIZ DANIEL</t>
  </si>
  <si>
    <t>GUZMAN TREJO DIEGO ARTURO</t>
  </si>
  <si>
    <t>SUELDO SEMANAL $1,516 FAVOR DE PASAR SU SUELDO A SINDICATO Y DESCONTARLE EL 10%</t>
  </si>
  <si>
    <t xml:space="preserve">VAZQUEZ RANGEL JOSE EDUARDO </t>
  </si>
  <si>
    <t>ARIAS MONROY JOSE</t>
  </si>
  <si>
    <t>ROMERO OLVERA MIGUEL ANGEL</t>
  </si>
  <si>
    <t>GAYTAN MARTINEZ RAUL</t>
  </si>
  <si>
    <t>DOMINGUEZ GUDIÑO OMAR</t>
  </si>
  <si>
    <t>HERNANDEZ SANCHEZ RODRIGO</t>
  </si>
  <si>
    <t>BARRERA MACIAS OSCAR RODRIGO</t>
  </si>
  <si>
    <t>AGUAS OROZCO FRANCISCO</t>
  </si>
  <si>
    <t>NAVARRO ARENAS ANDREA ARELI</t>
  </si>
  <si>
    <t>CUENTA BANAMEX</t>
  </si>
  <si>
    <t>CTA BANAMEX 8258146 CLAVE 002680902882581467</t>
  </si>
  <si>
    <t>VARGAS GOMEZ RAUL ARMANDO</t>
  </si>
  <si>
    <t>CUENTA EN TRAMITE</t>
  </si>
  <si>
    <t>FAVOR DE PASAR SU SUELDO A SINDICATO $1667 Y DESCONTARLE EL 10%</t>
  </si>
  <si>
    <t>RUIZ VARGAS FRANCISCO DE JESUS</t>
  </si>
  <si>
    <t>ORTA NIEVES ORLANDO</t>
  </si>
  <si>
    <t>Ingenieria Fiscal Laboral S.C.</t>
  </si>
  <si>
    <t>VASQUEZ CHAVES LILIANA ANDREA</t>
  </si>
  <si>
    <t>NAVA RUBIO JAVIER</t>
  </si>
  <si>
    <t>PAEZ PAREDES ERICK JESUS</t>
  </si>
  <si>
    <t>TECNICO</t>
  </si>
  <si>
    <t>Periodo Semana 51</t>
  </si>
  <si>
    <t>14/12/16 AL 20/12/16</t>
  </si>
  <si>
    <t>DESCUENTO CTA 254 POR CONCEPTO DE ESTACIONAMIENTO</t>
  </si>
  <si>
    <t>BAJA</t>
  </si>
  <si>
    <t>ALVIZAR ORGANISTA EDUARDO</t>
  </si>
  <si>
    <t>NUEVO INGRESO 14/12/2016 SUELDO SEMANAL $1,633.33</t>
  </si>
  <si>
    <t>HERNANDEZ CASAS JUAN ROBERTO</t>
  </si>
  <si>
    <t>AVILEZ ARELLANO MARCOS</t>
  </si>
  <si>
    <t>NUEVO INGRESO 14/12/2016. SUELDO SEMANAL $1200</t>
  </si>
  <si>
    <t>NUEVO INGRESO 15/12/2016 PAGAR 6 DIAS. SUELDO SEMANAL $511.28</t>
  </si>
  <si>
    <t>EN TRAMITE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</si>
</sst>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dd/mm/yy"/>
  </numFmts>
  <fonts count="17">
    <font>
      <sz val="10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sz val="11"/>
      <color rgb="FFFF0000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color rgb="FF000000"/>
      <name val="Calibri   "/>
    </font>
    <font>
      <sz val="11"/>
      <name val="Calibri  "/>
    </font>
    <font>
      <sz val="11"/>
      <color rgb="FF000000"/>
      <name val="Calibri  "/>
    </font>
    <font>
      <b/>
      <sz val="12"/>
      <name val="Calibri"/>
      <family val="2"/>
      <scheme val="minor"/>
    </font>
    <font>
      <sz val="11"/>
      <color rgb="FFFF00FF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</borders>
  <cellStyleXfs count="5">
    <xf numFmtId="0" fontId="0" fillId="0" borderId="0"/>
    <xf numFmtId="0" fontId="3" fillId="0" borderId="0"/>
    <xf numFmtId="43" fontId="1" fillId="0" borderId="0" applyFill="0" applyBorder="0" applyAlignment="0" applyProtection="0"/>
    <xf numFmtId="0" fontId="2" fillId="0" borderId="0"/>
    <xf numFmtId="0" fontId="1" fillId="0" borderId="0"/>
  </cellStyleXfs>
  <cellXfs count="132">
    <xf numFmtId="0" fontId="0" fillId="0" borderId="0" xfId="0"/>
    <xf numFmtId="43" fontId="1" fillId="0" borderId="0" xfId="2"/>
    <xf numFmtId="0" fontId="5" fillId="0" borderId="0" xfId="3" applyFont="1" applyFill="1" applyAlignment="1" applyProtection="1">
      <alignment horizontal="left"/>
    </xf>
    <xf numFmtId="0" fontId="5" fillId="0" borderId="0" xfId="3" applyFont="1" applyFill="1" applyAlignment="1" applyProtection="1">
      <alignment horizontal="center"/>
    </xf>
    <xf numFmtId="43" fontId="6" fillId="0" borderId="0" xfId="2" applyFont="1" applyFill="1" applyAlignment="1" applyProtection="1">
      <alignment horizontal="center"/>
    </xf>
    <xf numFmtId="43" fontId="7" fillId="0" borderId="0" xfId="2" applyFont="1" applyFill="1" applyAlignment="1" applyProtection="1">
      <alignment horizontal="center"/>
    </xf>
    <xf numFmtId="0" fontId="6" fillId="0" borderId="0" xfId="0" applyFont="1" applyFill="1" applyProtection="1"/>
    <xf numFmtId="0" fontId="6" fillId="0" borderId="0" xfId="0" applyFont="1" applyProtection="1"/>
    <xf numFmtId="0" fontId="8" fillId="0" borderId="0" xfId="3" applyFont="1" applyFill="1" applyAlignment="1" applyProtection="1">
      <alignment horizontal="left"/>
    </xf>
    <xf numFmtId="0" fontId="8" fillId="0" borderId="0" xfId="3" applyFont="1" applyFill="1" applyAlignment="1" applyProtection="1">
      <alignment horizontal="center"/>
    </xf>
    <xf numFmtId="15" fontId="5" fillId="0" borderId="0" xfId="3" applyNumberFormat="1" applyFont="1" applyFill="1" applyAlignment="1" applyProtection="1">
      <alignment horizontal="left"/>
    </xf>
    <xf numFmtId="15" fontId="5" fillId="0" borderId="0" xfId="3" applyNumberFormat="1" applyFont="1" applyFill="1" applyAlignment="1" applyProtection="1">
      <alignment horizontal="center"/>
    </xf>
    <xf numFmtId="0" fontId="7" fillId="0" borderId="0" xfId="0" applyFont="1"/>
    <xf numFmtId="43" fontId="6" fillId="0" borderId="0" xfId="2" applyFont="1"/>
    <xf numFmtId="43" fontId="7" fillId="0" borderId="0" xfId="2" applyFont="1"/>
    <xf numFmtId="43" fontId="6" fillId="0" borderId="0" xfId="2" applyFont="1" applyFill="1"/>
    <xf numFmtId="0" fontId="7" fillId="0" borderId="0" xfId="0" applyFont="1" applyFill="1"/>
    <xf numFmtId="0" fontId="6" fillId="0" borderId="1" xfId="0" applyFont="1" applyBorder="1"/>
    <xf numFmtId="0" fontId="6" fillId="0" borderId="0" xfId="0" applyFont="1" applyFill="1"/>
    <xf numFmtId="0" fontId="6" fillId="0" borderId="0" xfId="0" applyFont="1"/>
    <xf numFmtId="0" fontId="9" fillId="0" borderId="0" xfId="0" applyFont="1"/>
    <xf numFmtId="0" fontId="7" fillId="0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Border="1"/>
    <xf numFmtId="43" fontId="7" fillId="5" borderId="2" xfId="2" applyFont="1" applyFill="1" applyBorder="1" applyAlignment="1">
      <alignment horizontal="center" wrapText="1"/>
    </xf>
    <xf numFmtId="43" fontId="1" fillId="0" borderId="0" xfId="2" applyProtection="1"/>
    <xf numFmtId="43" fontId="1" fillId="0" borderId="0" xfId="2" applyFill="1"/>
    <xf numFmtId="43" fontId="7" fillId="5" borderId="1" xfId="2" applyFont="1" applyFill="1" applyBorder="1" applyAlignment="1">
      <alignment horizontal="center" wrapText="1"/>
    </xf>
    <xf numFmtId="43" fontId="7" fillId="5" borderId="8" xfId="2" applyFont="1" applyFill="1" applyBorder="1" applyAlignment="1">
      <alignment horizontal="center" wrapText="1"/>
    </xf>
    <xf numFmtId="0" fontId="7" fillId="0" borderId="6" xfId="0" applyFont="1" applyFill="1" applyBorder="1"/>
    <xf numFmtId="0" fontId="6" fillId="0" borderId="8" xfId="0" applyFont="1" applyFill="1" applyBorder="1"/>
    <xf numFmtId="43" fontId="6" fillId="0" borderId="8" xfId="2" applyFont="1" applyFill="1" applyBorder="1"/>
    <xf numFmtId="43" fontId="7" fillId="0" borderId="8" xfId="2" applyFont="1" applyFill="1" applyBorder="1"/>
    <xf numFmtId="0" fontId="6" fillId="0" borderId="7" xfId="0" applyFont="1" applyBorder="1"/>
    <xf numFmtId="0" fontId="6" fillId="2" borderId="7" xfId="0" applyFont="1" applyFill="1" applyBorder="1"/>
    <xf numFmtId="43" fontId="6" fillId="0" borderId="7" xfId="2" applyFont="1" applyBorder="1"/>
    <xf numFmtId="43" fontId="6" fillId="2" borderId="7" xfId="2" applyFont="1" applyFill="1" applyBorder="1"/>
    <xf numFmtId="43" fontId="7" fillId="3" borderId="7" xfId="2" applyFont="1" applyFill="1" applyBorder="1"/>
    <xf numFmtId="43" fontId="6" fillId="0" borderId="7" xfId="2" applyFont="1" applyFill="1" applyBorder="1" applyAlignment="1">
      <alignment horizontal="center"/>
    </xf>
    <xf numFmtId="43" fontId="1" fillId="0" borderId="7" xfId="2" applyFill="1" applyBorder="1"/>
    <xf numFmtId="0" fontId="6" fillId="0" borderId="7" xfId="0" applyFont="1" applyFill="1" applyBorder="1"/>
    <xf numFmtId="14" fontId="6" fillId="0" borderId="7" xfId="0" applyNumberFormat="1" applyFont="1" applyFill="1" applyBorder="1"/>
    <xf numFmtId="43" fontId="6" fillId="0" borderId="7" xfId="2" applyFont="1" applyFill="1" applyBorder="1"/>
    <xf numFmtId="0" fontId="7" fillId="0" borderId="7" xfId="0" applyFont="1" applyFill="1" applyBorder="1"/>
    <xf numFmtId="12" fontId="6" fillId="0" borderId="7" xfId="2" applyNumberFormat="1" applyFont="1" applyFill="1" applyBorder="1"/>
    <xf numFmtId="0" fontId="6" fillId="0" borderId="7" xfId="0" applyFont="1" applyFill="1" applyBorder="1" applyAlignment="1">
      <alignment horizontal="right"/>
    </xf>
    <xf numFmtId="43" fontId="6" fillId="0" borderId="8" xfId="2" applyFont="1" applyFill="1" applyBorder="1" applyAlignment="1">
      <alignment horizontal="center"/>
    </xf>
    <xf numFmtId="0" fontId="7" fillId="0" borderId="7" xfId="0" applyFont="1" applyBorder="1"/>
    <xf numFmtId="43" fontId="7" fillId="0" borderId="7" xfId="2" applyFont="1" applyBorder="1"/>
    <xf numFmtId="43" fontId="7" fillId="9" borderId="7" xfId="2" applyFont="1" applyFill="1" applyBorder="1"/>
    <xf numFmtId="43" fontId="1" fillId="0" borderId="7" xfId="2" applyBorder="1"/>
    <xf numFmtId="0" fontId="7" fillId="4" borderId="7" xfId="0" applyFont="1" applyFill="1" applyBorder="1" applyAlignment="1">
      <alignment horizontal="center"/>
    </xf>
    <xf numFmtId="43" fontId="1" fillId="3" borderId="7" xfId="2" applyFill="1" applyBorder="1"/>
    <xf numFmtId="0" fontId="0" fillId="0" borderId="7" xfId="0" applyFill="1" applyBorder="1"/>
    <xf numFmtId="43" fontId="6" fillId="7" borderId="7" xfId="2" applyFont="1" applyFill="1" applyBorder="1"/>
    <xf numFmtId="43" fontId="10" fillId="5" borderId="2" xfId="2" applyFont="1" applyFill="1" applyBorder="1" applyAlignment="1">
      <alignment horizontal="center" vertical="center" wrapText="1"/>
    </xf>
    <xf numFmtId="43" fontId="11" fillId="0" borderId="0" xfId="2" applyFont="1" applyProtection="1"/>
    <xf numFmtId="43" fontId="11" fillId="0" borderId="0" xfId="2" applyFont="1"/>
    <xf numFmtId="43" fontId="11" fillId="0" borderId="0" xfId="2" applyFont="1" applyFill="1"/>
    <xf numFmtId="43" fontId="11" fillId="0" borderId="7" xfId="2" applyFont="1" applyBorder="1"/>
    <xf numFmtId="43" fontId="11" fillId="3" borderId="7" xfId="2" applyFont="1" applyFill="1" applyBorder="1"/>
    <xf numFmtId="0" fontId="12" fillId="0" borderId="7" xfId="0" applyFont="1" applyFill="1" applyBorder="1"/>
    <xf numFmtId="4" fontId="12" fillId="0" borderId="7" xfId="0" applyNumberFormat="1" applyFont="1" applyFill="1" applyBorder="1"/>
    <xf numFmtId="0" fontId="7" fillId="10" borderId="7" xfId="0" applyFont="1" applyFill="1" applyBorder="1"/>
    <xf numFmtId="43" fontId="4" fillId="0" borderId="7" xfId="2" applyFont="1" applyFill="1" applyBorder="1"/>
    <xf numFmtId="43" fontId="7" fillId="0" borderId="7" xfId="2" applyFont="1" applyFill="1" applyBorder="1"/>
    <xf numFmtId="43" fontId="13" fillId="0" borderId="7" xfId="2" applyFont="1" applyFill="1" applyBorder="1"/>
    <xf numFmtId="2" fontId="6" fillId="0" borderId="7" xfId="0" applyNumberFormat="1" applyFont="1" applyFill="1" applyBorder="1"/>
    <xf numFmtId="43" fontId="13" fillId="8" borderId="7" xfId="2" applyFont="1" applyFill="1" applyBorder="1"/>
    <xf numFmtId="14" fontId="13" fillId="0" borderId="7" xfId="0" applyNumberFormat="1" applyFont="1" applyFill="1" applyBorder="1"/>
    <xf numFmtId="164" fontId="13" fillId="0" borderId="7" xfId="0" applyNumberFormat="1" applyFont="1" applyFill="1" applyBorder="1"/>
    <xf numFmtId="14" fontId="6" fillId="0" borderId="7" xfId="0" applyNumberFormat="1" applyFont="1" applyFill="1" applyBorder="1" applyAlignment="1"/>
    <xf numFmtId="0" fontId="13" fillId="0" borderId="7" xfId="0" applyFont="1" applyFill="1" applyBorder="1" applyAlignment="1">
      <alignment wrapText="1"/>
    </xf>
    <xf numFmtId="4" fontId="13" fillId="0" borderId="7" xfId="0" applyNumberFormat="1" applyFont="1" applyFill="1" applyBorder="1" applyAlignment="1">
      <alignment wrapText="1"/>
    </xf>
    <xf numFmtId="0" fontId="14" fillId="0" borderId="7" xfId="0" applyFont="1" applyFill="1" applyBorder="1"/>
    <xf numFmtId="164" fontId="13" fillId="0" borderId="7" xfId="0" applyNumberFormat="1" applyFont="1" applyFill="1" applyBorder="1" applyAlignment="1">
      <alignment horizontal="right" vertical="center"/>
    </xf>
    <xf numFmtId="43" fontId="7" fillId="7" borderId="7" xfId="2" applyFont="1" applyFill="1" applyBorder="1"/>
    <xf numFmtId="43" fontId="6" fillId="7" borderId="7" xfId="2" applyFont="1" applyFill="1" applyBorder="1" applyAlignment="1">
      <alignment horizontal="center"/>
    </xf>
    <xf numFmtId="0" fontId="13" fillId="0" borderId="7" xfId="0" applyFont="1" applyFill="1" applyBorder="1"/>
    <xf numFmtId="4" fontId="13" fillId="0" borderId="7" xfId="0" applyNumberFormat="1" applyFont="1" applyFill="1" applyBorder="1"/>
    <xf numFmtId="4" fontId="6" fillId="0" borderId="7" xfId="0" applyNumberFormat="1" applyFont="1" applyFill="1" applyBorder="1"/>
    <xf numFmtId="43" fontId="6" fillId="0" borderId="7" xfId="0" applyNumberFormat="1" applyFont="1" applyFill="1" applyBorder="1"/>
    <xf numFmtId="43" fontId="7" fillId="5" borderId="2" xfId="2" applyFont="1" applyFill="1" applyBorder="1" applyAlignment="1">
      <alignment horizontal="center" wrapText="1"/>
    </xf>
    <xf numFmtId="14" fontId="6" fillId="0" borderId="7" xfId="0" applyNumberFormat="1" applyFont="1" applyBorder="1"/>
    <xf numFmtId="0" fontId="7" fillId="0" borderId="7" xfId="2" applyNumberFormat="1" applyFont="1" applyFill="1" applyBorder="1" applyAlignment="1">
      <alignment horizontal="center"/>
    </xf>
    <xf numFmtId="0" fontId="13" fillId="0" borderId="0" xfId="0" applyFont="1" applyFill="1" applyBorder="1"/>
    <xf numFmtId="43" fontId="7" fillId="0" borderId="7" xfId="2" applyFont="1" applyFill="1" applyBorder="1" applyAlignment="1">
      <alignment horizontal="center"/>
    </xf>
    <xf numFmtId="0" fontId="6" fillId="11" borderId="7" xfId="0" applyFont="1" applyFill="1" applyBorder="1"/>
    <xf numFmtId="164" fontId="13" fillId="11" borderId="7" xfId="0" applyNumberFormat="1" applyFont="1" applyFill="1" applyBorder="1"/>
    <xf numFmtId="43" fontId="6" fillId="11" borderId="7" xfId="2" applyFont="1" applyFill="1" applyBorder="1"/>
    <xf numFmtId="43" fontId="4" fillId="11" borderId="7" xfId="2" applyFont="1" applyFill="1" applyBorder="1"/>
    <xf numFmtId="0" fontId="7" fillId="11" borderId="7" xfId="0" applyFont="1" applyFill="1" applyBorder="1"/>
    <xf numFmtId="43" fontId="15" fillId="0" borderId="7" xfId="2" applyFont="1" applyFill="1" applyBorder="1" applyAlignment="1">
      <alignment horizontal="center"/>
    </xf>
    <xf numFmtId="43" fontId="16" fillId="0" borderId="7" xfId="2" applyFont="1" applyFill="1" applyBorder="1"/>
    <xf numFmtId="43" fontId="16" fillId="0" borderId="7" xfId="2" applyFont="1" applyBorder="1"/>
    <xf numFmtId="0" fontId="6" fillId="7" borderId="7" xfId="0" applyFont="1" applyFill="1" applyBorder="1"/>
    <xf numFmtId="14" fontId="6" fillId="7" borderId="7" xfId="0" applyNumberFormat="1" applyFont="1" applyFill="1" applyBorder="1"/>
    <xf numFmtId="0" fontId="7" fillId="7" borderId="7" xfId="0" applyFont="1" applyFill="1" applyBorder="1"/>
    <xf numFmtId="164" fontId="13" fillId="7" borderId="7" xfId="0" applyNumberFormat="1" applyFont="1" applyFill="1" applyBorder="1"/>
    <xf numFmtId="43" fontId="4" fillId="7" borderId="7" xfId="2" applyFont="1" applyFill="1" applyBorder="1"/>
    <xf numFmtId="164" fontId="13" fillId="0" borderId="7" xfId="0" applyNumberFormat="1" applyFont="1" applyFill="1" applyBorder="1" applyAlignment="1">
      <alignment horizontal="right"/>
    </xf>
    <xf numFmtId="0" fontId="6" fillId="9" borderId="7" xfId="0" applyFont="1" applyFill="1" applyBorder="1"/>
    <xf numFmtId="164" fontId="13" fillId="9" borderId="7" xfId="0" applyNumberFormat="1" applyFont="1" applyFill="1" applyBorder="1"/>
    <xf numFmtId="43" fontId="6" fillId="9" borderId="7" xfId="2" applyFont="1" applyFill="1" applyBorder="1"/>
    <xf numFmtId="43" fontId="4" fillId="9" borderId="7" xfId="2" applyFont="1" applyFill="1" applyBorder="1"/>
    <xf numFmtId="0" fontId="7" fillId="9" borderId="7" xfId="2" applyNumberFormat="1" applyFont="1" applyFill="1" applyBorder="1" applyAlignment="1">
      <alignment horizontal="center"/>
    </xf>
    <xf numFmtId="43" fontId="7" fillId="9" borderId="7" xfId="2" applyFont="1" applyFill="1" applyBorder="1" applyAlignment="1">
      <alignment horizontal="center"/>
    </xf>
    <xf numFmtId="43" fontId="6" fillId="9" borderId="7" xfId="2" applyFont="1" applyFill="1" applyBorder="1" applyAlignment="1">
      <alignment horizontal="center"/>
    </xf>
    <xf numFmtId="0" fontId="13" fillId="9" borderId="7" xfId="0" applyFont="1" applyFill="1" applyBorder="1" applyAlignment="1">
      <alignment wrapText="1"/>
    </xf>
    <xf numFmtId="4" fontId="13" fillId="9" borderId="7" xfId="0" applyNumberFormat="1" applyFont="1" applyFill="1" applyBorder="1" applyAlignment="1">
      <alignment wrapText="1"/>
    </xf>
    <xf numFmtId="43" fontId="13" fillId="9" borderId="7" xfId="2" applyFont="1" applyFill="1" applyBorder="1"/>
    <xf numFmtId="0" fontId="7" fillId="9" borderId="7" xfId="0" applyFont="1" applyFill="1" applyBorder="1"/>
    <xf numFmtId="0" fontId="6" fillId="8" borderId="7" xfId="0" applyFont="1" applyFill="1" applyBorder="1"/>
    <xf numFmtId="164" fontId="13" fillId="8" borderId="7" xfId="0" applyNumberFormat="1" applyFont="1" applyFill="1" applyBorder="1"/>
    <xf numFmtId="43" fontId="6" fillId="8" borderId="7" xfId="2" applyFont="1" applyFill="1" applyBorder="1"/>
    <xf numFmtId="0" fontId="7" fillId="8" borderId="7" xfId="0" applyFont="1" applyFill="1" applyBorder="1"/>
    <xf numFmtId="43" fontId="7" fillId="5" borderId="2" xfId="2" applyFont="1" applyFill="1" applyBorder="1" applyAlignment="1">
      <alignment horizontal="center" vertical="center" wrapText="1"/>
    </xf>
    <xf numFmtId="43" fontId="7" fillId="5" borderId="8" xfId="2" applyFont="1" applyFill="1" applyBorder="1" applyAlignment="1">
      <alignment horizontal="center" vertical="center" wrapText="1"/>
    </xf>
    <xf numFmtId="3" fontId="7" fillId="5" borderId="2" xfId="0" applyNumberFormat="1" applyFont="1" applyFill="1" applyBorder="1" applyAlignment="1">
      <alignment horizontal="center"/>
    </xf>
    <xf numFmtId="3" fontId="7" fillId="5" borderId="8" xfId="0" applyNumberFormat="1" applyFont="1" applyFill="1" applyBorder="1" applyAlignment="1">
      <alignment horizontal="center"/>
    </xf>
    <xf numFmtId="3" fontId="7" fillId="5" borderId="1" xfId="0" applyNumberFormat="1" applyFont="1" applyFill="1" applyBorder="1"/>
    <xf numFmtId="3" fontId="7" fillId="5" borderId="2" xfId="0" applyNumberFormat="1" applyFont="1" applyFill="1" applyBorder="1"/>
    <xf numFmtId="43" fontId="7" fillId="5" borderId="1" xfId="2" applyFont="1" applyFill="1" applyBorder="1" applyAlignment="1">
      <alignment horizontal="center" wrapText="1"/>
    </xf>
    <xf numFmtId="43" fontId="7" fillId="5" borderId="2" xfId="2" applyFont="1" applyFill="1" applyBorder="1" applyAlignment="1">
      <alignment horizont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7" fillId="10" borderId="7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43" fontId="10" fillId="5" borderId="3" xfId="2" applyFont="1" applyFill="1" applyBorder="1" applyAlignment="1">
      <alignment horizontal="center" wrapText="1"/>
    </xf>
    <xf numFmtId="43" fontId="10" fillId="5" borderId="4" xfId="2" applyFont="1" applyFill="1" applyBorder="1" applyAlignment="1">
      <alignment horizontal="center" wrapText="1"/>
    </xf>
    <xf numFmtId="43" fontId="1" fillId="4" borderId="5" xfId="2" applyFill="1" applyBorder="1" applyAlignment="1">
      <alignment horizontal="center"/>
    </xf>
  </cellXfs>
  <cellStyles count="5">
    <cellStyle name="Excel Built-in Normal" xfId="1"/>
    <cellStyle name="Millares" xfId="2" builtinId="3"/>
    <cellStyle name="Normal" xfId="0" builtinId="0"/>
    <cellStyle name="Normal 4" xfId="4"/>
    <cellStyle name="Normal_Hoj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CCFF"/>
      <color rgb="FFFF00FF"/>
      <color rgb="FF66CCFF"/>
      <color rgb="FFFFFF66"/>
      <color rgb="FFF4B082"/>
      <color rgb="FF9999FF"/>
      <color rgb="FFBCD6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0</xdr:colOff>
      <xdr:row>60</xdr:row>
      <xdr:rowOff>38100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2192000" cy="9753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F141"/>
  <sheetViews>
    <sheetView tabSelected="1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5" sqref="A5:A6"/>
    </sheetView>
  </sheetViews>
  <sheetFormatPr baseColWidth="10" defaultColWidth="11.5703125" defaultRowHeight="15"/>
  <cols>
    <col min="1" max="1" width="28.7109375" style="19" customWidth="1"/>
    <col min="2" max="2" width="39.5703125" style="19" bestFit="1" customWidth="1"/>
    <col min="3" max="3" width="8.140625" style="19" customWidth="1"/>
    <col min="4" max="4" width="8.85546875" style="19" customWidth="1"/>
    <col min="5" max="5" width="30" style="19" bestFit="1" customWidth="1"/>
    <col min="6" max="6" width="20.140625" style="19" customWidth="1"/>
    <col min="7" max="7" width="13.85546875" style="13" customWidth="1"/>
    <col min="8" max="10" width="13.5703125" style="13" customWidth="1"/>
    <col min="11" max="11" width="17" style="14" customWidth="1"/>
    <col min="12" max="14" width="13.5703125" style="13" customWidth="1"/>
    <col min="15" max="15" width="13.5703125" style="15" customWidth="1"/>
    <col min="16" max="16" width="19.28515625" style="15" customWidth="1"/>
    <col min="17" max="17" width="16.85546875" style="15" customWidth="1"/>
    <col min="18" max="18" width="16.140625" style="15" customWidth="1"/>
    <col min="19" max="22" width="13.5703125" style="13" customWidth="1"/>
    <col min="23" max="23" width="16.7109375" style="14" customWidth="1"/>
    <col min="24" max="24" width="16.7109375" style="13" customWidth="1"/>
    <col min="25" max="25" width="15.42578125" style="14" customWidth="1"/>
    <col min="26" max="28" width="13.5703125" style="13" hidden="1" customWidth="1"/>
    <col min="29" max="29" width="15.42578125" style="14" hidden="1" customWidth="1"/>
    <col min="30" max="30" width="15.28515625" style="57" hidden="1" customWidth="1"/>
    <col min="31" max="31" width="12.7109375" style="57" hidden="1" customWidth="1"/>
    <col min="32" max="32" width="11.5703125" style="1" hidden="1" customWidth="1"/>
    <col min="33" max="33" width="19.28515625" style="19" bestFit="1" customWidth="1"/>
    <col min="34" max="34" width="83.7109375" style="19" bestFit="1" customWidth="1"/>
    <col min="35" max="35" width="63.5703125" style="18" bestFit="1" customWidth="1"/>
    <col min="36" max="48" width="11.5703125" style="18"/>
    <col min="49" max="16384" width="11.5703125" style="19"/>
  </cols>
  <sheetData>
    <row r="1" spans="1:48" s="7" customFormat="1">
      <c r="A1" s="2" t="s">
        <v>228</v>
      </c>
      <c r="B1" s="2"/>
      <c r="C1" s="2"/>
      <c r="D1" s="2"/>
      <c r="E1" s="3"/>
      <c r="F1" s="3"/>
      <c r="G1" s="4"/>
      <c r="H1" s="4"/>
      <c r="I1" s="4"/>
      <c r="J1" s="4"/>
      <c r="K1" s="5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5"/>
      <c r="X1" s="4"/>
      <c r="Y1" s="5"/>
      <c r="Z1" s="4"/>
      <c r="AA1" s="4"/>
      <c r="AB1" s="4"/>
      <c r="AC1" s="5"/>
      <c r="AD1" s="56"/>
      <c r="AE1" s="56"/>
      <c r="AF1" s="25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</row>
    <row r="2" spans="1:48" s="7" customFormat="1">
      <c r="A2" s="8" t="s">
        <v>35</v>
      </c>
      <c r="B2" s="8"/>
      <c r="C2" s="8"/>
      <c r="D2" s="8"/>
      <c r="E2" s="9"/>
      <c r="F2" s="9"/>
      <c r="G2" s="4"/>
      <c r="H2" s="4"/>
      <c r="I2" s="4"/>
      <c r="J2" s="4"/>
      <c r="K2" s="5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4"/>
      <c r="Y2" s="5"/>
      <c r="Z2" s="4"/>
      <c r="AA2" s="4"/>
      <c r="AB2" s="4"/>
      <c r="AC2" s="5"/>
      <c r="AD2" s="56"/>
      <c r="AE2" s="56"/>
      <c r="AF2" s="25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</row>
    <row r="3" spans="1:48" s="7" customFormat="1">
      <c r="A3" s="10" t="s">
        <v>233</v>
      </c>
      <c r="B3" s="10"/>
      <c r="C3" s="10"/>
      <c r="D3" s="10"/>
      <c r="E3" s="11"/>
      <c r="F3" s="11"/>
      <c r="G3" s="4"/>
      <c r="H3" s="4"/>
      <c r="I3" s="4"/>
      <c r="J3" s="4"/>
      <c r="K3" s="5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5"/>
      <c r="Z3" s="4"/>
      <c r="AA3" s="4"/>
      <c r="AB3" s="4"/>
      <c r="AC3" s="5"/>
      <c r="AD3" s="56"/>
      <c r="AE3" s="56"/>
      <c r="AF3" s="25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</row>
    <row r="4" spans="1:48" s="12" customFormat="1">
      <c r="A4" s="12" t="s">
        <v>234</v>
      </c>
      <c r="G4" s="13"/>
      <c r="H4" s="13"/>
      <c r="I4" s="13"/>
      <c r="J4" s="13"/>
      <c r="K4" s="14"/>
      <c r="L4" s="13"/>
      <c r="M4" s="13"/>
      <c r="N4" s="13"/>
      <c r="O4" s="15"/>
      <c r="P4" s="15"/>
      <c r="Q4" s="15"/>
      <c r="R4" s="15"/>
      <c r="S4" s="13"/>
      <c r="T4" s="13"/>
      <c r="U4" s="13"/>
      <c r="V4" s="13"/>
      <c r="W4" s="14"/>
      <c r="X4" s="13"/>
      <c r="Y4" s="14"/>
      <c r="Z4" s="13"/>
      <c r="AA4" s="13"/>
      <c r="AB4" s="13"/>
      <c r="AC4" s="14"/>
      <c r="AD4" s="57"/>
      <c r="AE4" s="57"/>
      <c r="AF4" s="1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</row>
    <row r="5" spans="1:48" s="12" customFormat="1" ht="28.5" customHeight="1">
      <c r="A5" s="118" t="s">
        <v>13</v>
      </c>
      <c r="B5" s="120" t="s">
        <v>14</v>
      </c>
      <c r="C5" s="118" t="s">
        <v>130</v>
      </c>
      <c r="D5" s="120" t="s">
        <v>15</v>
      </c>
      <c r="E5" s="120" t="s">
        <v>0</v>
      </c>
      <c r="F5" s="118" t="s">
        <v>126</v>
      </c>
      <c r="G5" s="116" t="s">
        <v>34</v>
      </c>
      <c r="H5" s="122" t="s">
        <v>9</v>
      </c>
      <c r="I5" s="122" t="s">
        <v>10</v>
      </c>
      <c r="J5" s="122" t="s">
        <v>24</v>
      </c>
      <c r="K5" s="122" t="s">
        <v>11</v>
      </c>
      <c r="L5" s="122" t="s">
        <v>12</v>
      </c>
      <c r="M5" s="82"/>
      <c r="N5" s="24"/>
      <c r="O5" s="124" t="s">
        <v>95</v>
      </c>
      <c r="P5" s="124" t="s">
        <v>111</v>
      </c>
      <c r="Q5" s="124" t="s">
        <v>110</v>
      </c>
      <c r="R5" s="124" t="s">
        <v>96</v>
      </c>
      <c r="S5" s="122" t="s">
        <v>6</v>
      </c>
      <c r="T5" s="122" t="s">
        <v>17</v>
      </c>
      <c r="U5" s="122" t="s">
        <v>16</v>
      </c>
      <c r="V5" s="122" t="s">
        <v>8</v>
      </c>
      <c r="W5" s="122" t="s">
        <v>25</v>
      </c>
      <c r="X5" s="122" t="s">
        <v>3</v>
      </c>
      <c r="Y5" s="122" t="s">
        <v>7</v>
      </c>
      <c r="Z5" s="122" t="s">
        <v>2</v>
      </c>
      <c r="AA5" s="122" t="s">
        <v>4</v>
      </c>
      <c r="AB5" s="27"/>
      <c r="AC5" s="122" t="s">
        <v>5</v>
      </c>
      <c r="AD5" s="129" t="s">
        <v>152</v>
      </c>
      <c r="AE5" s="130"/>
      <c r="AF5" s="131" t="s">
        <v>97</v>
      </c>
      <c r="AG5" s="127" t="s">
        <v>134</v>
      </c>
      <c r="AH5" s="127" t="s">
        <v>135</v>
      </c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</row>
    <row r="6" spans="1:48" s="22" customFormat="1" ht="39" customHeight="1">
      <c r="A6" s="119"/>
      <c r="B6" s="121"/>
      <c r="C6" s="119"/>
      <c r="D6" s="121"/>
      <c r="E6" s="121"/>
      <c r="F6" s="119"/>
      <c r="G6" s="117"/>
      <c r="H6" s="123"/>
      <c r="I6" s="123"/>
      <c r="J6" s="123"/>
      <c r="K6" s="123"/>
      <c r="L6" s="123"/>
      <c r="M6" s="28" t="s">
        <v>175</v>
      </c>
      <c r="N6" s="28" t="s">
        <v>143</v>
      </c>
      <c r="O6" s="125"/>
      <c r="P6" s="125"/>
      <c r="Q6" s="125"/>
      <c r="R6" s="125"/>
      <c r="S6" s="123"/>
      <c r="T6" s="123"/>
      <c r="U6" s="123"/>
      <c r="V6" s="123"/>
      <c r="W6" s="123"/>
      <c r="X6" s="123"/>
      <c r="Y6" s="123"/>
      <c r="Z6" s="123"/>
      <c r="AA6" s="123"/>
      <c r="AB6" s="24"/>
      <c r="AC6" s="123"/>
      <c r="AD6" s="55" t="s">
        <v>26</v>
      </c>
      <c r="AE6" s="55" t="s">
        <v>27</v>
      </c>
      <c r="AF6" s="131"/>
      <c r="AG6" s="127"/>
      <c r="AH6" s="127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</row>
    <row r="7" spans="1:48" s="18" customFormat="1">
      <c r="A7" s="40" t="s">
        <v>30</v>
      </c>
      <c r="B7" s="40" t="s">
        <v>219</v>
      </c>
      <c r="C7" s="40"/>
      <c r="D7" s="40"/>
      <c r="E7" s="40" t="s">
        <v>32</v>
      </c>
      <c r="F7" s="100">
        <v>42689</v>
      </c>
      <c r="G7" s="42">
        <v>3700.92</v>
      </c>
      <c r="H7" s="42"/>
      <c r="I7" s="42"/>
      <c r="J7" s="64"/>
      <c r="K7" s="65">
        <f t="shared" ref="K7:K32" si="0">SUM(G7:I7)-J7</f>
        <v>3700.92</v>
      </c>
      <c r="L7" s="42"/>
      <c r="M7" s="84"/>
      <c r="N7" s="42"/>
      <c r="O7" s="42"/>
      <c r="P7" s="86"/>
      <c r="Q7" s="86"/>
      <c r="R7" s="42"/>
      <c r="S7" s="38"/>
      <c r="T7" s="38"/>
      <c r="U7" s="40"/>
      <c r="V7" s="40"/>
      <c r="W7" s="65">
        <f t="shared" ref="W7:W32" si="1">+K7-SUM(L7:V7)</f>
        <v>3700.92</v>
      </c>
      <c r="X7" s="38">
        <f t="shared" ref="X7:X32" si="2">IF(K7&gt;2250,K7*0.1,0)</f>
        <v>370.09200000000004</v>
      </c>
      <c r="Y7" s="65">
        <f t="shared" ref="Y7:Y32" si="3">+W7-X7</f>
        <v>3330.828</v>
      </c>
      <c r="Z7" s="38"/>
      <c r="AA7" s="38"/>
      <c r="AB7" s="38"/>
      <c r="AC7" s="65"/>
      <c r="AD7" s="72"/>
      <c r="AE7" s="73"/>
      <c r="AF7" s="66"/>
      <c r="AG7" s="40">
        <v>1500716952</v>
      </c>
      <c r="AH7" s="40"/>
    </row>
    <row r="8" spans="1:48" s="18" customFormat="1">
      <c r="A8" s="40" t="s">
        <v>42</v>
      </c>
      <c r="B8" s="40" t="s">
        <v>121</v>
      </c>
      <c r="C8" s="40"/>
      <c r="D8" s="40" t="s">
        <v>46</v>
      </c>
      <c r="E8" s="40" t="s">
        <v>31</v>
      </c>
      <c r="F8" s="70">
        <v>42062</v>
      </c>
      <c r="G8" s="42">
        <v>2932.2</v>
      </c>
      <c r="H8" s="42"/>
      <c r="I8" s="42"/>
      <c r="J8" s="64"/>
      <c r="K8" s="65">
        <f t="shared" si="0"/>
        <v>2932.2</v>
      </c>
      <c r="L8" s="42"/>
      <c r="M8" s="84">
        <v>1</v>
      </c>
      <c r="N8" s="42"/>
      <c r="O8" s="42">
        <v>0</v>
      </c>
      <c r="P8" s="86"/>
      <c r="Q8" s="86"/>
      <c r="R8" s="42"/>
      <c r="S8" s="38"/>
      <c r="T8" s="38"/>
      <c r="U8" s="40"/>
      <c r="V8" s="40">
        <v>0</v>
      </c>
      <c r="W8" s="65">
        <f t="shared" si="1"/>
        <v>2931.2</v>
      </c>
      <c r="X8" s="38">
        <f t="shared" si="2"/>
        <v>293.21999999999997</v>
      </c>
      <c r="Y8" s="65">
        <f t="shared" si="3"/>
        <v>2637.98</v>
      </c>
      <c r="Z8" s="38">
        <f t="shared" ref="Z8:Z32" si="4">IF(K8&lt;2250,K8*0.1,0)</f>
        <v>0</v>
      </c>
      <c r="AA8" s="38">
        <v>10.23</v>
      </c>
      <c r="AB8" s="38">
        <f t="shared" ref="AB8:AB32" si="5">+P8</f>
        <v>0</v>
      </c>
      <c r="AC8" s="65">
        <f t="shared" ref="AC8:AC32" si="6">+K8+Z8+AA8+AB8</f>
        <v>2942.43</v>
      </c>
      <c r="AD8" s="72"/>
      <c r="AE8" s="73"/>
      <c r="AF8" s="66">
        <f t="shared" ref="AF8:AF17" si="7">+AD8+AE8-Y8</f>
        <v>-2637.98</v>
      </c>
      <c r="AG8" s="40"/>
      <c r="AH8" s="40"/>
    </row>
    <row r="9" spans="1:48" s="18" customFormat="1">
      <c r="A9" s="40" t="s">
        <v>30</v>
      </c>
      <c r="B9" s="40" t="s">
        <v>115</v>
      </c>
      <c r="C9" s="40" t="s">
        <v>130</v>
      </c>
      <c r="D9" s="40" t="s">
        <v>79</v>
      </c>
      <c r="E9" s="40" t="s">
        <v>33</v>
      </c>
      <c r="F9" s="70">
        <v>41797</v>
      </c>
      <c r="G9" s="42">
        <v>24019.21</v>
      </c>
      <c r="H9" s="42"/>
      <c r="I9" s="42"/>
      <c r="J9" s="64"/>
      <c r="K9" s="65">
        <f t="shared" si="0"/>
        <v>24019.21</v>
      </c>
      <c r="L9" s="42"/>
      <c r="M9" s="84"/>
      <c r="N9" s="85"/>
      <c r="O9" s="42">
        <v>0</v>
      </c>
      <c r="P9" s="86"/>
      <c r="Q9" s="86"/>
      <c r="R9" s="42"/>
      <c r="S9" s="38"/>
      <c r="T9" s="38"/>
      <c r="U9" s="40"/>
      <c r="V9" s="40">
        <v>0</v>
      </c>
      <c r="W9" s="65">
        <f t="shared" si="1"/>
        <v>24019.21</v>
      </c>
      <c r="X9" s="38">
        <f t="shared" si="2"/>
        <v>2401.9209999999998</v>
      </c>
      <c r="Y9" s="65">
        <f t="shared" si="3"/>
        <v>21617.289000000001</v>
      </c>
      <c r="Z9" s="38">
        <f t="shared" si="4"/>
        <v>0</v>
      </c>
      <c r="AA9" s="38">
        <v>10.23</v>
      </c>
      <c r="AB9" s="38">
        <f t="shared" si="5"/>
        <v>0</v>
      </c>
      <c r="AC9" s="65">
        <f t="shared" si="6"/>
        <v>24029.439999999999</v>
      </c>
      <c r="AD9" s="72"/>
      <c r="AE9" s="73"/>
      <c r="AF9" s="66">
        <f t="shared" si="7"/>
        <v>-21617.289000000001</v>
      </c>
      <c r="AG9" s="40"/>
      <c r="AH9" s="40"/>
    </row>
    <row r="10" spans="1:48" s="18" customFormat="1">
      <c r="A10" s="112"/>
      <c r="B10" s="112" t="s">
        <v>237</v>
      </c>
      <c r="C10" s="112"/>
      <c r="D10" s="112"/>
      <c r="E10" s="112" t="s">
        <v>172</v>
      </c>
      <c r="F10" s="113">
        <v>42718</v>
      </c>
      <c r="G10" s="114">
        <v>1615.32</v>
      </c>
      <c r="H10" s="114"/>
      <c r="I10" s="114"/>
      <c r="J10" s="64"/>
      <c r="K10" s="65">
        <f t="shared" si="0"/>
        <v>1615.32</v>
      </c>
      <c r="L10" s="42"/>
      <c r="M10" s="84"/>
      <c r="N10" s="85"/>
      <c r="O10" s="42"/>
      <c r="P10" s="86"/>
      <c r="Q10" s="86"/>
      <c r="R10" s="42"/>
      <c r="S10" s="38"/>
      <c r="T10" s="38"/>
      <c r="U10" s="40"/>
      <c r="V10" s="40">
        <v>1500</v>
      </c>
      <c r="W10" s="65">
        <f t="shared" ref="W10" si="8">+K10-SUM(L10:V10)</f>
        <v>115.31999999999994</v>
      </c>
      <c r="X10" s="38">
        <f t="shared" ref="X10" si="9">IF(K10&gt;2250,K10*0.1,0)</f>
        <v>0</v>
      </c>
      <c r="Y10" s="65">
        <f t="shared" ref="Y10" si="10">+W10-X10</f>
        <v>115.31999999999994</v>
      </c>
      <c r="Z10" s="38"/>
      <c r="AA10" s="38"/>
      <c r="AB10" s="38"/>
      <c r="AC10" s="65"/>
      <c r="AD10" s="72"/>
      <c r="AE10" s="73"/>
      <c r="AF10" s="66"/>
      <c r="AG10" s="115" t="s">
        <v>243</v>
      </c>
      <c r="AH10" s="115" t="s">
        <v>238</v>
      </c>
    </row>
    <row r="11" spans="1:48" s="18" customFormat="1">
      <c r="A11" s="40" t="s">
        <v>30</v>
      </c>
      <c r="B11" s="40" t="s">
        <v>40</v>
      </c>
      <c r="C11" s="40" t="s">
        <v>130</v>
      </c>
      <c r="D11" s="40">
        <v>16</v>
      </c>
      <c r="E11" s="40" t="s">
        <v>33</v>
      </c>
      <c r="F11" s="70">
        <v>39508</v>
      </c>
      <c r="G11" s="42">
        <v>17176.41</v>
      </c>
      <c r="H11" s="42"/>
      <c r="I11" s="42"/>
      <c r="J11" s="64"/>
      <c r="K11" s="65">
        <f t="shared" si="0"/>
        <v>17176.41</v>
      </c>
      <c r="L11" s="42"/>
      <c r="M11" s="84"/>
      <c r="N11" s="42"/>
      <c r="O11" s="42">
        <v>0</v>
      </c>
      <c r="P11" s="86"/>
      <c r="Q11" s="86"/>
      <c r="R11" s="42"/>
      <c r="S11" s="38"/>
      <c r="T11" s="38"/>
      <c r="U11" s="40"/>
      <c r="V11" s="40">
        <v>0</v>
      </c>
      <c r="W11" s="65">
        <f t="shared" si="1"/>
        <v>17176.41</v>
      </c>
      <c r="X11" s="38">
        <f t="shared" si="2"/>
        <v>1717.6410000000001</v>
      </c>
      <c r="Y11" s="65">
        <f t="shared" si="3"/>
        <v>15458.769</v>
      </c>
      <c r="Z11" s="38">
        <f t="shared" si="4"/>
        <v>0</v>
      </c>
      <c r="AA11" s="38">
        <v>10.23</v>
      </c>
      <c r="AB11" s="38">
        <f t="shared" si="5"/>
        <v>0</v>
      </c>
      <c r="AC11" s="65">
        <f t="shared" si="6"/>
        <v>17186.64</v>
      </c>
      <c r="AD11" s="72"/>
      <c r="AE11" s="73"/>
      <c r="AF11" s="66">
        <f t="shared" si="7"/>
        <v>-15458.769</v>
      </c>
      <c r="AG11" s="40"/>
      <c r="AH11" s="40"/>
    </row>
    <row r="12" spans="1:48" s="18" customFormat="1" ht="15" customHeight="1">
      <c r="A12" s="95" t="s">
        <v>30</v>
      </c>
      <c r="B12" s="95" t="s">
        <v>213</v>
      </c>
      <c r="C12" s="95"/>
      <c r="D12" s="95"/>
      <c r="E12" s="95" t="s">
        <v>32</v>
      </c>
      <c r="F12" s="98">
        <v>42668</v>
      </c>
      <c r="G12" s="54"/>
      <c r="H12" s="54"/>
      <c r="I12" s="54"/>
      <c r="J12" s="64"/>
      <c r="K12" s="65">
        <f t="shared" si="0"/>
        <v>0</v>
      </c>
      <c r="L12" s="42"/>
      <c r="M12" s="84"/>
      <c r="N12" s="42"/>
      <c r="O12" s="42"/>
      <c r="P12" s="86"/>
      <c r="Q12" s="86"/>
      <c r="R12" s="42"/>
      <c r="S12" s="38"/>
      <c r="T12" s="92"/>
      <c r="U12" s="40"/>
      <c r="V12" s="80"/>
      <c r="W12" s="65">
        <f t="shared" ref="W12" si="11">+K12-SUM(L12:V12)</f>
        <v>0</v>
      </c>
      <c r="X12" s="38">
        <f t="shared" ref="X12" si="12">IF(K12&gt;2250,K12*0.1,0)</f>
        <v>0</v>
      </c>
      <c r="Y12" s="65">
        <f t="shared" ref="Y12" si="13">+W12-X12</f>
        <v>0</v>
      </c>
      <c r="Z12" s="38"/>
      <c r="AA12" s="38"/>
      <c r="AB12" s="38"/>
      <c r="AC12" s="65"/>
      <c r="AD12" s="74"/>
      <c r="AE12" s="72"/>
      <c r="AF12" s="66"/>
      <c r="AG12" s="40">
        <v>1196048064</v>
      </c>
      <c r="AH12" s="97" t="s">
        <v>204</v>
      </c>
    </row>
    <row r="13" spans="1:48" s="18" customFormat="1">
      <c r="A13" s="40" t="s">
        <v>30</v>
      </c>
      <c r="B13" s="40" t="s">
        <v>116</v>
      </c>
      <c r="C13" s="40" t="s">
        <v>127</v>
      </c>
      <c r="D13" s="40" t="s">
        <v>80</v>
      </c>
      <c r="E13" s="40" t="s">
        <v>32</v>
      </c>
      <c r="F13" s="70">
        <v>42383</v>
      </c>
      <c r="G13" s="42">
        <v>11798.3</v>
      </c>
      <c r="H13" s="42"/>
      <c r="I13" s="42"/>
      <c r="J13" s="64"/>
      <c r="K13" s="65">
        <f t="shared" si="0"/>
        <v>11798.3</v>
      </c>
      <c r="L13" s="42"/>
      <c r="M13" s="84"/>
      <c r="N13" s="42"/>
      <c r="O13" s="42">
        <v>0</v>
      </c>
      <c r="P13" s="86"/>
      <c r="Q13" s="86"/>
      <c r="R13" s="42"/>
      <c r="S13" s="38"/>
      <c r="T13" s="38"/>
      <c r="U13" s="40"/>
      <c r="V13" s="40">
        <v>389</v>
      </c>
      <c r="W13" s="65">
        <f t="shared" si="1"/>
        <v>11409.3</v>
      </c>
      <c r="X13" s="38">
        <f t="shared" si="2"/>
        <v>1179.83</v>
      </c>
      <c r="Y13" s="65">
        <f t="shared" si="3"/>
        <v>10229.469999999999</v>
      </c>
      <c r="Z13" s="38">
        <f t="shared" si="4"/>
        <v>0</v>
      </c>
      <c r="AA13" s="38">
        <v>10.23</v>
      </c>
      <c r="AB13" s="38">
        <f t="shared" si="5"/>
        <v>0</v>
      </c>
      <c r="AC13" s="65">
        <f t="shared" si="6"/>
        <v>11808.529999999999</v>
      </c>
      <c r="AD13" s="72"/>
      <c r="AE13" s="73"/>
      <c r="AF13" s="66">
        <f t="shared" si="7"/>
        <v>-10229.469999999999</v>
      </c>
      <c r="AG13" s="40"/>
      <c r="AH13" s="40"/>
    </row>
    <row r="14" spans="1:48" s="18" customFormat="1">
      <c r="A14" s="40" t="s">
        <v>29</v>
      </c>
      <c r="B14" s="40" t="s">
        <v>105</v>
      </c>
      <c r="C14" s="40" t="s">
        <v>149</v>
      </c>
      <c r="D14" s="40"/>
      <c r="E14" s="40" t="s">
        <v>93</v>
      </c>
      <c r="F14" s="70">
        <v>42416</v>
      </c>
      <c r="G14" s="42"/>
      <c r="H14" s="42"/>
      <c r="I14" s="42"/>
      <c r="J14" s="64"/>
      <c r="K14" s="65">
        <f t="shared" si="0"/>
        <v>0</v>
      </c>
      <c r="L14" s="42"/>
      <c r="M14" s="84"/>
      <c r="N14" s="42"/>
      <c r="O14" s="42">
        <v>0</v>
      </c>
      <c r="P14" s="86"/>
      <c r="Q14" s="86"/>
      <c r="R14" s="42"/>
      <c r="S14" s="38">
        <v>114.82</v>
      </c>
      <c r="T14" s="38"/>
      <c r="U14" s="40"/>
      <c r="V14" s="40">
        <v>788.04</v>
      </c>
      <c r="W14" s="65">
        <f t="shared" si="1"/>
        <v>-902.8599999999999</v>
      </c>
      <c r="X14" s="38">
        <f t="shared" si="2"/>
        <v>0</v>
      </c>
      <c r="Y14" s="65">
        <f t="shared" si="3"/>
        <v>-902.8599999999999</v>
      </c>
      <c r="Z14" s="38">
        <f t="shared" si="4"/>
        <v>0</v>
      </c>
      <c r="AA14" s="38">
        <v>10.23</v>
      </c>
      <c r="AB14" s="38">
        <f t="shared" si="5"/>
        <v>0</v>
      </c>
      <c r="AC14" s="65">
        <f t="shared" si="6"/>
        <v>10.23</v>
      </c>
      <c r="AD14" s="72"/>
      <c r="AE14" s="73"/>
      <c r="AF14" s="66">
        <f t="shared" si="7"/>
        <v>902.8599999999999</v>
      </c>
      <c r="AG14" s="40"/>
      <c r="AH14" s="40"/>
    </row>
    <row r="15" spans="1:48" s="18" customFormat="1">
      <c r="A15" s="40" t="s">
        <v>28</v>
      </c>
      <c r="B15" s="40" t="s">
        <v>178</v>
      </c>
      <c r="C15" s="40"/>
      <c r="D15" s="40" t="s">
        <v>56</v>
      </c>
      <c r="E15" s="40" t="s">
        <v>91</v>
      </c>
      <c r="F15" s="70">
        <v>42116</v>
      </c>
      <c r="G15" s="42">
        <v>1740</v>
      </c>
      <c r="H15" s="42"/>
      <c r="I15" s="42"/>
      <c r="J15" s="64"/>
      <c r="K15" s="65">
        <f t="shared" si="0"/>
        <v>1740</v>
      </c>
      <c r="L15" s="42"/>
      <c r="M15" s="84"/>
      <c r="N15" s="42"/>
      <c r="O15" s="42">
        <v>0</v>
      </c>
      <c r="P15" s="86"/>
      <c r="Q15" s="86"/>
      <c r="R15" s="42"/>
      <c r="S15" s="38"/>
      <c r="T15" s="38"/>
      <c r="U15" s="67"/>
      <c r="V15" s="40">
        <v>0</v>
      </c>
      <c r="W15" s="65">
        <f t="shared" si="1"/>
        <v>1740</v>
      </c>
      <c r="X15" s="38">
        <f t="shared" si="2"/>
        <v>0</v>
      </c>
      <c r="Y15" s="65">
        <f t="shared" si="3"/>
        <v>1740</v>
      </c>
      <c r="Z15" s="38">
        <f t="shared" si="4"/>
        <v>174</v>
      </c>
      <c r="AA15" s="38">
        <v>10.23</v>
      </c>
      <c r="AB15" s="38">
        <f t="shared" si="5"/>
        <v>0</v>
      </c>
      <c r="AC15" s="65">
        <f t="shared" si="6"/>
        <v>1924.23</v>
      </c>
      <c r="AD15" s="78"/>
      <c r="AE15" s="78"/>
      <c r="AF15" s="66">
        <f t="shared" si="7"/>
        <v>-1740</v>
      </c>
      <c r="AG15" s="40"/>
      <c r="AH15" s="40"/>
    </row>
    <row r="16" spans="1:48" s="18" customFormat="1">
      <c r="A16" s="40" t="s">
        <v>30</v>
      </c>
      <c r="B16" s="40" t="s">
        <v>218</v>
      </c>
      <c r="C16" s="40"/>
      <c r="D16" s="40"/>
      <c r="E16" s="40" t="s">
        <v>32</v>
      </c>
      <c r="F16" s="70">
        <v>42685</v>
      </c>
      <c r="G16" s="42">
        <v>3795.37</v>
      </c>
      <c r="H16" s="42"/>
      <c r="I16" s="42"/>
      <c r="J16" s="64"/>
      <c r="K16" s="65">
        <f t="shared" si="0"/>
        <v>3795.37</v>
      </c>
      <c r="L16" s="42"/>
      <c r="M16" s="84"/>
      <c r="N16" s="42"/>
      <c r="O16" s="42"/>
      <c r="P16" s="86"/>
      <c r="Q16" s="86"/>
      <c r="R16" s="42"/>
      <c r="S16" s="38"/>
      <c r="T16" s="38"/>
      <c r="U16" s="40"/>
      <c r="V16" s="40"/>
      <c r="W16" s="65">
        <f t="shared" ref="W16" si="14">+K16-SUM(L16:V16)</f>
        <v>3795.37</v>
      </c>
      <c r="X16" s="38">
        <f t="shared" ref="X16" si="15">IF(K16&gt;2250,K16*0.1,0)</f>
        <v>379.53700000000003</v>
      </c>
      <c r="Y16" s="65">
        <f t="shared" ref="Y16" si="16">+W16-X16</f>
        <v>3415.8329999999996</v>
      </c>
      <c r="Z16" s="38"/>
      <c r="AA16" s="38"/>
      <c r="AB16" s="38"/>
      <c r="AC16" s="65"/>
      <c r="AD16" s="78"/>
      <c r="AE16" s="79"/>
      <c r="AF16" s="66"/>
      <c r="AG16" s="40">
        <v>1500638390</v>
      </c>
      <c r="AH16" s="43"/>
    </row>
    <row r="17" spans="1:34" s="18" customFormat="1" ht="15" customHeight="1">
      <c r="A17" s="40" t="s">
        <v>30</v>
      </c>
      <c r="B17" s="40" t="s">
        <v>136</v>
      </c>
      <c r="C17" s="40" t="s">
        <v>129</v>
      </c>
      <c r="D17" s="40" t="s">
        <v>81</v>
      </c>
      <c r="E17" s="40" t="s">
        <v>32</v>
      </c>
      <c r="F17" s="70">
        <v>41831</v>
      </c>
      <c r="G17" s="42"/>
      <c r="H17" s="42"/>
      <c r="I17" s="42"/>
      <c r="J17" s="64"/>
      <c r="K17" s="65">
        <f t="shared" si="0"/>
        <v>0</v>
      </c>
      <c r="L17" s="42"/>
      <c r="M17" s="84"/>
      <c r="N17" s="42"/>
      <c r="O17" s="42"/>
      <c r="P17" s="86"/>
      <c r="Q17" s="86"/>
      <c r="R17" s="42"/>
      <c r="S17" s="38"/>
      <c r="T17" s="92" t="s">
        <v>194</v>
      </c>
      <c r="U17" s="40"/>
      <c r="V17" s="80">
        <v>500</v>
      </c>
      <c r="W17" s="65">
        <f t="shared" si="1"/>
        <v>-500</v>
      </c>
      <c r="X17" s="38">
        <f t="shared" si="2"/>
        <v>0</v>
      </c>
      <c r="Y17" s="65">
        <f t="shared" si="3"/>
        <v>-500</v>
      </c>
      <c r="Z17" s="38">
        <f t="shared" si="4"/>
        <v>0</v>
      </c>
      <c r="AA17" s="38">
        <v>10.23</v>
      </c>
      <c r="AB17" s="38">
        <f t="shared" si="5"/>
        <v>0</v>
      </c>
      <c r="AC17" s="65">
        <f t="shared" si="6"/>
        <v>10.23</v>
      </c>
      <c r="AD17" s="74"/>
      <c r="AE17" s="72"/>
      <c r="AF17" s="66">
        <f t="shared" si="7"/>
        <v>500</v>
      </c>
      <c r="AG17" s="40"/>
      <c r="AH17" s="43"/>
    </row>
    <row r="18" spans="1:34" s="18" customFormat="1" ht="15" customHeight="1">
      <c r="A18" s="95" t="s">
        <v>44</v>
      </c>
      <c r="B18" s="95" t="s">
        <v>188</v>
      </c>
      <c r="C18" s="95"/>
      <c r="D18" s="95"/>
      <c r="E18" s="95" t="s">
        <v>92</v>
      </c>
      <c r="F18" s="98">
        <v>32540</v>
      </c>
      <c r="G18" s="54"/>
      <c r="H18" s="54"/>
      <c r="I18" s="54"/>
      <c r="J18" s="99"/>
      <c r="K18" s="65">
        <f t="shared" si="0"/>
        <v>0</v>
      </c>
      <c r="L18" s="42"/>
      <c r="M18" s="84"/>
      <c r="N18" s="42"/>
      <c r="O18" s="42"/>
      <c r="P18" s="86"/>
      <c r="Q18" s="86"/>
      <c r="R18" s="42"/>
      <c r="S18" s="38"/>
      <c r="T18" s="92"/>
      <c r="U18" s="40"/>
      <c r="V18" s="80">
        <v>0</v>
      </c>
      <c r="W18" s="65">
        <f t="shared" si="1"/>
        <v>0</v>
      </c>
      <c r="X18" s="38">
        <f t="shared" si="2"/>
        <v>0</v>
      </c>
      <c r="Y18" s="65">
        <f t="shared" si="3"/>
        <v>0</v>
      </c>
      <c r="Z18" s="38">
        <f t="shared" si="4"/>
        <v>0</v>
      </c>
      <c r="AA18" s="38">
        <v>11.23</v>
      </c>
      <c r="AB18" s="38">
        <f t="shared" si="5"/>
        <v>0</v>
      </c>
      <c r="AC18" s="65">
        <f t="shared" si="6"/>
        <v>11.23</v>
      </c>
      <c r="AD18" s="74"/>
      <c r="AE18" s="72"/>
      <c r="AF18" s="66"/>
      <c r="AG18" s="40">
        <v>1461266403</v>
      </c>
      <c r="AH18" s="97" t="s">
        <v>225</v>
      </c>
    </row>
    <row r="19" spans="1:34" s="18" customFormat="1">
      <c r="A19" s="40" t="s">
        <v>30</v>
      </c>
      <c r="B19" s="40" t="s">
        <v>139</v>
      </c>
      <c r="C19" s="40" t="s">
        <v>130</v>
      </c>
      <c r="D19" s="40">
        <v>18</v>
      </c>
      <c r="E19" s="40" t="s">
        <v>33</v>
      </c>
      <c r="F19" s="70">
        <v>39699</v>
      </c>
      <c r="G19" s="42">
        <v>14784.67</v>
      </c>
      <c r="H19" s="42"/>
      <c r="I19" s="42"/>
      <c r="J19" s="64"/>
      <c r="K19" s="65">
        <f t="shared" si="0"/>
        <v>14784.67</v>
      </c>
      <c r="L19" s="42"/>
      <c r="M19" s="84"/>
      <c r="N19" s="42"/>
      <c r="O19" s="42">
        <v>1000</v>
      </c>
      <c r="P19" s="86"/>
      <c r="Q19" s="86"/>
      <c r="R19" s="42"/>
      <c r="S19" s="38"/>
      <c r="T19" s="38"/>
      <c r="U19" s="40"/>
      <c r="V19" s="40">
        <v>0</v>
      </c>
      <c r="W19" s="65">
        <f t="shared" si="1"/>
        <v>13784.67</v>
      </c>
      <c r="X19" s="38">
        <f t="shared" si="2"/>
        <v>1478.4670000000001</v>
      </c>
      <c r="Y19" s="65">
        <f t="shared" si="3"/>
        <v>12306.203</v>
      </c>
      <c r="Z19" s="38">
        <f t="shared" si="4"/>
        <v>0</v>
      </c>
      <c r="AA19" s="38">
        <v>10.23</v>
      </c>
      <c r="AB19" s="38">
        <f t="shared" si="5"/>
        <v>0</v>
      </c>
      <c r="AC19" s="65">
        <f t="shared" si="6"/>
        <v>14794.9</v>
      </c>
      <c r="AD19" s="72"/>
      <c r="AE19" s="73"/>
      <c r="AF19" s="66">
        <f t="shared" ref="AF19:AF21" si="17">+AD19+AE19-Y19</f>
        <v>-12306.203</v>
      </c>
      <c r="AG19" s="40"/>
      <c r="AH19" s="40"/>
    </row>
    <row r="20" spans="1:34" s="18" customFormat="1">
      <c r="A20" s="40" t="s">
        <v>29</v>
      </c>
      <c r="B20" s="40" t="s">
        <v>125</v>
      </c>
      <c r="C20" s="40" t="s">
        <v>149</v>
      </c>
      <c r="D20" s="40" t="s">
        <v>61</v>
      </c>
      <c r="E20" s="40" t="s">
        <v>93</v>
      </c>
      <c r="F20" s="70">
        <v>42332</v>
      </c>
      <c r="G20" s="42">
        <v>6257.36</v>
      </c>
      <c r="H20" s="42"/>
      <c r="I20" s="42"/>
      <c r="J20" s="64"/>
      <c r="K20" s="65">
        <f t="shared" si="0"/>
        <v>6257.36</v>
      </c>
      <c r="L20" s="42"/>
      <c r="M20" s="84"/>
      <c r="N20" s="42"/>
      <c r="O20" s="42">
        <v>0</v>
      </c>
      <c r="P20" s="86"/>
      <c r="Q20" s="86"/>
      <c r="R20" s="42"/>
      <c r="S20" s="38"/>
      <c r="T20" s="38"/>
      <c r="U20" s="40"/>
      <c r="V20" s="40">
        <v>633</v>
      </c>
      <c r="W20" s="65">
        <f t="shared" si="1"/>
        <v>5624.36</v>
      </c>
      <c r="X20" s="38">
        <f t="shared" si="2"/>
        <v>625.73599999999999</v>
      </c>
      <c r="Y20" s="65">
        <f t="shared" si="3"/>
        <v>4998.6239999999998</v>
      </c>
      <c r="Z20" s="38">
        <f t="shared" si="4"/>
        <v>0</v>
      </c>
      <c r="AA20" s="38">
        <v>10.23</v>
      </c>
      <c r="AB20" s="38">
        <f t="shared" si="5"/>
        <v>0</v>
      </c>
      <c r="AC20" s="65">
        <f t="shared" si="6"/>
        <v>6267.5899999999992</v>
      </c>
      <c r="AD20" s="72"/>
      <c r="AE20" s="73"/>
      <c r="AF20" s="66">
        <f t="shared" si="17"/>
        <v>-4998.6239999999998</v>
      </c>
      <c r="AG20" s="40"/>
      <c r="AH20" s="40"/>
    </row>
    <row r="21" spans="1:34" s="18" customFormat="1">
      <c r="A21" s="40" t="s">
        <v>30</v>
      </c>
      <c r="B21" s="40" t="s">
        <v>147</v>
      </c>
      <c r="C21" s="40" t="s">
        <v>132</v>
      </c>
      <c r="D21" s="40"/>
      <c r="E21" s="40" t="s">
        <v>32</v>
      </c>
      <c r="F21" s="70">
        <v>42437</v>
      </c>
      <c r="G21" s="42">
        <v>1255.42</v>
      </c>
      <c r="H21" s="42"/>
      <c r="I21" s="42"/>
      <c r="J21" s="64"/>
      <c r="K21" s="65">
        <f t="shared" si="0"/>
        <v>1255.42</v>
      </c>
      <c r="L21" s="42"/>
      <c r="M21" s="84"/>
      <c r="N21" s="42"/>
      <c r="O21" s="42">
        <v>0</v>
      </c>
      <c r="P21" s="86"/>
      <c r="Q21" s="86"/>
      <c r="R21" s="42"/>
      <c r="S21" s="38"/>
      <c r="T21" s="38"/>
      <c r="U21" s="40"/>
      <c r="V21" s="40">
        <v>0</v>
      </c>
      <c r="W21" s="65">
        <f t="shared" si="1"/>
        <v>1255.42</v>
      </c>
      <c r="X21" s="38">
        <f t="shared" si="2"/>
        <v>0</v>
      </c>
      <c r="Y21" s="65">
        <f t="shared" si="3"/>
        <v>1255.42</v>
      </c>
      <c r="Z21" s="38">
        <f t="shared" si="4"/>
        <v>125.54200000000002</v>
      </c>
      <c r="AA21" s="38">
        <v>10.23</v>
      </c>
      <c r="AB21" s="38">
        <f t="shared" si="5"/>
        <v>0</v>
      </c>
      <c r="AC21" s="65">
        <f t="shared" si="6"/>
        <v>1391.192</v>
      </c>
      <c r="AD21" s="72"/>
      <c r="AE21" s="73"/>
      <c r="AF21" s="66">
        <f t="shared" si="17"/>
        <v>-1255.42</v>
      </c>
      <c r="AG21" s="40"/>
      <c r="AH21" s="43"/>
    </row>
    <row r="22" spans="1:34" s="18" customFormat="1" ht="15.75">
      <c r="A22" s="40" t="s">
        <v>131</v>
      </c>
      <c r="B22" s="40" t="s">
        <v>106</v>
      </c>
      <c r="C22" s="40"/>
      <c r="D22" s="40" t="s">
        <v>58</v>
      </c>
      <c r="E22" s="40" t="s">
        <v>92</v>
      </c>
      <c r="F22" s="70">
        <v>42205</v>
      </c>
      <c r="G22" s="93"/>
      <c r="H22" s="42"/>
      <c r="I22" s="42"/>
      <c r="J22" s="64"/>
      <c r="K22" s="65">
        <f t="shared" si="0"/>
        <v>0</v>
      </c>
      <c r="L22" s="42"/>
      <c r="M22" s="84"/>
      <c r="N22" s="42"/>
      <c r="O22" s="42">
        <v>300</v>
      </c>
      <c r="P22" s="86"/>
      <c r="Q22" s="86"/>
      <c r="R22" s="42"/>
      <c r="S22" s="38"/>
      <c r="T22" s="92" t="s">
        <v>194</v>
      </c>
      <c r="U22" s="40"/>
      <c r="V22" s="40">
        <v>0</v>
      </c>
      <c r="W22" s="65">
        <f t="shared" si="1"/>
        <v>-300</v>
      </c>
      <c r="X22" s="38">
        <f t="shared" si="2"/>
        <v>0</v>
      </c>
      <c r="Y22" s="65">
        <f t="shared" si="3"/>
        <v>-300</v>
      </c>
      <c r="Z22" s="38">
        <f t="shared" si="4"/>
        <v>0</v>
      </c>
      <c r="AA22" s="38">
        <v>10.23</v>
      </c>
      <c r="AB22" s="38">
        <f t="shared" si="5"/>
        <v>0</v>
      </c>
      <c r="AC22" s="65">
        <f t="shared" si="6"/>
        <v>10.23</v>
      </c>
      <c r="AD22" s="72"/>
      <c r="AE22" s="72"/>
      <c r="AF22" s="66">
        <f t="shared" ref="AF22:AF23" si="18">+AD22+AE22-Y22</f>
        <v>300</v>
      </c>
      <c r="AG22" s="40"/>
      <c r="AH22" s="40"/>
    </row>
    <row r="23" spans="1:34" s="18" customFormat="1">
      <c r="A23" s="40" t="s">
        <v>131</v>
      </c>
      <c r="B23" s="40" t="s">
        <v>163</v>
      </c>
      <c r="C23" s="40"/>
      <c r="D23" s="40"/>
      <c r="E23" s="40" t="s">
        <v>92</v>
      </c>
      <c r="F23" s="70">
        <v>42476</v>
      </c>
      <c r="G23" s="93"/>
      <c r="H23" s="42"/>
      <c r="I23" s="42"/>
      <c r="J23" s="64"/>
      <c r="K23" s="65">
        <f t="shared" si="0"/>
        <v>0</v>
      </c>
      <c r="L23" s="42"/>
      <c r="M23" s="84"/>
      <c r="N23" s="42"/>
      <c r="O23" s="42">
        <v>0</v>
      </c>
      <c r="P23" s="86"/>
      <c r="Q23" s="86"/>
      <c r="R23" s="42"/>
      <c r="S23" s="38"/>
      <c r="T23" s="38"/>
      <c r="U23" s="40"/>
      <c r="V23" s="40">
        <v>0</v>
      </c>
      <c r="W23" s="65">
        <f t="shared" si="1"/>
        <v>0</v>
      </c>
      <c r="X23" s="38">
        <f t="shared" si="2"/>
        <v>0</v>
      </c>
      <c r="Y23" s="65">
        <f t="shared" si="3"/>
        <v>0</v>
      </c>
      <c r="Z23" s="38">
        <f t="shared" si="4"/>
        <v>0</v>
      </c>
      <c r="AA23" s="38">
        <v>10.23</v>
      </c>
      <c r="AB23" s="38">
        <f t="shared" si="5"/>
        <v>0</v>
      </c>
      <c r="AC23" s="65">
        <f t="shared" si="6"/>
        <v>10.23</v>
      </c>
      <c r="AD23" s="72"/>
      <c r="AE23" s="72"/>
      <c r="AF23" s="66">
        <f t="shared" si="18"/>
        <v>0</v>
      </c>
      <c r="AG23" s="40">
        <v>2919685839</v>
      </c>
      <c r="AH23" s="43"/>
    </row>
    <row r="24" spans="1:34" s="18" customFormat="1">
      <c r="A24" s="40" t="s">
        <v>42</v>
      </c>
      <c r="B24" s="40" t="s">
        <v>173</v>
      </c>
      <c r="C24" s="40"/>
      <c r="D24" s="40"/>
      <c r="E24" s="40" t="s">
        <v>31</v>
      </c>
      <c r="F24" s="70">
        <v>42514</v>
      </c>
      <c r="G24" s="42">
        <v>2945.38</v>
      </c>
      <c r="H24" s="42"/>
      <c r="I24" s="42"/>
      <c r="J24" s="64"/>
      <c r="K24" s="65">
        <f t="shared" si="0"/>
        <v>2945.38</v>
      </c>
      <c r="L24" s="42"/>
      <c r="M24" s="84"/>
      <c r="N24" s="42"/>
      <c r="O24" s="42">
        <v>0</v>
      </c>
      <c r="P24" s="86"/>
      <c r="Q24" s="86"/>
      <c r="R24" s="42"/>
      <c r="S24" s="38"/>
      <c r="T24" s="38"/>
      <c r="U24" s="40"/>
      <c r="V24" s="40">
        <v>0</v>
      </c>
      <c r="W24" s="65">
        <f t="shared" si="1"/>
        <v>2945.38</v>
      </c>
      <c r="X24" s="38">
        <f t="shared" si="2"/>
        <v>294.53800000000001</v>
      </c>
      <c r="Y24" s="65">
        <f t="shared" si="3"/>
        <v>2650.8420000000001</v>
      </c>
      <c r="Z24" s="38">
        <f t="shared" si="4"/>
        <v>0</v>
      </c>
      <c r="AA24" s="38">
        <v>11.23</v>
      </c>
      <c r="AB24" s="38">
        <f t="shared" si="5"/>
        <v>0</v>
      </c>
      <c r="AC24" s="65">
        <f t="shared" si="6"/>
        <v>2956.61</v>
      </c>
      <c r="AD24" s="72"/>
      <c r="AE24" s="73"/>
      <c r="AF24" s="66"/>
      <c r="AG24" s="40">
        <v>2747910657</v>
      </c>
      <c r="AH24" s="43"/>
    </row>
    <row r="25" spans="1:34" s="18" customFormat="1">
      <c r="A25" s="40" t="s">
        <v>30</v>
      </c>
      <c r="B25" s="40" t="s">
        <v>206</v>
      </c>
      <c r="C25" s="40"/>
      <c r="D25" s="40"/>
      <c r="E25" s="40" t="s">
        <v>207</v>
      </c>
      <c r="F25" s="70">
        <v>41359</v>
      </c>
      <c r="G25" s="42">
        <v>1210.5</v>
      </c>
      <c r="H25" s="42"/>
      <c r="I25" s="42"/>
      <c r="J25" s="64"/>
      <c r="K25" s="65">
        <f t="shared" si="0"/>
        <v>1210.5</v>
      </c>
      <c r="L25" s="42"/>
      <c r="M25" s="84"/>
      <c r="N25" s="42"/>
      <c r="O25" s="42"/>
      <c r="P25" s="86"/>
      <c r="Q25" s="86"/>
      <c r="R25" s="42"/>
      <c r="S25" s="38"/>
      <c r="T25" s="38"/>
      <c r="U25" s="40"/>
      <c r="V25" s="40"/>
      <c r="W25" s="65">
        <f t="shared" ref="W25" si="19">+K25-SUM(L25:V25)</f>
        <v>1210.5</v>
      </c>
      <c r="X25" s="38">
        <f t="shared" ref="X25" si="20">IF(K25&gt;2250,K25*0.1,0)</f>
        <v>0</v>
      </c>
      <c r="Y25" s="65">
        <f t="shared" ref="Y25" si="21">+W25-X25</f>
        <v>1210.5</v>
      </c>
      <c r="Z25" s="38"/>
      <c r="AA25" s="38"/>
      <c r="AB25" s="38"/>
      <c r="AC25" s="65"/>
      <c r="AD25" s="72"/>
      <c r="AE25" s="73"/>
      <c r="AF25" s="66"/>
      <c r="AG25" s="40"/>
      <c r="AH25" s="43"/>
    </row>
    <row r="26" spans="1:34" s="18" customFormat="1">
      <c r="A26" s="40" t="s">
        <v>30</v>
      </c>
      <c r="B26" s="40" t="s">
        <v>201</v>
      </c>
      <c r="C26" s="40"/>
      <c r="D26" s="40"/>
      <c r="E26" s="40" t="s">
        <v>32</v>
      </c>
      <c r="F26" s="70">
        <v>42627</v>
      </c>
      <c r="G26" s="42"/>
      <c r="H26" s="42"/>
      <c r="I26" s="42"/>
      <c r="J26" s="64"/>
      <c r="K26" s="65">
        <f t="shared" si="0"/>
        <v>0</v>
      </c>
      <c r="L26" s="42"/>
      <c r="M26" s="84"/>
      <c r="N26" s="42"/>
      <c r="O26" s="42"/>
      <c r="P26" s="86"/>
      <c r="Q26" s="86"/>
      <c r="R26" s="42"/>
      <c r="S26" s="38"/>
      <c r="T26" s="38"/>
      <c r="U26" s="40"/>
      <c r="V26" s="40"/>
      <c r="W26" s="65">
        <f t="shared" ref="W26" si="22">+K26-SUM(L26:V26)</f>
        <v>0</v>
      </c>
      <c r="X26" s="38">
        <f t="shared" ref="X26" si="23">IF(K26&gt;2250,K26*0.1,0)</f>
        <v>0</v>
      </c>
      <c r="Y26" s="65">
        <f t="shared" ref="Y26" si="24">+W26-X26</f>
        <v>0</v>
      </c>
      <c r="Z26" s="38"/>
      <c r="AA26" s="38"/>
      <c r="AB26" s="38"/>
      <c r="AC26" s="65"/>
      <c r="AD26" s="72"/>
      <c r="AE26" s="73"/>
      <c r="AF26" s="66"/>
      <c r="AG26" s="40">
        <v>2723461904</v>
      </c>
      <c r="AH26" s="43"/>
    </row>
    <row r="27" spans="1:34" s="18" customFormat="1">
      <c r="A27" s="40" t="s">
        <v>28</v>
      </c>
      <c r="B27" s="40" t="s">
        <v>195</v>
      </c>
      <c r="C27" s="40"/>
      <c r="D27" s="40"/>
      <c r="E27" s="33" t="s">
        <v>196</v>
      </c>
      <c r="F27" s="70">
        <v>42591</v>
      </c>
      <c r="G27" s="42"/>
      <c r="H27" s="42"/>
      <c r="I27" s="42"/>
      <c r="J27" s="64"/>
      <c r="K27" s="65">
        <f t="shared" si="0"/>
        <v>0</v>
      </c>
      <c r="L27" s="42"/>
      <c r="M27" s="84"/>
      <c r="N27" s="42"/>
      <c r="O27" s="42"/>
      <c r="P27" s="86"/>
      <c r="Q27" s="86"/>
      <c r="R27" s="42"/>
      <c r="S27" s="38"/>
      <c r="T27" s="38"/>
      <c r="U27" s="40"/>
      <c r="V27" s="40"/>
      <c r="W27" s="65">
        <f t="shared" ref="W27" si="25">+K27-SUM(L27:V27)</f>
        <v>0</v>
      </c>
      <c r="X27" s="38">
        <f t="shared" ref="X27" si="26">IF(K27&gt;2250,K27*0.1,0)</f>
        <v>0</v>
      </c>
      <c r="Y27" s="65">
        <f t="shared" ref="Y27" si="27">+W27-X27</f>
        <v>0</v>
      </c>
      <c r="Z27" s="38"/>
      <c r="AA27" s="38"/>
      <c r="AB27" s="38"/>
      <c r="AC27" s="65"/>
      <c r="AD27" s="72"/>
      <c r="AE27" s="73"/>
      <c r="AF27" s="66"/>
      <c r="AG27" s="40">
        <v>2851254995</v>
      </c>
      <c r="AH27" s="43"/>
    </row>
    <row r="28" spans="1:34" s="18" customFormat="1" ht="15.75">
      <c r="A28" s="95"/>
      <c r="B28" s="95" t="s">
        <v>215</v>
      </c>
      <c r="C28" s="95"/>
      <c r="D28" s="95"/>
      <c r="E28" s="95" t="s">
        <v>92</v>
      </c>
      <c r="F28" s="98"/>
      <c r="G28" s="54"/>
      <c r="H28" s="54"/>
      <c r="I28" s="54"/>
      <c r="J28" s="64"/>
      <c r="K28" s="65">
        <f t="shared" si="0"/>
        <v>0</v>
      </c>
      <c r="L28" s="42"/>
      <c r="M28" s="84"/>
      <c r="N28" s="42"/>
      <c r="O28" s="42">
        <v>150</v>
      </c>
      <c r="P28" s="86"/>
      <c r="Q28" s="86"/>
      <c r="R28" s="42"/>
      <c r="S28" s="38"/>
      <c r="T28" s="92"/>
      <c r="U28" s="40"/>
      <c r="V28" s="80"/>
      <c r="W28" s="65">
        <f t="shared" ref="W28" si="28">+K28-SUM(L28:V28)</f>
        <v>-150</v>
      </c>
      <c r="X28" s="38">
        <f t="shared" ref="X28" si="29">IF(K28&gt;2250,K28*0.1,0)</f>
        <v>0</v>
      </c>
      <c r="Y28" s="65">
        <f t="shared" ref="Y28" si="30">+W28-X28</f>
        <v>-150</v>
      </c>
      <c r="Z28" s="38"/>
      <c r="AA28" s="38"/>
      <c r="AB28" s="38"/>
      <c r="AC28" s="65"/>
      <c r="AD28" s="74"/>
      <c r="AE28" s="72"/>
      <c r="AF28" s="66"/>
      <c r="AG28" s="40"/>
      <c r="AH28" s="97" t="s">
        <v>204</v>
      </c>
    </row>
    <row r="29" spans="1:34" s="18" customFormat="1">
      <c r="A29" s="40" t="s">
        <v>42</v>
      </c>
      <c r="B29" s="40" t="s">
        <v>200</v>
      </c>
      <c r="C29" s="40"/>
      <c r="D29" s="40"/>
      <c r="E29" s="40" t="s">
        <v>31</v>
      </c>
      <c r="F29" s="70">
        <v>42604</v>
      </c>
      <c r="G29" s="42">
        <v>730.4</v>
      </c>
      <c r="H29" s="42"/>
      <c r="I29" s="42"/>
      <c r="J29" s="64"/>
      <c r="K29" s="65">
        <f t="shared" si="0"/>
        <v>730.4</v>
      </c>
      <c r="L29" s="42"/>
      <c r="M29" s="84"/>
      <c r="N29" s="42"/>
      <c r="O29" s="42"/>
      <c r="P29" s="86"/>
      <c r="Q29" s="86"/>
      <c r="R29" s="42"/>
      <c r="S29" s="38"/>
      <c r="T29" s="38"/>
      <c r="U29" s="40"/>
      <c r="V29" s="40"/>
      <c r="W29" s="65">
        <f t="shared" ref="W29" si="31">+K29-SUM(L29:V29)</f>
        <v>730.4</v>
      </c>
      <c r="X29" s="38">
        <f t="shared" ref="X29" si="32">IF(K29&gt;2250,K29*0.1,0)</f>
        <v>0</v>
      </c>
      <c r="Y29" s="65">
        <f t="shared" ref="Y29" si="33">+W29-X29</f>
        <v>730.4</v>
      </c>
      <c r="Z29" s="38"/>
      <c r="AA29" s="38"/>
      <c r="AB29" s="38"/>
      <c r="AC29" s="65"/>
      <c r="AD29" s="72"/>
      <c r="AE29" s="73"/>
      <c r="AF29" s="66"/>
      <c r="AG29" s="40">
        <v>1143946878</v>
      </c>
      <c r="AH29" s="43"/>
    </row>
    <row r="30" spans="1:34" s="18" customFormat="1">
      <c r="A30" s="40" t="s">
        <v>30</v>
      </c>
      <c r="B30" s="40" t="s">
        <v>162</v>
      </c>
      <c r="C30" s="40" t="s">
        <v>127</v>
      </c>
      <c r="D30" s="40"/>
      <c r="E30" s="40" t="s">
        <v>32</v>
      </c>
      <c r="F30" s="70">
        <v>42413</v>
      </c>
      <c r="G30" s="42">
        <v>1258.8699999999999</v>
      </c>
      <c r="H30" s="42"/>
      <c r="I30" s="42"/>
      <c r="J30" s="64"/>
      <c r="K30" s="65">
        <f t="shared" si="0"/>
        <v>1258.8699999999999</v>
      </c>
      <c r="L30" s="42"/>
      <c r="M30" s="84"/>
      <c r="N30" s="42"/>
      <c r="O30" s="42">
        <v>0</v>
      </c>
      <c r="P30" s="86"/>
      <c r="Q30" s="86"/>
      <c r="R30" s="42"/>
      <c r="S30" s="38"/>
      <c r="T30" s="38"/>
      <c r="U30" s="40"/>
      <c r="V30" s="40">
        <v>0</v>
      </c>
      <c r="W30" s="65">
        <f t="shared" si="1"/>
        <v>1258.8699999999999</v>
      </c>
      <c r="X30" s="38">
        <f t="shared" si="2"/>
        <v>0</v>
      </c>
      <c r="Y30" s="65">
        <f t="shared" si="3"/>
        <v>1258.8699999999999</v>
      </c>
      <c r="Z30" s="38">
        <f t="shared" si="4"/>
        <v>125.887</v>
      </c>
      <c r="AA30" s="38">
        <v>13.23</v>
      </c>
      <c r="AB30" s="38">
        <f t="shared" si="5"/>
        <v>0</v>
      </c>
      <c r="AC30" s="65">
        <f t="shared" si="6"/>
        <v>1397.9869999999999</v>
      </c>
      <c r="AD30" s="72"/>
      <c r="AE30" s="73"/>
      <c r="AF30" s="66">
        <f>+AD30+AE30-Y30</f>
        <v>-1258.8699999999999</v>
      </c>
      <c r="AG30" s="40"/>
      <c r="AH30" s="43"/>
    </row>
    <row r="31" spans="1:34" s="18" customFormat="1">
      <c r="A31" s="40" t="s">
        <v>30</v>
      </c>
      <c r="B31" s="40" t="s">
        <v>176</v>
      </c>
      <c r="C31" s="40"/>
      <c r="D31" s="40"/>
      <c r="E31" s="40" t="s">
        <v>32</v>
      </c>
      <c r="F31" s="70">
        <v>42532</v>
      </c>
      <c r="G31" s="42">
        <v>767.54</v>
      </c>
      <c r="H31" s="42"/>
      <c r="I31" s="42"/>
      <c r="J31" s="64"/>
      <c r="K31" s="65">
        <f t="shared" si="0"/>
        <v>767.54</v>
      </c>
      <c r="L31" s="42"/>
      <c r="M31" s="84"/>
      <c r="N31" s="42"/>
      <c r="O31" s="42">
        <v>0</v>
      </c>
      <c r="P31" s="86"/>
      <c r="Q31" s="86"/>
      <c r="R31" s="42"/>
      <c r="S31" s="38"/>
      <c r="T31" s="38"/>
      <c r="U31" s="40"/>
      <c r="V31" s="40">
        <v>0</v>
      </c>
      <c r="W31" s="65">
        <f t="shared" si="1"/>
        <v>767.54</v>
      </c>
      <c r="X31" s="38">
        <f t="shared" si="2"/>
        <v>0</v>
      </c>
      <c r="Y31" s="65">
        <f t="shared" si="3"/>
        <v>767.54</v>
      </c>
      <c r="Z31" s="38">
        <f t="shared" si="4"/>
        <v>76.754000000000005</v>
      </c>
      <c r="AA31" s="38">
        <v>13.23</v>
      </c>
      <c r="AB31" s="38">
        <f t="shared" si="5"/>
        <v>0</v>
      </c>
      <c r="AC31" s="65">
        <f t="shared" si="6"/>
        <v>857.524</v>
      </c>
      <c r="AD31" s="72"/>
      <c r="AE31" s="73"/>
      <c r="AF31" s="66">
        <f>+AD31+AE31-Y31</f>
        <v>-767.54</v>
      </c>
      <c r="AG31" s="40"/>
      <c r="AH31" s="43"/>
    </row>
    <row r="32" spans="1:34" s="18" customFormat="1">
      <c r="A32" s="40" t="s">
        <v>30</v>
      </c>
      <c r="B32" s="40" t="s">
        <v>169</v>
      </c>
      <c r="C32" s="40"/>
      <c r="D32" s="40"/>
      <c r="E32" s="40" t="s">
        <v>32</v>
      </c>
      <c r="F32" s="70">
        <v>42520</v>
      </c>
      <c r="G32" s="42"/>
      <c r="H32" s="42"/>
      <c r="I32" s="42"/>
      <c r="J32" s="64"/>
      <c r="K32" s="65">
        <f t="shared" si="0"/>
        <v>0</v>
      </c>
      <c r="L32" s="42"/>
      <c r="M32" s="84"/>
      <c r="N32" s="42"/>
      <c r="O32" s="42">
        <v>0</v>
      </c>
      <c r="P32" s="86"/>
      <c r="Q32" s="86"/>
      <c r="R32" s="42"/>
      <c r="S32" s="38"/>
      <c r="T32" s="38"/>
      <c r="U32" s="40"/>
      <c r="V32" s="40">
        <v>0</v>
      </c>
      <c r="W32" s="65">
        <f t="shared" si="1"/>
        <v>0</v>
      </c>
      <c r="X32" s="38">
        <f t="shared" si="2"/>
        <v>0</v>
      </c>
      <c r="Y32" s="65">
        <f t="shared" si="3"/>
        <v>0</v>
      </c>
      <c r="Z32" s="38">
        <f t="shared" si="4"/>
        <v>0</v>
      </c>
      <c r="AA32" s="38">
        <v>14.23</v>
      </c>
      <c r="AB32" s="38">
        <f t="shared" si="5"/>
        <v>0</v>
      </c>
      <c r="AC32" s="65">
        <f t="shared" si="6"/>
        <v>14.23</v>
      </c>
      <c r="AD32" s="72"/>
      <c r="AE32" s="73"/>
      <c r="AF32" s="66"/>
      <c r="AG32" s="40">
        <v>1175437504</v>
      </c>
      <c r="AH32" s="43"/>
    </row>
    <row r="33" spans="1:34" s="18" customFormat="1">
      <c r="A33" s="87" t="s">
        <v>28</v>
      </c>
      <c r="B33" s="87" t="s">
        <v>197</v>
      </c>
      <c r="C33" s="87"/>
      <c r="D33" s="87"/>
      <c r="E33" s="87" t="s">
        <v>196</v>
      </c>
      <c r="F33" s="88">
        <v>42010</v>
      </c>
      <c r="G33" s="89"/>
      <c r="H33" s="89"/>
      <c r="I33" s="89"/>
      <c r="J33" s="90"/>
      <c r="K33" s="65"/>
      <c r="L33" s="42"/>
      <c r="M33" s="84"/>
      <c r="N33" s="42"/>
      <c r="O33" s="42"/>
      <c r="P33" s="86"/>
      <c r="Q33" s="86"/>
      <c r="R33" s="42"/>
      <c r="S33" s="38"/>
      <c r="T33" s="38"/>
      <c r="U33" s="40"/>
      <c r="V33" s="40"/>
      <c r="W33" s="65"/>
      <c r="X33" s="38"/>
      <c r="Y33" s="65"/>
      <c r="Z33" s="38"/>
      <c r="AA33" s="38"/>
      <c r="AB33" s="38"/>
      <c r="AC33" s="65"/>
      <c r="AD33" s="72"/>
      <c r="AE33" s="73"/>
      <c r="AF33" s="66"/>
      <c r="AG33" s="40">
        <v>2871132644</v>
      </c>
      <c r="AH33" s="91" t="s">
        <v>198</v>
      </c>
    </row>
    <row r="34" spans="1:34" s="18" customFormat="1">
      <c r="A34" s="40" t="s">
        <v>30</v>
      </c>
      <c r="B34" s="40" t="s">
        <v>168</v>
      </c>
      <c r="C34" s="40"/>
      <c r="D34" s="40"/>
      <c r="E34" s="40" t="s">
        <v>185</v>
      </c>
      <c r="F34" s="70">
        <v>42480</v>
      </c>
      <c r="G34" s="42"/>
      <c r="H34" s="42"/>
      <c r="I34" s="42"/>
      <c r="J34" s="64"/>
      <c r="K34" s="65">
        <f t="shared" ref="K34:K52" si="34">SUM(G34:I34)-J34</f>
        <v>0</v>
      </c>
      <c r="L34" s="42"/>
      <c r="M34" s="84"/>
      <c r="N34" s="42"/>
      <c r="O34" s="42">
        <v>0</v>
      </c>
      <c r="P34" s="86"/>
      <c r="Q34" s="86"/>
      <c r="R34" s="42"/>
      <c r="S34" s="38"/>
      <c r="T34" s="38"/>
      <c r="U34" s="40"/>
      <c r="V34" s="40">
        <v>0</v>
      </c>
      <c r="W34" s="65">
        <f t="shared" ref="W34:W52" si="35">+K34-SUM(L34:V34)</f>
        <v>0</v>
      </c>
      <c r="X34" s="38">
        <f t="shared" ref="X34:X52" si="36">IF(K34&gt;2250,K34*0.1,0)</f>
        <v>0</v>
      </c>
      <c r="Y34" s="65">
        <f t="shared" ref="Y34:Y52" si="37">+W34-X34</f>
        <v>0</v>
      </c>
      <c r="Z34" s="38">
        <f t="shared" ref="Z34:Z52" si="38">IF(K34&lt;2250,K34*0.1,0)</f>
        <v>0</v>
      </c>
      <c r="AA34" s="38">
        <v>17.23</v>
      </c>
      <c r="AB34" s="38">
        <f t="shared" ref="AB34:AB52" si="39">+P34</f>
        <v>0</v>
      </c>
      <c r="AC34" s="65">
        <f t="shared" ref="AC34:AC52" si="40">+K34+Z34+AA34+AB34</f>
        <v>17.23</v>
      </c>
      <c r="AD34" s="72"/>
      <c r="AE34" s="73"/>
      <c r="AF34" s="66">
        <f>+AD34+AE34-Y34</f>
        <v>0</v>
      </c>
      <c r="AG34" s="40">
        <v>1116618499</v>
      </c>
      <c r="AH34" s="43"/>
    </row>
    <row r="35" spans="1:34" s="18" customFormat="1">
      <c r="A35" s="40" t="s">
        <v>30</v>
      </c>
      <c r="B35" s="40" t="s">
        <v>128</v>
      </c>
      <c r="C35" s="40" t="s">
        <v>127</v>
      </c>
      <c r="D35" s="45"/>
      <c r="E35" s="40" t="s">
        <v>32</v>
      </c>
      <c r="F35" s="70">
        <v>42240</v>
      </c>
      <c r="G35" s="42">
        <v>3041.67</v>
      </c>
      <c r="H35" s="42"/>
      <c r="I35" s="42"/>
      <c r="J35" s="64"/>
      <c r="K35" s="65">
        <f t="shared" si="34"/>
        <v>3041.67</v>
      </c>
      <c r="L35" s="42"/>
      <c r="M35" s="84"/>
      <c r="N35" s="42"/>
      <c r="O35" s="42">
        <v>0</v>
      </c>
      <c r="P35" s="86"/>
      <c r="Q35" s="86"/>
      <c r="R35" s="42"/>
      <c r="S35" s="38"/>
      <c r="T35" s="38"/>
      <c r="U35" s="40"/>
      <c r="V35" s="40">
        <v>0</v>
      </c>
      <c r="W35" s="65">
        <f t="shared" si="35"/>
        <v>3041.67</v>
      </c>
      <c r="X35" s="38">
        <f t="shared" si="36"/>
        <v>304.16700000000003</v>
      </c>
      <c r="Y35" s="65">
        <f t="shared" si="37"/>
        <v>2737.5030000000002</v>
      </c>
      <c r="Z35" s="38">
        <f t="shared" si="38"/>
        <v>0</v>
      </c>
      <c r="AA35" s="38">
        <v>18.23</v>
      </c>
      <c r="AB35" s="38">
        <f t="shared" si="39"/>
        <v>0</v>
      </c>
      <c r="AC35" s="65">
        <f t="shared" si="40"/>
        <v>3059.9</v>
      </c>
      <c r="AD35" s="74"/>
      <c r="AE35" s="74"/>
      <c r="AF35" s="66">
        <f>+AD35+AE35-Y35</f>
        <v>-2737.5030000000002</v>
      </c>
      <c r="AG35" s="40"/>
      <c r="AH35" s="43"/>
    </row>
    <row r="36" spans="1:34" s="18" customFormat="1">
      <c r="A36" s="40" t="s">
        <v>30</v>
      </c>
      <c r="B36" s="40" t="s">
        <v>217</v>
      </c>
      <c r="C36" s="40"/>
      <c r="D36" s="45"/>
      <c r="E36" s="40" t="s">
        <v>32</v>
      </c>
      <c r="F36" s="70">
        <v>42415</v>
      </c>
      <c r="G36" s="42">
        <v>1542.68</v>
      </c>
      <c r="H36" s="42"/>
      <c r="I36" s="42"/>
      <c r="J36" s="64"/>
      <c r="K36" s="65">
        <f t="shared" si="34"/>
        <v>1542.68</v>
      </c>
      <c r="L36" s="42"/>
      <c r="M36" s="84"/>
      <c r="N36" s="42"/>
      <c r="O36" s="42"/>
      <c r="P36" s="86"/>
      <c r="Q36" s="86"/>
      <c r="R36" s="42"/>
      <c r="S36" s="38"/>
      <c r="T36" s="38"/>
      <c r="U36" s="40"/>
      <c r="V36" s="40"/>
      <c r="W36" s="65">
        <f t="shared" ref="W36" si="41">+K36-SUM(L36:V36)</f>
        <v>1542.68</v>
      </c>
      <c r="X36" s="38">
        <f t="shared" ref="X36" si="42">IF(K36&gt;2250,K36*0.1,0)</f>
        <v>0</v>
      </c>
      <c r="Y36" s="65">
        <f t="shared" ref="Y36" si="43">+W36-X36</f>
        <v>1542.68</v>
      </c>
      <c r="Z36" s="38"/>
      <c r="AA36" s="38"/>
      <c r="AB36" s="38"/>
      <c r="AC36" s="65"/>
      <c r="AD36" s="74"/>
      <c r="AE36" s="74"/>
      <c r="AF36" s="66"/>
      <c r="AG36" s="40"/>
      <c r="AH36" s="43"/>
    </row>
    <row r="37" spans="1:34" s="18" customFormat="1">
      <c r="A37" s="40" t="s">
        <v>30</v>
      </c>
      <c r="B37" s="40" t="s">
        <v>117</v>
      </c>
      <c r="C37" s="40" t="s">
        <v>129</v>
      </c>
      <c r="D37" s="40" t="s">
        <v>82</v>
      </c>
      <c r="E37" s="40" t="s">
        <v>32</v>
      </c>
      <c r="F37" s="70">
        <v>41463</v>
      </c>
      <c r="G37" s="42"/>
      <c r="H37" s="42"/>
      <c r="I37" s="42"/>
      <c r="J37" s="64"/>
      <c r="K37" s="65">
        <f t="shared" si="34"/>
        <v>0</v>
      </c>
      <c r="L37" s="42"/>
      <c r="M37" s="84"/>
      <c r="N37" s="42"/>
      <c r="O37" s="42">
        <v>0</v>
      </c>
      <c r="P37" s="86"/>
      <c r="Q37" s="86"/>
      <c r="R37" s="42"/>
      <c r="S37" s="38"/>
      <c r="T37" s="38"/>
      <c r="U37" s="40"/>
      <c r="V37" s="40">
        <v>0</v>
      </c>
      <c r="W37" s="65">
        <f t="shared" si="35"/>
        <v>0</v>
      </c>
      <c r="X37" s="38">
        <f t="shared" si="36"/>
        <v>0</v>
      </c>
      <c r="Y37" s="65">
        <f t="shared" si="37"/>
        <v>0</v>
      </c>
      <c r="Z37" s="38">
        <f t="shared" si="38"/>
        <v>0</v>
      </c>
      <c r="AA37" s="38">
        <v>20.23</v>
      </c>
      <c r="AB37" s="38">
        <f t="shared" si="39"/>
        <v>0</v>
      </c>
      <c r="AC37" s="65">
        <f t="shared" si="40"/>
        <v>20.23</v>
      </c>
      <c r="AD37" s="72"/>
      <c r="AE37" s="73"/>
      <c r="AF37" s="66">
        <f>+AD37+AE37-Y37</f>
        <v>0</v>
      </c>
      <c r="AG37" s="40"/>
      <c r="AH37" s="40"/>
    </row>
    <row r="38" spans="1:34" s="18" customFormat="1">
      <c r="A38" s="40" t="s">
        <v>28</v>
      </c>
      <c r="B38" s="40" t="s">
        <v>170</v>
      </c>
      <c r="C38" s="40"/>
      <c r="D38" s="40" t="s">
        <v>171</v>
      </c>
      <c r="E38" s="40" t="s">
        <v>172</v>
      </c>
      <c r="F38" s="75">
        <v>40618</v>
      </c>
      <c r="G38" s="42">
        <v>5678.9</v>
      </c>
      <c r="H38" s="42"/>
      <c r="I38" s="42"/>
      <c r="J38" s="64"/>
      <c r="K38" s="65">
        <f t="shared" si="34"/>
        <v>5678.9</v>
      </c>
      <c r="L38" s="42"/>
      <c r="M38" s="84"/>
      <c r="N38" s="42"/>
      <c r="O38" s="42">
        <v>0</v>
      </c>
      <c r="P38" s="86"/>
      <c r="Q38" s="86"/>
      <c r="R38" s="42"/>
      <c r="S38" s="38"/>
      <c r="T38" s="38"/>
      <c r="U38" s="40"/>
      <c r="V38" s="40">
        <v>0</v>
      </c>
      <c r="W38" s="65">
        <f t="shared" si="35"/>
        <v>5678.9</v>
      </c>
      <c r="X38" s="38">
        <f t="shared" si="36"/>
        <v>567.89</v>
      </c>
      <c r="Y38" s="65">
        <f t="shared" si="37"/>
        <v>5111.0099999999993</v>
      </c>
      <c r="Z38" s="38">
        <f t="shared" si="38"/>
        <v>0</v>
      </c>
      <c r="AA38" s="38">
        <v>21.23</v>
      </c>
      <c r="AB38" s="38">
        <f t="shared" si="39"/>
        <v>0</v>
      </c>
      <c r="AC38" s="65">
        <f t="shared" si="40"/>
        <v>5700.1299999999992</v>
      </c>
      <c r="AD38" s="72"/>
      <c r="AE38" s="73"/>
      <c r="AF38" s="66"/>
      <c r="AG38" s="40">
        <v>2659973974</v>
      </c>
      <c r="AH38" s="43"/>
    </row>
    <row r="39" spans="1:34" s="18" customFormat="1">
      <c r="A39" s="40" t="s">
        <v>30</v>
      </c>
      <c r="B39" s="40" t="s">
        <v>161</v>
      </c>
      <c r="C39" s="40" t="s">
        <v>132</v>
      </c>
      <c r="D39" s="40" t="s">
        <v>83</v>
      </c>
      <c r="E39" s="40" t="s">
        <v>32</v>
      </c>
      <c r="F39" s="70">
        <v>42296</v>
      </c>
      <c r="G39" s="42">
        <v>5949.77</v>
      </c>
      <c r="H39" s="42"/>
      <c r="I39" s="42"/>
      <c r="J39" s="64"/>
      <c r="K39" s="65">
        <f t="shared" si="34"/>
        <v>5949.77</v>
      </c>
      <c r="L39" s="42"/>
      <c r="M39" s="84"/>
      <c r="N39" s="42"/>
      <c r="O39" s="42">
        <v>0</v>
      </c>
      <c r="P39" s="86"/>
      <c r="Q39" s="86"/>
      <c r="R39" s="42"/>
      <c r="S39" s="38"/>
      <c r="T39" s="38"/>
      <c r="U39" s="40"/>
      <c r="V39" s="40">
        <v>3000</v>
      </c>
      <c r="W39" s="65">
        <f t="shared" si="35"/>
        <v>2949.7700000000004</v>
      </c>
      <c r="X39" s="38">
        <f t="shared" si="36"/>
        <v>594.97700000000009</v>
      </c>
      <c r="Y39" s="65">
        <f t="shared" si="37"/>
        <v>2354.7930000000006</v>
      </c>
      <c r="Z39" s="38">
        <f t="shared" si="38"/>
        <v>0</v>
      </c>
      <c r="AA39" s="38">
        <v>10.23</v>
      </c>
      <c r="AB39" s="38">
        <f t="shared" si="39"/>
        <v>0</v>
      </c>
      <c r="AC39" s="65">
        <f t="shared" si="40"/>
        <v>5960</v>
      </c>
      <c r="AD39" s="72"/>
      <c r="AE39" s="73"/>
      <c r="AF39" s="66">
        <f>+AD39+AE39-Y39</f>
        <v>-2354.7930000000006</v>
      </c>
      <c r="AG39" s="40"/>
      <c r="AH39" s="43"/>
    </row>
    <row r="40" spans="1:34" s="18" customFormat="1">
      <c r="A40" s="40" t="s">
        <v>29</v>
      </c>
      <c r="B40" s="40" t="s">
        <v>39</v>
      </c>
      <c r="C40" s="40" t="s">
        <v>149</v>
      </c>
      <c r="D40" s="40" t="s">
        <v>62</v>
      </c>
      <c r="E40" s="40" t="s">
        <v>93</v>
      </c>
      <c r="F40" s="70">
        <v>42199</v>
      </c>
      <c r="G40" s="42"/>
      <c r="H40" s="42"/>
      <c r="I40" s="42"/>
      <c r="J40" s="64"/>
      <c r="K40" s="65">
        <f t="shared" si="34"/>
        <v>0</v>
      </c>
      <c r="L40" s="42"/>
      <c r="M40" s="84"/>
      <c r="N40" s="42"/>
      <c r="O40" s="42">
        <v>0</v>
      </c>
      <c r="P40" s="86"/>
      <c r="Q40" s="86"/>
      <c r="R40" s="42"/>
      <c r="S40" s="38"/>
      <c r="T40" s="38"/>
      <c r="U40" s="40"/>
      <c r="V40" s="40">
        <v>0</v>
      </c>
      <c r="W40" s="65">
        <f t="shared" si="35"/>
        <v>0</v>
      </c>
      <c r="X40" s="38">
        <f t="shared" si="36"/>
        <v>0</v>
      </c>
      <c r="Y40" s="65">
        <f t="shared" si="37"/>
        <v>0</v>
      </c>
      <c r="Z40" s="38">
        <f t="shared" si="38"/>
        <v>0</v>
      </c>
      <c r="AA40" s="38">
        <v>10.23</v>
      </c>
      <c r="AB40" s="38">
        <f t="shared" si="39"/>
        <v>0</v>
      </c>
      <c r="AC40" s="65">
        <f t="shared" si="40"/>
        <v>10.23</v>
      </c>
      <c r="AD40" s="72"/>
      <c r="AE40" s="73"/>
      <c r="AF40" s="66">
        <f>+AD40+AE40-Y40</f>
        <v>0</v>
      </c>
      <c r="AG40" s="40"/>
      <c r="AH40" s="40"/>
    </row>
    <row r="41" spans="1:34" s="18" customFormat="1">
      <c r="A41" s="40" t="s">
        <v>30</v>
      </c>
      <c r="B41" s="40" t="s">
        <v>133</v>
      </c>
      <c r="C41" s="40" t="s">
        <v>132</v>
      </c>
      <c r="D41" s="40" t="s">
        <v>84</v>
      </c>
      <c r="E41" s="40" t="s">
        <v>32</v>
      </c>
      <c r="F41" s="70">
        <v>42304</v>
      </c>
      <c r="G41" s="42">
        <v>2456.4499999999998</v>
      </c>
      <c r="H41" s="42"/>
      <c r="I41" s="42"/>
      <c r="J41" s="64"/>
      <c r="K41" s="65">
        <f t="shared" si="34"/>
        <v>2456.4499999999998</v>
      </c>
      <c r="L41" s="42">
        <v>200</v>
      </c>
      <c r="M41" s="84"/>
      <c r="N41" s="42"/>
      <c r="O41" s="42">
        <v>0</v>
      </c>
      <c r="P41" s="86"/>
      <c r="Q41" s="86"/>
      <c r="R41" s="42"/>
      <c r="S41" s="38"/>
      <c r="T41" s="38"/>
      <c r="U41" s="40"/>
      <c r="V41" s="40">
        <v>0</v>
      </c>
      <c r="W41" s="65">
        <f t="shared" si="35"/>
        <v>2256.4499999999998</v>
      </c>
      <c r="X41" s="38">
        <f t="shared" si="36"/>
        <v>245.64499999999998</v>
      </c>
      <c r="Y41" s="65">
        <f t="shared" si="37"/>
        <v>2010.8049999999998</v>
      </c>
      <c r="Z41" s="38">
        <f t="shared" si="38"/>
        <v>0</v>
      </c>
      <c r="AA41" s="38">
        <v>10.23</v>
      </c>
      <c r="AB41" s="38">
        <f t="shared" si="39"/>
        <v>0</v>
      </c>
      <c r="AC41" s="65">
        <f t="shared" si="40"/>
        <v>2466.6799999999998</v>
      </c>
      <c r="AD41" s="66"/>
      <c r="AE41" s="66"/>
      <c r="AF41" s="66"/>
      <c r="AG41" s="40"/>
      <c r="AH41" s="43" t="s">
        <v>235</v>
      </c>
    </row>
    <row r="42" spans="1:34" s="18" customFormat="1">
      <c r="A42" s="40" t="s">
        <v>29</v>
      </c>
      <c r="B42" s="40" t="s">
        <v>180</v>
      </c>
      <c r="C42" s="40"/>
      <c r="D42" s="40"/>
      <c r="E42" s="40" t="s">
        <v>93</v>
      </c>
      <c r="F42" s="70">
        <v>42576</v>
      </c>
      <c r="G42" s="42">
        <v>1723.43</v>
      </c>
      <c r="H42" s="42"/>
      <c r="I42" s="42"/>
      <c r="J42" s="64"/>
      <c r="K42" s="65">
        <f t="shared" si="34"/>
        <v>1723.43</v>
      </c>
      <c r="L42" s="42"/>
      <c r="M42" s="84"/>
      <c r="N42" s="42"/>
      <c r="O42" s="42">
        <v>0</v>
      </c>
      <c r="P42" s="86"/>
      <c r="Q42" s="86"/>
      <c r="R42" s="42"/>
      <c r="S42" s="38"/>
      <c r="T42" s="38"/>
      <c r="U42" s="40"/>
      <c r="V42" s="40">
        <v>0</v>
      </c>
      <c r="W42" s="65">
        <f t="shared" si="35"/>
        <v>1723.43</v>
      </c>
      <c r="X42" s="38">
        <f t="shared" si="36"/>
        <v>0</v>
      </c>
      <c r="Y42" s="65">
        <f t="shared" si="37"/>
        <v>1723.43</v>
      </c>
      <c r="Z42" s="38">
        <f t="shared" si="38"/>
        <v>172.34300000000002</v>
      </c>
      <c r="AA42" s="38">
        <v>11.23</v>
      </c>
      <c r="AB42" s="38">
        <f t="shared" si="39"/>
        <v>0</v>
      </c>
      <c r="AC42" s="65">
        <f t="shared" si="40"/>
        <v>1907.0030000000002</v>
      </c>
      <c r="AD42" s="68"/>
      <c r="AE42" s="68"/>
      <c r="AF42" s="68"/>
      <c r="AG42" s="40">
        <v>2960710474</v>
      </c>
      <c r="AH42" s="43"/>
    </row>
    <row r="43" spans="1:34" s="18" customFormat="1">
      <c r="A43" s="40" t="s">
        <v>44</v>
      </c>
      <c r="B43" s="40" t="s">
        <v>104</v>
      </c>
      <c r="C43" s="40"/>
      <c r="D43" s="40"/>
      <c r="E43" s="40" t="s">
        <v>92</v>
      </c>
      <c r="F43" s="70">
        <v>42413</v>
      </c>
      <c r="G43" s="93"/>
      <c r="H43" s="42"/>
      <c r="I43" s="42"/>
      <c r="J43" s="64"/>
      <c r="K43" s="65">
        <f t="shared" si="34"/>
        <v>0</v>
      </c>
      <c r="L43" s="42"/>
      <c r="M43" s="84"/>
      <c r="N43" s="42"/>
      <c r="O43" s="42">
        <v>0</v>
      </c>
      <c r="P43" s="86"/>
      <c r="Q43" s="86"/>
      <c r="R43" s="42"/>
      <c r="S43" s="38"/>
      <c r="T43" s="38"/>
      <c r="U43" s="40"/>
      <c r="V43" s="40">
        <v>0</v>
      </c>
      <c r="W43" s="65">
        <f t="shared" si="35"/>
        <v>0</v>
      </c>
      <c r="X43" s="38">
        <f t="shared" si="36"/>
        <v>0</v>
      </c>
      <c r="Y43" s="65">
        <f t="shared" si="37"/>
        <v>0</v>
      </c>
      <c r="Z43" s="38">
        <f t="shared" si="38"/>
        <v>0</v>
      </c>
      <c r="AA43" s="38">
        <v>10.23</v>
      </c>
      <c r="AB43" s="38">
        <f t="shared" si="39"/>
        <v>0</v>
      </c>
      <c r="AC43" s="65">
        <f t="shared" si="40"/>
        <v>10.23</v>
      </c>
      <c r="AD43" s="72"/>
      <c r="AE43" s="73"/>
      <c r="AF43" s="66">
        <f t="shared" ref="AF43:AF46" si="44">+AD43+AE43-Y43</f>
        <v>0</v>
      </c>
      <c r="AG43" s="40"/>
      <c r="AH43" s="40"/>
    </row>
    <row r="44" spans="1:34" s="18" customFormat="1">
      <c r="A44" s="40" t="s">
        <v>30</v>
      </c>
      <c r="B44" s="40" t="s">
        <v>158</v>
      </c>
      <c r="C44" s="40" t="s">
        <v>132</v>
      </c>
      <c r="D44" s="40" t="s">
        <v>85</v>
      </c>
      <c r="E44" s="40" t="s">
        <v>32</v>
      </c>
      <c r="F44" s="70">
        <v>41622</v>
      </c>
      <c r="G44" s="42">
        <v>7283.23</v>
      </c>
      <c r="H44" s="42"/>
      <c r="I44" s="42"/>
      <c r="J44" s="64"/>
      <c r="K44" s="65">
        <f t="shared" si="34"/>
        <v>7283.23</v>
      </c>
      <c r="L44" s="42"/>
      <c r="M44" s="84"/>
      <c r="N44" s="42"/>
      <c r="O44" s="42">
        <v>0</v>
      </c>
      <c r="P44" s="86"/>
      <c r="Q44" s="86"/>
      <c r="R44" s="42"/>
      <c r="S44" s="38"/>
      <c r="T44" s="38"/>
      <c r="U44" s="40"/>
      <c r="V44" s="40">
        <v>0</v>
      </c>
      <c r="W44" s="65">
        <f t="shared" si="35"/>
        <v>7283.23</v>
      </c>
      <c r="X44" s="38">
        <f t="shared" si="36"/>
        <v>728.32299999999998</v>
      </c>
      <c r="Y44" s="65">
        <f t="shared" si="37"/>
        <v>6554.9069999999992</v>
      </c>
      <c r="Z44" s="38">
        <f t="shared" si="38"/>
        <v>0</v>
      </c>
      <c r="AA44" s="38">
        <v>10.23</v>
      </c>
      <c r="AB44" s="38">
        <f t="shared" si="39"/>
        <v>0</v>
      </c>
      <c r="AC44" s="65">
        <f t="shared" si="40"/>
        <v>7293.4599999999991</v>
      </c>
      <c r="AD44" s="72"/>
      <c r="AE44" s="72"/>
      <c r="AF44" s="66">
        <f t="shared" si="44"/>
        <v>-6554.9069999999992</v>
      </c>
      <c r="AG44" s="40"/>
      <c r="AH44" s="40"/>
    </row>
    <row r="45" spans="1:34" s="18" customFormat="1">
      <c r="A45" s="40" t="s">
        <v>30</v>
      </c>
      <c r="B45" s="40" t="s">
        <v>164</v>
      </c>
      <c r="C45" s="40" t="s">
        <v>129</v>
      </c>
      <c r="D45" s="40">
        <v>30</v>
      </c>
      <c r="E45" s="40" t="s">
        <v>32</v>
      </c>
      <c r="F45" s="70">
        <v>37834</v>
      </c>
      <c r="G45" s="42">
        <v>12997.76</v>
      </c>
      <c r="H45" s="42"/>
      <c r="I45" s="42"/>
      <c r="J45" s="64"/>
      <c r="K45" s="65">
        <f t="shared" si="34"/>
        <v>12997.76</v>
      </c>
      <c r="L45" s="42"/>
      <c r="M45" s="84"/>
      <c r="N45" s="42"/>
      <c r="O45" s="42">
        <v>0</v>
      </c>
      <c r="P45" s="86"/>
      <c r="Q45" s="86"/>
      <c r="R45" s="42"/>
      <c r="S45" s="38"/>
      <c r="T45" s="38"/>
      <c r="U45" s="40"/>
      <c r="V45" s="40">
        <v>0</v>
      </c>
      <c r="W45" s="65">
        <f t="shared" si="35"/>
        <v>12997.76</v>
      </c>
      <c r="X45" s="38">
        <f t="shared" si="36"/>
        <v>1299.7760000000001</v>
      </c>
      <c r="Y45" s="65">
        <f t="shared" si="37"/>
        <v>11697.984</v>
      </c>
      <c r="Z45" s="38">
        <f t="shared" si="38"/>
        <v>0</v>
      </c>
      <c r="AA45" s="38">
        <v>10.23</v>
      </c>
      <c r="AB45" s="38">
        <f t="shared" si="39"/>
        <v>0</v>
      </c>
      <c r="AC45" s="65">
        <f t="shared" si="40"/>
        <v>13007.99</v>
      </c>
      <c r="AD45" s="72"/>
      <c r="AE45" s="73"/>
      <c r="AF45" s="66">
        <f t="shared" si="44"/>
        <v>-11697.984</v>
      </c>
      <c r="AG45" s="40"/>
      <c r="AH45" s="43"/>
    </row>
    <row r="46" spans="1:34" s="18" customFormat="1">
      <c r="A46" s="40" t="s">
        <v>30</v>
      </c>
      <c r="B46" s="40" t="s">
        <v>112</v>
      </c>
      <c r="C46" s="40" t="s">
        <v>127</v>
      </c>
      <c r="D46" s="40" t="s">
        <v>86</v>
      </c>
      <c r="E46" s="40" t="s">
        <v>32</v>
      </c>
      <c r="F46" s="70">
        <v>42394</v>
      </c>
      <c r="G46" s="42">
        <v>9139.5</v>
      </c>
      <c r="H46" s="42"/>
      <c r="I46" s="42"/>
      <c r="J46" s="64"/>
      <c r="K46" s="65">
        <f t="shared" si="34"/>
        <v>9139.5</v>
      </c>
      <c r="L46" s="42"/>
      <c r="M46" s="84"/>
      <c r="N46" s="42"/>
      <c r="O46" s="42">
        <v>0</v>
      </c>
      <c r="P46" s="86"/>
      <c r="Q46" s="86"/>
      <c r="R46" s="42"/>
      <c r="S46" s="38"/>
      <c r="T46" s="38"/>
      <c r="U46" s="67"/>
      <c r="V46" s="67">
        <v>925.57</v>
      </c>
      <c r="W46" s="65">
        <f t="shared" si="35"/>
        <v>8213.93</v>
      </c>
      <c r="X46" s="38">
        <f t="shared" si="36"/>
        <v>913.95</v>
      </c>
      <c r="Y46" s="65">
        <f t="shared" si="37"/>
        <v>7299.9800000000005</v>
      </c>
      <c r="Z46" s="38">
        <f t="shared" si="38"/>
        <v>0</v>
      </c>
      <c r="AA46" s="38">
        <v>10.23</v>
      </c>
      <c r="AB46" s="38">
        <f t="shared" si="39"/>
        <v>0</v>
      </c>
      <c r="AC46" s="65">
        <f t="shared" si="40"/>
        <v>9149.73</v>
      </c>
      <c r="AD46" s="72"/>
      <c r="AE46" s="73"/>
      <c r="AF46" s="66">
        <f t="shared" si="44"/>
        <v>-7299.9800000000005</v>
      </c>
      <c r="AG46" s="40"/>
      <c r="AH46" s="43"/>
    </row>
    <row r="47" spans="1:34" s="18" customFormat="1">
      <c r="A47" s="40" t="s">
        <v>30</v>
      </c>
      <c r="B47" s="40" t="s">
        <v>205</v>
      </c>
      <c r="C47" s="40"/>
      <c r="D47" s="40"/>
      <c r="E47" s="40" t="s">
        <v>32</v>
      </c>
      <c r="F47" s="70">
        <v>42342</v>
      </c>
      <c r="G47" s="42">
        <v>3515.63</v>
      </c>
      <c r="H47" s="42"/>
      <c r="I47" s="42"/>
      <c r="J47" s="64"/>
      <c r="K47" s="65">
        <f t="shared" si="34"/>
        <v>3515.63</v>
      </c>
      <c r="L47" s="42"/>
      <c r="M47" s="84"/>
      <c r="N47" s="42"/>
      <c r="O47" s="42">
        <v>0</v>
      </c>
      <c r="P47" s="86"/>
      <c r="Q47" s="86"/>
      <c r="R47" s="42"/>
      <c r="S47" s="38">
        <v>257.3</v>
      </c>
      <c r="T47" s="38"/>
      <c r="U47" s="67"/>
      <c r="V47" s="67"/>
      <c r="W47" s="65">
        <f t="shared" ref="W47" si="45">+K47-SUM(L47:V47)</f>
        <v>3258.33</v>
      </c>
      <c r="X47" s="38">
        <f t="shared" ref="X47" si="46">IF(K47&gt;2250,K47*0.1,0)</f>
        <v>351.56300000000005</v>
      </c>
      <c r="Y47" s="65">
        <f t="shared" ref="Y47" si="47">+W47-X47</f>
        <v>2906.7669999999998</v>
      </c>
      <c r="Z47" s="38"/>
      <c r="AA47" s="38"/>
      <c r="AB47" s="38"/>
      <c r="AC47" s="65"/>
      <c r="AD47" s="72"/>
      <c r="AE47" s="73"/>
      <c r="AF47" s="66"/>
      <c r="AG47" s="40"/>
      <c r="AH47" s="43"/>
    </row>
    <row r="48" spans="1:34" s="18" customFormat="1">
      <c r="A48" s="40" t="s">
        <v>30</v>
      </c>
      <c r="B48" s="40" t="s">
        <v>208</v>
      </c>
      <c r="C48" s="40"/>
      <c r="D48" s="40"/>
      <c r="E48" s="40" t="s">
        <v>32</v>
      </c>
      <c r="F48" s="70">
        <v>42648</v>
      </c>
      <c r="G48" s="42">
        <v>2570.11</v>
      </c>
      <c r="H48" s="42"/>
      <c r="I48" s="42"/>
      <c r="J48" s="64"/>
      <c r="K48" s="65">
        <f t="shared" si="34"/>
        <v>2570.11</v>
      </c>
      <c r="L48" s="42"/>
      <c r="M48" s="84"/>
      <c r="N48" s="42"/>
      <c r="O48" s="42"/>
      <c r="P48" s="86"/>
      <c r="Q48" s="86"/>
      <c r="R48" s="42"/>
      <c r="S48" s="38"/>
      <c r="T48" s="38"/>
      <c r="U48" s="67"/>
      <c r="V48" s="67"/>
      <c r="W48" s="65">
        <f t="shared" ref="W48" si="48">+K48-SUM(L48:V48)</f>
        <v>2570.11</v>
      </c>
      <c r="X48" s="38">
        <f t="shared" ref="X48" si="49">IF(K48&gt;2250,K48*0.1,0)</f>
        <v>257.01100000000002</v>
      </c>
      <c r="Y48" s="65">
        <f t="shared" ref="Y48" si="50">+W48-X48</f>
        <v>2313.0990000000002</v>
      </c>
      <c r="Z48" s="38"/>
      <c r="AA48" s="38"/>
      <c r="AB48" s="38"/>
      <c r="AC48" s="65"/>
      <c r="AD48" s="72"/>
      <c r="AE48" s="73"/>
      <c r="AF48" s="66"/>
      <c r="AG48" s="40">
        <v>1128031436</v>
      </c>
      <c r="AH48" s="43"/>
    </row>
    <row r="49" spans="1:34" s="18" customFormat="1">
      <c r="A49" s="40" t="s">
        <v>29</v>
      </c>
      <c r="B49" s="40" t="s">
        <v>220</v>
      </c>
      <c r="C49" s="40"/>
      <c r="D49" s="40"/>
      <c r="E49" s="40" t="s">
        <v>93</v>
      </c>
      <c r="F49" s="70">
        <v>42644</v>
      </c>
      <c r="G49" s="42"/>
      <c r="H49" s="42"/>
      <c r="I49" s="42"/>
      <c r="J49" s="64"/>
      <c r="K49" s="65">
        <f t="shared" si="34"/>
        <v>0</v>
      </c>
      <c r="L49" s="42"/>
      <c r="M49" s="84"/>
      <c r="N49" s="42"/>
      <c r="O49" s="42"/>
      <c r="P49" s="86"/>
      <c r="Q49" s="86"/>
      <c r="R49" s="42"/>
      <c r="S49" s="38"/>
      <c r="T49" s="38"/>
      <c r="U49" s="67"/>
      <c r="V49" s="67"/>
      <c r="W49" s="65">
        <f t="shared" ref="W49" si="51">+K49-SUM(L49:V49)</f>
        <v>0</v>
      </c>
      <c r="X49" s="38">
        <f t="shared" ref="X49" si="52">IF(K49&gt;2250,K49*0.1,0)</f>
        <v>0</v>
      </c>
      <c r="Y49" s="65">
        <f t="shared" ref="Y49" si="53">+W49-X49</f>
        <v>0</v>
      </c>
      <c r="Z49" s="38"/>
      <c r="AA49" s="38"/>
      <c r="AB49" s="38"/>
      <c r="AC49" s="65"/>
      <c r="AD49" s="72"/>
      <c r="AE49" s="73"/>
      <c r="AF49" s="66"/>
      <c r="AG49" s="40">
        <v>2778034427</v>
      </c>
      <c r="AH49" s="43"/>
    </row>
    <row r="50" spans="1:34" s="18" customFormat="1">
      <c r="A50" s="40" t="s">
        <v>44</v>
      </c>
      <c r="B50" s="40" t="s">
        <v>189</v>
      </c>
      <c r="C50" s="40"/>
      <c r="D50" s="40"/>
      <c r="E50" s="40" t="s">
        <v>92</v>
      </c>
      <c r="F50" s="70">
        <v>41709</v>
      </c>
      <c r="G50" s="93"/>
      <c r="H50" s="42"/>
      <c r="I50" s="42"/>
      <c r="J50" s="64"/>
      <c r="K50" s="65">
        <f t="shared" si="34"/>
        <v>0</v>
      </c>
      <c r="L50" s="42"/>
      <c r="M50" s="84"/>
      <c r="N50" s="42"/>
      <c r="O50" s="42"/>
      <c r="P50" s="86"/>
      <c r="Q50" s="86"/>
      <c r="R50" s="42"/>
      <c r="S50" s="38"/>
      <c r="T50" s="38"/>
      <c r="U50" s="40"/>
      <c r="V50" s="40">
        <v>0</v>
      </c>
      <c r="W50" s="65">
        <f t="shared" si="35"/>
        <v>0</v>
      </c>
      <c r="X50" s="38">
        <f t="shared" si="36"/>
        <v>0</v>
      </c>
      <c r="Y50" s="65">
        <f t="shared" si="37"/>
        <v>0</v>
      </c>
      <c r="Z50" s="38">
        <f t="shared" si="38"/>
        <v>0</v>
      </c>
      <c r="AA50" s="38">
        <v>11.23</v>
      </c>
      <c r="AB50" s="38">
        <f t="shared" si="39"/>
        <v>0</v>
      </c>
      <c r="AC50" s="65">
        <f t="shared" si="40"/>
        <v>11.23</v>
      </c>
      <c r="AD50" s="72"/>
      <c r="AE50" s="73"/>
      <c r="AF50" s="66"/>
      <c r="AG50" s="40">
        <v>2836126510</v>
      </c>
      <c r="AH50" s="40"/>
    </row>
    <row r="51" spans="1:34" s="18" customFormat="1">
      <c r="A51" s="40" t="s">
        <v>30</v>
      </c>
      <c r="B51" s="40" t="s">
        <v>144</v>
      </c>
      <c r="C51" s="40" t="s">
        <v>132</v>
      </c>
      <c r="D51" s="40" t="s">
        <v>87</v>
      </c>
      <c r="E51" s="40" t="s">
        <v>32</v>
      </c>
      <c r="F51" s="70">
        <v>42251</v>
      </c>
      <c r="G51" s="42">
        <v>1077.55</v>
      </c>
      <c r="H51" s="42"/>
      <c r="I51" s="42"/>
      <c r="J51" s="64"/>
      <c r="K51" s="65">
        <f t="shared" si="34"/>
        <v>1077.55</v>
      </c>
      <c r="L51" s="42"/>
      <c r="M51" s="84"/>
      <c r="N51" s="42"/>
      <c r="O51" s="42">
        <v>0</v>
      </c>
      <c r="P51" s="86"/>
      <c r="Q51" s="86"/>
      <c r="R51" s="42"/>
      <c r="S51" s="38"/>
      <c r="T51" s="38"/>
      <c r="U51" s="40"/>
      <c r="V51" s="40">
        <v>0</v>
      </c>
      <c r="W51" s="65">
        <f t="shared" si="35"/>
        <v>1077.55</v>
      </c>
      <c r="X51" s="38">
        <f t="shared" si="36"/>
        <v>0</v>
      </c>
      <c r="Y51" s="65">
        <f t="shared" si="37"/>
        <v>1077.55</v>
      </c>
      <c r="Z51" s="38">
        <f t="shared" si="38"/>
        <v>107.755</v>
      </c>
      <c r="AA51" s="38">
        <v>10.23</v>
      </c>
      <c r="AB51" s="38">
        <f t="shared" si="39"/>
        <v>0</v>
      </c>
      <c r="AC51" s="65">
        <f t="shared" si="40"/>
        <v>1195.5349999999999</v>
      </c>
      <c r="AD51" s="72"/>
      <c r="AE51" s="73"/>
      <c r="AF51" s="66">
        <f t="shared" ref="AF51:AF52" si="54">+AD51+AE51-Y51</f>
        <v>-1077.55</v>
      </c>
      <c r="AH51" s="40"/>
    </row>
    <row r="52" spans="1:34" s="18" customFormat="1">
      <c r="A52" s="40" t="s">
        <v>42</v>
      </c>
      <c r="B52" s="40" t="s">
        <v>167</v>
      </c>
      <c r="C52" s="40"/>
      <c r="D52" s="40"/>
      <c r="E52" s="40" t="s">
        <v>31</v>
      </c>
      <c r="F52" s="70">
        <v>42506</v>
      </c>
      <c r="G52" s="42">
        <v>3569.18</v>
      </c>
      <c r="H52" s="42"/>
      <c r="I52" s="42"/>
      <c r="J52" s="64"/>
      <c r="K52" s="65">
        <f t="shared" si="34"/>
        <v>3569.18</v>
      </c>
      <c r="L52" s="42"/>
      <c r="M52" s="84"/>
      <c r="N52" s="42"/>
      <c r="O52" s="42">
        <v>0</v>
      </c>
      <c r="P52" s="86"/>
      <c r="Q52" s="86"/>
      <c r="R52" s="42"/>
      <c r="S52" s="38"/>
      <c r="T52" s="38"/>
      <c r="U52" s="40"/>
      <c r="V52" s="40">
        <v>0</v>
      </c>
      <c r="W52" s="65">
        <f t="shared" si="35"/>
        <v>3569.18</v>
      </c>
      <c r="X52" s="38">
        <f t="shared" si="36"/>
        <v>356.91800000000001</v>
      </c>
      <c r="Y52" s="65">
        <f t="shared" si="37"/>
        <v>3212.2619999999997</v>
      </c>
      <c r="Z52" s="38">
        <f t="shared" si="38"/>
        <v>0</v>
      </c>
      <c r="AA52" s="38">
        <v>10.23</v>
      </c>
      <c r="AB52" s="38">
        <f t="shared" si="39"/>
        <v>0</v>
      </c>
      <c r="AC52" s="65">
        <f t="shared" si="40"/>
        <v>3579.41</v>
      </c>
      <c r="AD52" s="72"/>
      <c r="AE52" s="72"/>
      <c r="AF52" s="66">
        <f t="shared" si="54"/>
        <v>-3212.2619999999997</v>
      </c>
      <c r="AG52" s="53">
        <v>2928860106</v>
      </c>
      <c r="AH52" s="43"/>
    </row>
    <row r="53" spans="1:34" s="18" customFormat="1">
      <c r="A53" s="40" t="s">
        <v>30</v>
      </c>
      <c r="B53" s="40" t="s">
        <v>174</v>
      </c>
      <c r="C53" s="40"/>
      <c r="D53" s="40"/>
      <c r="E53" s="40" t="s">
        <v>32</v>
      </c>
      <c r="F53" s="70">
        <v>42522</v>
      </c>
      <c r="G53" s="42">
        <v>38084</v>
      </c>
      <c r="H53" s="42"/>
      <c r="I53" s="42"/>
      <c r="J53" s="64"/>
      <c r="K53" s="65">
        <f t="shared" ref="K53:K68" si="55">SUM(G53:I53)-J53</f>
        <v>38084</v>
      </c>
      <c r="L53" s="42"/>
      <c r="M53" s="84"/>
      <c r="N53" s="42"/>
      <c r="O53" s="42">
        <v>0</v>
      </c>
      <c r="P53" s="86"/>
      <c r="Q53" s="86"/>
      <c r="R53" s="42"/>
      <c r="S53" s="38"/>
      <c r="T53" s="38"/>
      <c r="U53" s="40"/>
      <c r="V53" s="40">
        <v>0</v>
      </c>
      <c r="W53" s="65">
        <f t="shared" ref="W53:W66" si="56">+K53-SUM(L53:V53)</f>
        <v>38084</v>
      </c>
      <c r="X53" s="38">
        <f t="shared" ref="X53:X58" si="57">IF(K53&gt;2250,K53*0.1,0)</f>
        <v>3808.4</v>
      </c>
      <c r="Y53" s="65">
        <f t="shared" ref="Y53:Y66" si="58">+W53-X53</f>
        <v>34275.599999999999</v>
      </c>
      <c r="Z53" s="38">
        <f t="shared" ref="Z53:Z65" si="59">IF(K53&lt;2250,K53*0.1,0)</f>
        <v>0</v>
      </c>
      <c r="AA53" s="38">
        <v>10.23</v>
      </c>
      <c r="AB53" s="38">
        <f t="shared" ref="AB53:AB65" si="60">+P53</f>
        <v>0</v>
      </c>
      <c r="AC53" s="65">
        <f t="shared" ref="AC53:AC65" si="61">+K53+Z53+AA53+AB53</f>
        <v>38094.230000000003</v>
      </c>
      <c r="AD53" s="72"/>
      <c r="AE53" s="72"/>
      <c r="AF53" s="66"/>
      <c r="AG53" s="40">
        <v>2952708604</v>
      </c>
      <c r="AH53" s="43"/>
    </row>
    <row r="54" spans="1:34" s="18" customFormat="1">
      <c r="A54" s="40" t="s">
        <v>30</v>
      </c>
      <c r="B54" s="40" t="s">
        <v>113</v>
      </c>
      <c r="C54" s="40" t="s">
        <v>129</v>
      </c>
      <c r="D54" s="45" t="s">
        <v>114</v>
      </c>
      <c r="E54" s="40" t="s">
        <v>32</v>
      </c>
      <c r="F54" s="70">
        <v>42396</v>
      </c>
      <c r="G54" s="42">
        <v>5672.77</v>
      </c>
      <c r="H54" s="42"/>
      <c r="I54" s="42"/>
      <c r="J54" s="64"/>
      <c r="K54" s="65">
        <f t="shared" si="55"/>
        <v>5672.77</v>
      </c>
      <c r="L54" s="42"/>
      <c r="M54" s="84"/>
      <c r="N54" s="42"/>
      <c r="O54" s="42">
        <v>0</v>
      </c>
      <c r="P54" s="86"/>
      <c r="Q54" s="86"/>
      <c r="R54" s="42"/>
      <c r="S54" s="38"/>
      <c r="T54" s="38"/>
      <c r="U54" s="40"/>
      <c r="V54" s="40">
        <v>764</v>
      </c>
      <c r="W54" s="65">
        <f t="shared" si="56"/>
        <v>4908.7700000000004</v>
      </c>
      <c r="X54" s="38">
        <f t="shared" si="57"/>
        <v>567.27700000000004</v>
      </c>
      <c r="Y54" s="65">
        <f t="shared" si="58"/>
        <v>4341.4930000000004</v>
      </c>
      <c r="Z54" s="38">
        <f t="shared" si="59"/>
        <v>0</v>
      </c>
      <c r="AA54" s="38">
        <v>10.23</v>
      </c>
      <c r="AB54" s="38">
        <f t="shared" si="60"/>
        <v>0</v>
      </c>
      <c r="AC54" s="65">
        <f t="shared" si="61"/>
        <v>5683</v>
      </c>
      <c r="AD54" s="72"/>
      <c r="AE54" s="72"/>
      <c r="AF54" s="66">
        <f t="shared" ref="AF54:AF58" si="62">+AD54+AE54-Y54</f>
        <v>-4341.4930000000004</v>
      </c>
      <c r="AG54" s="40"/>
      <c r="AH54" s="43"/>
    </row>
    <row r="55" spans="1:34" s="18" customFormat="1">
      <c r="A55" s="40" t="s">
        <v>42</v>
      </c>
      <c r="B55" s="40" t="s">
        <v>124</v>
      </c>
      <c r="C55" s="40"/>
      <c r="D55" s="40" t="s">
        <v>59</v>
      </c>
      <c r="E55" s="40" t="s">
        <v>92</v>
      </c>
      <c r="F55" s="70">
        <v>42321</v>
      </c>
      <c r="G55" s="93"/>
      <c r="H55" s="42"/>
      <c r="I55" s="42"/>
      <c r="J55" s="64"/>
      <c r="K55" s="65">
        <f t="shared" si="55"/>
        <v>0</v>
      </c>
      <c r="L55" s="42"/>
      <c r="M55" s="84"/>
      <c r="N55" s="42"/>
      <c r="O55" s="42">
        <v>0</v>
      </c>
      <c r="P55" s="86"/>
      <c r="Q55" s="86"/>
      <c r="R55" s="42"/>
      <c r="S55" s="38"/>
      <c r="T55" s="38"/>
      <c r="U55" s="40"/>
      <c r="V55" s="40">
        <v>0</v>
      </c>
      <c r="W55" s="65">
        <f t="shared" si="56"/>
        <v>0</v>
      </c>
      <c r="X55" s="38">
        <f t="shared" si="57"/>
        <v>0</v>
      </c>
      <c r="Y55" s="65">
        <f t="shared" si="58"/>
        <v>0</v>
      </c>
      <c r="Z55" s="38">
        <f t="shared" si="59"/>
        <v>0</v>
      </c>
      <c r="AA55" s="38">
        <v>10.23</v>
      </c>
      <c r="AB55" s="38">
        <f t="shared" si="60"/>
        <v>0</v>
      </c>
      <c r="AC55" s="65">
        <f t="shared" si="61"/>
        <v>10.23</v>
      </c>
      <c r="AD55" s="72"/>
      <c r="AE55" s="73"/>
      <c r="AF55" s="66">
        <f t="shared" si="62"/>
        <v>0</v>
      </c>
      <c r="AG55" s="40"/>
      <c r="AH55" s="40"/>
    </row>
    <row r="56" spans="1:34" s="18" customFormat="1">
      <c r="A56" s="40" t="s">
        <v>42</v>
      </c>
      <c r="B56" s="40" t="s">
        <v>203</v>
      </c>
      <c r="C56" s="40"/>
      <c r="D56" s="40"/>
      <c r="E56" s="40" t="s">
        <v>31</v>
      </c>
      <c r="F56" s="70">
        <v>42646</v>
      </c>
      <c r="G56" s="42">
        <v>3439.72</v>
      </c>
      <c r="H56" s="42"/>
      <c r="I56" s="42"/>
      <c r="J56" s="64"/>
      <c r="K56" s="65">
        <f t="shared" si="55"/>
        <v>3439.72</v>
      </c>
      <c r="L56" s="42"/>
      <c r="M56" s="84"/>
      <c r="N56" s="42"/>
      <c r="O56" s="42">
        <v>0</v>
      </c>
      <c r="P56" s="86"/>
      <c r="Q56" s="86"/>
      <c r="R56" s="42"/>
      <c r="S56" s="38"/>
      <c r="T56" s="38"/>
      <c r="U56" s="40"/>
      <c r="V56" s="40"/>
      <c r="W56" s="65">
        <f t="shared" ref="W56" si="63">+K56-SUM(L56:V56)</f>
        <v>3439.72</v>
      </c>
      <c r="X56" s="38">
        <f t="shared" ref="X56" si="64">IF(K56&gt;2250,K56*0.1,0)</f>
        <v>343.97199999999998</v>
      </c>
      <c r="Y56" s="65">
        <f t="shared" ref="Y56" si="65">+W56-X56</f>
        <v>3095.7479999999996</v>
      </c>
      <c r="Z56" s="38"/>
      <c r="AA56" s="38"/>
      <c r="AB56" s="38"/>
      <c r="AC56" s="65"/>
      <c r="AD56" s="72"/>
      <c r="AE56" s="73"/>
      <c r="AF56" s="66"/>
      <c r="AG56" s="40">
        <v>1128532117</v>
      </c>
      <c r="AH56" s="40"/>
    </row>
    <row r="57" spans="1:34" s="18" customFormat="1">
      <c r="A57" s="40" t="s">
        <v>42</v>
      </c>
      <c r="B57" s="40" t="s">
        <v>122</v>
      </c>
      <c r="C57" s="40"/>
      <c r="D57" s="40" t="s">
        <v>47</v>
      </c>
      <c r="E57" s="40" t="s">
        <v>31</v>
      </c>
      <c r="F57" s="70">
        <v>42065</v>
      </c>
      <c r="G57" s="42">
        <v>265.98</v>
      </c>
      <c r="H57" s="42"/>
      <c r="I57" s="42"/>
      <c r="J57" s="64"/>
      <c r="K57" s="65">
        <f t="shared" si="55"/>
        <v>265.98</v>
      </c>
      <c r="L57" s="42">
        <v>200</v>
      </c>
      <c r="M57" s="84"/>
      <c r="N57" s="42"/>
      <c r="O57" s="42">
        <v>0</v>
      </c>
      <c r="P57" s="86"/>
      <c r="Q57" s="86"/>
      <c r="R57" s="42"/>
      <c r="S57" s="38"/>
      <c r="T57" s="38"/>
      <c r="U57" s="40"/>
      <c r="V57" s="40">
        <v>0</v>
      </c>
      <c r="W57" s="65">
        <f t="shared" si="56"/>
        <v>65.980000000000018</v>
      </c>
      <c r="X57" s="38">
        <f t="shared" si="57"/>
        <v>0</v>
      </c>
      <c r="Y57" s="65">
        <f t="shared" si="58"/>
        <v>65.980000000000018</v>
      </c>
      <c r="Z57" s="38">
        <f t="shared" si="59"/>
        <v>26.598000000000003</v>
      </c>
      <c r="AA57" s="38">
        <v>10.23</v>
      </c>
      <c r="AB57" s="38">
        <f t="shared" si="60"/>
        <v>0</v>
      </c>
      <c r="AC57" s="65">
        <f t="shared" si="61"/>
        <v>302.80800000000005</v>
      </c>
      <c r="AD57" s="72"/>
      <c r="AE57" s="73"/>
      <c r="AF57" s="66">
        <f t="shared" si="62"/>
        <v>-65.980000000000018</v>
      </c>
      <c r="AG57" s="40"/>
      <c r="AH57" s="43" t="s">
        <v>235</v>
      </c>
    </row>
    <row r="58" spans="1:34" s="18" customFormat="1">
      <c r="A58" s="40" t="s">
        <v>30</v>
      </c>
      <c r="B58" s="40" t="s">
        <v>41</v>
      </c>
      <c r="C58" s="40" t="s">
        <v>127</v>
      </c>
      <c r="D58" s="40" t="s">
        <v>88</v>
      </c>
      <c r="E58" s="40" t="s">
        <v>32</v>
      </c>
      <c r="F58" s="70">
        <v>41218</v>
      </c>
      <c r="G58" s="42">
        <v>9249.68</v>
      </c>
      <c r="H58" s="42"/>
      <c r="I58" s="42"/>
      <c r="J58" s="64"/>
      <c r="K58" s="65">
        <f t="shared" si="55"/>
        <v>9249.68</v>
      </c>
      <c r="L58" s="42"/>
      <c r="M58" s="84"/>
      <c r="N58" s="42"/>
      <c r="O58" s="42">
        <v>0</v>
      </c>
      <c r="P58" s="86"/>
      <c r="Q58" s="86"/>
      <c r="R58" s="42"/>
      <c r="S58" s="38"/>
      <c r="T58" s="38"/>
      <c r="U58" s="40"/>
      <c r="V58" s="40">
        <v>0</v>
      </c>
      <c r="W58" s="65">
        <f t="shared" si="56"/>
        <v>9249.68</v>
      </c>
      <c r="X58" s="38">
        <f t="shared" si="57"/>
        <v>924.96800000000007</v>
      </c>
      <c r="Y58" s="65">
        <f t="shared" si="58"/>
        <v>8324.7119999999995</v>
      </c>
      <c r="Z58" s="38">
        <f t="shared" si="59"/>
        <v>0</v>
      </c>
      <c r="AA58" s="38">
        <v>10.23</v>
      </c>
      <c r="AB58" s="38">
        <f t="shared" si="60"/>
        <v>0</v>
      </c>
      <c r="AC58" s="65">
        <f t="shared" si="61"/>
        <v>9259.91</v>
      </c>
      <c r="AD58" s="72"/>
      <c r="AE58" s="73"/>
      <c r="AF58" s="66">
        <f t="shared" si="62"/>
        <v>-8324.7119999999995</v>
      </c>
      <c r="AG58" s="40"/>
      <c r="AH58" s="40"/>
    </row>
    <row r="59" spans="1:34" s="18" customFormat="1">
      <c r="A59" s="40" t="s">
        <v>28</v>
      </c>
      <c r="B59" s="40" t="s">
        <v>199</v>
      </c>
      <c r="C59" s="40"/>
      <c r="D59" s="40"/>
      <c r="E59" s="40" t="s">
        <v>196</v>
      </c>
      <c r="F59" s="70">
        <v>42241</v>
      </c>
      <c r="G59" s="42">
        <v>1549.9</v>
      </c>
      <c r="H59" s="42"/>
      <c r="I59" s="42"/>
      <c r="J59" s="64"/>
      <c r="K59" s="65">
        <f t="shared" si="55"/>
        <v>1549.9</v>
      </c>
      <c r="L59" s="42"/>
      <c r="M59" s="84"/>
      <c r="N59" s="42"/>
      <c r="O59" s="42"/>
      <c r="P59" s="86"/>
      <c r="Q59" s="86"/>
      <c r="R59" s="42"/>
      <c r="S59" s="38"/>
      <c r="T59" s="38"/>
      <c r="U59" s="40"/>
      <c r="V59" s="40"/>
      <c r="W59" s="65">
        <f t="shared" ref="W59" si="66">+K59-SUM(L59:V59)</f>
        <v>1549.9</v>
      </c>
      <c r="X59" s="38">
        <f t="shared" ref="X59" si="67">IF(K59&gt;2250,K59*0.1,0)</f>
        <v>0</v>
      </c>
      <c r="Y59" s="65">
        <f t="shared" ref="Y59" si="68">+W59-X59</f>
        <v>1549.9</v>
      </c>
      <c r="Z59" s="38">
        <f t="shared" si="59"/>
        <v>154.99</v>
      </c>
      <c r="AA59" s="38"/>
      <c r="AB59" s="38"/>
      <c r="AC59" s="65"/>
      <c r="AD59" s="72"/>
      <c r="AE59" s="73"/>
      <c r="AF59" s="66"/>
      <c r="AG59" s="40">
        <v>2965106850</v>
      </c>
      <c r="AH59" s="43"/>
    </row>
    <row r="60" spans="1:34" s="18" customFormat="1">
      <c r="A60" s="40" t="s">
        <v>44</v>
      </c>
      <c r="B60" s="40" t="s">
        <v>151</v>
      </c>
      <c r="C60" s="40"/>
      <c r="D60" s="40" t="s">
        <v>60</v>
      </c>
      <c r="E60" s="40" t="s">
        <v>92</v>
      </c>
      <c r="F60" s="70">
        <v>42333</v>
      </c>
      <c r="G60" s="93">
        <v>350</v>
      </c>
      <c r="H60" s="42"/>
      <c r="I60" s="42"/>
      <c r="J60" s="64"/>
      <c r="K60" s="65">
        <f t="shared" si="55"/>
        <v>350</v>
      </c>
      <c r="L60" s="42"/>
      <c r="M60" s="84"/>
      <c r="N60" s="42"/>
      <c r="O60" s="42">
        <v>0</v>
      </c>
      <c r="P60" s="86"/>
      <c r="Q60" s="86"/>
      <c r="R60" s="42"/>
      <c r="S60" s="38"/>
      <c r="T60" s="38"/>
      <c r="U60" s="40"/>
      <c r="V60" s="40">
        <v>222.71</v>
      </c>
      <c r="W60" s="65">
        <f t="shared" si="56"/>
        <v>127.28999999999999</v>
      </c>
      <c r="X60" s="38">
        <f t="shared" ref="X60:X66" si="69">IF(K60&gt;2250,K60*0.1,0)</f>
        <v>0</v>
      </c>
      <c r="Y60" s="65">
        <f t="shared" si="58"/>
        <v>127.28999999999999</v>
      </c>
      <c r="Z60" s="38">
        <f t="shared" si="59"/>
        <v>35</v>
      </c>
      <c r="AA60" s="38">
        <v>10.23</v>
      </c>
      <c r="AB60" s="38">
        <f t="shared" si="60"/>
        <v>0</v>
      </c>
      <c r="AC60" s="65">
        <f t="shared" si="61"/>
        <v>395.23</v>
      </c>
      <c r="AD60" s="72"/>
      <c r="AE60" s="73"/>
      <c r="AF60" s="66">
        <f>+AD60+AE60-Y60</f>
        <v>-127.28999999999999</v>
      </c>
      <c r="AG60" s="40"/>
      <c r="AH60" s="40"/>
    </row>
    <row r="61" spans="1:34" s="18" customFormat="1">
      <c r="A61" s="40" t="s">
        <v>30</v>
      </c>
      <c r="B61" s="40" t="s">
        <v>181</v>
      </c>
      <c r="C61" s="40"/>
      <c r="D61" s="40"/>
      <c r="E61" s="40" t="s">
        <v>32</v>
      </c>
      <c r="F61" s="70">
        <v>42459</v>
      </c>
      <c r="G61" s="42">
        <v>3067.07</v>
      </c>
      <c r="H61" s="42"/>
      <c r="I61" s="42"/>
      <c r="J61" s="64"/>
      <c r="K61" s="65">
        <f t="shared" si="55"/>
        <v>3067.07</v>
      </c>
      <c r="L61" s="42"/>
      <c r="M61" s="84"/>
      <c r="N61" s="42"/>
      <c r="O61" s="42">
        <v>0</v>
      </c>
      <c r="P61" s="86"/>
      <c r="Q61" s="86"/>
      <c r="R61" s="42"/>
      <c r="S61" s="38"/>
      <c r="T61" s="38"/>
      <c r="U61" s="40"/>
      <c r="V61" s="40"/>
      <c r="W61" s="65">
        <f t="shared" si="56"/>
        <v>3067.07</v>
      </c>
      <c r="X61" s="38">
        <f t="shared" si="69"/>
        <v>306.70700000000005</v>
      </c>
      <c r="Y61" s="65">
        <f t="shared" si="58"/>
        <v>2760.3630000000003</v>
      </c>
      <c r="Z61" s="38">
        <f t="shared" si="59"/>
        <v>0</v>
      </c>
      <c r="AA61" s="38">
        <v>10.23</v>
      </c>
      <c r="AB61" s="38">
        <f t="shared" si="60"/>
        <v>0</v>
      </c>
      <c r="AC61" s="65">
        <f t="shared" si="61"/>
        <v>3077.3</v>
      </c>
      <c r="AD61" s="78"/>
      <c r="AE61" s="73"/>
      <c r="AF61" s="66">
        <f>+AD61+AE61-Y61</f>
        <v>-2760.3630000000003</v>
      </c>
      <c r="AG61" s="40"/>
      <c r="AH61" s="43"/>
    </row>
    <row r="62" spans="1:34" s="18" customFormat="1">
      <c r="A62" s="40" t="s">
        <v>28</v>
      </c>
      <c r="B62" s="40" t="s">
        <v>177</v>
      </c>
      <c r="C62" s="40"/>
      <c r="D62" s="40"/>
      <c r="E62" s="40" t="s">
        <v>91</v>
      </c>
      <c r="F62" s="70">
        <v>42566</v>
      </c>
      <c r="G62" s="42">
        <v>2670</v>
      </c>
      <c r="H62" s="42"/>
      <c r="I62" s="42"/>
      <c r="J62" s="64"/>
      <c r="K62" s="65">
        <f t="shared" si="55"/>
        <v>2670</v>
      </c>
      <c r="L62" s="42"/>
      <c r="M62" s="84"/>
      <c r="N62" s="42"/>
      <c r="O62" s="42"/>
      <c r="P62" s="86"/>
      <c r="Q62" s="86"/>
      <c r="R62" s="42"/>
      <c r="S62" s="38"/>
      <c r="T62" s="38"/>
      <c r="U62" s="40"/>
      <c r="V62" s="40"/>
      <c r="W62" s="65">
        <f t="shared" si="56"/>
        <v>2670</v>
      </c>
      <c r="X62" s="38">
        <f t="shared" si="69"/>
        <v>267</v>
      </c>
      <c r="Y62" s="65">
        <f t="shared" si="58"/>
        <v>2403</v>
      </c>
      <c r="Z62" s="38">
        <f t="shared" si="59"/>
        <v>0</v>
      </c>
      <c r="AA62" s="38">
        <v>21.23</v>
      </c>
      <c r="AB62" s="38">
        <f t="shared" si="60"/>
        <v>0</v>
      </c>
      <c r="AC62" s="65">
        <f t="shared" si="61"/>
        <v>2691.23</v>
      </c>
      <c r="AD62" s="78"/>
      <c r="AE62" s="73"/>
      <c r="AF62" s="66"/>
      <c r="AG62" s="40">
        <v>2671903578</v>
      </c>
      <c r="AH62" s="43"/>
    </row>
    <row r="63" spans="1:34" s="18" customFormat="1">
      <c r="A63" s="40" t="s">
        <v>30</v>
      </c>
      <c r="B63" s="40" t="s">
        <v>154</v>
      </c>
      <c r="C63" s="40" t="s">
        <v>129</v>
      </c>
      <c r="D63" s="40" t="s">
        <v>89</v>
      </c>
      <c r="E63" s="40" t="s">
        <v>32</v>
      </c>
      <c r="F63" s="70">
        <v>42327</v>
      </c>
      <c r="G63" s="42">
        <v>10737.78</v>
      </c>
      <c r="H63" s="42"/>
      <c r="I63" s="42"/>
      <c r="J63" s="64"/>
      <c r="K63" s="65">
        <f t="shared" si="55"/>
        <v>10737.78</v>
      </c>
      <c r="L63" s="42"/>
      <c r="M63" s="84"/>
      <c r="N63" s="42"/>
      <c r="O63" s="42">
        <v>0</v>
      </c>
      <c r="P63" s="86"/>
      <c r="Q63" s="86"/>
      <c r="R63" s="42"/>
      <c r="S63" s="38"/>
      <c r="T63" s="38"/>
      <c r="U63" s="40"/>
      <c r="V63" s="81">
        <v>618.03</v>
      </c>
      <c r="W63" s="65">
        <f t="shared" si="56"/>
        <v>10119.75</v>
      </c>
      <c r="X63" s="38">
        <f t="shared" si="69"/>
        <v>1073.778</v>
      </c>
      <c r="Y63" s="65">
        <f t="shared" si="58"/>
        <v>9045.9719999999998</v>
      </c>
      <c r="Z63" s="38">
        <f t="shared" si="59"/>
        <v>0</v>
      </c>
      <c r="AA63" s="38">
        <v>10.23</v>
      </c>
      <c r="AB63" s="38">
        <f t="shared" si="60"/>
        <v>0</v>
      </c>
      <c r="AC63" s="65">
        <f t="shared" si="61"/>
        <v>10748.01</v>
      </c>
      <c r="AD63" s="72"/>
      <c r="AE63" s="73"/>
      <c r="AF63" s="66">
        <f t="shared" ref="AF63:AF65" si="70">+AD63+AE63-Y63</f>
        <v>-9045.9719999999998</v>
      </c>
      <c r="AG63" s="40"/>
      <c r="AH63" s="43"/>
    </row>
    <row r="64" spans="1:34" s="18" customFormat="1">
      <c r="A64" s="40" t="s">
        <v>29</v>
      </c>
      <c r="B64" s="40" t="s">
        <v>142</v>
      </c>
      <c r="C64" s="40" t="s">
        <v>130</v>
      </c>
      <c r="D64" s="40" t="s">
        <v>63</v>
      </c>
      <c r="E64" s="40" t="s">
        <v>150</v>
      </c>
      <c r="F64" s="70">
        <v>42173</v>
      </c>
      <c r="G64" s="42">
        <v>802.3</v>
      </c>
      <c r="H64" s="42"/>
      <c r="I64" s="42"/>
      <c r="J64" s="64"/>
      <c r="K64" s="65">
        <f t="shared" si="55"/>
        <v>802.3</v>
      </c>
      <c r="L64" s="42"/>
      <c r="M64" s="84"/>
      <c r="N64" s="42"/>
      <c r="O64" s="42">
        <v>0</v>
      </c>
      <c r="P64" s="86"/>
      <c r="Q64" s="86"/>
      <c r="R64" s="42"/>
      <c r="S64" s="38"/>
      <c r="T64" s="38"/>
      <c r="U64" s="40"/>
      <c r="V64" s="40">
        <v>0</v>
      </c>
      <c r="W64" s="65">
        <f t="shared" si="56"/>
        <v>802.3</v>
      </c>
      <c r="X64" s="38">
        <f t="shared" si="69"/>
        <v>0</v>
      </c>
      <c r="Y64" s="65">
        <f t="shared" si="58"/>
        <v>802.3</v>
      </c>
      <c r="Z64" s="38">
        <f t="shared" si="59"/>
        <v>80.23</v>
      </c>
      <c r="AA64" s="38">
        <v>10.23</v>
      </c>
      <c r="AB64" s="38">
        <f t="shared" si="60"/>
        <v>0</v>
      </c>
      <c r="AC64" s="65">
        <f t="shared" si="61"/>
        <v>892.76</v>
      </c>
      <c r="AD64" s="78"/>
      <c r="AE64" s="79"/>
      <c r="AF64" s="66">
        <f t="shared" si="70"/>
        <v>-802.3</v>
      </c>
      <c r="AH64" s="40"/>
    </row>
    <row r="65" spans="1:188" s="18" customFormat="1">
      <c r="A65" s="40" t="s">
        <v>30</v>
      </c>
      <c r="B65" s="40" t="s">
        <v>166</v>
      </c>
      <c r="C65" s="40" t="s">
        <v>127</v>
      </c>
      <c r="D65" s="40"/>
      <c r="E65" s="40" t="s">
        <v>32</v>
      </c>
      <c r="F65" s="70">
        <v>42506</v>
      </c>
      <c r="G65" s="42">
        <v>6133.62</v>
      </c>
      <c r="H65" s="42"/>
      <c r="I65" s="42"/>
      <c r="J65" s="64"/>
      <c r="K65" s="65">
        <f t="shared" si="55"/>
        <v>6133.62</v>
      </c>
      <c r="L65" s="42"/>
      <c r="M65" s="84"/>
      <c r="N65" s="42"/>
      <c r="O65" s="42">
        <v>0</v>
      </c>
      <c r="P65" s="86"/>
      <c r="Q65" s="86"/>
      <c r="R65" s="42"/>
      <c r="S65" s="38"/>
      <c r="T65" s="38"/>
      <c r="U65" s="40"/>
      <c r="V65" s="81">
        <v>0</v>
      </c>
      <c r="W65" s="65">
        <f t="shared" si="56"/>
        <v>6133.62</v>
      </c>
      <c r="X65" s="38">
        <f t="shared" si="69"/>
        <v>613.36199999999997</v>
      </c>
      <c r="Y65" s="65">
        <f t="shared" si="58"/>
        <v>5520.2579999999998</v>
      </c>
      <c r="Z65" s="38">
        <f t="shared" si="59"/>
        <v>0</v>
      </c>
      <c r="AA65" s="38">
        <v>10.23</v>
      </c>
      <c r="AB65" s="38">
        <f t="shared" si="60"/>
        <v>0</v>
      </c>
      <c r="AC65" s="65">
        <f t="shared" si="61"/>
        <v>6143.8499999999995</v>
      </c>
      <c r="AD65" s="78"/>
      <c r="AE65" s="78"/>
      <c r="AF65" s="66">
        <f t="shared" si="70"/>
        <v>-5520.2579999999998</v>
      </c>
      <c r="AG65" s="53">
        <v>1179675078</v>
      </c>
      <c r="AH65" s="43"/>
    </row>
    <row r="66" spans="1:188" s="18" customFormat="1">
      <c r="A66" s="40" t="s">
        <v>28</v>
      </c>
      <c r="B66" s="40" t="s">
        <v>191</v>
      </c>
      <c r="C66" s="40"/>
      <c r="D66" s="40"/>
      <c r="E66" s="40" t="s">
        <v>91</v>
      </c>
      <c r="F66" s="70">
        <v>42597</v>
      </c>
      <c r="G66" s="42">
        <v>2160</v>
      </c>
      <c r="H66" s="42"/>
      <c r="I66" s="42"/>
      <c r="J66" s="64"/>
      <c r="K66" s="65">
        <f t="shared" si="55"/>
        <v>2160</v>
      </c>
      <c r="L66" s="42"/>
      <c r="M66" s="84"/>
      <c r="N66" s="42"/>
      <c r="O66" s="42"/>
      <c r="P66" s="86"/>
      <c r="Q66" s="86"/>
      <c r="R66" s="42"/>
      <c r="S66" s="38"/>
      <c r="T66" s="38"/>
      <c r="U66" s="40"/>
      <c r="V66" s="81">
        <v>0</v>
      </c>
      <c r="W66" s="65">
        <f t="shared" si="56"/>
        <v>2160</v>
      </c>
      <c r="X66" s="38">
        <f t="shared" si="69"/>
        <v>0</v>
      </c>
      <c r="Y66" s="65">
        <f t="shared" si="58"/>
        <v>2160</v>
      </c>
      <c r="Z66" s="38"/>
      <c r="AA66" s="38"/>
      <c r="AB66" s="38"/>
      <c r="AC66" s="65"/>
      <c r="AD66" s="78"/>
      <c r="AE66" s="78"/>
      <c r="AF66" s="66"/>
      <c r="AG66" s="53">
        <v>2983558908</v>
      </c>
      <c r="AH66" s="43"/>
    </row>
    <row r="67" spans="1:188" s="18" customFormat="1">
      <c r="A67" s="40" t="s">
        <v>42</v>
      </c>
      <c r="B67" s="40" t="s">
        <v>223</v>
      </c>
      <c r="C67" s="40"/>
      <c r="D67" s="40"/>
      <c r="E67" s="40" t="s">
        <v>31</v>
      </c>
      <c r="F67" s="70">
        <v>42696</v>
      </c>
      <c r="G67" s="42">
        <v>1524.46</v>
      </c>
      <c r="H67" s="42"/>
      <c r="I67" s="42"/>
      <c r="J67" s="64"/>
      <c r="K67" s="65">
        <f t="shared" si="55"/>
        <v>1524.46</v>
      </c>
      <c r="L67" s="42"/>
      <c r="M67" s="84"/>
      <c r="N67" s="42"/>
      <c r="O67" s="42"/>
      <c r="P67" s="86"/>
      <c r="Q67" s="86"/>
      <c r="R67" s="42"/>
      <c r="S67" s="38"/>
      <c r="T67" s="38"/>
      <c r="U67" s="40"/>
      <c r="V67" s="81"/>
      <c r="W67" s="65">
        <f t="shared" ref="W67" si="71">+K67-SUM(L67:V67)</f>
        <v>1524.46</v>
      </c>
      <c r="X67" s="38">
        <f t="shared" ref="X67" si="72">IF(K67&gt;2250,K67*0.1,0)</f>
        <v>0</v>
      </c>
      <c r="Y67" s="65">
        <f t="shared" ref="Y67" si="73">+W67-X67</f>
        <v>1524.46</v>
      </c>
      <c r="Z67" s="38"/>
      <c r="AA67" s="38"/>
      <c r="AB67" s="38"/>
      <c r="AC67" s="65"/>
      <c r="AD67" s="78"/>
      <c r="AE67" s="78"/>
      <c r="AF67" s="66"/>
      <c r="AG67" s="53">
        <v>1501548794</v>
      </c>
      <c r="AH67" s="43"/>
    </row>
    <row r="68" spans="1:188" s="18" customFormat="1">
      <c r="A68" s="40" t="s">
        <v>30</v>
      </c>
      <c r="B68" s="40" t="s">
        <v>229</v>
      </c>
      <c r="C68" s="40"/>
      <c r="D68" s="40"/>
      <c r="E68" s="40" t="s">
        <v>32</v>
      </c>
      <c r="F68" s="70">
        <v>42632</v>
      </c>
      <c r="G68" s="42"/>
      <c r="H68" s="42"/>
      <c r="I68" s="42"/>
      <c r="J68" s="64"/>
      <c r="K68" s="65">
        <f t="shared" si="55"/>
        <v>0</v>
      </c>
      <c r="L68" s="42"/>
      <c r="M68" s="84"/>
      <c r="N68" s="42"/>
      <c r="O68" s="42"/>
      <c r="P68" s="86"/>
      <c r="Q68" s="86"/>
      <c r="R68" s="42"/>
      <c r="S68" s="38"/>
      <c r="T68" s="38"/>
      <c r="U68" s="40"/>
      <c r="V68" s="81"/>
      <c r="W68" s="65">
        <f t="shared" ref="W68" si="74">+K68-SUM(L68:V68)</f>
        <v>0</v>
      </c>
      <c r="X68" s="38">
        <f t="shared" ref="X68" si="75">IF(K68&gt;2250,K68*0.1,0)</f>
        <v>0</v>
      </c>
      <c r="Y68" s="65">
        <f t="shared" ref="Y68" si="76">+W68-X68</f>
        <v>0</v>
      </c>
      <c r="Z68" s="38"/>
      <c r="AA68" s="38"/>
      <c r="AB68" s="38"/>
      <c r="AC68" s="65"/>
      <c r="AD68" s="78"/>
      <c r="AE68" s="78"/>
      <c r="AF68" s="66"/>
      <c r="AG68" s="53">
        <v>2856562434</v>
      </c>
      <c r="AH68" s="43"/>
    </row>
    <row r="69" spans="1:188" s="18" customFormat="1">
      <c r="A69" s="29"/>
      <c r="B69" s="30"/>
      <c r="C69" s="30"/>
      <c r="D69" s="30"/>
      <c r="E69" s="30"/>
      <c r="F69" s="30"/>
      <c r="G69" s="31"/>
      <c r="H69" s="31"/>
      <c r="I69" s="31"/>
      <c r="J69" s="31"/>
      <c r="K69" s="32"/>
      <c r="L69" s="31"/>
      <c r="M69" s="31"/>
      <c r="N69" s="31"/>
      <c r="O69" s="31"/>
      <c r="P69" s="31"/>
      <c r="Q69" s="31"/>
      <c r="R69" s="31"/>
      <c r="S69" s="46"/>
      <c r="T69" s="46"/>
      <c r="U69" s="46"/>
      <c r="V69" s="46"/>
      <c r="W69" s="32"/>
      <c r="X69" s="46"/>
      <c r="Y69" s="32"/>
      <c r="Z69" s="46"/>
      <c r="AA69" s="46"/>
      <c r="AB69" s="46"/>
      <c r="AC69" s="32"/>
      <c r="AD69" s="58"/>
      <c r="AE69" s="58"/>
      <c r="AF69" s="26"/>
    </row>
    <row r="70" spans="1:188">
      <c r="B70" s="47" t="s">
        <v>1</v>
      </c>
      <c r="C70" s="47"/>
      <c r="D70" s="47"/>
      <c r="E70" s="47"/>
      <c r="F70" s="47"/>
      <c r="G70" s="48">
        <f>SUM(G7:G69)</f>
        <v>242241.00999999989</v>
      </c>
      <c r="H70" s="48">
        <f t="shared" ref="H70:L70" si="77">SUM(H8:H69)</f>
        <v>0</v>
      </c>
      <c r="I70" s="48">
        <f t="shared" si="77"/>
        <v>0</v>
      </c>
      <c r="J70" s="48">
        <f t="shared" si="77"/>
        <v>0</v>
      </c>
      <c r="K70" s="48">
        <f t="shared" si="77"/>
        <v>238540.08999999991</v>
      </c>
      <c r="L70" s="48">
        <f t="shared" si="77"/>
        <v>400</v>
      </c>
      <c r="M70" s="48"/>
      <c r="N70" s="48"/>
      <c r="O70" s="49">
        <f t="shared" ref="O70:AF70" si="78">SUM(O8:O69)</f>
        <v>1450</v>
      </c>
      <c r="P70" s="49">
        <f t="shared" si="78"/>
        <v>0</v>
      </c>
      <c r="Q70" s="49">
        <f t="shared" si="78"/>
        <v>0</v>
      </c>
      <c r="R70" s="49">
        <f t="shared" si="78"/>
        <v>0</v>
      </c>
      <c r="S70" s="48">
        <f t="shared" si="78"/>
        <v>372.12</v>
      </c>
      <c r="T70" s="48">
        <f t="shared" si="78"/>
        <v>0</v>
      </c>
      <c r="U70" s="48">
        <f t="shared" si="78"/>
        <v>0</v>
      </c>
      <c r="V70" s="48">
        <f t="shared" si="78"/>
        <v>9340.35</v>
      </c>
      <c r="W70" s="48">
        <f t="shared" si="78"/>
        <v>226976.61999999991</v>
      </c>
      <c r="X70" s="48">
        <f t="shared" si="78"/>
        <v>21896.574000000004</v>
      </c>
      <c r="Y70" s="48">
        <f t="shared" si="78"/>
        <v>205080.04599999994</v>
      </c>
      <c r="Z70" s="48">
        <f t="shared" si="78"/>
        <v>1079.0989999999999</v>
      </c>
      <c r="AA70" s="48">
        <f t="shared" si="78"/>
        <v>500.89000000000038</v>
      </c>
      <c r="AB70" s="48">
        <f t="shared" si="78"/>
        <v>0</v>
      </c>
      <c r="AC70" s="48">
        <f t="shared" si="78"/>
        <v>216310.99900000001</v>
      </c>
      <c r="AD70" s="59">
        <f t="shared" si="78"/>
        <v>0</v>
      </c>
      <c r="AE70" s="59">
        <f t="shared" si="78"/>
        <v>0</v>
      </c>
      <c r="AF70" s="50">
        <f t="shared" si="78"/>
        <v>-136490.65199999997</v>
      </c>
      <c r="AG70" s="33"/>
      <c r="AH70" s="33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8"/>
      <c r="BK70" s="18"/>
      <c r="BL70" s="18"/>
      <c r="BM70" s="18"/>
      <c r="BN70" s="18"/>
      <c r="BO70" s="18"/>
      <c r="BP70" s="18"/>
      <c r="BQ70" s="18"/>
      <c r="BR70" s="18"/>
      <c r="BS70" s="18"/>
      <c r="BT70" s="18"/>
      <c r="BU70" s="18"/>
      <c r="BV70" s="18"/>
      <c r="BW70" s="18"/>
      <c r="BX70" s="18"/>
      <c r="BY70" s="18"/>
      <c r="BZ70" s="18"/>
      <c r="CA70" s="18"/>
      <c r="CB70" s="18"/>
      <c r="CC70" s="18"/>
      <c r="CD70" s="18"/>
      <c r="CE70" s="18"/>
      <c r="CF70" s="18"/>
      <c r="CG70" s="18"/>
      <c r="CH70" s="18"/>
      <c r="CI70" s="18"/>
      <c r="CJ70" s="18"/>
      <c r="CK70" s="18"/>
      <c r="CL70" s="18"/>
      <c r="CM70" s="18"/>
      <c r="CN70" s="18"/>
      <c r="CO70" s="18"/>
      <c r="CP70" s="18"/>
      <c r="CQ70" s="18"/>
      <c r="CR70" s="18"/>
      <c r="CS70" s="18"/>
      <c r="CT70" s="18"/>
      <c r="CU70" s="18"/>
      <c r="CV70" s="18"/>
      <c r="CW70" s="18"/>
      <c r="CX70" s="18"/>
      <c r="CY70" s="18"/>
      <c r="CZ70" s="18"/>
      <c r="DA70" s="18"/>
      <c r="DB70" s="18"/>
      <c r="DC70" s="18"/>
      <c r="DD70" s="18"/>
      <c r="DE70" s="18"/>
      <c r="DF70" s="18"/>
      <c r="DG70" s="18"/>
      <c r="DH70" s="18"/>
      <c r="DI70" s="18"/>
      <c r="DJ70" s="18"/>
      <c r="DK70" s="18"/>
      <c r="DL70" s="18"/>
      <c r="DM70" s="18"/>
      <c r="DN70" s="18"/>
      <c r="DO70" s="18"/>
      <c r="DP70" s="18"/>
      <c r="DQ70" s="18"/>
      <c r="DR70" s="18"/>
      <c r="DS70" s="18"/>
      <c r="DT70" s="18"/>
      <c r="DU70" s="18"/>
      <c r="DV70" s="18"/>
      <c r="DW70" s="18"/>
      <c r="DX70" s="18"/>
      <c r="DY70" s="18"/>
      <c r="DZ70" s="18"/>
      <c r="EA70" s="18"/>
      <c r="EB70" s="18"/>
      <c r="EC70" s="18"/>
      <c r="ED70" s="18"/>
      <c r="EE70" s="18"/>
      <c r="EF70" s="18"/>
      <c r="EG70" s="18"/>
      <c r="EH70" s="18"/>
      <c r="EI70" s="18"/>
      <c r="EJ70" s="18"/>
      <c r="EK70" s="18"/>
      <c r="EL70" s="18"/>
      <c r="EM70" s="18"/>
      <c r="EN70" s="18"/>
      <c r="EO70" s="18"/>
      <c r="EP70" s="18"/>
      <c r="EQ70" s="18"/>
      <c r="ER70" s="18"/>
      <c r="ES70" s="18"/>
      <c r="ET70" s="18"/>
      <c r="EU70" s="18"/>
      <c r="EV70" s="18"/>
      <c r="EW70" s="18"/>
      <c r="EX70" s="18"/>
      <c r="EY70" s="18"/>
      <c r="EZ70" s="18"/>
      <c r="FA70" s="18"/>
      <c r="FB70" s="18"/>
      <c r="FC70" s="18"/>
      <c r="FD70" s="18"/>
      <c r="FE70" s="18"/>
      <c r="FF70" s="18"/>
      <c r="FG70" s="18"/>
      <c r="FH70" s="18"/>
      <c r="FI70" s="18"/>
      <c r="FJ70" s="18"/>
      <c r="FK70" s="18"/>
      <c r="FL70" s="18"/>
      <c r="FM70" s="18"/>
      <c r="FN70" s="18"/>
      <c r="FO70" s="18"/>
      <c r="FP70" s="18"/>
      <c r="FQ70" s="18"/>
      <c r="FR70" s="18"/>
      <c r="FS70" s="18"/>
      <c r="FT70" s="18"/>
      <c r="FU70" s="18"/>
      <c r="FV70" s="18"/>
      <c r="FW70" s="18"/>
      <c r="FX70" s="18"/>
      <c r="FY70" s="18"/>
      <c r="FZ70" s="18"/>
      <c r="GA70" s="18"/>
      <c r="GB70" s="18"/>
      <c r="GC70" s="18"/>
      <c r="GD70" s="18"/>
      <c r="GE70" s="18"/>
      <c r="GF70" s="18"/>
    </row>
    <row r="71" spans="1:188">
      <c r="AC71" s="14">
        <f>AC70*0.16</f>
        <v>34609.759839999999</v>
      </c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8"/>
      <c r="BK71" s="18"/>
      <c r="BL71" s="18"/>
      <c r="BM71" s="18"/>
      <c r="BN71" s="18"/>
      <c r="BO71" s="18"/>
      <c r="BP71" s="18"/>
      <c r="BQ71" s="18"/>
      <c r="BR71" s="18"/>
      <c r="BS71" s="18"/>
      <c r="BT71" s="18"/>
      <c r="BU71" s="18"/>
      <c r="BV71" s="18"/>
      <c r="BW71" s="18"/>
      <c r="BX71" s="18"/>
      <c r="BY71" s="18"/>
      <c r="BZ71" s="18"/>
      <c r="CA71" s="18"/>
      <c r="CB71" s="18"/>
      <c r="CC71" s="18"/>
      <c r="CD71" s="18"/>
      <c r="CE71" s="18"/>
      <c r="CF71" s="18"/>
      <c r="CG71" s="18"/>
      <c r="CH71" s="18"/>
      <c r="CI71" s="18"/>
      <c r="CJ71" s="18"/>
      <c r="CK71" s="18"/>
      <c r="CL71" s="18"/>
      <c r="CM71" s="18"/>
      <c r="CN71" s="18"/>
      <c r="CO71" s="18"/>
      <c r="CP71" s="18"/>
      <c r="CQ71" s="18"/>
      <c r="CR71" s="18"/>
      <c r="CS71" s="18"/>
      <c r="CT71" s="18"/>
      <c r="CU71" s="18"/>
      <c r="CV71" s="18"/>
      <c r="CW71" s="18"/>
      <c r="CX71" s="18"/>
      <c r="CY71" s="18"/>
      <c r="CZ71" s="18"/>
      <c r="DA71" s="18"/>
      <c r="DB71" s="18"/>
      <c r="DC71" s="18"/>
      <c r="DD71" s="18"/>
      <c r="DE71" s="18"/>
      <c r="DF71" s="18"/>
      <c r="DG71" s="18"/>
      <c r="DH71" s="18"/>
      <c r="DI71" s="18"/>
      <c r="DJ71" s="18"/>
      <c r="DK71" s="18"/>
      <c r="DL71" s="18"/>
      <c r="DM71" s="18"/>
      <c r="DN71" s="18"/>
      <c r="DO71" s="18"/>
      <c r="DP71" s="18"/>
      <c r="DQ71" s="18"/>
      <c r="DR71" s="18"/>
      <c r="DS71" s="18"/>
      <c r="DT71" s="18"/>
      <c r="DU71" s="18"/>
      <c r="DV71" s="18"/>
      <c r="DW71" s="18"/>
      <c r="DX71" s="18"/>
      <c r="DY71" s="18"/>
      <c r="DZ71" s="18"/>
      <c r="EA71" s="18"/>
      <c r="EB71" s="18"/>
      <c r="EC71" s="18"/>
      <c r="ED71" s="18"/>
      <c r="EE71" s="18"/>
      <c r="EF71" s="18"/>
      <c r="EG71" s="18"/>
      <c r="EH71" s="18"/>
      <c r="EI71" s="18"/>
      <c r="EJ71" s="18"/>
      <c r="EK71" s="18"/>
      <c r="EL71" s="18"/>
      <c r="EM71" s="18"/>
      <c r="EN71" s="18"/>
      <c r="EO71" s="18"/>
      <c r="EP71" s="18"/>
      <c r="EQ71" s="18"/>
      <c r="ER71" s="18"/>
      <c r="ES71" s="18"/>
      <c r="ET71" s="18"/>
      <c r="EU71" s="18"/>
      <c r="EV71" s="18"/>
      <c r="EW71" s="18"/>
      <c r="EX71" s="18"/>
      <c r="EY71" s="18"/>
      <c r="EZ71" s="18"/>
      <c r="FA71" s="18"/>
      <c r="FB71" s="18"/>
      <c r="FC71" s="18"/>
      <c r="FD71" s="18"/>
      <c r="FE71" s="18"/>
      <c r="FF71" s="18"/>
      <c r="FG71" s="18"/>
      <c r="FH71" s="18"/>
      <c r="FI71" s="18"/>
      <c r="FJ71" s="18"/>
      <c r="FK71" s="18"/>
      <c r="FL71" s="18"/>
      <c r="FM71" s="18"/>
      <c r="FN71" s="18"/>
      <c r="FO71" s="18"/>
      <c r="FP71" s="18"/>
      <c r="FQ71" s="18"/>
      <c r="FR71" s="18"/>
      <c r="FS71" s="18"/>
      <c r="FT71" s="18"/>
      <c r="FU71" s="18"/>
      <c r="FV71" s="18"/>
      <c r="FW71" s="18"/>
      <c r="FX71" s="18"/>
      <c r="FY71" s="18"/>
      <c r="FZ71" s="18"/>
      <c r="GA71" s="18"/>
      <c r="GB71" s="18"/>
      <c r="GC71" s="18"/>
      <c r="GD71" s="18"/>
      <c r="GE71" s="18"/>
      <c r="GF71" s="18"/>
    </row>
    <row r="72" spans="1:188">
      <c r="A72" s="128" t="s">
        <v>145</v>
      </c>
      <c r="B72" s="128"/>
      <c r="C72" s="51"/>
      <c r="D72" s="33"/>
      <c r="E72" s="33"/>
      <c r="F72" s="33"/>
      <c r="G72" s="35"/>
      <c r="H72" s="35"/>
      <c r="I72" s="35"/>
      <c r="J72" s="35"/>
      <c r="K72" s="48"/>
      <c r="L72" s="35"/>
      <c r="M72" s="35"/>
      <c r="N72" s="35"/>
      <c r="O72" s="42"/>
      <c r="P72" s="42"/>
      <c r="Q72" s="42"/>
      <c r="R72" s="42"/>
      <c r="S72" s="35"/>
      <c r="T72" s="35"/>
      <c r="U72" s="35"/>
      <c r="V72" s="35"/>
      <c r="W72" s="48"/>
      <c r="X72" s="35"/>
      <c r="Y72" s="48"/>
      <c r="Z72" s="35"/>
      <c r="AA72" s="35"/>
      <c r="AB72" s="35"/>
      <c r="AC72" s="48">
        <f>+AC70+AC71</f>
        <v>250920.75884000002</v>
      </c>
      <c r="AD72" s="59"/>
      <c r="AE72" s="59"/>
      <c r="AF72" s="50"/>
      <c r="AG72" s="33"/>
      <c r="AH72" s="33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8"/>
      <c r="BK72" s="18"/>
      <c r="BL72" s="18"/>
      <c r="BM72" s="18"/>
      <c r="BN72" s="18"/>
      <c r="BO72" s="18"/>
      <c r="BP72" s="18"/>
      <c r="BQ72" s="18"/>
      <c r="BR72" s="18"/>
      <c r="BS72" s="18"/>
      <c r="BT72" s="18"/>
      <c r="BU72" s="18"/>
      <c r="BV72" s="18"/>
      <c r="BW72" s="18"/>
      <c r="BX72" s="18"/>
      <c r="BY72" s="18"/>
      <c r="BZ72" s="18"/>
      <c r="CA72" s="18"/>
      <c r="CB72" s="18"/>
      <c r="CC72" s="18"/>
      <c r="CD72" s="18"/>
      <c r="CE72" s="18"/>
      <c r="CF72" s="18"/>
      <c r="CG72" s="18"/>
      <c r="CH72" s="18"/>
      <c r="CI72" s="18"/>
      <c r="CJ72" s="18"/>
      <c r="CK72" s="18"/>
      <c r="CL72" s="18"/>
      <c r="CM72" s="18"/>
      <c r="CN72" s="18"/>
      <c r="CO72" s="18"/>
      <c r="CP72" s="18"/>
      <c r="CQ72" s="18"/>
      <c r="CR72" s="18"/>
      <c r="CS72" s="18"/>
      <c r="CT72" s="18"/>
      <c r="CU72" s="18"/>
      <c r="CV72" s="18"/>
      <c r="CW72" s="18"/>
      <c r="CX72" s="18"/>
      <c r="CY72" s="18"/>
      <c r="CZ72" s="18"/>
      <c r="DA72" s="18"/>
      <c r="DB72" s="18"/>
      <c r="DC72" s="18"/>
      <c r="DD72" s="18"/>
      <c r="DE72" s="18"/>
      <c r="DF72" s="18"/>
      <c r="DG72" s="18"/>
      <c r="DH72" s="18"/>
      <c r="DI72" s="18"/>
      <c r="DJ72" s="18"/>
      <c r="DK72" s="18"/>
      <c r="DL72" s="18"/>
      <c r="DM72" s="18"/>
      <c r="DN72" s="18"/>
      <c r="DO72" s="18"/>
      <c r="DP72" s="18"/>
      <c r="DQ72" s="18"/>
      <c r="DR72" s="18"/>
      <c r="DS72" s="18"/>
      <c r="DT72" s="18"/>
      <c r="DU72" s="18"/>
      <c r="DV72" s="18"/>
      <c r="DW72" s="18"/>
      <c r="DX72" s="18"/>
      <c r="DY72" s="18"/>
      <c r="DZ72" s="18"/>
      <c r="EA72" s="18"/>
      <c r="EB72" s="18"/>
      <c r="EC72" s="18"/>
      <c r="ED72" s="18"/>
      <c r="EE72" s="18"/>
      <c r="EF72" s="18"/>
      <c r="EG72" s="18"/>
      <c r="EH72" s="18"/>
      <c r="EI72" s="18"/>
      <c r="EJ72" s="18"/>
      <c r="EK72" s="18"/>
      <c r="EL72" s="18"/>
      <c r="EM72" s="18"/>
      <c r="EN72" s="18"/>
      <c r="EO72" s="18"/>
      <c r="EP72" s="18"/>
      <c r="EQ72" s="18"/>
      <c r="ER72" s="18"/>
      <c r="ES72" s="18"/>
      <c r="ET72" s="18"/>
      <c r="EU72" s="18"/>
      <c r="EV72" s="18"/>
      <c r="EW72" s="18"/>
      <c r="EX72" s="18"/>
      <c r="EY72" s="18"/>
      <c r="EZ72" s="18"/>
      <c r="FA72" s="18"/>
      <c r="FB72" s="18"/>
      <c r="FC72" s="18"/>
      <c r="FD72" s="18"/>
      <c r="FE72" s="18"/>
      <c r="FF72" s="18"/>
      <c r="FG72" s="18"/>
      <c r="FH72" s="18"/>
      <c r="FI72" s="18"/>
      <c r="FJ72" s="18"/>
      <c r="FK72" s="18"/>
      <c r="FL72" s="18"/>
      <c r="FM72" s="18"/>
      <c r="FN72" s="18"/>
      <c r="FO72" s="18"/>
      <c r="FP72" s="18"/>
      <c r="FQ72" s="18"/>
      <c r="FR72" s="18"/>
      <c r="FS72" s="18"/>
      <c r="FT72" s="18"/>
      <c r="FU72" s="18"/>
      <c r="FV72" s="18"/>
      <c r="FW72" s="18"/>
      <c r="FX72" s="18"/>
      <c r="FY72" s="18"/>
      <c r="FZ72" s="18"/>
      <c r="GA72" s="18"/>
      <c r="GB72" s="18"/>
      <c r="GC72" s="18"/>
      <c r="GD72" s="18"/>
      <c r="GE72" s="18"/>
      <c r="GF72" s="18"/>
    </row>
    <row r="73" spans="1:188">
      <c r="A73" s="40" t="s">
        <v>45</v>
      </c>
      <c r="B73" s="40" t="s">
        <v>146</v>
      </c>
      <c r="C73" s="34"/>
      <c r="D73" s="34"/>
      <c r="E73" s="34" t="s">
        <v>187</v>
      </c>
      <c r="F73" s="71">
        <v>41142</v>
      </c>
      <c r="G73" s="42">
        <f>1911.169+5.571</f>
        <v>1916.74</v>
      </c>
      <c r="H73" s="36"/>
      <c r="I73" s="36"/>
      <c r="J73" s="36"/>
      <c r="K73" s="65">
        <f>SUM(G73:J73)</f>
        <v>1916.74</v>
      </c>
      <c r="L73" s="42"/>
      <c r="M73" s="84">
        <v>1</v>
      </c>
      <c r="N73" s="42"/>
      <c r="O73" s="42"/>
      <c r="P73" s="86" t="s">
        <v>194</v>
      </c>
      <c r="Q73" s="86" t="s">
        <v>194</v>
      </c>
      <c r="R73" s="42"/>
      <c r="S73" s="38"/>
      <c r="T73" s="38"/>
      <c r="U73" s="40"/>
      <c r="V73" s="40"/>
      <c r="W73" s="65">
        <f>+K73-SUM(L73:V73)</f>
        <v>1915.74</v>
      </c>
      <c r="X73" s="38">
        <f>+W73*0.05</f>
        <v>95.787000000000006</v>
      </c>
      <c r="Y73" s="65">
        <f>+W73-S73-V73</f>
        <v>1915.74</v>
      </c>
      <c r="Z73" s="77">
        <f>IF(W73&lt;3000,W73*0.1,0)</f>
        <v>191.57400000000001</v>
      </c>
      <c r="AA73" s="77">
        <v>0</v>
      </c>
      <c r="AB73" s="77"/>
      <c r="AC73" s="76">
        <f>+W73+Z73+AA73</f>
        <v>2107.3139999999999</v>
      </c>
      <c r="AD73" s="60"/>
      <c r="AE73" s="60"/>
      <c r="AF73" s="52"/>
      <c r="AG73" s="33"/>
      <c r="AH73" s="33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18"/>
      <c r="BL73" s="18"/>
      <c r="BM73" s="18"/>
      <c r="BN73" s="18"/>
      <c r="BO73" s="18"/>
      <c r="BP73" s="18"/>
      <c r="BQ73" s="18"/>
      <c r="BR73" s="18"/>
      <c r="BS73" s="18"/>
      <c r="BT73" s="18"/>
      <c r="BU73" s="18"/>
      <c r="BV73" s="18"/>
      <c r="BW73" s="18"/>
      <c r="BX73" s="18"/>
      <c r="BY73" s="18"/>
      <c r="BZ73" s="18"/>
      <c r="CA73" s="18"/>
      <c r="CB73" s="18"/>
      <c r="CC73" s="18"/>
      <c r="CD73" s="18"/>
      <c r="CE73" s="18"/>
      <c r="CF73" s="18"/>
      <c r="CG73" s="18"/>
      <c r="CH73" s="18"/>
      <c r="CI73" s="18"/>
      <c r="CJ73" s="18"/>
      <c r="CK73" s="18"/>
      <c r="CL73" s="18"/>
      <c r="CM73" s="18"/>
      <c r="CN73" s="18"/>
      <c r="CO73" s="18"/>
      <c r="CP73" s="18"/>
      <c r="CQ73" s="18"/>
      <c r="CR73" s="18"/>
      <c r="CS73" s="18"/>
      <c r="CT73" s="18"/>
      <c r="CU73" s="18"/>
      <c r="CV73" s="18"/>
      <c r="CW73" s="18"/>
      <c r="CX73" s="18"/>
      <c r="CY73" s="18"/>
      <c r="CZ73" s="18"/>
      <c r="DA73" s="18"/>
      <c r="DB73" s="18"/>
      <c r="DC73" s="18"/>
      <c r="DD73" s="18"/>
      <c r="DE73" s="18"/>
      <c r="DF73" s="18"/>
      <c r="DG73" s="18"/>
      <c r="DH73" s="18"/>
      <c r="DI73" s="18"/>
      <c r="DJ73" s="18"/>
      <c r="DK73" s="18"/>
      <c r="DL73" s="18"/>
      <c r="DM73" s="18"/>
      <c r="DN73" s="18"/>
      <c r="DO73" s="18"/>
      <c r="DP73" s="18"/>
      <c r="DQ73" s="18"/>
      <c r="DR73" s="18"/>
      <c r="DS73" s="18"/>
      <c r="DT73" s="18"/>
      <c r="DU73" s="18"/>
      <c r="DV73" s="18"/>
      <c r="DW73" s="18"/>
      <c r="DX73" s="18"/>
      <c r="DY73" s="18"/>
      <c r="DZ73" s="18"/>
      <c r="EA73" s="18"/>
      <c r="EB73" s="18"/>
      <c r="EC73" s="18"/>
      <c r="ED73" s="18"/>
      <c r="EE73" s="18"/>
      <c r="EF73" s="18"/>
      <c r="EG73" s="18"/>
      <c r="EH73" s="18"/>
      <c r="EI73" s="18"/>
      <c r="EJ73" s="18"/>
      <c r="EK73" s="18"/>
      <c r="EL73" s="18"/>
      <c r="EM73" s="18"/>
      <c r="EN73" s="18"/>
      <c r="EO73" s="18"/>
      <c r="EP73" s="18"/>
      <c r="EQ73" s="18"/>
      <c r="ER73" s="18"/>
      <c r="ES73" s="18"/>
      <c r="ET73" s="18"/>
      <c r="EU73" s="18"/>
      <c r="EV73" s="18"/>
      <c r="EW73" s="18"/>
      <c r="EX73" s="18"/>
      <c r="EY73" s="18"/>
      <c r="EZ73" s="18"/>
      <c r="FA73" s="18"/>
      <c r="FB73" s="18"/>
      <c r="FC73" s="18"/>
      <c r="FD73" s="18"/>
      <c r="FE73" s="18"/>
      <c r="FF73" s="18"/>
      <c r="FG73" s="18"/>
      <c r="FH73" s="18"/>
      <c r="FI73" s="18"/>
      <c r="FJ73" s="18"/>
      <c r="FK73" s="18"/>
      <c r="FL73" s="18"/>
      <c r="FM73" s="18"/>
      <c r="FN73" s="18"/>
      <c r="FO73" s="18"/>
      <c r="FP73" s="18"/>
      <c r="FQ73" s="18"/>
      <c r="FR73" s="18"/>
      <c r="FS73" s="18"/>
      <c r="FT73" s="18"/>
      <c r="FU73" s="18"/>
      <c r="FV73" s="18"/>
      <c r="FW73" s="18"/>
      <c r="FX73" s="18"/>
      <c r="FY73" s="18"/>
      <c r="FZ73" s="18"/>
      <c r="GA73" s="18"/>
      <c r="GB73" s="18"/>
      <c r="GC73" s="18"/>
      <c r="GD73" s="18"/>
      <c r="GE73" s="18"/>
      <c r="GF73" s="18"/>
    </row>
    <row r="74" spans="1:188">
      <c r="A74" s="33" t="s">
        <v>30</v>
      </c>
      <c r="B74" s="40" t="s">
        <v>148</v>
      </c>
      <c r="C74" s="33"/>
      <c r="D74" s="33"/>
      <c r="E74" s="33" t="s">
        <v>92</v>
      </c>
      <c r="F74" s="83">
        <v>40813</v>
      </c>
      <c r="G74" s="94"/>
      <c r="H74" s="35"/>
      <c r="I74" s="35"/>
      <c r="J74" s="35"/>
      <c r="K74" s="65">
        <f>SUM(G74:J74)</f>
        <v>0</v>
      </c>
      <c r="L74" s="42"/>
      <c r="M74" s="84"/>
      <c r="N74" s="42"/>
      <c r="O74" s="42"/>
      <c r="P74" s="86"/>
      <c r="Q74" s="86"/>
      <c r="R74" s="42"/>
      <c r="S74" s="38"/>
      <c r="T74" s="38"/>
      <c r="U74" s="40"/>
      <c r="V74" s="40"/>
      <c r="W74" s="65">
        <f t="shared" ref="W74" si="79">+K74-SUM(L74:V74)</f>
        <v>0</v>
      </c>
      <c r="X74" s="38">
        <f t="shared" ref="X74" si="80">+W74*0.05</f>
        <v>0</v>
      </c>
      <c r="Y74" s="65">
        <f t="shared" ref="Y74" si="81">+W74-S74-V74</f>
        <v>0</v>
      </c>
      <c r="Z74" s="77">
        <f t="shared" ref="Z74" si="82">IF(W74&lt;3000,W74*0.1,0)</f>
        <v>0</v>
      </c>
      <c r="AA74" s="77"/>
      <c r="AB74" s="77"/>
      <c r="AC74" s="76">
        <f t="shared" ref="AC74" si="83">+W74+Z74+AA74</f>
        <v>0</v>
      </c>
      <c r="AD74" s="59"/>
      <c r="AE74" s="59"/>
      <c r="AF74" s="50"/>
      <c r="AG74" s="33"/>
      <c r="AH74" s="43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8"/>
      <c r="BK74" s="18"/>
      <c r="BL74" s="18"/>
      <c r="BM74" s="18"/>
      <c r="BN74" s="18"/>
      <c r="BO74" s="18"/>
      <c r="BP74" s="18"/>
      <c r="BQ74" s="18"/>
      <c r="BR74" s="18"/>
      <c r="BS74" s="18"/>
      <c r="BT74" s="18"/>
      <c r="BU74" s="18"/>
      <c r="BV74" s="18"/>
      <c r="BW74" s="18"/>
      <c r="BX74" s="18"/>
      <c r="BY74" s="18"/>
      <c r="BZ74" s="18"/>
      <c r="CA74" s="18"/>
      <c r="CB74" s="18"/>
      <c r="CC74" s="18"/>
      <c r="CD74" s="18"/>
      <c r="CE74" s="18"/>
      <c r="CF74" s="18"/>
      <c r="CG74" s="18"/>
      <c r="CH74" s="18"/>
      <c r="CI74" s="18"/>
      <c r="CJ74" s="18"/>
      <c r="CK74" s="18"/>
      <c r="CL74" s="18"/>
      <c r="CM74" s="18"/>
      <c r="CN74" s="18"/>
      <c r="CO74" s="18"/>
      <c r="CP74" s="18"/>
      <c r="CQ74" s="18"/>
      <c r="CR74" s="18"/>
      <c r="CS74" s="18"/>
      <c r="CT74" s="18"/>
      <c r="CU74" s="18"/>
      <c r="CV74" s="18"/>
      <c r="CW74" s="18"/>
      <c r="CX74" s="18"/>
      <c r="CY74" s="18"/>
      <c r="CZ74" s="18"/>
      <c r="DA74" s="18"/>
      <c r="DB74" s="18"/>
      <c r="DC74" s="18"/>
      <c r="DD74" s="18"/>
      <c r="DE74" s="18"/>
      <c r="DF74" s="18"/>
      <c r="DG74" s="18"/>
      <c r="DH74" s="18"/>
      <c r="DI74" s="18"/>
      <c r="DJ74" s="18"/>
      <c r="DK74" s="18"/>
      <c r="DL74" s="18"/>
      <c r="DM74" s="18"/>
      <c r="DN74" s="18"/>
      <c r="DO74" s="18"/>
      <c r="DP74" s="18"/>
      <c r="DQ74" s="18"/>
      <c r="DR74" s="18"/>
      <c r="DS74" s="18"/>
      <c r="DT74" s="18"/>
      <c r="DU74" s="18"/>
      <c r="DV74" s="18"/>
      <c r="DW74" s="18"/>
      <c r="DX74" s="18"/>
      <c r="DY74" s="18"/>
      <c r="DZ74" s="18"/>
      <c r="EA74" s="18"/>
      <c r="EB74" s="18"/>
      <c r="EC74" s="18"/>
      <c r="ED74" s="18"/>
      <c r="EE74" s="18"/>
      <c r="EF74" s="18"/>
      <c r="EG74" s="18"/>
      <c r="EH74" s="18"/>
      <c r="EI74" s="18"/>
      <c r="EJ74" s="18"/>
      <c r="EK74" s="18"/>
      <c r="EL74" s="18"/>
      <c r="EM74" s="18"/>
      <c r="EN74" s="18"/>
      <c r="EO74" s="18"/>
      <c r="EP74" s="18"/>
      <c r="EQ74" s="18"/>
      <c r="ER74" s="18"/>
      <c r="ES74" s="18"/>
      <c r="ET74" s="18"/>
      <c r="EU74" s="18"/>
      <c r="EV74" s="18"/>
      <c r="EW74" s="18"/>
      <c r="EX74" s="18"/>
      <c r="EY74" s="18"/>
      <c r="EZ74" s="18"/>
      <c r="FA74" s="18"/>
      <c r="FB74" s="18"/>
      <c r="FC74" s="18"/>
      <c r="FD74" s="18"/>
      <c r="FE74" s="18"/>
      <c r="FF74" s="18"/>
      <c r="FG74" s="18"/>
      <c r="FH74" s="18"/>
      <c r="FI74" s="18"/>
      <c r="FJ74" s="18"/>
      <c r="FK74" s="18"/>
      <c r="FL74" s="18"/>
      <c r="FM74" s="18"/>
      <c r="FN74" s="18"/>
      <c r="FO74" s="18"/>
      <c r="FP74" s="18"/>
      <c r="FQ74" s="18"/>
      <c r="FR74" s="18"/>
      <c r="FS74" s="18"/>
      <c r="FT74" s="18"/>
      <c r="FU74" s="18"/>
      <c r="FV74" s="18"/>
      <c r="FW74" s="18"/>
      <c r="FX74" s="18"/>
      <c r="FY74" s="18"/>
      <c r="FZ74" s="18"/>
      <c r="GA74" s="18"/>
      <c r="GB74" s="18"/>
      <c r="GC74" s="18"/>
      <c r="GD74" s="18"/>
      <c r="GE74" s="18"/>
      <c r="GF74" s="18"/>
    </row>
    <row r="75" spans="1:188">
      <c r="A75" s="95" t="s">
        <v>42</v>
      </c>
      <c r="B75" s="95" t="s">
        <v>190</v>
      </c>
      <c r="C75" s="95"/>
      <c r="D75" s="95"/>
      <c r="E75" s="95" t="s">
        <v>92</v>
      </c>
      <c r="F75" s="96">
        <v>34275</v>
      </c>
      <c r="G75" s="54"/>
      <c r="H75" s="54"/>
      <c r="I75" s="54"/>
      <c r="J75" s="35"/>
      <c r="K75" s="65">
        <f>SUM(G75:J75)</f>
        <v>0</v>
      </c>
      <c r="L75" s="42"/>
      <c r="M75" s="84"/>
      <c r="N75" s="42"/>
      <c r="O75" s="42"/>
      <c r="P75" s="86"/>
      <c r="Q75" s="86"/>
      <c r="R75" s="42"/>
      <c r="S75" s="38"/>
      <c r="T75" s="38"/>
      <c r="U75" s="40"/>
      <c r="V75" s="40"/>
      <c r="W75" s="65">
        <f t="shared" ref="W75" si="84">+K75-SUM(L75:V75)</f>
        <v>0</v>
      </c>
      <c r="X75" s="38">
        <f t="shared" ref="X75" si="85">+W75*0.05</f>
        <v>0</v>
      </c>
      <c r="Y75" s="65">
        <f t="shared" ref="Y75" si="86">+W75-S75-V75</f>
        <v>0</v>
      </c>
      <c r="Z75" s="77"/>
      <c r="AA75" s="77"/>
      <c r="AB75" s="77"/>
      <c r="AC75" s="76"/>
      <c r="AD75" s="59"/>
      <c r="AE75" s="59"/>
      <c r="AF75" s="50"/>
      <c r="AG75" s="33"/>
      <c r="AH75" s="97" t="s">
        <v>211</v>
      </c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8"/>
      <c r="BK75" s="18"/>
      <c r="BL75" s="18"/>
      <c r="BM75" s="18"/>
      <c r="BN75" s="18"/>
      <c r="BO75" s="18"/>
      <c r="BP75" s="18"/>
      <c r="BQ75" s="18"/>
      <c r="BR75" s="18"/>
      <c r="BS75" s="18"/>
      <c r="BT75" s="18"/>
      <c r="BU75" s="18"/>
      <c r="BV75" s="18"/>
      <c r="BW75" s="18"/>
      <c r="BX75" s="18"/>
      <c r="BY75" s="18"/>
      <c r="BZ75" s="18"/>
      <c r="CA75" s="18"/>
      <c r="CB75" s="18"/>
      <c r="CC75" s="18"/>
      <c r="CD75" s="18"/>
      <c r="CE75" s="18"/>
      <c r="CF75" s="18"/>
      <c r="CG75" s="18"/>
      <c r="CH75" s="18"/>
      <c r="CI75" s="18"/>
      <c r="CJ75" s="18"/>
      <c r="CK75" s="18"/>
      <c r="CL75" s="18"/>
      <c r="CM75" s="18"/>
      <c r="CN75" s="18"/>
      <c r="CO75" s="18"/>
      <c r="CP75" s="18"/>
      <c r="CQ75" s="18"/>
      <c r="CR75" s="18"/>
      <c r="CS75" s="18"/>
      <c r="CT75" s="18"/>
      <c r="CU75" s="18"/>
      <c r="CV75" s="18"/>
      <c r="CW75" s="18"/>
      <c r="CX75" s="18"/>
      <c r="CY75" s="18"/>
      <c r="CZ75" s="18"/>
      <c r="DA75" s="18"/>
      <c r="DB75" s="18"/>
      <c r="DC75" s="18"/>
      <c r="DD75" s="18"/>
      <c r="DE75" s="18"/>
      <c r="DF75" s="18"/>
      <c r="DG75" s="18"/>
      <c r="DH75" s="18"/>
      <c r="DI75" s="18"/>
      <c r="DJ75" s="18"/>
      <c r="DK75" s="18"/>
      <c r="DL75" s="18"/>
      <c r="DM75" s="18"/>
      <c r="DN75" s="18"/>
      <c r="DO75" s="18"/>
      <c r="DP75" s="18"/>
      <c r="DQ75" s="18"/>
      <c r="DR75" s="18"/>
      <c r="DS75" s="18"/>
      <c r="DT75" s="18"/>
      <c r="DU75" s="18"/>
      <c r="DV75" s="18"/>
      <c r="DW75" s="18"/>
      <c r="DX75" s="18"/>
      <c r="DY75" s="18"/>
      <c r="DZ75" s="18"/>
      <c r="EA75" s="18"/>
      <c r="EB75" s="18"/>
      <c r="EC75" s="18"/>
      <c r="ED75" s="18"/>
      <c r="EE75" s="18"/>
      <c r="EF75" s="18"/>
      <c r="EG75" s="18"/>
      <c r="EH75" s="18"/>
      <c r="EI75" s="18"/>
      <c r="EJ75" s="18"/>
      <c r="EK75" s="18"/>
      <c r="EL75" s="18"/>
      <c r="EM75" s="18"/>
      <c r="EN75" s="18"/>
      <c r="EO75" s="18"/>
      <c r="EP75" s="18"/>
      <c r="EQ75" s="18"/>
      <c r="ER75" s="18"/>
      <c r="ES75" s="18"/>
      <c r="ET75" s="18"/>
      <c r="EU75" s="18"/>
      <c r="EV75" s="18"/>
      <c r="EW75" s="18"/>
      <c r="EX75" s="18"/>
      <c r="EY75" s="18"/>
      <c r="EZ75" s="18"/>
      <c r="FA75" s="18"/>
      <c r="FB75" s="18"/>
      <c r="FC75" s="18"/>
      <c r="FD75" s="18"/>
      <c r="FE75" s="18"/>
      <c r="FF75" s="18"/>
      <c r="FG75" s="18"/>
      <c r="FH75" s="18"/>
      <c r="FI75" s="18"/>
      <c r="FJ75" s="18"/>
      <c r="FK75" s="18"/>
      <c r="FL75" s="18"/>
      <c r="FM75" s="18"/>
      <c r="FN75" s="18"/>
      <c r="FO75" s="18"/>
      <c r="FP75" s="18"/>
      <c r="FQ75" s="18"/>
      <c r="FR75" s="18"/>
      <c r="FS75" s="18"/>
      <c r="FT75" s="18"/>
      <c r="FU75" s="18"/>
      <c r="FV75" s="18"/>
      <c r="FW75" s="18"/>
      <c r="FX75" s="18"/>
      <c r="FY75" s="18"/>
      <c r="FZ75" s="18"/>
      <c r="GA75" s="18"/>
      <c r="GB75" s="18"/>
      <c r="GC75" s="18"/>
      <c r="GD75" s="18"/>
      <c r="GE75" s="18"/>
      <c r="GF75" s="18"/>
    </row>
    <row r="76" spans="1:188" s="18" customFormat="1">
      <c r="A76" s="40" t="s">
        <v>45</v>
      </c>
      <c r="B76" s="40" t="s">
        <v>101</v>
      </c>
      <c r="C76" s="40"/>
      <c r="D76" s="40" t="s">
        <v>64</v>
      </c>
      <c r="E76" s="40" t="s">
        <v>187</v>
      </c>
      <c r="F76" s="70">
        <v>41381</v>
      </c>
      <c r="G76" s="42">
        <f>4888.215+2.599</f>
        <v>4890.8140000000003</v>
      </c>
      <c r="H76" s="42"/>
      <c r="I76" s="42"/>
      <c r="J76" s="64"/>
      <c r="K76" s="65">
        <f t="shared" ref="K76:K116" si="87">SUM(G76:I76)-J76</f>
        <v>4890.8140000000003</v>
      </c>
      <c r="L76" s="42"/>
      <c r="M76" s="84"/>
      <c r="N76" s="42"/>
      <c r="O76" s="42">
        <v>0</v>
      </c>
      <c r="P76" s="86" t="s">
        <v>194</v>
      </c>
      <c r="Q76" s="86" t="s">
        <v>194</v>
      </c>
      <c r="R76" s="42"/>
      <c r="S76" s="38"/>
      <c r="T76" s="38"/>
      <c r="U76" s="40"/>
      <c r="V76" s="40">
        <v>0</v>
      </c>
      <c r="W76" s="65">
        <f t="shared" ref="W76:W84" si="88">+K76-SUM(L76:V76)</f>
        <v>4890.8140000000003</v>
      </c>
      <c r="X76" s="38">
        <f t="shared" ref="X76:X84" si="89">IF(K76&gt;2250,K76*0.1,0)</f>
        <v>489.08140000000003</v>
      </c>
      <c r="Y76" s="65">
        <f t="shared" ref="Y76:Y84" si="90">+W76-X76</f>
        <v>4401.7326000000003</v>
      </c>
      <c r="Z76" s="38">
        <f t="shared" ref="Z76:Z84" si="91">IF(K76&lt;2250,K76*0.1,0)</f>
        <v>0</v>
      </c>
      <c r="AA76" s="38">
        <v>10.23</v>
      </c>
      <c r="AB76" s="38" t="str">
        <f t="shared" ref="AB76:AB84" si="92">+P76</f>
        <v>X</v>
      </c>
      <c r="AC76" s="65" t="e">
        <f t="shared" ref="AC76:AC84" si="93">+K76+Z76+AA76+AB76</f>
        <v>#VALUE!</v>
      </c>
      <c r="AD76" s="72"/>
      <c r="AE76" s="73"/>
      <c r="AF76" s="66">
        <f t="shared" ref="AF76:AF80" si="94">+AD76+AE76-Y76</f>
        <v>-4401.7326000000003</v>
      </c>
      <c r="AG76" s="40"/>
      <c r="AH76" s="40"/>
    </row>
    <row r="77" spans="1:188" s="18" customFormat="1">
      <c r="A77" s="40" t="s">
        <v>45</v>
      </c>
      <c r="B77" s="40" t="s">
        <v>160</v>
      </c>
      <c r="C77" s="40"/>
      <c r="D77" s="40" t="s">
        <v>65</v>
      </c>
      <c r="E77" s="40" t="s">
        <v>187</v>
      </c>
      <c r="F77" s="70">
        <v>41740</v>
      </c>
      <c r="G77" s="42">
        <f>2344.934+5.571</f>
        <v>2350.5050000000001</v>
      </c>
      <c r="H77" s="42"/>
      <c r="I77" s="42"/>
      <c r="J77" s="64"/>
      <c r="K77" s="65">
        <f t="shared" si="87"/>
        <v>2350.5050000000001</v>
      </c>
      <c r="L77" s="42"/>
      <c r="M77" s="84"/>
      <c r="N77" s="42"/>
      <c r="O77" s="42"/>
      <c r="P77" s="86" t="s">
        <v>194</v>
      </c>
      <c r="Q77" s="86" t="s">
        <v>194</v>
      </c>
      <c r="R77" s="42"/>
      <c r="S77" s="38"/>
      <c r="T77" s="38"/>
      <c r="U77" s="40"/>
      <c r="V77" s="40">
        <v>0</v>
      </c>
      <c r="W77" s="65">
        <f t="shared" si="88"/>
        <v>2350.5050000000001</v>
      </c>
      <c r="X77" s="38">
        <f t="shared" si="89"/>
        <v>235.05050000000003</v>
      </c>
      <c r="Y77" s="65">
        <f t="shared" si="90"/>
        <v>2115.4545000000003</v>
      </c>
      <c r="Z77" s="38">
        <f t="shared" si="91"/>
        <v>0</v>
      </c>
      <c r="AA77" s="38">
        <v>10.23</v>
      </c>
      <c r="AB77" s="38" t="str">
        <f t="shared" si="92"/>
        <v>X</v>
      </c>
      <c r="AC77" s="65" t="e">
        <f t="shared" si="93"/>
        <v>#VALUE!</v>
      </c>
      <c r="AD77" s="72"/>
      <c r="AE77" s="73"/>
      <c r="AF77" s="66">
        <f t="shared" si="94"/>
        <v>-2115.4545000000003</v>
      </c>
      <c r="AG77" s="40"/>
      <c r="AH77" s="40"/>
    </row>
    <row r="78" spans="1:188" s="18" customFormat="1">
      <c r="A78" s="112" t="s">
        <v>43</v>
      </c>
      <c r="B78" s="112" t="s">
        <v>240</v>
      </c>
      <c r="C78" s="112"/>
      <c r="D78" s="112"/>
      <c r="E78" s="112" t="s">
        <v>183</v>
      </c>
      <c r="F78" s="113">
        <v>42718</v>
      </c>
      <c r="G78" s="114"/>
      <c r="H78" s="114"/>
      <c r="I78" s="114"/>
      <c r="J78" s="64"/>
      <c r="K78" s="65"/>
      <c r="L78" s="42"/>
      <c r="M78" s="84"/>
      <c r="N78" s="85"/>
      <c r="O78" s="42"/>
      <c r="P78" s="86"/>
      <c r="Q78" s="86"/>
      <c r="R78" s="42"/>
      <c r="S78" s="38"/>
      <c r="T78" s="38"/>
      <c r="U78" s="40"/>
      <c r="V78" s="40"/>
      <c r="W78" s="65"/>
      <c r="X78" s="38"/>
      <c r="Y78" s="65"/>
      <c r="Z78" s="38"/>
      <c r="AA78" s="38"/>
      <c r="AB78" s="38"/>
      <c r="AC78" s="65"/>
      <c r="AD78" s="72"/>
      <c r="AE78" s="73"/>
      <c r="AF78" s="66"/>
      <c r="AG78" s="115" t="s">
        <v>243</v>
      </c>
      <c r="AH78" s="115" t="s">
        <v>241</v>
      </c>
    </row>
    <row r="79" spans="1:188" s="18" customFormat="1">
      <c r="A79" s="40" t="s">
        <v>45</v>
      </c>
      <c r="B79" s="40" t="s">
        <v>102</v>
      </c>
      <c r="C79" s="40"/>
      <c r="D79" s="40" t="s">
        <v>66</v>
      </c>
      <c r="E79" s="40" t="s">
        <v>94</v>
      </c>
      <c r="F79" s="70">
        <v>41227</v>
      </c>
      <c r="G79" s="42">
        <f>8811+7.428</f>
        <v>8818.4279999999999</v>
      </c>
      <c r="H79" s="42"/>
      <c r="I79" s="42"/>
      <c r="J79" s="64"/>
      <c r="K79" s="65">
        <f t="shared" si="87"/>
        <v>8818.4279999999999</v>
      </c>
      <c r="L79" s="42"/>
      <c r="M79" s="84"/>
      <c r="N79" s="42"/>
      <c r="O79" s="42">
        <v>700</v>
      </c>
      <c r="P79" s="86" t="s">
        <v>194</v>
      </c>
      <c r="Q79" s="86" t="s">
        <v>194</v>
      </c>
      <c r="R79" s="42"/>
      <c r="S79" s="38"/>
      <c r="T79" s="38"/>
      <c r="U79" s="40"/>
      <c r="V79" s="40">
        <v>0</v>
      </c>
      <c r="W79" s="65">
        <f t="shared" si="88"/>
        <v>8118.4279999999999</v>
      </c>
      <c r="X79" s="38">
        <f t="shared" si="89"/>
        <v>881.84280000000001</v>
      </c>
      <c r="Y79" s="65">
        <f t="shared" si="90"/>
        <v>7236.5851999999995</v>
      </c>
      <c r="Z79" s="38">
        <f t="shared" si="91"/>
        <v>0</v>
      </c>
      <c r="AA79" s="38">
        <v>10.23</v>
      </c>
      <c r="AB79" s="38" t="str">
        <f t="shared" si="92"/>
        <v>X</v>
      </c>
      <c r="AC79" s="65" t="e">
        <f t="shared" si="93"/>
        <v>#VALUE!</v>
      </c>
      <c r="AD79" s="72"/>
      <c r="AE79" s="72"/>
      <c r="AF79" s="66">
        <f t="shared" si="94"/>
        <v>-7236.5851999999995</v>
      </c>
      <c r="AG79" s="40"/>
      <c r="AH79" s="43"/>
    </row>
    <row r="80" spans="1:188" s="18" customFormat="1">
      <c r="A80" s="40" t="s">
        <v>45</v>
      </c>
      <c r="B80" s="40" t="s">
        <v>140</v>
      </c>
      <c r="C80" s="40"/>
      <c r="D80" s="40" t="s">
        <v>67</v>
      </c>
      <c r="E80" s="40" t="s">
        <v>232</v>
      </c>
      <c r="F80" s="70">
        <v>42242</v>
      </c>
      <c r="G80" s="42">
        <f>409.222+2.599</f>
        <v>411.82099999999997</v>
      </c>
      <c r="H80" s="42"/>
      <c r="I80" s="42"/>
      <c r="J80" s="64"/>
      <c r="K80" s="65">
        <f t="shared" si="87"/>
        <v>411.82099999999997</v>
      </c>
      <c r="L80" s="42"/>
      <c r="M80" s="84"/>
      <c r="N80" s="42"/>
      <c r="O80" s="42">
        <v>0</v>
      </c>
      <c r="P80" s="86" t="s">
        <v>194</v>
      </c>
      <c r="Q80" s="86" t="s">
        <v>194</v>
      </c>
      <c r="R80" s="42"/>
      <c r="S80" s="38"/>
      <c r="T80" s="38"/>
      <c r="U80" s="40"/>
      <c r="V80" s="40">
        <v>0</v>
      </c>
      <c r="W80" s="65">
        <f t="shared" si="88"/>
        <v>411.82099999999997</v>
      </c>
      <c r="X80" s="38">
        <f t="shared" si="89"/>
        <v>0</v>
      </c>
      <c r="Y80" s="65">
        <f t="shared" si="90"/>
        <v>411.82099999999997</v>
      </c>
      <c r="Z80" s="38">
        <f t="shared" si="91"/>
        <v>41.182099999999998</v>
      </c>
      <c r="AA80" s="38">
        <v>10.23</v>
      </c>
      <c r="AB80" s="38" t="str">
        <f t="shared" si="92"/>
        <v>X</v>
      </c>
      <c r="AC80" s="65" t="e">
        <f t="shared" si="93"/>
        <v>#VALUE!</v>
      </c>
      <c r="AD80" s="72"/>
      <c r="AE80" s="73"/>
      <c r="AF80" s="66">
        <f t="shared" si="94"/>
        <v>-411.82099999999997</v>
      </c>
      <c r="AG80" s="40"/>
      <c r="AH80" s="40"/>
    </row>
    <row r="81" spans="1:34" s="18" customFormat="1">
      <c r="A81" s="40" t="s">
        <v>43</v>
      </c>
      <c r="B81" s="40" t="s">
        <v>155</v>
      </c>
      <c r="C81" s="40"/>
      <c r="D81" s="40" t="s">
        <v>57</v>
      </c>
      <c r="E81" s="40" t="s">
        <v>183</v>
      </c>
      <c r="F81" s="70">
        <v>42338</v>
      </c>
      <c r="G81" s="42">
        <f>525.456+2.972</f>
        <v>528.428</v>
      </c>
      <c r="H81" s="42"/>
      <c r="I81" s="42"/>
      <c r="J81" s="64"/>
      <c r="K81" s="65">
        <f t="shared" si="87"/>
        <v>528.428</v>
      </c>
      <c r="L81" s="42"/>
      <c r="M81" s="84">
        <v>1</v>
      </c>
      <c r="N81" s="42"/>
      <c r="O81" s="42">
        <v>0</v>
      </c>
      <c r="P81" s="86"/>
      <c r="Q81" s="86"/>
      <c r="R81" s="42"/>
      <c r="S81" s="38"/>
      <c r="T81" s="38"/>
      <c r="U81" s="40"/>
      <c r="V81" s="40">
        <v>0</v>
      </c>
      <c r="W81" s="65">
        <f t="shared" si="88"/>
        <v>527.428</v>
      </c>
      <c r="X81" s="38">
        <f t="shared" si="89"/>
        <v>0</v>
      </c>
      <c r="Y81" s="65">
        <f t="shared" si="90"/>
        <v>527.428</v>
      </c>
      <c r="Z81" s="38">
        <f t="shared" si="91"/>
        <v>52.842800000000004</v>
      </c>
      <c r="AA81" s="38">
        <v>10.23</v>
      </c>
      <c r="AB81" s="38">
        <f t="shared" si="92"/>
        <v>0</v>
      </c>
      <c r="AC81" s="65">
        <f t="shared" si="93"/>
        <v>591.50080000000003</v>
      </c>
      <c r="AD81" s="72"/>
      <c r="AE81" s="73"/>
      <c r="AF81" s="66">
        <f>+AD81+AE81-Y81</f>
        <v>-527.428</v>
      </c>
      <c r="AG81" s="40"/>
      <c r="AH81" s="43"/>
    </row>
    <row r="82" spans="1:34" s="18" customFormat="1">
      <c r="A82" s="40" t="s">
        <v>43</v>
      </c>
      <c r="B82" s="40" t="s">
        <v>216</v>
      </c>
      <c r="C82" s="40"/>
      <c r="D82" s="40"/>
      <c r="E82" s="40" t="s">
        <v>90</v>
      </c>
      <c r="F82" s="70">
        <v>42681</v>
      </c>
      <c r="G82" s="42">
        <f>970.812+2.972</f>
        <v>973.78399999999999</v>
      </c>
      <c r="H82" s="42"/>
      <c r="I82" s="42"/>
      <c r="J82" s="64"/>
      <c r="K82" s="65">
        <f t="shared" si="87"/>
        <v>973.78399999999999</v>
      </c>
      <c r="L82" s="42"/>
      <c r="M82" s="84">
        <v>1</v>
      </c>
      <c r="N82" s="42"/>
      <c r="O82" s="42"/>
      <c r="P82" s="86"/>
      <c r="Q82" s="86"/>
      <c r="R82" s="42"/>
      <c r="S82" s="38"/>
      <c r="T82" s="38"/>
      <c r="U82" s="40"/>
      <c r="V82" s="40"/>
      <c r="W82" s="65">
        <f t="shared" ref="W82" si="95">+K82-SUM(L82:V82)</f>
        <v>972.78399999999999</v>
      </c>
      <c r="X82" s="38">
        <f t="shared" ref="X82" si="96">IF(K82&gt;2250,K82*0.1,0)</f>
        <v>0</v>
      </c>
      <c r="Y82" s="65">
        <f t="shared" ref="Y82" si="97">+W82-X82</f>
        <v>972.78399999999999</v>
      </c>
      <c r="Z82" s="38"/>
      <c r="AA82" s="38"/>
      <c r="AB82" s="38"/>
      <c r="AC82" s="65"/>
      <c r="AD82" s="72"/>
      <c r="AE82" s="73"/>
      <c r="AF82" s="66"/>
      <c r="AG82" s="40">
        <v>1500026042</v>
      </c>
      <c r="AH82" s="43"/>
    </row>
    <row r="83" spans="1:34" s="18" customFormat="1">
      <c r="A83" s="40" t="s">
        <v>45</v>
      </c>
      <c r="B83" s="40" t="s">
        <v>165</v>
      </c>
      <c r="C83" s="40"/>
      <c r="D83" s="40" t="s">
        <v>68</v>
      </c>
      <c r="E83" s="40" t="s">
        <v>187</v>
      </c>
      <c r="F83" s="70">
        <v>41227</v>
      </c>
      <c r="G83" s="42">
        <f>2471.198+2.599</f>
        <v>2473.797</v>
      </c>
      <c r="H83" s="42"/>
      <c r="I83" s="42"/>
      <c r="J83" s="64"/>
      <c r="K83" s="65">
        <f t="shared" si="87"/>
        <v>2473.797</v>
      </c>
      <c r="L83" s="42"/>
      <c r="M83" s="84"/>
      <c r="N83" s="42"/>
      <c r="O83" s="42">
        <v>500</v>
      </c>
      <c r="P83" s="86" t="s">
        <v>194</v>
      </c>
      <c r="Q83" s="86" t="s">
        <v>194</v>
      </c>
      <c r="R83" s="42"/>
      <c r="S83" s="38"/>
      <c r="T83" s="38"/>
      <c r="U83" s="40"/>
      <c r="V83" s="40">
        <v>0</v>
      </c>
      <c r="W83" s="65">
        <f t="shared" si="88"/>
        <v>1973.797</v>
      </c>
      <c r="X83" s="38">
        <f t="shared" si="89"/>
        <v>247.37970000000001</v>
      </c>
      <c r="Y83" s="65">
        <f t="shared" si="90"/>
        <v>1726.4173000000001</v>
      </c>
      <c r="Z83" s="38">
        <f t="shared" si="91"/>
        <v>0</v>
      </c>
      <c r="AA83" s="38">
        <v>10.23</v>
      </c>
      <c r="AB83" s="38" t="str">
        <f t="shared" si="92"/>
        <v>X</v>
      </c>
      <c r="AC83" s="65" t="e">
        <f t="shared" si="93"/>
        <v>#VALUE!</v>
      </c>
      <c r="AD83" s="72"/>
      <c r="AE83" s="72"/>
      <c r="AF83" s="66">
        <f>+AD83+AE83-Y83</f>
        <v>-1726.4173000000001</v>
      </c>
      <c r="AG83" s="40"/>
      <c r="AH83" s="43"/>
    </row>
    <row r="84" spans="1:34" s="18" customFormat="1">
      <c r="A84" s="40" t="s">
        <v>45</v>
      </c>
      <c r="B84" s="40" t="s">
        <v>118</v>
      </c>
      <c r="C84" s="40"/>
      <c r="D84" s="40" t="s">
        <v>69</v>
      </c>
      <c r="E84" s="40" t="s">
        <v>187</v>
      </c>
      <c r="F84" s="70">
        <v>41227</v>
      </c>
      <c r="G84" s="42">
        <f>4050.924+2.972</f>
        <v>4053.8960000000002</v>
      </c>
      <c r="H84" s="42"/>
      <c r="I84" s="42"/>
      <c r="J84" s="64"/>
      <c r="K84" s="65">
        <f t="shared" si="87"/>
        <v>4053.8960000000002</v>
      </c>
      <c r="L84" s="42"/>
      <c r="M84" s="84"/>
      <c r="N84" s="42"/>
      <c r="O84" s="42">
        <v>0</v>
      </c>
      <c r="P84" s="86" t="s">
        <v>194</v>
      </c>
      <c r="Q84" s="86" t="s">
        <v>194</v>
      </c>
      <c r="R84" s="42"/>
      <c r="S84" s="38"/>
      <c r="T84" s="38"/>
      <c r="U84" s="67"/>
      <c r="V84" s="40">
        <v>0</v>
      </c>
      <c r="W84" s="65">
        <f t="shared" si="88"/>
        <v>4053.8960000000002</v>
      </c>
      <c r="X84" s="38">
        <f t="shared" si="89"/>
        <v>405.38960000000003</v>
      </c>
      <c r="Y84" s="65">
        <f t="shared" si="90"/>
        <v>3648.5064000000002</v>
      </c>
      <c r="Z84" s="38">
        <f t="shared" si="91"/>
        <v>0</v>
      </c>
      <c r="AA84" s="38">
        <v>10.23</v>
      </c>
      <c r="AB84" s="38" t="str">
        <f t="shared" si="92"/>
        <v>X</v>
      </c>
      <c r="AC84" s="65" t="e">
        <f t="shared" si="93"/>
        <v>#VALUE!</v>
      </c>
      <c r="AD84" s="72"/>
      <c r="AE84" s="73"/>
      <c r="AF84" s="66">
        <f>+AD84+AE84-Y84</f>
        <v>-3648.5064000000002</v>
      </c>
      <c r="AG84" s="40"/>
      <c r="AH84" s="43"/>
    </row>
    <row r="85" spans="1:34" s="18" customFormat="1">
      <c r="A85" s="40" t="s">
        <v>45</v>
      </c>
      <c r="B85" s="40" t="s">
        <v>210</v>
      </c>
      <c r="C85" s="40"/>
      <c r="D85" s="40"/>
      <c r="E85" s="40" t="s">
        <v>183</v>
      </c>
      <c r="F85" s="70">
        <v>42660</v>
      </c>
      <c r="G85" s="42">
        <f>1281.6+5.571</f>
        <v>1287.1709999999998</v>
      </c>
      <c r="H85" s="42"/>
      <c r="I85" s="42"/>
      <c r="J85" s="64"/>
      <c r="K85" s="65">
        <f t="shared" si="87"/>
        <v>1287.1709999999998</v>
      </c>
      <c r="L85" s="42"/>
      <c r="M85" s="84"/>
      <c r="N85" s="42"/>
      <c r="O85" s="42"/>
      <c r="P85" s="86"/>
      <c r="Q85" s="86"/>
      <c r="R85" s="42"/>
      <c r="S85" s="38"/>
      <c r="T85" s="38"/>
      <c r="U85" s="67"/>
      <c r="V85" s="40"/>
      <c r="W85" s="65">
        <f t="shared" ref="W85" si="98">+K85-SUM(L85:V85)</f>
        <v>1287.1709999999998</v>
      </c>
      <c r="X85" s="38">
        <f t="shared" ref="X85" si="99">IF(K85&gt;2250,K85*0.1,0)</f>
        <v>0</v>
      </c>
      <c r="Y85" s="65">
        <f t="shared" ref="Y85" si="100">+W85-X85</f>
        <v>1287.1709999999998</v>
      </c>
      <c r="Z85" s="38"/>
      <c r="AA85" s="38"/>
      <c r="AB85" s="38"/>
      <c r="AC85" s="65"/>
      <c r="AD85" s="72"/>
      <c r="AE85" s="73"/>
      <c r="AF85" s="66"/>
      <c r="AG85" s="40">
        <v>2954141431</v>
      </c>
      <c r="AH85" s="43"/>
    </row>
    <row r="86" spans="1:34" s="18" customFormat="1">
      <c r="A86" s="40" t="s">
        <v>43</v>
      </c>
      <c r="B86" s="40" t="s">
        <v>192</v>
      </c>
      <c r="C86" s="40"/>
      <c r="D86" s="40"/>
      <c r="E86" s="40" t="s">
        <v>232</v>
      </c>
      <c r="F86" s="70">
        <v>42604</v>
      </c>
      <c r="G86" s="42">
        <v>336.85399999999998</v>
      </c>
      <c r="H86" s="42"/>
      <c r="I86" s="42"/>
      <c r="J86" s="64"/>
      <c r="K86" s="65">
        <f t="shared" si="87"/>
        <v>336.85399999999998</v>
      </c>
      <c r="L86" s="42"/>
      <c r="M86" s="84"/>
      <c r="N86" s="42"/>
      <c r="O86" s="42"/>
      <c r="P86" s="86"/>
      <c r="Q86" s="86"/>
      <c r="R86" s="42"/>
      <c r="S86" s="38"/>
      <c r="T86" s="38"/>
      <c r="U86" s="40"/>
      <c r="V86" s="40"/>
      <c r="W86" s="65">
        <f t="shared" ref="W86" si="101">+K86-SUM(L86:V86)</f>
        <v>336.85399999999998</v>
      </c>
      <c r="X86" s="38">
        <f t="shared" ref="X86" si="102">IF(K86&gt;2250,K86*0.1,0)</f>
        <v>0</v>
      </c>
      <c r="Y86" s="65">
        <f t="shared" ref="Y86" si="103">+W86-X86</f>
        <v>336.85399999999998</v>
      </c>
      <c r="Z86" s="38"/>
      <c r="AA86" s="38"/>
      <c r="AB86" s="38"/>
      <c r="AC86" s="65"/>
      <c r="AD86" s="72"/>
      <c r="AE86" s="73"/>
      <c r="AF86" s="66"/>
      <c r="AG86" s="40">
        <v>1258728658</v>
      </c>
      <c r="AH86" s="43"/>
    </row>
    <row r="87" spans="1:34" s="18" customFormat="1">
      <c r="A87" s="112" t="s">
        <v>45</v>
      </c>
      <c r="B87" s="112" t="s">
        <v>239</v>
      </c>
      <c r="C87" s="112"/>
      <c r="D87" s="112"/>
      <c r="E87" s="112" t="s">
        <v>183</v>
      </c>
      <c r="F87" s="113">
        <v>42719</v>
      </c>
      <c r="G87" s="114"/>
      <c r="H87" s="114"/>
      <c r="I87" s="114"/>
      <c r="J87" s="64"/>
      <c r="K87" s="65"/>
      <c r="L87" s="42"/>
      <c r="M87" s="84"/>
      <c r="N87" s="85"/>
      <c r="O87" s="42"/>
      <c r="P87" s="86"/>
      <c r="Q87" s="86"/>
      <c r="R87" s="42"/>
      <c r="S87" s="38"/>
      <c r="T87" s="38"/>
      <c r="U87" s="40"/>
      <c r="V87" s="40"/>
      <c r="W87" s="65"/>
      <c r="X87" s="38"/>
      <c r="Y87" s="65"/>
      <c r="Z87" s="38"/>
      <c r="AA87" s="38"/>
      <c r="AB87" s="38"/>
      <c r="AC87" s="65"/>
      <c r="AD87" s="72"/>
      <c r="AE87" s="73"/>
      <c r="AF87" s="66"/>
      <c r="AG87" s="115" t="s">
        <v>243</v>
      </c>
      <c r="AH87" s="115" t="s">
        <v>242</v>
      </c>
    </row>
    <row r="88" spans="1:34" s="18" customFormat="1">
      <c r="A88" s="40" t="s">
        <v>43</v>
      </c>
      <c r="B88" s="40" t="s">
        <v>119</v>
      </c>
      <c r="C88" s="40"/>
      <c r="D88" s="40" t="s">
        <v>48</v>
      </c>
      <c r="E88" s="40" t="s">
        <v>90</v>
      </c>
      <c r="F88" s="70">
        <v>42319</v>
      </c>
      <c r="G88" s="42">
        <f>2965.836+7.428</f>
        <v>2973.2639999999997</v>
      </c>
      <c r="H88" s="42"/>
      <c r="I88" s="42"/>
      <c r="J88" s="64"/>
      <c r="K88" s="65">
        <f t="shared" si="87"/>
        <v>2973.2639999999997</v>
      </c>
      <c r="L88" s="42"/>
      <c r="M88" s="84">
        <v>1</v>
      </c>
      <c r="N88" s="42"/>
      <c r="O88" s="42">
        <v>0</v>
      </c>
      <c r="P88" s="86"/>
      <c r="Q88" s="86"/>
      <c r="R88" s="42"/>
      <c r="S88" s="38"/>
      <c r="T88" s="38"/>
      <c r="U88" s="40"/>
      <c r="V88" s="40">
        <v>0</v>
      </c>
      <c r="W88" s="65">
        <f t="shared" ref="W88:W112" si="104">+K88-SUM(L88:V88)</f>
        <v>2972.2639999999997</v>
      </c>
      <c r="X88" s="38">
        <f t="shared" ref="X88:X112" si="105">IF(K88&gt;2250,K88*0.1,0)</f>
        <v>297.32639999999998</v>
      </c>
      <c r="Y88" s="65">
        <f t="shared" ref="Y88:Y112" si="106">+W88-X88</f>
        <v>2674.9375999999997</v>
      </c>
      <c r="Z88" s="38">
        <f t="shared" ref="Z88:Z112" si="107">IF(K88&lt;2250,K88*0.1,0)</f>
        <v>0</v>
      </c>
      <c r="AA88" s="38">
        <v>19.23</v>
      </c>
      <c r="AB88" s="38">
        <f t="shared" ref="AB88:AB112" si="108">+P88</f>
        <v>0</v>
      </c>
      <c r="AC88" s="65">
        <f t="shared" ref="AC88:AC112" si="109">+K88+Z88+AA88+AB88</f>
        <v>2992.4939999999997</v>
      </c>
      <c r="AD88" s="72"/>
      <c r="AE88" s="73"/>
      <c r="AF88" s="66">
        <f>+AD88+AE88-Y88</f>
        <v>-2674.9375999999997</v>
      </c>
      <c r="AG88" s="40"/>
      <c r="AH88" s="43"/>
    </row>
    <row r="89" spans="1:34" s="18" customFormat="1">
      <c r="A89" s="40" t="s">
        <v>45</v>
      </c>
      <c r="B89" s="40" t="s">
        <v>209</v>
      </c>
      <c r="C89" s="40"/>
      <c r="D89" s="40"/>
      <c r="E89" s="40" t="s">
        <v>183</v>
      </c>
      <c r="F89" s="70">
        <v>42654</v>
      </c>
      <c r="G89" s="42">
        <v>432.06200000000001</v>
      </c>
      <c r="H89" s="42"/>
      <c r="I89" s="42"/>
      <c r="J89" s="64"/>
      <c r="K89" s="65">
        <f t="shared" si="87"/>
        <v>432.06200000000001</v>
      </c>
      <c r="L89" s="42"/>
      <c r="M89" s="84"/>
      <c r="N89" s="42"/>
      <c r="O89" s="42"/>
      <c r="P89" s="86"/>
      <c r="Q89" s="86"/>
      <c r="R89" s="42"/>
      <c r="S89" s="38"/>
      <c r="T89" s="38"/>
      <c r="U89" s="40"/>
      <c r="V89" s="40"/>
      <c r="W89" s="65">
        <f t="shared" ref="W89" si="110">+K89-SUM(L89:V89)</f>
        <v>432.06200000000001</v>
      </c>
      <c r="X89" s="38">
        <f t="shared" ref="X89" si="111">IF(K89&gt;2250,K89*0.1,0)</f>
        <v>0</v>
      </c>
      <c r="Y89" s="65">
        <f t="shared" ref="Y89" si="112">+W89-X89</f>
        <v>432.06200000000001</v>
      </c>
      <c r="Z89" s="38"/>
      <c r="AA89" s="38"/>
      <c r="AB89" s="38"/>
      <c r="AC89" s="65"/>
      <c r="AD89" s="72"/>
      <c r="AE89" s="73"/>
      <c r="AF89" s="66"/>
      <c r="AG89" s="40">
        <v>1126929044</v>
      </c>
      <c r="AH89" s="43"/>
    </row>
    <row r="90" spans="1:34" s="18" customFormat="1">
      <c r="A90" s="40" t="s">
        <v>45</v>
      </c>
      <c r="B90" s="40" t="s">
        <v>98</v>
      </c>
      <c r="C90" s="40"/>
      <c r="D90" s="40" t="s">
        <v>70</v>
      </c>
      <c r="E90" s="40" t="s">
        <v>232</v>
      </c>
      <c r="F90" s="70">
        <v>41981</v>
      </c>
      <c r="G90" s="42">
        <f>2661.455+5.571</f>
        <v>2667.0259999999998</v>
      </c>
      <c r="H90" s="42"/>
      <c r="I90" s="42"/>
      <c r="J90" s="64"/>
      <c r="K90" s="65">
        <f t="shared" si="87"/>
        <v>2667.0259999999998</v>
      </c>
      <c r="L90" s="42"/>
      <c r="M90" s="84"/>
      <c r="N90" s="42"/>
      <c r="O90" s="42">
        <v>300</v>
      </c>
      <c r="P90" s="86" t="s">
        <v>194</v>
      </c>
      <c r="Q90" s="86" t="s">
        <v>194</v>
      </c>
      <c r="R90" s="42"/>
      <c r="S90" s="38"/>
      <c r="T90" s="38"/>
      <c r="U90" s="40"/>
      <c r="V90" s="40">
        <v>0</v>
      </c>
      <c r="W90" s="65">
        <f t="shared" si="104"/>
        <v>2367.0259999999998</v>
      </c>
      <c r="X90" s="38">
        <f t="shared" si="105"/>
        <v>266.70260000000002</v>
      </c>
      <c r="Y90" s="65">
        <f t="shared" si="106"/>
        <v>2100.3233999999998</v>
      </c>
      <c r="Z90" s="38">
        <f t="shared" si="107"/>
        <v>0</v>
      </c>
      <c r="AA90" s="38">
        <v>10.23</v>
      </c>
      <c r="AB90" s="38" t="str">
        <f t="shared" si="108"/>
        <v>X</v>
      </c>
      <c r="AC90" s="65" t="e">
        <f t="shared" si="109"/>
        <v>#VALUE!</v>
      </c>
      <c r="AD90" s="72"/>
      <c r="AE90" s="72"/>
      <c r="AF90" s="66">
        <f t="shared" ref="AF90:AF112" si="113">+AD90+AE90-Y90</f>
        <v>-2100.3233999999998</v>
      </c>
      <c r="AG90" s="40"/>
      <c r="AH90" s="40"/>
    </row>
    <row r="91" spans="1:34" s="18" customFormat="1">
      <c r="A91" s="40" t="s">
        <v>45</v>
      </c>
      <c r="B91" s="40" t="s">
        <v>137</v>
      </c>
      <c r="C91" s="40"/>
      <c r="D91" s="40" t="s">
        <v>138</v>
      </c>
      <c r="E91" s="40" t="s">
        <v>187</v>
      </c>
      <c r="F91" s="69">
        <v>41284</v>
      </c>
      <c r="G91" s="42">
        <f>3120.624+2.599</f>
        <v>3123.223</v>
      </c>
      <c r="H91" s="42"/>
      <c r="I91" s="42"/>
      <c r="J91" s="64"/>
      <c r="K91" s="65">
        <f t="shared" si="87"/>
        <v>3123.223</v>
      </c>
      <c r="L91" s="42"/>
      <c r="M91" s="84"/>
      <c r="N91" s="42"/>
      <c r="O91" s="42">
        <v>0</v>
      </c>
      <c r="P91" s="86" t="s">
        <v>194</v>
      </c>
      <c r="Q91" s="86" t="s">
        <v>194</v>
      </c>
      <c r="R91" s="42"/>
      <c r="S91" s="38"/>
      <c r="T91" s="38"/>
      <c r="U91" s="40"/>
      <c r="V91" s="40">
        <v>0</v>
      </c>
      <c r="W91" s="65">
        <f t="shared" si="104"/>
        <v>3123.223</v>
      </c>
      <c r="X91" s="38">
        <f t="shared" si="105"/>
        <v>312.32230000000004</v>
      </c>
      <c r="Y91" s="65">
        <f t="shared" si="106"/>
        <v>2810.9007000000001</v>
      </c>
      <c r="Z91" s="38">
        <f t="shared" si="107"/>
        <v>0</v>
      </c>
      <c r="AA91" s="38">
        <v>10.23</v>
      </c>
      <c r="AB91" s="38" t="str">
        <f t="shared" si="108"/>
        <v>X</v>
      </c>
      <c r="AC91" s="65" t="e">
        <f t="shared" si="109"/>
        <v>#VALUE!</v>
      </c>
      <c r="AD91" s="72"/>
      <c r="AE91" s="73"/>
      <c r="AF91" s="66">
        <f t="shared" si="113"/>
        <v>-2810.9007000000001</v>
      </c>
      <c r="AG91" s="40">
        <v>2948910731</v>
      </c>
      <c r="AH91" s="43"/>
    </row>
    <row r="92" spans="1:34" s="18" customFormat="1">
      <c r="A92" s="40" t="s">
        <v>45</v>
      </c>
      <c r="B92" s="40" t="s">
        <v>100</v>
      </c>
      <c r="C92" s="40"/>
      <c r="D92" s="40" t="s">
        <v>71</v>
      </c>
      <c r="E92" s="40" t="s">
        <v>187</v>
      </c>
      <c r="F92" s="69">
        <v>41227</v>
      </c>
      <c r="G92" s="42">
        <f>3170.892+2.972</f>
        <v>3173.864</v>
      </c>
      <c r="H92" s="42"/>
      <c r="I92" s="42"/>
      <c r="J92" s="64"/>
      <c r="K92" s="65">
        <f t="shared" si="87"/>
        <v>3173.864</v>
      </c>
      <c r="L92" s="42"/>
      <c r="M92" s="84"/>
      <c r="N92" s="42"/>
      <c r="O92" s="42">
        <v>0</v>
      </c>
      <c r="P92" s="86" t="s">
        <v>194</v>
      </c>
      <c r="Q92" s="86" t="s">
        <v>194</v>
      </c>
      <c r="R92" s="42"/>
      <c r="S92" s="38"/>
      <c r="T92" s="38"/>
      <c r="U92" s="40"/>
      <c r="V92" s="40">
        <v>0</v>
      </c>
      <c r="W92" s="65">
        <f t="shared" si="104"/>
        <v>3173.864</v>
      </c>
      <c r="X92" s="38">
        <f t="shared" si="105"/>
        <v>317.38640000000004</v>
      </c>
      <c r="Y92" s="65">
        <f t="shared" si="106"/>
        <v>2856.4776000000002</v>
      </c>
      <c r="Z92" s="38">
        <f t="shared" si="107"/>
        <v>0</v>
      </c>
      <c r="AA92" s="38">
        <v>10.23</v>
      </c>
      <c r="AB92" s="38" t="str">
        <f t="shared" si="108"/>
        <v>X</v>
      </c>
      <c r="AC92" s="65" t="e">
        <f t="shared" si="109"/>
        <v>#VALUE!</v>
      </c>
      <c r="AD92" s="72"/>
      <c r="AE92" s="72"/>
      <c r="AF92" s="66">
        <f t="shared" si="113"/>
        <v>-2856.4776000000002</v>
      </c>
      <c r="AG92" s="40"/>
      <c r="AH92" s="43"/>
    </row>
    <row r="93" spans="1:34" s="18" customFormat="1">
      <c r="A93" s="40" t="s">
        <v>43</v>
      </c>
      <c r="B93" s="40" t="s">
        <v>120</v>
      </c>
      <c r="C93" s="40"/>
      <c r="D93" s="40" t="s">
        <v>49</v>
      </c>
      <c r="E93" s="40" t="s">
        <v>90</v>
      </c>
      <c r="F93" s="69">
        <v>41493</v>
      </c>
      <c r="G93" s="42">
        <f>2679.442+13.099</f>
        <v>2692.5410000000002</v>
      </c>
      <c r="H93" s="42"/>
      <c r="I93" s="42"/>
      <c r="J93" s="64"/>
      <c r="K93" s="65">
        <f t="shared" si="87"/>
        <v>2692.5410000000002</v>
      </c>
      <c r="L93" s="42"/>
      <c r="M93" s="84"/>
      <c r="N93" s="42"/>
      <c r="O93" s="42">
        <v>0</v>
      </c>
      <c r="P93" s="86"/>
      <c r="Q93" s="86"/>
      <c r="R93" s="42"/>
      <c r="S93" s="38"/>
      <c r="T93" s="38"/>
      <c r="U93" s="40"/>
      <c r="V93" s="40">
        <v>0</v>
      </c>
      <c r="W93" s="65">
        <f t="shared" si="104"/>
        <v>2692.5410000000002</v>
      </c>
      <c r="X93" s="38">
        <f t="shared" si="105"/>
        <v>269.25410000000005</v>
      </c>
      <c r="Y93" s="65">
        <f t="shared" si="106"/>
        <v>2423.2869000000001</v>
      </c>
      <c r="Z93" s="38">
        <f t="shared" si="107"/>
        <v>0</v>
      </c>
      <c r="AA93" s="38">
        <v>10.23</v>
      </c>
      <c r="AB93" s="38">
        <f t="shared" si="108"/>
        <v>0</v>
      </c>
      <c r="AC93" s="65">
        <f t="shared" si="109"/>
        <v>2702.7710000000002</v>
      </c>
      <c r="AD93" s="72"/>
      <c r="AE93" s="73"/>
      <c r="AF93" s="66">
        <f t="shared" si="113"/>
        <v>-2423.2869000000001</v>
      </c>
      <c r="AG93" s="40"/>
      <c r="AH93" s="43"/>
    </row>
    <row r="94" spans="1:34" s="18" customFormat="1">
      <c r="A94" s="40" t="s">
        <v>45</v>
      </c>
      <c r="B94" s="40" t="s">
        <v>179</v>
      </c>
      <c r="C94" s="40"/>
      <c r="D94" s="40"/>
      <c r="E94" s="40" t="s">
        <v>232</v>
      </c>
      <c r="F94" s="70">
        <v>42493</v>
      </c>
      <c r="G94" s="42">
        <f>3232.155+5.571</f>
        <v>3237.7260000000001</v>
      </c>
      <c r="H94" s="42"/>
      <c r="I94" s="42"/>
      <c r="J94" s="64"/>
      <c r="K94" s="65">
        <f t="shared" si="87"/>
        <v>3237.7260000000001</v>
      </c>
      <c r="L94" s="42"/>
      <c r="M94" s="84"/>
      <c r="N94" s="42"/>
      <c r="O94" s="42">
        <v>0</v>
      </c>
      <c r="P94" s="86" t="s">
        <v>194</v>
      </c>
      <c r="Q94" s="86" t="s">
        <v>194</v>
      </c>
      <c r="R94" s="42"/>
      <c r="S94" s="38"/>
      <c r="T94" s="38"/>
      <c r="U94" s="40"/>
      <c r="V94" s="40">
        <v>0</v>
      </c>
      <c r="W94" s="65">
        <f t="shared" si="104"/>
        <v>3237.7260000000001</v>
      </c>
      <c r="X94" s="38">
        <f t="shared" si="105"/>
        <v>323.77260000000001</v>
      </c>
      <c r="Y94" s="65">
        <f t="shared" si="106"/>
        <v>2913.9534000000003</v>
      </c>
      <c r="Z94" s="38">
        <f t="shared" si="107"/>
        <v>0</v>
      </c>
      <c r="AA94" s="38">
        <v>10.23</v>
      </c>
      <c r="AB94" s="38" t="str">
        <f t="shared" si="108"/>
        <v>X</v>
      </c>
      <c r="AC94" s="65" t="e">
        <f t="shared" si="109"/>
        <v>#VALUE!</v>
      </c>
      <c r="AD94" s="72"/>
      <c r="AE94" s="72"/>
      <c r="AF94" s="66">
        <f t="shared" si="113"/>
        <v>-2913.9534000000003</v>
      </c>
      <c r="AG94" s="40"/>
      <c r="AH94" s="43"/>
    </row>
    <row r="95" spans="1:34" s="18" customFormat="1">
      <c r="A95" s="40" t="s">
        <v>43</v>
      </c>
      <c r="B95" s="40" t="s">
        <v>230</v>
      </c>
      <c r="C95" s="40"/>
      <c r="D95" s="40"/>
      <c r="E95" s="40" t="s">
        <v>183</v>
      </c>
      <c r="F95" s="70">
        <v>42716</v>
      </c>
      <c r="G95" s="42"/>
      <c r="H95" s="42"/>
      <c r="I95" s="42"/>
      <c r="J95" s="64"/>
      <c r="K95" s="65">
        <f t="shared" si="87"/>
        <v>0</v>
      </c>
      <c r="L95" s="42"/>
      <c r="M95" s="84"/>
      <c r="N95" s="42"/>
      <c r="O95" s="42"/>
      <c r="P95" s="86"/>
      <c r="Q95" s="86"/>
      <c r="R95" s="42"/>
      <c r="S95" s="38"/>
      <c r="T95" s="38"/>
      <c r="U95" s="40"/>
      <c r="V95" s="40">
        <v>428.22</v>
      </c>
      <c r="W95" s="65">
        <f t="shared" ref="W95" si="114">+K95-SUM(L95:V95)</f>
        <v>-428.22</v>
      </c>
      <c r="X95" s="38">
        <f t="shared" ref="X95" si="115">IF(K95&gt;2250,K95*0.1,0)</f>
        <v>0</v>
      </c>
      <c r="Y95" s="65">
        <f t="shared" ref="Y95" si="116">+W95-X95</f>
        <v>-428.22</v>
      </c>
      <c r="Z95" s="38"/>
      <c r="AA95" s="38"/>
      <c r="AB95" s="38"/>
      <c r="AC95" s="65"/>
      <c r="AD95" s="72"/>
      <c r="AE95" s="72"/>
      <c r="AF95" s="66"/>
      <c r="AG95" s="40"/>
      <c r="AH95" s="43"/>
    </row>
    <row r="96" spans="1:34" s="18" customFormat="1">
      <c r="A96" s="40" t="s">
        <v>45</v>
      </c>
      <c r="B96" s="40" t="s">
        <v>123</v>
      </c>
      <c r="C96" s="40"/>
      <c r="D96" s="40" t="s">
        <v>72</v>
      </c>
      <c r="E96" s="40" t="s">
        <v>232</v>
      </c>
      <c r="F96" s="70">
        <v>42242</v>
      </c>
      <c r="G96" s="42">
        <f>272.803+2.599</f>
        <v>275.40199999999999</v>
      </c>
      <c r="H96" s="42"/>
      <c r="I96" s="42"/>
      <c r="J96" s="64"/>
      <c r="K96" s="65">
        <f t="shared" si="87"/>
        <v>275.40199999999999</v>
      </c>
      <c r="L96" s="42">
        <v>200</v>
      </c>
      <c r="M96" s="84"/>
      <c r="N96" s="42"/>
      <c r="O96" s="42">
        <v>0</v>
      </c>
      <c r="P96" s="86" t="s">
        <v>194</v>
      </c>
      <c r="Q96" s="86" t="s">
        <v>194</v>
      </c>
      <c r="R96" s="42"/>
      <c r="S96" s="38"/>
      <c r="T96" s="38"/>
      <c r="U96" s="40"/>
      <c r="V96" s="40">
        <v>0</v>
      </c>
      <c r="W96" s="65">
        <f t="shared" si="104"/>
        <v>75.401999999999987</v>
      </c>
      <c r="X96" s="38">
        <f t="shared" si="105"/>
        <v>0</v>
      </c>
      <c r="Y96" s="65">
        <f t="shared" si="106"/>
        <v>75.401999999999987</v>
      </c>
      <c r="Z96" s="38">
        <f t="shared" si="107"/>
        <v>27.540199999999999</v>
      </c>
      <c r="AA96" s="38">
        <v>10.23</v>
      </c>
      <c r="AB96" s="38" t="str">
        <f t="shared" si="108"/>
        <v>X</v>
      </c>
      <c r="AC96" s="65" t="e">
        <f t="shared" si="109"/>
        <v>#VALUE!</v>
      </c>
      <c r="AD96" s="72"/>
      <c r="AE96" s="72"/>
      <c r="AF96" s="66">
        <f t="shared" si="113"/>
        <v>-75.401999999999987</v>
      </c>
      <c r="AG96" s="40"/>
      <c r="AH96" s="43" t="s">
        <v>235</v>
      </c>
    </row>
    <row r="97" spans="1:34" s="18" customFormat="1">
      <c r="A97" s="40" t="s">
        <v>43</v>
      </c>
      <c r="B97" s="40" t="s">
        <v>156</v>
      </c>
      <c r="C97" s="40"/>
      <c r="D97" s="40" t="s">
        <v>50</v>
      </c>
      <c r="E97" s="40" t="s">
        <v>90</v>
      </c>
      <c r="F97" s="70">
        <v>42170</v>
      </c>
      <c r="G97" s="42">
        <f>1932.97+13.099</f>
        <v>1946.069</v>
      </c>
      <c r="H97" s="42"/>
      <c r="I97" s="42"/>
      <c r="J97" s="64"/>
      <c r="K97" s="65">
        <f t="shared" si="87"/>
        <v>1946.069</v>
      </c>
      <c r="L97" s="84"/>
      <c r="M97" s="84"/>
      <c r="N97" s="42"/>
      <c r="O97" s="42">
        <v>0</v>
      </c>
      <c r="P97" s="86"/>
      <c r="Q97" s="86"/>
      <c r="R97" s="42"/>
      <c r="S97" s="38"/>
      <c r="T97" s="38"/>
      <c r="U97" s="40"/>
      <c r="V97" s="40">
        <v>0</v>
      </c>
      <c r="W97" s="65">
        <f t="shared" si="104"/>
        <v>1946.069</v>
      </c>
      <c r="X97" s="38">
        <f t="shared" si="105"/>
        <v>0</v>
      </c>
      <c r="Y97" s="65">
        <f t="shared" si="106"/>
        <v>1946.069</v>
      </c>
      <c r="Z97" s="38">
        <f t="shared" si="107"/>
        <v>194.6069</v>
      </c>
      <c r="AA97" s="38">
        <v>10.23</v>
      </c>
      <c r="AB97" s="38">
        <f t="shared" si="108"/>
        <v>0</v>
      </c>
      <c r="AC97" s="65">
        <f t="shared" si="109"/>
        <v>2150.9059000000002</v>
      </c>
      <c r="AD97" s="72"/>
      <c r="AE97" s="73"/>
      <c r="AF97" s="66">
        <f t="shared" si="113"/>
        <v>-1946.069</v>
      </c>
      <c r="AG97" s="40"/>
      <c r="AH97" s="43"/>
    </row>
    <row r="98" spans="1:34" s="18" customFormat="1">
      <c r="A98" s="40" t="s">
        <v>45</v>
      </c>
      <c r="B98" s="40" t="s">
        <v>107</v>
      </c>
      <c r="C98" s="40"/>
      <c r="D98" s="40" t="s">
        <v>73</v>
      </c>
      <c r="E98" s="40" t="s">
        <v>186</v>
      </c>
      <c r="F98" s="70">
        <v>36868</v>
      </c>
      <c r="G98" s="42">
        <f>3517.384+3.714</f>
        <v>3521.098</v>
      </c>
      <c r="H98" s="42"/>
      <c r="I98" s="42"/>
      <c r="J98" s="64"/>
      <c r="K98" s="65">
        <f t="shared" si="87"/>
        <v>3521.098</v>
      </c>
      <c r="L98" s="42"/>
      <c r="M98" s="84"/>
      <c r="N98" s="42"/>
      <c r="O98" s="42">
        <v>0</v>
      </c>
      <c r="P98" s="86" t="s">
        <v>194</v>
      </c>
      <c r="Q98" s="86" t="s">
        <v>194</v>
      </c>
      <c r="R98" s="42"/>
      <c r="S98" s="38"/>
      <c r="T98" s="38"/>
      <c r="U98" s="40"/>
      <c r="V98" s="40">
        <v>0</v>
      </c>
      <c r="W98" s="65">
        <f t="shared" si="104"/>
        <v>3521.098</v>
      </c>
      <c r="X98" s="38">
        <f t="shared" si="105"/>
        <v>352.10980000000001</v>
      </c>
      <c r="Y98" s="65">
        <f t="shared" si="106"/>
        <v>3168.9881999999998</v>
      </c>
      <c r="Z98" s="38">
        <f t="shared" si="107"/>
        <v>0</v>
      </c>
      <c r="AA98" s="38">
        <v>10.23</v>
      </c>
      <c r="AB98" s="38" t="str">
        <f t="shared" si="108"/>
        <v>X</v>
      </c>
      <c r="AC98" s="65" t="e">
        <f t="shared" si="109"/>
        <v>#VALUE!</v>
      </c>
      <c r="AD98" s="72"/>
      <c r="AE98" s="72"/>
      <c r="AF98" s="66">
        <f t="shared" si="113"/>
        <v>-3168.9881999999998</v>
      </c>
      <c r="AG98" s="40"/>
      <c r="AH98" s="40"/>
    </row>
    <row r="99" spans="1:34" s="18" customFormat="1">
      <c r="A99" s="40" t="s">
        <v>45</v>
      </c>
      <c r="B99" s="40" t="s">
        <v>103</v>
      </c>
      <c r="C99" s="40"/>
      <c r="D99" s="40" t="s">
        <v>74</v>
      </c>
      <c r="E99" s="40" t="s">
        <v>184</v>
      </c>
      <c r="F99" s="70">
        <v>41949</v>
      </c>
      <c r="G99" s="42">
        <f>6888.6+7.428</f>
        <v>6896.0280000000002</v>
      </c>
      <c r="H99" s="42"/>
      <c r="I99" s="42"/>
      <c r="J99" s="64"/>
      <c r="K99" s="65">
        <f t="shared" si="87"/>
        <v>6896.0280000000002</v>
      </c>
      <c r="L99" s="42"/>
      <c r="M99" s="84"/>
      <c r="N99" s="42"/>
      <c r="O99" s="42">
        <v>250</v>
      </c>
      <c r="P99" s="86" t="s">
        <v>194</v>
      </c>
      <c r="Q99" s="86" t="s">
        <v>194</v>
      </c>
      <c r="R99" s="42"/>
      <c r="S99" s="38"/>
      <c r="T99" s="38"/>
      <c r="U99" s="40"/>
      <c r="V99" s="40">
        <v>0</v>
      </c>
      <c r="W99" s="65">
        <f t="shared" si="104"/>
        <v>6646.0280000000002</v>
      </c>
      <c r="X99" s="38">
        <f t="shared" si="105"/>
        <v>689.60280000000012</v>
      </c>
      <c r="Y99" s="65">
        <f t="shared" si="106"/>
        <v>5956.4251999999997</v>
      </c>
      <c r="Z99" s="38">
        <f t="shared" si="107"/>
        <v>0</v>
      </c>
      <c r="AA99" s="38">
        <v>10.23</v>
      </c>
      <c r="AB99" s="38" t="str">
        <f t="shared" si="108"/>
        <v>X</v>
      </c>
      <c r="AC99" s="65" t="e">
        <f t="shared" si="109"/>
        <v>#VALUE!</v>
      </c>
      <c r="AD99" s="72"/>
      <c r="AE99" s="73"/>
      <c r="AF99" s="66">
        <f t="shared" si="113"/>
        <v>-5956.4251999999997</v>
      </c>
      <c r="AG99" s="40"/>
      <c r="AH99" s="40"/>
    </row>
    <row r="100" spans="1:34" s="18" customFormat="1">
      <c r="A100" s="101" t="s">
        <v>45</v>
      </c>
      <c r="B100" s="101" t="s">
        <v>227</v>
      </c>
      <c r="C100" s="101"/>
      <c r="D100" s="101"/>
      <c r="E100" s="101" t="s">
        <v>183</v>
      </c>
      <c r="F100" s="102">
        <v>42702</v>
      </c>
      <c r="G100" s="103"/>
      <c r="H100" s="103"/>
      <c r="I100" s="103"/>
      <c r="J100" s="104"/>
      <c r="K100" s="49">
        <f t="shared" si="87"/>
        <v>0</v>
      </c>
      <c r="L100" s="103"/>
      <c r="M100" s="105"/>
      <c r="N100" s="103"/>
      <c r="O100" s="103"/>
      <c r="P100" s="106"/>
      <c r="Q100" s="106"/>
      <c r="R100" s="103"/>
      <c r="S100" s="107"/>
      <c r="T100" s="107"/>
      <c r="U100" s="101"/>
      <c r="V100" s="101"/>
      <c r="W100" s="49">
        <f t="shared" ref="W100" si="117">+K100-SUM(L100:V100)</f>
        <v>0</v>
      </c>
      <c r="X100" s="107">
        <f t="shared" ref="X100" si="118">IF(K100&gt;2250,K100*0.1,0)</f>
        <v>0</v>
      </c>
      <c r="Y100" s="49">
        <f t="shared" ref="Y100" si="119">+W100-X100</f>
        <v>0</v>
      </c>
      <c r="Z100" s="107"/>
      <c r="AA100" s="107"/>
      <c r="AB100" s="107"/>
      <c r="AC100" s="49"/>
      <c r="AD100" s="108"/>
      <c r="AE100" s="109"/>
      <c r="AF100" s="110"/>
      <c r="AG100" s="101">
        <v>1501644742</v>
      </c>
      <c r="AH100" s="111" t="s">
        <v>236</v>
      </c>
    </row>
    <row r="101" spans="1:34" s="18" customFormat="1">
      <c r="A101" s="40" t="s">
        <v>45</v>
      </c>
      <c r="B101" s="40" t="s">
        <v>231</v>
      </c>
      <c r="C101" s="40"/>
      <c r="D101" s="40"/>
      <c r="E101" s="40" t="s">
        <v>183</v>
      </c>
      <c r="F101" s="70">
        <v>42712</v>
      </c>
      <c r="G101" s="42">
        <v>197.654</v>
      </c>
      <c r="H101" s="42"/>
      <c r="I101" s="42"/>
      <c r="J101" s="64"/>
      <c r="K101" s="65"/>
      <c r="L101" s="42"/>
      <c r="M101" s="84"/>
      <c r="N101" s="42"/>
      <c r="O101" s="42"/>
      <c r="P101" s="86"/>
      <c r="Q101" s="86"/>
      <c r="R101" s="42"/>
      <c r="S101" s="38"/>
      <c r="T101" s="38"/>
      <c r="U101" s="40"/>
      <c r="V101" s="40"/>
      <c r="W101" s="65"/>
      <c r="X101" s="38"/>
      <c r="Y101" s="65"/>
      <c r="Z101" s="38"/>
      <c r="AA101" s="38"/>
      <c r="AB101" s="38"/>
      <c r="AC101" s="65"/>
      <c r="AD101" s="72"/>
      <c r="AE101" s="72"/>
      <c r="AF101" s="66"/>
      <c r="AG101" s="40"/>
      <c r="AH101" s="43"/>
    </row>
    <row r="102" spans="1:34" s="18" customFormat="1">
      <c r="A102" s="40" t="s">
        <v>43</v>
      </c>
      <c r="B102" s="40" t="s">
        <v>36</v>
      </c>
      <c r="C102" s="40"/>
      <c r="D102" s="40" t="s">
        <v>51</v>
      </c>
      <c r="E102" s="40" t="s">
        <v>90</v>
      </c>
      <c r="F102" s="70">
        <v>42129</v>
      </c>
      <c r="G102" s="42">
        <f>4084.642+13.099</f>
        <v>4097.741</v>
      </c>
      <c r="H102" s="44"/>
      <c r="I102" s="42"/>
      <c r="J102" s="64"/>
      <c r="K102" s="65">
        <f t="shared" si="87"/>
        <v>4097.741</v>
      </c>
      <c r="L102" s="42"/>
      <c r="M102" s="84"/>
      <c r="N102" s="42"/>
      <c r="O102" s="42">
        <v>0</v>
      </c>
      <c r="P102" s="86"/>
      <c r="Q102" s="86"/>
      <c r="R102" s="42"/>
      <c r="S102" s="38"/>
      <c r="T102" s="38"/>
      <c r="U102" s="40"/>
      <c r="V102" s="40">
        <v>0</v>
      </c>
      <c r="W102" s="65">
        <f t="shared" si="104"/>
        <v>4097.741</v>
      </c>
      <c r="X102" s="38">
        <f t="shared" si="105"/>
        <v>409.77410000000003</v>
      </c>
      <c r="Y102" s="65">
        <f t="shared" si="106"/>
        <v>3687.9668999999999</v>
      </c>
      <c r="Z102" s="38">
        <f t="shared" si="107"/>
        <v>0</v>
      </c>
      <c r="AA102" s="38">
        <v>10.23</v>
      </c>
      <c r="AB102" s="38">
        <f t="shared" si="108"/>
        <v>0</v>
      </c>
      <c r="AC102" s="65">
        <f t="shared" si="109"/>
        <v>4107.9709999999995</v>
      </c>
      <c r="AD102" s="72"/>
      <c r="AE102" s="73"/>
      <c r="AF102" s="66">
        <f t="shared" si="113"/>
        <v>-3687.9668999999999</v>
      </c>
      <c r="AG102" s="40"/>
      <c r="AH102" s="43"/>
    </row>
    <row r="103" spans="1:34" s="18" customFormat="1">
      <c r="A103" s="40" t="s">
        <v>43</v>
      </c>
      <c r="B103" s="40" t="s">
        <v>141</v>
      </c>
      <c r="C103" s="40"/>
      <c r="D103" s="40"/>
      <c r="E103" s="40" t="s">
        <v>183</v>
      </c>
      <c r="F103" s="70">
        <v>42422</v>
      </c>
      <c r="G103" s="42">
        <f>3597.471+13.099</f>
        <v>3610.57</v>
      </c>
      <c r="H103" s="42"/>
      <c r="I103" s="42"/>
      <c r="J103" s="64"/>
      <c r="K103" s="65">
        <f t="shared" si="87"/>
        <v>3610.57</v>
      </c>
      <c r="L103" s="42"/>
      <c r="M103" s="84">
        <v>1</v>
      </c>
      <c r="N103" s="42"/>
      <c r="O103" s="42">
        <v>0</v>
      </c>
      <c r="P103" s="86"/>
      <c r="Q103" s="86"/>
      <c r="R103" s="42"/>
      <c r="S103" s="38"/>
      <c r="T103" s="38"/>
      <c r="U103" s="40"/>
      <c r="V103" s="40">
        <v>0</v>
      </c>
      <c r="W103" s="65">
        <f t="shared" ref="W103" si="120">+K103-SUM(L103:V103)</f>
        <v>3609.57</v>
      </c>
      <c r="X103" s="38">
        <f t="shared" ref="X103" si="121">IF(K103&gt;2250,K103*0.1,0)</f>
        <v>361.05700000000002</v>
      </c>
      <c r="Y103" s="65">
        <f t="shared" ref="Y103" si="122">+W103-X103</f>
        <v>3248.5129999999999</v>
      </c>
      <c r="Z103" s="38">
        <f t="shared" si="107"/>
        <v>0</v>
      </c>
      <c r="AA103" s="38">
        <v>10.23</v>
      </c>
      <c r="AB103" s="38">
        <f t="shared" si="108"/>
        <v>0</v>
      </c>
      <c r="AC103" s="65">
        <f t="shared" si="109"/>
        <v>3620.8</v>
      </c>
      <c r="AD103" s="72"/>
      <c r="AE103" s="73"/>
      <c r="AF103" s="66">
        <f t="shared" si="113"/>
        <v>-3248.5129999999999</v>
      </c>
      <c r="AG103" s="40"/>
      <c r="AH103" s="43"/>
    </row>
    <row r="104" spans="1:34" s="18" customFormat="1">
      <c r="A104" s="40" t="s">
        <v>45</v>
      </c>
      <c r="B104" s="40" t="s">
        <v>157</v>
      </c>
      <c r="C104" s="40"/>
      <c r="D104" s="40" t="s">
        <v>75</v>
      </c>
      <c r="E104" s="40" t="s">
        <v>187</v>
      </c>
      <c r="F104" s="70">
        <v>41227</v>
      </c>
      <c r="G104" s="42">
        <f>1630.311+2.599</f>
        <v>1632.9099999999999</v>
      </c>
      <c r="H104" s="42"/>
      <c r="I104" s="42"/>
      <c r="J104" s="64"/>
      <c r="K104" s="65">
        <f t="shared" si="87"/>
        <v>1632.9099999999999</v>
      </c>
      <c r="L104" s="42"/>
      <c r="M104" s="84"/>
      <c r="N104" s="42"/>
      <c r="O104" s="42">
        <v>200</v>
      </c>
      <c r="P104" s="86" t="s">
        <v>194</v>
      </c>
      <c r="Q104" s="86" t="s">
        <v>194</v>
      </c>
      <c r="R104" s="42"/>
      <c r="S104" s="38"/>
      <c r="T104" s="38"/>
      <c r="U104" s="40"/>
      <c r="V104" s="40">
        <v>0</v>
      </c>
      <c r="W104" s="65">
        <f t="shared" si="104"/>
        <v>1432.9099999999999</v>
      </c>
      <c r="X104" s="38">
        <f t="shared" si="105"/>
        <v>0</v>
      </c>
      <c r="Y104" s="65">
        <f t="shared" si="106"/>
        <v>1432.9099999999999</v>
      </c>
      <c r="Z104" s="38">
        <f t="shared" si="107"/>
        <v>163.291</v>
      </c>
      <c r="AA104" s="38">
        <v>10.23</v>
      </c>
      <c r="AB104" s="38" t="str">
        <f t="shared" si="108"/>
        <v>X</v>
      </c>
      <c r="AC104" s="65" t="e">
        <f t="shared" si="109"/>
        <v>#VALUE!</v>
      </c>
      <c r="AD104" s="72"/>
      <c r="AE104" s="72"/>
      <c r="AF104" s="66">
        <f t="shared" si="113"/>
        <v>-1432.9099999999999</v>
      </c>
      <c r="AG104" s="40"/>
      <c r="AH104" s="43"/>
    </row>
    <row r="105" spans="1:34" s="18" customFormat="1">
      <c r="A105" s="40" t="s">
        <v>43</v>
      </c>
      <c r="B105" s="40" t="s">
        <v>214</v>
      </c>
      <c r="C105" s="40"/>
      <c r="D105" s="40"/>
      <c r="E105" s="40" t="s">
        <v>90</v>
      </c>
      <c r="F105" s="70">
        <v>42671</v>
      </c>
      <c r="G105" s="42">
        <f>1442.334+7.428</f>
        <v>1449.7620000000002</v>
      </c>
      <c r="H105" s="42"/>
      <c r="I105" s="42"/>
      <c r="J105" s="64"/>
      <c r="K105" s="65">
        <f t="shared" si="87"/>
        <v>1449.7620000000002</v>
      </c>
      <c r="L105" s="42"/>
      <c r="M105" s="84"/>
      <c r="N105" s="42"/>
      <c r="O105" s="42"/>
      <c r="P105" s="86"/>
      <c r="Q105" s="86"/>
      <c r="R105" s="42"/>
      <c r="S105" s="38"/>
      <c r="T105" s="38"/>
      <c r="U105" s="40"/>
      <c r="V105" s="40"/>
      <c r="W105" s="65">
        <f t="shared" ref="W105" si="123">+K105-SUM(L105:V105)</f>
        <v>1449.7620000000002</v>
      </c>
      <c r="X105" s="38">
        <f t="shared" ref="X105" si="124">IF(K105&gt;2250,K105*0.1,0)</f>
        <v>0</v>
      </c>
      <c r="Y105" s="65">
        <f t="shared" si="106"/>
        <v>1449.7620000000002</v>
      </c>
      <c r="Z105" s="38"/>
      <c r="AA105" s="38"/>
      <c r="AB105" s="38"/>
      <c r="AC105" s="65"/>
      <c r="AD105" s="72"/>
      <c r="AE105" s="72"/>
      <c r="AF105" s="66"/>
      <c r="AG105" s="43" t="s">
        <v>221</v>
      </c>
      <c r="AH105" s="43" t="s">
        <v>222</v>
      </c>
    </row>
    <row r="106" spans="1:34" s="18" customFormat="1">
      <c r="A106" s="40" t="s">
        <v>45</v>
      </c>
      <c r="B106" s="40" t="s">
        <v>226</v>
      </c>
      <c r="C106" s="40"/>
      <c r="D106" s="40"/>
      <c r="E106" s="40" t="s">
        <v>183</v>
      </c>
      <c r="F106" s="70">
        <v>42699</v>
      </c>
      <c r="G106" s="42">
        <v>494.51499999999999</v>
      </c>
      <c r="H106" s="42"/>
      <c r="I106" s="42"/>
      <c r="J106" s="64"/>
      <c r="K106" s="65">
        <f t="shared" si="87"/>
        <v>494.51499999999999</v>
      </c>
      <c r="L106" s="42"/>
      <c r="M106" s="84"/>
      <c r="N106" s="42"/>
      <c r="O106" s="42"/>
      <c r="P106" s="86"/>
      <c r="Q106" s="86"/>
      <c r="R106" s="42"/>
      <c r="S106" s="38"/>
      <c r="T106" s="38"/>
      <c r="U106" s="40"/>
      <c r="V106" s="40"/>
      <c r="W106" s="65">
        <f t="shared" ref="W106" si="125">+K106-SUM(L106:V106)</f>
        <v>494.51499999999999</v>
      </c>
      <c r="X106" s="38">
        <f t="shared" ref="X106" si="126">IF(K106&gt;2250,K106*0.1,0)</f>
        <v>0</v>
      </c>
      <c r="Y106" s="65">
        <f t="shared" ref="Y106" si="127">+W106-X106</f>
        <v>494.51499999999999</v>
      </c>
      <c r="Z106" s="38"/>
      <c r="AA106" s="38"/>
      <c r="AB106" s="38"/>
      <c r="AC106" s="65"/>
      <c r="AD106" s="72"/>
      <c r="AE106" s="73"/>
      <c r="AF106" s="66"/>
      <c r="AG106" s="40" t="s">
        <v>224</v>
      </c>
      <c r="AH106" s="40"/>
    </row>
    <row r="107" spans="1:34" s="18" customFormat="1">
      <c r="A107" s="40" t="s">
        <v>45</v>
      </c>
      <c r="B107" s="40" t="s">
        <v>202</v>
      </c>
      <c r="C107" s="40"/>
      <c r="D107" s="40"/>
      <c r="E107" s="40" t="s">
        <v>183</v>
      </c>
      <c r="F107" s="70">
        <v>42635</v>
      </c>
      <c r="G107" s="42">
        <v>712.1</v>
      </c>
      <c r="H107" s="42"/>
      <c r="I107" s="42"/>
      <c r="J107" s="64"/>
      <c r="K107" s="65">
        <f t="shared" si="87"/>
        <v>712.1</v>
      </c>
      <c r="L107" s="42"/>
      <c r="M107" s="84"/>
      <c r="N107" s="42"/>
      <c r="O107" s="42"/>
      <c r="P107" s="86"/>
      <c r="Q107" s="86"/>
      <c r="R107" s="42"/>
      <c r="S107" s="38"/>
      <c r="T107" s="38"/>
      <c r="U107" s="40"/>
      <c r="V107" s="40"/>
      <c r="W107" s="65">
        <f t="shared" ref="W107" si="128">+K107-SUM(L107:V107)</f>
        <v>712.1</v>
      </c>
      <c r="X107" s="38">
        <f t="shared" ref="X107" si="129">IF(K107&gt;2250,K107*0.1,0)</f>
        <v>0</v>
      </c>
      <c r="Y107" s="65">
        <f t="shared" ref="Y107" si="130">+W107-X107</f>
        <v>712.1</v>
      </c>
      <c r="Z107" s="38"/>
      <c r="AA107" s="38"/>
      <c r="AB107" s="38"/>
      <c r="AC107" s="65"/>
      <c r="AD107" s="72"/>
      <c r="AE107" s="72"/>
      <c r="AF107" s="66"/>
      <c r="AG107" s="40">
        <v>1133340031</v>
      </c>
      <c r="AH107" s="40"/>
    </row>
    <row r="108" spans="1:34" s="18" customFormat="1">
      <c r="A108" s="40" t="s">
        <v>45</v>
      </c>
      <c r="B108" s="40" t="s">
        <v>159</v>
      </c>
      <c r="C108" s="40"/>
      <c r="D108" s="40" t="s">
        <v>76</v>
      </c>
      <c r="E108" s="40" t="s">
        <v>187</v>
      </c>
      <c r="F108" s="70">
        <v>41703</v>
      </c>
      <c r="G108" s="42">
        <v>991.10799999999995</v>
      </c>
      <c r="H108" s="42"/>
      <c r="I108" s="42"/>
      <c r="J108" s="64"/>
      <c r="K108" s="65">
        <f t="shared" si="87"/>
        <v>991.10799999999995</v>
      </c>
      <c r="L108" s="42"/>
      <c r="M108" s="84"/>
      <c r="N108" s="42"/>
      <c r="O108" s="42">
        <v>0</v>
      </c>
      <c r="P108" s="86" t="s">
        <v>194</v>
      </c>
      <c r="Q108" s="86" t="s">
        <v>194</v>
      </c>
      <c r="R108" s="42"/>
      <c r="S108" s="38"/>
      <c r="T108" s="38"/>
      <c r="U108" s="40"/>
      <c r="V108" s="40">
        <v>0</v>
      </c>
      <c r="W108" s="65">
        <f t="shared" si="104"/>
        <v>991.10799999999995</v>
      </c>
      <c r="X108" s="38">
        <f t="shared" si="105"/>
        <v>0</v>
      </c>
      <c r="Y108" s="65">
        <f t="shared" si="106"/>
        <v>991.10799999999995</v>
      </c>
      <c r="Z108" s="38">
        <f t="shared" si="107"/>
        <v>99.110799999999998</v>
      </c>
      <c r="AA108" s="38">
        <v>10.23</v>
      </c>
      <c r="AB108" s="38" t="str">
        <f t="shared" si="108"/>
        <v>X</v>
      </c>
      <c r="AC108" s="65" t="e">
        <f t="shared" si="109"/>
        <v>#VALUE!</v>
      </c>
      <c r="AD108" s="72"/>
      <c r="AE108" s="72"/>
      <c r="AF108" s="66">
        <f t="shared" si="113"/>
        <v>-991.10799999999995</v>
      </c>
      <c r="AG108" s="40"/>
      <c r="AH108" s="40"/>
    </row>
    <row r="109" spans="1:34" s="18" customFormat="1">
      <c r="A109" s="40" t="s">
        <v>45</v>
      </c>
      <c r="B109" s="40" t="s">
        <v>99</v>
      </c>
      <c r="C109" s="40"/>
      <c r="D109" s="40" t="s">
        <v>77</v>
      </c>
      <c r="E109" s="40" t="s">
        <v>187</v>
      </c>
      <c r="F109" s="70">
        <v>41291</v>
      </c>
      <c r="G109" s="42">
        <f>2572.023+3.736</f>
        <v>2575.759</v>
      </c>
      <c r="H109" s="42"/>
      <c r="I109" s="42"/>
      <c r="J109" s="64"/>
      <c r="K109" s="65">
        <f t="shared" si="87"/>
        <v>2575.759</v>
      </c>
      <c r="L109" s="42"/>
      <c r="M109" s="84">
        <v>1</v>
      </c>
      <c r="N109" s="42"/>
      <c r="O109" s="42">
        <v>200</v>
      </c>
      <c r="P109" s="86" t="s">
        <v>194</v>
      </c>
      <c r="Q109" s="86" t="s">
        <v>194</v>
      </c>
      <c r="R109" s="42"/>
      <c r="S109" s="38"/>
      <c r="T109" s="38"/>
      <c r="U109" s="40"/>
      <c r="V109" s="40">
        <v>0</v>
      </c>
      <c r="W109" s="65">
        <f t="shared" si="104"/>
        <v>2374.759</v>
      </c>
      <c r="X109" s="38">
        <f t="shared" si="105"/>
        <v>257.57589999999999</v>
      </c>
      <c r="Y109" s="65">
        <f t="shared" si="106"/>
        <v>2117.1831000000002</v>
      </c>
      <c r="Z109" s="38">
        <f t="shared" si="107"/>
        <v>0</v>
      </c>
      <c r="AA109" s="38">
        <v>10.23</v>
      </c>
      <c r="AB109" s="38" t="str">
        <f t="shared" si="108"/>
        <v>X</v>
      </c>
      <c r="AC109" s="65" t="e">
        <f t="shared" si="109"/>
        <v>#VALUE!</v>
      </c>
      <c r="AD109" s="72"/>
      <c r="AE109" s="72"/>
      <c r="AF109" s="66">
        <f t="shared" si="113"/>
        <v>-2117.1831000000002</v>
      </c>
      <c r="AG109" s="40"/>
      <c r="AH109" s="43"/>
    </row>
    <row r="110" spans="1:34" s="18" customFormat="1">
      <c r="A110" s="40" t="s">
        <v>43</v>
      </c>
      <c r="B110" s="40" t="s">
        <v>109</v>
      </c>
      <c r="C110" s="40"/>
      <c r="D110" s="40" t="s">
        <v>52</v>
      </c>
      <c r="E110" s="40" t="s">
        <v>90</v>
      </c>
      <c r="F110" s="70">
        <v>41666</v>
      </c>
      <c r="G110" s="42">
        <f>1658.07+7.428</f>
        <v>1665.498</v>
      </c>
      <c r="H110" s="42"/>
      <c r="I110" s="42"/>
      <c r="J110" s="64"/>
      <c r="K110" s="65">
        <f t="shared" si="87"/>
        <v>1665.498</v>
      </c>
      <c r="L110" s="42"/>
      <c r="M110" s="84"/>
      <c r="N110" s="42"/>
      <c r="O110" s="42">
        <v>150</v>
      </c>
      <c r="P110" s="86"/>
      <c r="Q110" s="86"/>
      <c r="R110" s="42"/>
      <c r="S110" s="38"/>
      <c r="T110" s="38"/>
      <c r="U110" s="40"/>
      <c r="V110" s="40">
        <v>0</v>
      </c>
      <c r="W110" s="65">
        <f t="shared" si="104"/>
        <v>1515.498</v>
      </c>
      <c r="X110" s="38">
        <f t="shared" si="105"/>
        <v>0</v>
      </c>
      <c r="Y110" s="65">
        <f t="shared" si="106"/>
        <v>1515.498</v>
      </c>
      <c r="Z110" s="38">
        <f t="shared" si="107"/>
        <v>166.5498</v>
      </c>
      <c r="AA110" s="38">
        <v>10.23</v>
      </c>
      <c r="AB110" s="38">
        <f t="shared" si="108"/>
        <v>0</v>
      </c>
      <c r="AC110" s="65">
        <f t="shared" si="109"/>
        <v>1842.2778000000001</v>
      </c>
      <c r="AD110" s="72"/>
      <c r="AE110" s="73"/>
      <c r="AF110" s="66">
        <f t="shared" si="113"/>
        <v>-1515.498</v>
      </c>
      <c r="AG110" s="40"/>
      <c r="AH110" s="40"/>
    </row>
    <row r="111" spans="1:34" s="18" customFormat="1">
      <c r="A111" s="40" t="s">
        <v>43</v>
      </c>
      <c r="B111" s="40" t="s">
        <v>37</v>
      </c>
      <c r="C111" s="40"/>
      <c r="D111" s="40" t="s">
        <v>53</v>
      </c>
      <c r="E111" s="40" t="s">
        <v>90</v>
      </c>
      <c r="F111" s="70">
        <v>42100</v>
      </c>
      <c r="G111" s="42">
        <f>2086.338+7.428</f>
        <v>2093.7660000000001</v>
      </c>
      <c r="H111" s="42"/>
      <c r="I111" s="42"/>
      <c r="J111" s="64"/>
      <c r="K111" s="65">
        <f t="shared" si="87"/>
        <v>2093.7660000000001</v>
      </c>
      <c r="L111" s="84"/>
      <c r="M111" s="84">
        <v>1</v>
      </c>
      <c r="N111" s="42"/>
      <c r="O111" s="42">
        <v>0</v>
      </c>
      <c r="P111" s="86"/>
      <c r="Q111" s="86"/>
      <c r="R111" s="42"/>
      <c r="S111" s="38"/>
      <c r="T111" s="38"/>
      <c r="U111" s="40"/>
      <c r="V111" s="40">
        <v>0</v>
      </c>
      <c r="W111" s="65">
        <f t="shared" si="104"/>
        <v>2092.7660000000001</v>
      </c>
      <c r="X111" s="38">
        <f t="shared" si="105"/>
        <v>0</v>
      </c>
      <c r="Y111" s="65">
        <f t="shared" si="106"/>
        <v>2092.7660000000001</v>
      </c>
      <c r="Z111" s="38">
        <f t="shared" si="107"/>
        <v>209.37660000000002</v>
      </c>
      <c r="AA111" s="38">
        <v>10.23</v>
      </c>
      <c r="AB111" s="38">
        <f t="shared" si="108"/>
        <v>0</v>
      </c>
      <c r="AC111" s="65">
        <f t="shared" si="109"/>
        <v>2313.3726000000001</v>
      </c>
      <c r="AD111" s="72"/>
      <c r="AE111" s="73"/>
      <c r="AF111" s="66">
        <f t="shared" si="113"/>
        <v>-2092.7660000000001</v>
      </c>
      <c r="AG111" s="40"/>
      <c r="AH111" s="43"/>
    </row>
    <row r="112" spans="1:34" s="18" customFormat="1">
      <c r="A112" s="40" t="s">
        <v>45</v>
      </c>
      <c r="B112" s="40" t="s">
        <v>182</v>
      </c>
      <c r="C112" s="40"/>
      <c r="D112" s="40" t="s">
        <v>78</v>
      </c>
      <c r="E112" s="40" t="s">
        <v>186</v>
      </c>
      <c r="F112" s="70">
        <v>29733</v>
      </c>
      <c r="G112" s="42">
        <f>2161.696+3.714</f>
        <v>2165.41</v>
      </c>
      <c r="H112" s="42"/>
      <c r="I112" s="42"/>
      <c r="J112" s="64"/>
      <c r="K112" s="65">
        <f t="shared" si="87"/>
        <v>2165.41</v>
      </c>
      <c r="L112" s="42"/>
      <c r="M112" s="84"/>
      <c r="N112" s="42"/>
      <c r="O112" s="42">
        <v>50</v>
      </c>
      <c r="P112" s="86" t="s">
        <v>194</v>
      </c>
      <c r="Q112" s="86" t="s">
        <v>194</v>
      </c>
      <c r="R112" s="42"/>
      <c r="S112" s="38"/>
      <c r="T112" s="38"/>
      <c r="U112" s="40"/>
      <c r="V112" s="40">
        <v>0</v>
      </c>
      <c r="W112" s="65">
        <f t="shared" si="104"/>
        <v>2115.41</v>
      </c>
      <c r="X112" s="38">
        <f t="shared" si="105"/>
        <v>0</v>
      </c>
      <c r="Y112" s="65">
        <f t="shared" si="106"/>
        <v>2115.41</v>
      </c>
      <c r="Z112" s="38">
        <f t="shared" si="107"/>
        <v>216.541</v>
      </c>
      <c r="AA112" s="38">
        <v>10.23</v>
      </c>
      <c r="AB112" s="38" t="str">
        <f t="shared" si="108"/>
        <v>X</v>
      </c>
      <c r="AC112" s="65" t="e">
        <f t="shared" si="109"/>
        <v>#VALUE!</v>
      </c>
      <c r="AD112" s="72"/>
      <c r="AE112" s="73"/>
      <c r="AF112" s="66">
        <f t="shared" si="113"/>
        <v>-2115.41</v>
      </c>
      <c r="AG112" s="40"/>
      <c r="AH112" s="43"/>
    </row>
    <row r="113" spans="1:188" s="18" customFormat="1">
      <c r="A113" s="40" t="s">
        <v>45</v>
      </c>
      <c r="B113" s="40" t="s">
        <v>212</v>
      </c>
      <c r="C113" s="40"/>
      <c r="D113" s="40"/>
      <c r="E113" s="40" t="s">
        <v>183</v>
      </c>
      <c r="F113" s="70">
        <v>42662</v>
      </c>
      <c r="G113" s="42">
        <v>625.14599999999996</v>
      </c>
      <c r="H113" s="42"/>
      <c r="I113" s="42"/>
      <c r="J113" s="64"/>
      <c r="K113" s="65">
        <f t="shared" si="87"/>
        <v>625.14599999999996</v>
      </c>
      <c r="L113" s="42"/>
      <c r="M113" s="84">
        <v>1</v>
      </c>
      <c r="N113" s="42"/>
      <c r="O113" s="42"/>
      <c r="P113" s="86"/>
      <c r="Q113" s="86"/>
      <c r="R113" s="42"/>
      <c r="S113" s="38"/>
      <c r="T113" s="38"/>
      <c r="U113" s="40"/>
      <c r="V113" s="40"/>
      <c r="W113" s="65">
        <f t="shared" ref="W113" si="131">+K113-SUM(L113:V113)</f>
        <v>624.14599999999996</v>
      </c>
      <c r="X113" s="38">
        <f t="shared" ref="X113" si="132">IF(K113&gt;2250,K113*0.1,0)</f>
        <v>0</v>
      </c>
      <c r="Y113" s="65">
        <f t="shared" ref="Y113" si="133">+W113-X113</f>
        <v>624.14599999999996</v>
      </c>
      <c r="Z113" s="38"/>
      <c r="AA113" s="38"/>
      <c r="AB113" s="38"/>
      <c r="AC113" s="65"/>
      <c r="AD113" s="72"/>
      <c r="AE113" s="73"/>
      <c r="AF113" s="66"/>
      <c r="AG113" s="40">
        <v>1121368761</v>
      </c>
      <c r="AH113" s="43"/>
    </row>
    <row r="114" spans="1:188" s="18" customFormat="1">
      <c r="A114" s="40" t="s">
        <v>43</v>
      </c>
      <c r="B114" s="40" t="s">
        <v>193</v>
      </c>
      <c r="C114" s="40"/>
      <c r="D114" s="40"/>
      <c r="E114" s="40" t="s">
        <v>232</v>
      </c>
      <c r="F114" s="70">
        <v>42604</v>
      </c>
      <c r="G114" s="42">
        <v>402.73099999999999</v>
      </c>
      <c r="H114" s="42"/>
      <c r="I114" s="42"/>
      <c r="J114" s="64"/>
      <c r="K114" s="65">
        <f t="shared" si="87"/>
        <v>402.73099999999999</v>
      </c>
      <c r="L114" s="42"/>
      <c r="M114" s="84"/>
      <c r="N114" s="42"/>
      <c r="O114" s="42"/>
      <c r="P114" s="86"/>
      <c r="Q114" s="86"/>
      <c r="R114" s="42"/>
      <c r="S114" s="38"/>
      <c r="T114" s="38"/>
      <c r="U114" s="40"/>
      <c r="V114" s="40"/>
      <c r="W114" s="65">
        <f t="shared" ref="W114" si="134">+K114-SUM(L114:V114)</f>
        <v>402.73099999999999</v>
      </c>
      <c r="X114" s="38">
        <f t="shared" ref="X114" si="135">IF(K114&gt;2250,K114*0.1,0)</f>
        <v>0</v>
      </c>
      <c r="Y114" s="65">
        <f t="shared" ref="Y114" si="136">+W114-X114</f>
        <v>402.73099999999999</v>
      </c>
      <c r="Z114" s="38"/>
      <c r="AA114" s="38"/>
      <c r="AB114" s="38"/>
      <c r="AC114" s="65"/>
      <c r="AD114" s="72"/>
      <c r="AE114" s="79"/>
      <c r="AF114" s="66"/>
      <c r="AG114" s="40">
        <v>1258728771</v>
      </c>
      <c r="AH114" s="40"/>
    </row>
    <row r="115" spans="1:188" s="18" customFormat="1">
      <c r="A115" s="40" t="s">
        <v>43</v>
      </c>
      <c r="B115" s="40" t="s">
        <v>38</v>
      </c>
      <c r="C115" s="40"/>
      <c r="D115" s="40" t="s">
        <v>55</v>
      </c>
      <c r="E115" s="40" t="s">
        <v>90</v>
      </c>
      <c r="F115" s="70">
        <v>42361</v>
      </c>
      <c r="G115" s="42">
        <f>808.476+2.972</f>
        <v>811.44799999999998</v>
      </c>
      <c r="H115" s="42"/>
      <c r="I115" s="42"/>
      <c r="J115" s="64"/>
      <c r="K115" s="65">
        <f t="shared" si="87"/>
        <v>811.44799999999998</v>
      </c>
      <c r="L115" s="42"/>
      <c r="M115" s="84">
        <v>1</v>
      </c>
      <c r="N115" s="42"/>
      <c r="O115" s="42">
        <v>0</v>
      </c>
      <c r="P115" s="86"/>
      <c r="Q115" s="86"/>
      <c r="R115" s="42"/>
      <c r="S115" s="38"/>
      <c r="T115" s="38"/>
      <c r="U115" s="40"/>
      <c r="V115" s="40">
        <v>0</v>
      </c>
      <c r="W115" s="65">
        <f>+K115-SUM(L115:V115)</f>
        <v>810.44799999999998</v>
      </c>
      <c r="X115" s="38">
        <f>IF(K115&gt;2250,K115*0.1,0)</f>
        <v>0</v>
      </c>
      <c r="Y115" s="65">
        <f>+W115-X115</f>
        <v>810.44799999999998</v>
      </c>
      <c r="Z115" s="38">
        <f>IF(K115&lt;2250,K115*0.1,0)</f>
        <v>81.144800000000004</v>
      </c>
      <c r="AA115" s="38">
        <v>10.23</v>
      </c>
      <c r="AB115" s="38">
        <f>+P115</f>
        <v>0</v>
      </c>
      <c r="AC115" s="65">
        <f>+K115+Z115+AA115+AB115</f>
        <v>902.82280000000003</v>
      </c>
      <c r="AD115" s="72"/>
      <c r="AE115" s="78"/>
      <c r="AF115" s="66">
        <f>+AD115+AE115-Y115</f>
        <v>-810.44799999999998</v>
      </c>
      <c r="AG115" s="40"/>
      <c r="AH115" s="43"/>
    </row>
    <row r="116" spans="1:188" s="18" customFormat="1">
      <c r="A116" s="40" t="s">
        <v>43</v>
      </c>
      <c r="B116" s="40" t="s">
        <v>108</v>
      </c>
      <c r="C116" s="40"/>
      <c r="D116" s="40" t="s">
        <v>54</v>
      </c>
      <c r="E116" s="40" t="s">
        <v>90</v>
      </c>
      <c r="F116" s="70">
        <v>41549</v>
      </c>
      <c r="G116" s="42">
        <f>4052.557+13.099</f>
        <v>4065.6559999999999</v>
      </c>
      <c r="H116" s="42"/>
      <c r="I116" s="42"/>
      <c r="J116" s="64"/>
      <c r="K116" s="65">
        <f t="shared" si="87"/>
        <v>4065.6559999999999</v>
      </c>
      <c r="L116" s="42"/>
      <c r="M116" s="84"/>
      <c r="N116" s="42"/>
      <c r="O116" s="42">
        <v>500</v>
      </c>
      <c r="P116" s="86"/>
      <c r="Q116" s="86"/>
      <c r="R116" s="42"/>
      <c r="S116" s="38"/>
      <c r="T116" s="38"/>
      <c r="U116" s="40"/>
      <c r="V116" s="40">
        <v>0</v>
      </c>
      <c r="W116" s="65">
        <f>+K116-SUM(L116:V116)</f>
        <v>3565.6559999999999</v>
      </c>
      <c r="X116" s="38">
        <f>IF(K116&gt;2250,K116*0.1,0)</f>
        <v>406.56560000000002</v>
      </c>
      <c r="Y116" s="65">
        <f>+W116-X116</f>
        <v>3159.0904</v>
      </c>
      <c r="Z116" s="38">
        <f>IF(K116&lt;2250,K116*0.1,0)</f>
        <v>0</v>
      </c>
      <c r="AA116" s="38">
        <v>10.23</v>
      </c>
      <c r="AB116" s="38">
        <f>+P116</f>
        <v>0</v>
      </c>
      <c r="AC116" s="65">
        <f>+K116+Z116+AA116+AB116</f>
        <v>4075.886</v>
      </c>
      <c r="AD116" s="72"/>
      <c r="AE116" s="73"/>
      <c r="AF116" s="66">
        <f>+AD116+AE116-Y116</f>
        <v>-3159.0904</v>
      </c>
      <c r="AG116" s="40"/>
      <c r="AH116" s="43"/>
    </row>
    <row r="117" spans="1:188">
      <c r="A117" s="33"/>
      <c r="B117" s="40"/>
      <c r="C117" s="33"/>
      <c r="D117" s="33"/>
      <c r="E117" s="33"/>
      <c r="F117" s="83"/>
      <c r="G117" s="35"/>
      <c r="H117" s="35"/>
      <c r="I117" s="35"/>
      <c r="J117" s="35"/>
      <c r="K117" s="37"/>
      <c r="L117" s="54"/>
      <c r="M117" s="54"/>
      <c r="N117" s="54"/>
      <c r="O117" s="54"/>
      <c r="P117" s="54"/>
      <c r="Q117" s="54"/>
      <c r="R117" s="54"/>
      <c r="S117" s="77"/>
      <c r="T117" s="77"/>
      <c r="U117" s="77"/>
      <c r="V117" s="77"/>
      <c r="W117" s="76"/>
      <c r="X117" s="77"/>
      <c r="Y117" s="76"/>
      <c r="Z117" s="77"/>
      <c r="AA117" s="77"/>
      <c r="AB117" s="77"/>
      <c r="AC117" s="76"/>
      <c r="AD117" s="59"/>
      <c r="AE117" s="59"/>
      <c r="AF117" s="50"/>
      <c r="AG117" s="33"/>
      <c r="AH117" s="33"/>
      <c r="AW117" s="18"/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  <c r="CA117" s="18"/>
      <c r="CB117" s="18"/>
      <c r="CC117" s="18"/>
      <c r="CD117" s="18"/>
      <c r="CE117" s="18"/>
      <c r="CF117" s="18"/>
      <c r="CG117" s="18"/>
      <c r="CH117" s="18"/>
      <c r="CI117" s="18"/>
      <c r="CJ117" s="18"/>
      <c r="CK117" s="18"/>
      <c r="CL117" s="18"/>
      <c r="CM117" s="18"/>
      <c r="CN117" s="18"/>
      <c r="CO117" s="18"/>
      <c r="CP117" s="18"/>
      <c r="CQ117" s="18"/>
      <c r="CR117" s="18"/>
      <c r="CS117" s="18"/>
      <c r="CT117" s="18"/>
      <c r="CU117" s="18"/>
      <c r="CV117" s="18"/>
      <c r="CW117" s="18"/>
      <c r="CX117" s="18"/>
      <c r="CY117" s="18"/>
      <c r="CZ117" s="18"/>
      <c r="DA117" s="18"/>
      <c r="DB117" s="18"/>
      <c r="DC117" s="18"/>
      <c r="DD117" s="18"/>
      <c r="DE117" s="18"/>
      <c r="DF117" s="18"/>
      <c r="DG117" s="18"/>
      <c r="DH117" s="18"/>
      <c r="DI117" s="18"/>
      <c r="DJ117" s="18"/>
      <c r="DK117" s="18"/>
      <c r="DL117" s="18"/>
      <c r="DM117" s="18"/>
      <c r="DN117" s="18"/>
      <c r="DO117" s="18"/>
      <c r="DP117" s="18"/>
      <c r="DQ117" s="18"/>
      <c r="DR117" s="18"/>
      <c r="DS117" s="18"/>
      <c r="DT117" s="18"/>
      <c r="DU117" s="18"/>
      <c r="DV117" s="18"/>
      <c r="DW117" s="18"/>
      <c r="DX117" s="18"/>
      <c r="DY117" s="18"/>
      <c r="DZ117" s="18"/>
      <c r="EA117" s="18"/>
      <c r="EB117" s="18"/>
      <c r="EC117" s="18"/>
      <c r="ED117" s="18"/>
      <c r="EE117" s="18"/>
      <c r="EF117" s="18"/>
      <c r="EG117" s="18"/>
      <c r="EH117" s="18"/>
      <c r="EI117" s="18"/>
      <c r="EJ117" s="18"/>
      <c r="EK117" s="18"/>
      <c r="EL117" s="18"/>
      <c r="EM117" s="18"/>
      <c r="EN117" s="18"/>
      <c r="EO117" s="18"/>
      <c r="EP117" s="18"/>
      <c r="EQ117" s="18"/>
      <c r="ER117" s="18"/>
      <c r="ES117" s="18"/>
      <c r="ET117" s="18"/>
      <c r="EU117" s="18"/>
      <c r="EV117" s="18"/>
      <c r="EW117" s="18"/>
      <c r="EX117" s="18"/>
      <c r="EY117" s="18"/>
      <c r="EZ117" s="18"/>
      <c r="FA117" s="18"/>
      <c r="FB117" s="18"/>
      <c r="FC117" s="18"/>
      <c r="FD117" s="18"/>
      <c r="FE117" s="18"/>
      <c r="FF117" s="18"/>
      <c r="FG117" s="18"/>
      <c r="FH117" s="18"/>
      <c r="FI117" s="18"/>
      <c r="FJ117" s="18"/>
      <c r="FK117" s="18"/>
      <c r="FL117" s="18"/>
      <c r="FM117" s="18"/>
      <c r="FN117" s="18"/>
      <c r="FO117" s="18"/>
      <c r="FP117" s="18"/>
      <c r="FQ117" s="18"/>
      <c r="FR117" s="18"/>
      <c r="FS117" s="18"/>
      <c r="FT117" s="18"/>
      <c r="FU117" s="18"/>
      <c r="FV117" s="18"/>
      <c r="FW117" s="18"/>
      <c r="FX117" s="18"/>
      <c r="FY117" s="18"/>
      <c r="FZ117" s="18"/>
      <c r="GA117" s="18"/>
      <c r="GB117" s="18"/>
      <c r="GC117" s="18"/>
      <c r="GD117" s="18"/>
      <c r="GE117" s="18"/>
      <c r="GF117" s="18"/>
    </row>
    <row r="118" spans="1:188">
      <c r="A118" s="33"/>
      <c r="B118" s="40"/>
      <c r="C118" s="33"/>
      <c r="D118" s="33"/>
      <c r="E118" s="33"/>
      <c r="F118" s="83"/>
      <c r="G118" s="35"/>
      <c r="H118" s="35"/>
      <c r="I118" s="35"/>
      <c r="J118" s="35"/>
      <c r="K118" s="37"/>
      <c r="L118" s="54"/>
      <c r="M118" s="54"/>
      <c r="N118" s="54"/>
      <c r="O118" s="54"/>
      <c r="P118" s="54"/>
      <c r="Q118" s="54"/>
      <c r="R118" s="54"/>
      <c r="S118" s="77"/>
      <c r="T118" s="77"/>
      <c r="U118" s="77"/>
      <c r="V118" s="77"/>
      <c r="W118" s="76"/>
      <c r="X118" s="77"/>
      <c r="Y118" s="76"/>
      <c r="Z118" s="77"/>
      <c r="AA118" s="77"/>
      <c r="AB118" s="77"/>
      <c r="AC118" s="76"/>
      <c r="AD118" s="59"/>
      <c r="AE118" s="59"/>
      <c r="AF118" s="50"/>
      <c r="AG118" s="33"/>
      <c r="AH118" s="33"/>
      <c r="AW118" s="18"/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  <c r="CE118" s="18"/>
      <c r="CF118" s="18"/>
      <c r="CG118" s="18"/>
      <c r="CH118" s="18"/>
      <c r="CI118" s="18"/>
      <c r="CJ118" s="18"/>
      <c r="CK118" s="18"/>
      <c r="CL118" s="18"/>
      <c r="CM118" s="18"/>
      <c r="CN118" s="18"/>
      <c r="CO118" s="18"/>
      <c r="CP118" s="18"/>
      <c r="CQ118" s="18"/>
      <c r="CR118" s="18"/>
      <c r="CS118" s="18"/>
      <c r="CT118" s="18"/>
      <c r="CU118" s="18"/>
      <c r="CV118" s="18"/>
      <c r="CW118" s="18"/>
      <c r="CX118" s="18"/>
      <c r="CY118" s="18"/>
      <c r="CZ118" s="18"/>
      <c r="DA118" s="18"/>
      <c r="DB118" s="18"/>
      <c r="DC118" s="18"/>
      <c r="DD118" s="18"/>
      <c r="DE118" s="18"/>
      <c r="DF118" s="18"/>
      <c r="DG118" s="18"/>
      <c r="DH118" s="18"/>
      <c r="DI118" s="18"/>
      <c r="DJ118" s="18"/>
      <c r="DK118" s="18"/>
      <c r="DL118" s="18"/>
      <c r="DM118" s="18"/>
      <c r="DN118" s="18"/>
      <c r="DO118" s="18"/>
      <c r="DP118" s="18"/>
      <c r="DQ118" s="18"/>
      <c r="DR118" s="18"/>
      <c r="DS118" s="18"/>
      <c r="DT118" s="18"/>
      <c r="DU118" s="18"/>
      <c r="DV118" s="18"/>
      <c r="DW118" s="18"/>
      <c r="DX118" s="18"/>
      <c r="DY118" s="18"/>
      <c r="DZ118" s="18"/>
      <c r="EA118" s="18"/>
      <c r="EB118" s="18"/>
      <c r="EC118" s="18"/>
      <c r="ED118" s="18"/>
      <c r="EE118" s="18"/>
      <c r="EF118" s="18"/>
      <c r="EG118" s="18"/>
      <c r="EH118" s="18"/>
      <c r="EI118" s="18"/>
      <c r="EJ118" s="18"/>
      <c r="EK118" s="18"/>
      <c r="EL118" s="18"/>
      <c r="EM118" s="18"/>
      <c r="EN118" s="18"/>
      <c r="EO118" s="18"/>
      <c r="EP118" s="18"/>
      <c r="EQ118" s="18"/>
      <c r="ER118" s="18"/>
      <c r="ES118" s="18"/>
      <c r="ET118" s="18"/>
      <c r="EU118" s="18"/>
      <c r="EV118" s="18"/>
      <c r="EW118" s="18"/>
      <c r="EX118" s="18"/>
      <c r="EY118" s="18"/>
      <c r="EZ118" s="18"/>
      <c r="FA118" s="18"/>
      <c r="FB118" s="18"/>
      <c r="FC118" s="18"/>
      <c r="FD118" s="18"/>
      <c r="FE118" s="18"/>
      <c r="FF118" s="18"/>
      <c r="FG118" s="18"/>
      <c r="FH118" s="18"/>
      <c r="FI118" s="18"/>
      <c r="FJ118" s="18"/>
      <c r="FK118" s="18"/>
      <c r="FL118" s="18"/>
      <c r="FM118" s="18"/>
      <c r="FN118" s="18"/>
      <c r="FO118" s="18"/>
      <c r="FP118" s="18"/>
      <c r="FQ118" s="18"/>
      <c r="FR118" s="18"/>
      <c r="FS118" s="18"/>
      <c r="FT118" s="18"/>
      <c r="FU118" s="18"/>
      <c r="FV118" s="18"/>
      <c r="FW118" s="18"/>
      <c r="FX118" s="18"/>
      <c r="FY118" s="18"/>
      <c r="FZ118" s="18"/>
      <c r="GA118" s="18"/>
      <c r="GB118" s="18"/>
      <c r="GC118" s="18"/>
      <c r="GD118" s="18"/>
      <c r="GE118" s="18"/>
      <c r="GF118" s="18"/>
    </row>
    <row r="119" spans="1:188">
      <c r="A119" s="33"/>
      <c r="B119" s="40"/>
      <c r="C119" s="33"/>
      <c r="D119" s="33"/>
      <c r="E119" s="33"/>
      <c r="F119" s="83"/>
      <c r="G119" s="35"/>
      <c r="H119" s="35"/>
      <c r="I119" s="35"/>
      <c r="J119" s="35"/>
      <c r="K119" s="37"/>
      <c r="L119" s="54"/>
      <c r="M119" s="54"/>
      <c r="N119" s="54"/>
      <c r="O119" s="54"/>
      <c r="P119" s="54"/>
      <c r="Q119" s="54"/>
      <c r="R119" s="54"/>
      <c r="S119" s="77"/>
      <c r="T119" s="77"/>
      <c r="U119" s="77"/>
      <c r="V119" s="77"/>
      <c r="W119" s="76"/>
      <c r="X119" s="77"/>
      <c r="Y119" s="76"/>
      <c r="Z119" s="77"/>
      <c r="AA119" s="77"/>
      <c r="AB119" s="77"/>
      <c r="AC119" s="76"/>
      <c r="AD119" s="59"/>
      <c r="AE119" s="59"/>
      <c r="AF119" s="50"/>
      <c r="AG119" s="33"/>
      <c r="AH119" s="33"/>
      <c r="AW119" s="18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  <c r="CF119" s="18"/>
      <c r="CG119" s="18"/>
      <c r="CH119" s="18"/>
      <c r="CI119" s="18"/>
      <c r="CJ119" s="18"/>
      <c r="CK119" s="18"/>
      <c r="CL119" s="18"/>
      <c r="CM119" s="18"/>
      <c r="CN119" s="18"/>
      <c r="CO119" s="18"/>
      <c r="CP119" s="18"/>
      <c r="CQ119" s="18"/>
      <c r="CR119" s="18"/>
      <c r="CS119" s="18"/>
      <c r="CT119" s="18"/>
      <c r="CU119" s="18"/>
      <c r="CV119" s="18"/>
      <c r="CW119" s="18"/>
      <c r="CX119" s="18"/>
      <c r="CY119" s="18"/>
      <c r="CZ119" s="18"/>
      <c r="DA119" s="18"/>
      <c r="DB119" s="18"/>
      <c r="DC119" s="18"/>
      <c r="DD119" s="18"/>
      <c r="DE119" s="18"/>
      <c r="DF119" s="18"/>
      <c r="DG119" s="18"/>
      <c r="DH119" s="18"/>
      <c r="DI119" s="18"/>
      <c r="DJ119" s="18"/>
      <c r="DK119" s="18"/>
      <c r="DL119" s="18"/>
      <c r="DM119" s="18"/>
      <c r="DN119" s="18"/>
      <c r="DO119" s="18"/>
      <c r="DP119" s="18"/>
      <c r="DQ119" s="18"/>
      <c r="DR119" s="18"/>
      <c r="DS119" s="18"/>
      <c r="DT119" s="18"/>
      <c r="DU119" s="18"/>
      <c r="DV119" s="18"/>
      <c r="DW119" s="18"/>
      <c r="DX119" s="18"/>
      <c r="DY119" s="18"/>
      <c r="DZ119" s="18"/>
      <c r="EA119" s="18"/>
      <c r="EB119" s="18"/>
      <c r="EC119" s="18"/>
      <c r="ED119" s="18"/>
      <c r="EE119" s="18"/>
      <c r="EF119" s="18"/>
      <c r="EG119" s="18"/>
      <c r="EH119" s="18"/>
      <c r="EI119" s="18"/>
      <c r="EJ119" s="18"/>
      <c r="EK119" s="18"/>
      <c r="EL119" s="18"/>
      <c r="EM119" s="18"/>
      <c r="EN119" s="18"/>
      <c r="EO119" s="18"/>
      <c r="EP119" s="18"/>
      <c r="EQ119" s="18"/>
      <c r="ER119" s="18"/>
      <c r="ES119" s="18"/>
      <c r="ET119" s="18"/>
      <c r="EU119" s="18"/>
      <c r="EV119" s="18"/>
      <c r="EW119" s="18"/>
      <c r="EX119" s="18"/>
      <c r="EY119" s="18"/>
      <c r="EZ119" s="18"/>
      <c r="FA119" s="18"/>
      <c r="FB119" s="18"/>
      <c r="FC119" s="18"/>
      <c r="FD119" s="18"/>
      <c r="FE119" s="18"/>
      <c r="FF119" s="18"/>
      <c r="FG119" s="18"/>
      <c r="FH119" s="18"/>
      <c r="FI119" s="18"/>
      <c r="FJ119" s="18"/>
      <c r="FK119" s="18"/>
      <c r="FL119" s="18"/>
      <c r="FM119" s="18"/>
      <c r="FN119" s="18"/>
      <c r="FO119" s="18"/>
      <c r="FP119" s="18"/>
      <c r="FQ119" s="18"/>
      <c r="FR119" s="18"/>
      <c r="FS119" s="18"/>
      <c r="FT119" s="18"/>
      <c r="FU119" s="18"/>
      <c r="FV119" s="18"/>
      <c r="FW119" s="18"/>
      <c r="FX119" s="18"/>
      <c r="FY119" s="18"/>
      <c r="FZ119" s="18"/>
      <c r="GA119" s="18"/>
      <c r="GB119" s="18"/>
      <c r="GC119" s="18"/>
      <c r="GD119" s="18"/>
      <c r="GE119" s="18"/>
      <c r="GF119" s="18"/>
    </row>
    <row r="120" spans="1:188">
      <c r="A120" s="33"/>
      <c r="B120" s="40"/>
      <c r="C120" s="33"/>
      <c r="D120" s="33"/>
      <c r="E120" s="33"/>
      <c r="F120" s="83"/>
      <c r="G120" s="35"/>
      <c r="H120" s="35"/>
      <c r="I120" s="35"/>
      <c r="J120" s="35"/>
      <c r="K120" s="37"/>
      <c r="L120" s="54"/>
      <c r="M120" s="54"/>
      <c r="N120" s="54"/>
      <c r="O120" s="54"/>
      <c r="P120" s="54"/>
      <c r="Q120" s="54"/>
      <c r="R120" s="54"/>
      <c r="S120" s="77"/>
      <c r="T120" s="77"/>
      <c r="U120" s="77"/>
      <c r="V120" s="77"/>
      <c r="W120" s="76"/>
      <c r="X120" s="77"/>
      <c r="Y120" s="76"/>
      <c r="Z120" s="77"/>
      <c r="AA120" s="77"/>
      <c r="AB120" s="77"/>
      <c r="AC120" s="76"/>
      <c r="AD120" s="59"/>
      <c r="AE120" s="59"/>
      <c r="AF120" s="50"/>
      <c r="AG120" s="33"/>
      <c r="AH120" s="33"/>
      <c r="AW120" s="18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/>
      <c r="CO120" s="18"/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  <c r="DB120" s="18"/>
      <c r="DC120" s="18"/>
      <c r="DD120" s="18"/>
      <c r="DE120" s="18"/>
      <c r="DF120" s="18"/>
      <c r="DG120" s="18"/>
      <c r="DH120" s="18"/>
      <c r="DI120" s="18"/>
      <c r="DJ120" s="18"/>
      <c r="DK120" s="18"/>
      <c r="DL120" s="18"/>
      <c r="DM120" s="18"/>
      <c r="DN120" s="18"/>
      <c r="DO120" s="18"/>
      <c r="DP120" s="18"/>
      <c r="DQ120" s="18"/>
      <c r="DR120" s="18"/>
      <c r="DS120" s="18"/>
      <c r="DT120" s="18"/>
      <c r="DU120" s="18"/>
      <c r="DV120" s="18"/>
      <c r="DW120" s="18"/>
      <c r="DX120" s="18"/>
      <c r="DY120" s="18"/>
      <c r="DZ120" s="18"/>
      <c r="EA120" s="18"/>
      <c r="EB120" s="18"/>
      <c r="EC120" s="18"/>
      <c r="ED120" s="18"/>
      <c r="EE120" s="18"/>
      <c r="EF120" s="18"/>
      <c r="EG120" s="18"/>
      <c r="EH120" s="18"/>
      <c r="EI120" s="18"/>
      <c r="EJ120" s="18"/>
      <c r="EK120" s="18"/>
      <c r="EL120" s="18"/>
      <c r="EM120" s="18"/>
      <c r="EN120" s="18"/>
      <c r="EO120" s="18"/>
      <c r="EP120" s="18"/>
      <c r="EQ120" s="18"/>
      <c r="ER120" s="18"/>
      <c r="ES120" s="18"/>
      <c r="ET120" s="18"/>
      <c r="EU120" s="18"/>
      <c r="EV120" s="18"/>
      <c r="EW120" s="18"/>
      <c r="EX120" s="18"/>
      <c r="EY120" s="18"/>
      <c r="EZ120" s="18"/>
      <c r="FA120" s="18"/>
      <c r="FB120" s="18"/>
      <c r="FC120" s="18"/>
      <c r="FD120" s="18"/>
      <c r="FE120" s="18"/>
      <c r="FF120" s="18"/>
      <c r="FG120" s="18"/>
      <c r="FH120" s="18"/>
      <c r="FI120" s="18"/>
      <c r="FJ120" s="18"/>
      <c r="FK120" s="18"/>
      <c r="FL120" s="18"/>
      <c r="FM120" s="18"/>
      <c r="FN120" s="18"/>
      <c r="FO120" s="18"/>
      <c r="FP120" s="18"/>
      <c r="FQ120" s="18"/>
      <c r="FR120" s="18"/>
      <c r="FS120" s="18"/>
      <c r="FT120" s="18"/>
      <c r="FU120" s="18"/>
      <c r="FV120" s="18"/>
      <c r="FW120" s="18"/>
      <c r="FX120" s="18"/>
      <c r="FY120" s="18"/>
      <c r="FZ120" s="18"/>
      <c r="GA120" s="18"/>
      <c r="GB120" s="18"/>
      <c r="GC120" s="18"/>
      <c r="GD120" s="18"/>
      <c r="GE120" s="18"/>
      <c r="GF120" s="18"/>
    </row>
    <row r="121" spans="1:188">
      <c r="B121" s="20"/>
      <c r="C121" s="20"/>
      <c r="D121" s="20"/>
      <c r="AC121" s="14">
        <f>+AC74*0.16</f>
        <v>0</v>
      </c>
      <c r="AW121" s="18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  <c r="CF121" s="18"/>
      <c r="CG121" s="18"/>
      <c r="CH121" s="18"/>
      <c r="CI121" s="18"/>
      <c r="CJ121" s="18"/>
      <c r="CK121" s="18"/>
      <c r="CL121" s="18"/>
      <c r="CM121" s="18"/>
      <c r="CN121" s="18"/>
      <c r="CO121" s="18"/>
      <c r="CP121" s="18"/>
      <c r="CQ121" s="18"/>
      <c r="CR121" s="18"/>
      <c r="CS121" s="18"/>
      <c r="CT121" s="18"/>
      <c r="CU121" s="18"/>
      <c r="CV121" s="18"/>
      <c r="CW121" s="18"/>
      <c r="CX121" s="18"/>
      <c r="CY121" s="18"/>
      <c r="CZ121" s="18"/>
      <c r="DA121" s="18"/>
      <c r="DB121" s="18"/>
      <c r="DC121" s="18"/>
      <c r="DD121" s="18"/>
      <c r="DE121" s="18"/>
      <c r="DF121" s="18"/>
      <c r="DG121" s="18"/>
      <c r="DH121" s="18"/>
      <c r="DI121" s="18"/>
      <c r="DJ121" s="18"/>
      <c r="DK121" s="18"/>
      <c r="DL121" s="18"/>
      <c r="DM121" s="18"/>
      <c r="DN121" s="18"/>
      <c r="DO121" s="18"/>
      <c r="DP121" s="18"/>
      <c r="DQ121" s="18"/>
      <c r="DR121" s="18"/>
      <c r="DS121" s="18"/>
      <c r="DT121" s="18"/>
      <c r="DU121" s="18"/>
      <c r="DV121" s="18"/>
      <c r="DW121" s="18"/>
      <c r="DX121" s="18"/>
      <c r="DY121" s="18"/>
      <c r="DZ121" s="18"/>
      <c r="EA121" s="18"/>
      <c r="EB121" s="18"/>
      <c r="EC121" s="18"/>
      <c r="ED121" s="18"/>
      <c r="EE121" s="18"/>
      <c r="EF121" s="18"/>
      <c r="EG121" s="18"/>
      <c r="EH121" s="18"/>
      <c r="EI121" s="18"/>
      <c r="EJ121" s="18"/>
      <c r="EK121" s="18"/>
      <c r="EL121" s="18"/>
      <c r="EM121" s="18"/>
      <c r="EN121" s="18"/>
      <c r="EO121" s="18"/>
      <c r="EP121" s="18"/>
      <c r="EQ121" s="18"/>
      <c r="ER121" s="18"/>
      <c r="ES121" s="18"/>
      <c r="ET121" s="18"/>
      <c r="EU121" s="18"/>
      <c r="EV121" s="18"/>
      <c r="EW121" s="18"/>
      <c r="EX121" s="18"/>
      <c r="EY121" s="18"/>
      <c r="EZ121" s="18"/>
      <c r="FA121" s="18"/>
      <c r="FB121" s="18"/>
      <c r="FC121" s="18"/>
      <c r="FD121" s="18"/>
      <c r="FE121" s="18"/>
      <c r="FF121" s="18"/>
      <c r="FG121" s="18"/>
      <c r="FH121" s="18"/>
      <c r="FI121" s="18"/>
      <c r="FJ121" s="18"/>
      <c r="FK121" s="18"/>
      <c r="FL121" s="18"/>
      <c r="FM121" s="18"/>
      <c r="FN121" s="18"/>
      <c r="FO121" s="18"/>
      <c r="FP121" s="18"/>
      <c r="FQ121" s="18"/>
      <c r="FR121" s="18"/>
      <c r="FS121" s="18"/>
      <c r="FT121" s="18"/>
      <c r="FU121" s="18"/>
      <c r="FV121" s="18"/>
      <c r="FW121" s="18"/>
      <c r="FX121" s="18"/>
      <c r="FY121" s="18"/>
      <c r="FZ121" s="18"/>
      <c r="GA121" s="18"/>
      <c r="GB121" s="18"/>
      <c r="GC121" s="18"/>
      <c r="GD121" s="18"/>
      <c r="GE121" s="18"/>
      <c r="GF121" s="18"/>
    </row>
    <row r="122" spans="1:188">
      <c r="A122" s="126" t="s">
        <v>153</v>
      </c>
      <c r="B122" s="126"/>
      <c r="C122" s="20"/>
      <c r="D122" s="20"/>
      <c r="AC122" s="14">
        <f>+AC74+AC121</f>
        <v>0</v>
      </c>
      <c r="AW122" s="18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18"/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  <c r="DD122" s="18"/>
      <c r="DE122" s="18"/>
      <c r="DF122" s="18"/>
      <c r="DG122" s="18"/>
      <c r="DH122" s="18"/>
      <c r="DI122" s="18"/>
      <c r="DJ122" s="18"/>
      <c r="DK122" s="18"/>
      <c r="DL122" s="18"/>
      <c r="DM122" s="18"/>
      <c r="DN122" s="18"/>
      <c r="DO122" s="18"/>
      <c r="DP122" s="18"/>
      <c r="DQ122" s="18"/>
      <c r="DR122" s="18"/>
      <c r="DS122" s="18"/>
      <c r="DT122" s="18"/>
      <c r="DU122" s="18"/>
      <c r="DV122" s="18"/>
      <c r="DW122" s="18"/>
      <c r="DX122" s="18"/>
      <c r="DY122" s="18"/>
      <c r="DZ122" s="18"/>
      <c r="EA122" s="18"/>
      <c r="EB122" s="18"/>
      <c r="EC122" s="18"/>
      <c r="ED122" s="18"/>
      <c r="EE122" s="18"/>
      <c r="EF122" s="18"/>
      <c r="EG122" s="18"/>
      <c r="EH122" s="18"/>
      <c r="EI122" s="18"/>
      <c r="EJ122" s="18"/>
      <c r="EK122" s="18"/>
      <c r="EL122" s="18"/>
      <c r="EM122" s="18"/>
      <c r="EN122" s="18"/>
      <c r="EO122" s="18"/>
      <c r="EP122" s="18"/>
      <c r="EQ122" s="18"/>
      <c r="ER122" s="18"/>
      <c r="ES122" s="18"/>
      <c r="ET122" s="18"/>
      <c r="EU122" s="18"/>
      <c r="EV122" s="18"/>
      <c r="EW122" s="18"/>
      <c r="EX122" s="18"/>
      <c r="EY122" s="18"/>
      <c r="EZ122" s="18"/>
      <c r="FA122" s="18"/>
      <c r="FB122" s="18"/>
      <c r="FC122" s="18"/>
      <c r="FD122" s="18"/>
      <c r="FE122" s="18"/>
      <c r="FF122" s="18"/>
      <c r="FG122" s="18"/>
      <c r="FH122" s="18"/>
      <c r="FI122" s="18"/>
      <c r="FJ122" s="18"/>
      <c r="FK122" s="18"/>
      <c r="FL122" s="18"/>
      <c r="FM122" s="18"/>
      <c r="FN122" s="18"/>
      <c r="FO122" s="18"/>
      <c r="FP122" s="18"/>
      <c r="FQ122" s="18"/>
      <c r="FR122" s="18"/>
      <c r="FS122" s="18"/>
      <c r="FT122" s="18"/>
      <c r="FU122" s="18"/>
      <c r="FV122" s="18"/>
      <c r="FW122" s="18"/>
      <c r="FX122" s="18"/>
      <c r="FY122" s="18"/>
      <c r="FZ122" s="18"/>
      <c r="GA122" s="18"/>
      <c r="GB122" s="18"/>
      <c r="GC122" s="18"/>
      <c r="GD122" s="18"/>
      <c r="GE122" s="18"/>
      <c r="GF122" s="18"/>
    </row>
    <row r="123" spans="1:188" s="18" customFormat="1">
      <c r="A123" s="40"/>
      <c r="B123" s="40"/>
      <c r="C123" s="40"/>
      <c r="D123" s="45"/>
      <c r="E123" s="40"/>
      <c r="F123" s="41"/>
      <c r="G123" s="42"/>
      <c r="H123" s="42"/>
      <c r="I123" s="42"/>
      <c r="J123" s="64"/>
      <c r="K123" s="65"/>
      <c r="L123" s="42"/>
      <c r="M123" s="42"/>
      <c r="N123" s="42"/>
      <c r="O123" s="42"/>
      <c r="P123" s="42"/>
      <c r="Q123" s="42"/>
      <c r="R123" s="42"/>
      <c r="S123" s="38"/>
      <c r="T123" s="38"/>
      <c r="U123" s="40"/>
      <c r="V123" s="40"/>
      <c r="W123" s="65"/>
      <c r="X123" s="38"/>
      <c r="Y123" s="65"/>
      <c r="Z123" s="38"/>
      <c r="AA123" s="38"/>
      <c r="AB123" s="38"/>
      <c r="AC123" s="65"/>
      <c r="AD123" s="61"/>
      <c r="AE123" s="62"/>
      <c r="AF123" s="39">
        <f t="shared" ref="AF123" si="137">+AD123+AE123-Y123</f>
        <v>0</v>
      </c>
      <c r="AG123" s="40"/>
      <c r="AH123" s="63"/>
    </row>
    <row r="124" spans="1:188">
      <c r="AW124" s="18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  <c r="DC124" s="18"/>
      <c r="DD124" s="18"/>
      <c r="DE124" s="18"/>
      <c r="DF124" s="18"/>
      <c r="DG124" s="18"/>
      <c r="DH124" s="18"/>
      <c r="DI124" s="18"/>
      <c r="DJ124" s="18"/>
      <c r="DK124" s="18"/>
      <c r="DL124" s="18"/>
      <c r="DM124" s="18"/>
      <c r="DN124" s="18"/>
      <c r="DO124" s="18"/>
      <c r="DP124" s="18"/>
      <c r="DQ124" s="18"/>
      <c r="DR124" s="18"/>
      <c r="DS124" s="18"/>
      <c r="DT124" s="18"/>
      <c r="DU124" s="18"/>
      <c r="DV124" s="18"/>
      <c r="DW124" s="18"/>
      <c r="DX124" s="18"/>
      <c r="DY124" s="18"/>
      <c r="DZ124" s="18"/>
      <c r="EA124" s="18"/>
      <c r="EB124" s="18"/>
      <c r="EC124" s="18"/>
      <c r="ED124" s="18"/>
      <c r="EE124" s="18"/>
      <c r="EF124" s="18"/>
      <c r="EG124" s="18"/>
      <c r="EH124" s="18"/>
      <c r="EI124" s="18"/>
      <c r="EJ124" s="18"/>
      <c r="EK124" s="18"/>
      <c r="EL124" s="18"/>
      <c r="EM124" s="18"/>
      <c r="EN124" s="18"/>
      <c r="EO124" s="18"/>
      <c r="EP124" s="18"/>
      <c r="EQ124" s="18"/>
      <c r="ER124" s="18"/>
      <c r="ES124" s="18"/>
      <c r="ET124" s="18"/>
      <c r="EU124" s="18"/>
      <c r="EV124" s="18"/>
      <c r="EW124" s="18"/>
      <c r="EX124" s="18"/>
      <c r="EY124" s="18"/>
      <c r="EZ124" s="18"/>
      <c r="FA124" s="18"/>
      <c r="FB124" s="18"/>
      <c r="FC124" s="18"/>
      <c r="FD124" s="18"/>
      <c r="FE124" s="18"/>
      <c r="FF124" s="18"/>
      <c r="FG124" s="18"/>
      <c r="FH124" s="18"/>
      <c r="FI124" s="18"/>
      <c r="FJ124" s="18"/>
      <c r="FK124" s="18"/>
      <c r="FL124" s="18"/>
      <c r="FM124" s="18"/>
      <c r="FN124" s="18"/>
      <c r="FO124" s="18"/>
      <c r="FP124" s="18"/>
      <c r="FQ124" s="18"/>
      <c r="FR124" s="18"/>
      <c r="FS124" s="18"/>
      <c r="FT124" s="18"/>
      <c r="FU124" s="18"/>
      <c r="FV124" s="18"/>
      <c r="FW124" s="18"/>
      <c r="FX124" s="18"/>
      <c r="FY124" s="18"/>
      <c r="FZ124" s="18"/>
      <c r="GA124" s="18"/>
      <c r="GB124" s="18"/>
      <c r="GC124" s="18"/>
      <c r="GD124" s="18"/>
      <c r="GE124" s="18"/>
      <c r="GF124" s="18"/>
    </row>
    <row r="125" spans="1:188">
      <c r="AW125" s="18"/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  <c r="CD125" s="18"/>
      <c r="CE125" s="18"/>
      <c r="CF125" s="18"/>
      <c r="CG125" s="18"/>
      <c r="CH125" s="18"/>
      <c r="CI125" s="18"/>
      <c r="CJ125" s="18"/>
      <c r="CK125" s="18"/>
      <c r="CL125" s="18"/>
      <c r="CM125" s="18"/>
      <c r="CN125" s="18"/>
      <c r="CO125" s="18"/>
      <c r="CP125" s="18"/>
      <c r="CQ125" s="18"/>
      <c r="CR125" s="18"/>
      <c r="CS125" s="18"/>
      <c r="CT125" s="18"/>
      <c r="CU125" s="18"/>
      <c r="CV125" s="18"/>
      <c r="CW125" s="18"/>
      <c r="CX125" s="18"/>
      <c r="CY125" s="18"/>
      <c r="CZ125" s="18"/>
      <c r="DA125" s="18"/>
      <c r="DB125" s="18"/>
      <c r="DC125" s="18"/>
      <c r="DD125" s="18"/>
      <c r="DE125" s="18"/>
      <c r="DF125" s="18"/>
      <c r="DG125" s="18"/>
      <c r="DH125" s="18"/>
      <c r="DI125" s="18"/>
      <c r="DJ125" s="18"/>
      <c r="DK125" s="18"/>
      <c r="DL125" s="18"/>
      <c r="DM125" s="18"/>
      <c r="DN125" s="18"/>
      <c r="DO125" s="18"/>
      <c r="DP125" s="18"/>
      <c r="DQ125" s="18"/>
      <c r="DR125" s="18"/>
      <c r="DS125" s="18"/>
      <c r="DT125" s="18"/>
      <c r="DU125" s="18"/>
      <c r="DV125" s="18"/>
      <c r="DW125" s="18"/>
      <c r="DX125" s="18"/>
      <c r="DY125" s="18"/>
      <c r="DZ125" s="18"/>
      <c r="EA125" s="18"/>
      <c r="EB125" s="18"/>
      <c r="EC125" s="18"/>
      <c r="ED125" s="18"/>
      <c r="EE125" s="18"/>
      <c r="EF125" s="18"/>
      <c r="EG125" s="18"/>
      <c r="EH125" s="18"/>
      <c r="EI125" s="18"/>
      <c r="EJ125" s="18"/>
      <c r="EK125" s="18"/>
      <c r="EL125" s="18"/>
      <c r="EM125" s="18"/>
      <c r="EN125" s="18"/>
      <c r="EO125" s="18"/>
      <c r="EP125" s="18"/>
      <c r="EQ125" s="18"/>
      <c r="ER125" s="18"/>
      <c r="ES125" s="18"/>
      <c r="ET125" s="18"/>
      <c r="EU125" s="18"/>
      <c r="EV125" s="18"/>
      <c r="EW125" s="18"/>
      <c r="EX125" s="18"/>
      <c r="EY125" s="18"/>
      <c r="EZ125" s="18"/>
      <c r="FA125" s="18"/>
      <c r="FB125" s="18"/>
      <c r="FC125" s="18"/>
      <c r="FD125" s="18"/>
      <c r="FE125" s="18"/>
      <c r="FF125" s="18"/>
      <c r="FG125" s="18"/>
      <c r="FH125" s="18"/>
      <c r="FI125" s="18"/>
      <c r="FJ125" s="18"/>
      <c r="FK125" s="18"/>
      <c r="FL125" s="18"/>
      <c r="FM125" s="18"/>
      <c r="FN125" s="18"/>
      <c r="FO125" s="18"/>
      <c r="FP125" s="18"/>
      <c r="FQ125" s="18"/>
      <c r="FR125" s="18"/>
      <c r="FS125" s="18"/>
      <c r="FT125" s="18"/>
      <c r="FU125" s="18"/>
      <c r="FV125" s="18"/>
      <c r="FW125" s="18"/>
      <c r="FX125" s="18"/>
      <c r="FY125" s="18"/>
      <c r="FZ125" s="18"/>
      <c r="GA125" s="18"/>
      <c r="GB125" s="18"/>
      <c r="GC125" s="18"/>
      <c r="GD125" s="18"/>
      <c r="GE125" s="18"/>
      <c r="GF125" s="18"/>
    </row>
    <row r="126" spans="1:188">
      <c r="AW126" s="18"/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  <c r="DB126" s="18"/>
      <c r="DC126" s="18"/>
      <c r="DD126" s="18"/>
      <c r="DE126" s="18"/>
      <c r="DF126" s="18"/>
      <c r="DG126" s="18"/>
      <c r="DH126" s="18"/>
      <c r="DI126" s="18"/>
      <c r="DJ126" s="18"/>
      <c r="DK126" s="18"/>
      <c r="DL126" s="18"/>
      <c r="DM126" s="18"/>
      <c r="DN126" s="18"/>
      <c r="DO126" s="18"/>
      <c r="DP126" s="18"/>
      <c r="DQ126" s="18"/>
      <c r="DR126" s="18"/>
      <c r="DS126" s="18"/>
      <c r="DT126" s="18"/>
      <c r="DU126" s="18"/>
      <c r="DV126" s="18"/>
      <c r="DW126" s="18"/>
      <c r="DX126" s="18"/>
      <c r="DY126" s="18"/>
      <c r="DZ126" s="18"/>
      <c r="EA126" s="18"/>
      <c r="EB126" s="18"/>
      <c r="EC126" s="18"/>
      <c r="ED126" s="18"/>
      <c r="EE126" s="18"/>
      <c r="EF126" s="18"/>
      <c r="EG126" s="18"/>
      <c r="EH126" s="18"/>
      <c r="EI126" s="18"/>
      <c r="EJ126" s="18"/>
      <c r="EK126" s="18"/>
      <c r="EL126" s="18"/>
      <c r="EM126" s="18"/>
      <c r="EN126" s="18"/>
      <c r="EO126" s="18"/>
      <c r="EP126" s="18"/>
      <c r="EQ126" s="18"/>
      <c r="ER126" s="18"/>
      <c r="ES126" s="18"/>
      <c r="ET126" s="18"/>
      <c r="EU126" s="18"/>
      <c r="EV126" s="18"/>
      <c r="EW126" s="18"/>
      <c r="EX126" s="18"/>
      <c r="EY126" s="18"/>
      <c r="EZ126" s="18"/>
      <c r="FA126" s="18"/>
      <c r="FB126" s="18"/>
      <c r="FC126" s="18"/>
      <c r="FD126" s="18"/>
      <c r="FE126" s="18"/>
      <c r="FF126" s="18"/>
      <c r="FG126" s="18"/>
      <c r="FH126" s="18"/>
      <c r="FI126" s="18"/>
      <c r="FJ126" s="18"/>
      <c r="FK126" s="18"/>
      <c r="FL126" s="18"/>
      <c r="FM126" s="18"/>
      <c r="FN126" s="18"/>
      <c r="FO126" s="18"/>
      <c r="FP126" s="18"/>
      <c r="FQ126" s="18"/>
      <c r="FR126" s="18"/>
      <c r="FS126" s="18"/>
      <c r="FT126" s="18"/>
      <c r="FU126" s="18"/>
      <c r="FV126" s="18"/>
      <c r="FW126" s="18"/>
      <c r="FX126" s="18"/>
      <c r="FY126" s="18"/>
      <c r="FZ126" s="18"/>
      <c r="GA126" s="18"/>
      <c r="GB126" s="18"/>
      <c r="GC126" s="18"/>
      <c r="GD126" s="18"/>
      <c r="GE126" s="18"/>
      <c r="GF126" s="18"/>
    </row>
    <row r="127" spans="1:188">
      <c r="AW127" s="18"/>
      <c r="AX127" s="18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  <c r="BI127" s="18"/>
      <c r="BJ127" s="18"/>
      <c r="BK127" s="18"/>
      <c r="BL127" s="18"/>
      <c r="BM127" s="18"/>
      <c r="BN127" s="18"/>
      <c r="BO127" s="18"/>
      <c r="BP127" s="18"/>
      <c r="BQ127" s="18"/>
      <c r="BR127" s="18"/>
      <c r="BS127" s="18"/>
      <c r="BT127" s="18"/>
      <c r="BU127" s="18"/>
      <c r="BV127" s="18"/>
      <c r="BW127" s="18"/>
      <c r="BX127" s="18"/>
      <c r="BY127" s="18"/>
      <c r="BZ127" s="18"/>
      <c r="CA127" s="18"/>
      <c r="CB127" s="18"/>
      <c r="CC127" s="18"/>
      <c r="CD127" s="18"/>
      <c r="CE127" s="18"/>
      <c r="CF127" s="18"/>
      <c r="CG127" s="18"/>
      <c r="CH127" s="18"/>
      <c r="CI127" s="18"/>
      <c r="CJ127" s="18"/>
      <c r="CK127" s="18"/>
      <c r="CL127" s="18"/>
      <c r="CM127" s="18"/>
      <c r="CN127" s="18"/>
      <c r="CO127" s="18"/>
      <c r="CP127" s="18"/>
      <c r="CQ127" s="18"/>
      <c r="CR127" s="18"/>
      <c r="CS127" s="18"/>
      <c r="CT127" s="18"/>
      <c r="CU127" s="18"/>
      <c r="CV127" s="18"/>
      <c r="CW127" s="18"/>
      <c r="CX127" s="18"/>
      <c r="CY127" s="18"/>
      <c r="CZ127" s="18"/>
      <c r="DA127" s="18"/>
      <c r="DB127" s="18"/>
      <c r="DC127" s="18"/>
      <c r="DD127" s="18"/>
      <c r="DE127" s="18"/>
      <c r="DF127" s="18"/>
      <c r="DG127" s="18"/>
      <c r="DH127" s="18"/>
      <c r="DI127" s="18"/>
      <c r="DJ127" s="18"/>
      <c r="DK127" s="18"/>
      <c r="DL127" s="18"/>
      <c r="DM127" s="18"/>
      <c r="DN127" s="18"/>
      <c r="DO127" s="18"/>
      <c r="DP127" s="18"/>
      <c r="DQ127" s="18"/>
      <c r="DR127" s="18"/>
      <c r="DS127" s="18"/>
      <c r="DT127" s="18"/>
      <c r="DU127" s="18"/>
      <c r="DV127" s="18"/>
      <c r="DW127" s="18"/>
      <c r="DX127" s="18"/>
      <c r="DY127" s="18"/>
      <c r="DZ127" s="18"/>
      <c r="EA127" s="18"/>
      <c r="EB127" s="18"/>
      <c r="EC127" s="18"/>
      <c r="ED127" s="18"/>
      <c r="EE127" s="18"/>
      <c r="EF127" s="18"/>
      <c r="EG127" s="18"/>
      <c r="EH127" s="18"/>
      <c r="EI127" s="18"/>
      <c r="EJ127" s="18"/>
      <c r="EK127" s="18"/>
      <c r="EL127" s="18"/>
      <c r="EM127" s="18"/>
      <c r="EN127" s="18"/>
      <c r="EO127" s="18"/>
      <c r="EP127" s="18"/>
      <c r="EQ127" s="18"/>
      <c r="ER127" s="18"/>
      <c r="ES127" s="18"/>
      <c r="ET127" s="18"/>
      <c r="EU127" s="18"/>
      <c r="EV127" s="18"/>
      <c r="EW127" s="18"/>
      <c r="EX127" s="18"/>
      <c r="EY127" s="18"/>
      <c r="EZ127" s="18"/>
      <c r="FA127" s="18"/>
      <c r="FB127" s="18"/>
      <c r="FC127" s="18"/>
      <c r="FD127" s="18"/>
      <c r="FE127" s="18"/>
      <c r="FF127" s="18"/>
      <c r="FG127" s="18"/>
      <c r="FH127" s="18"/>
      <c r="FI127" s="18"/>
      <c r="FJ127" s="18"/>
      <c r="FK127" s="18"/>
      <c r="FL127" s="18"/>
      <c r="FM127" s="18"/>
      <c r="FN127" s="18"/>
      <c r="FO127" s="18"/>
      <c r="FP127" s="18"/>
      <c r="FQ127" s="18"/>
      <c r="FR127" s="18"/>
      <c r="FS127" s="18"/>
      <c r="FT127" s="18"/>
      <c r="FU127" s="18"/>
      <c r="FV127" s="18"/>
      <c r="FW127" s="18"/>
      <c r="FX127" s="18"/>
      <c r="FY127" s="18"/>
      <c r="FZ127" s="18"/>
      <c r="GA127" s="18"/>
      <c r="GB127" s="18"/>
      <c r="GC127" s="18"/>
      <c r="GD127" s="18"/>
      <c r="GE127" s="18"/>
      <c r="GF127" s="18"/>
    </row>
    <row r="128" spans="1:188">
      <c r="AW128" s="18"/>
      <c r="AX128" s="18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8"/>
      <c r="BJ128" s="18"/>
      <c r="BK128" s="18"/>
      <c r="BL128" s="18"/>
      <c r="BM128" s="18"/>
      <c r="BN128" s="18"/>
      <c r="BO128" s="18"/>
      <c r="BP128" s="18"/>
      <c r="BQ128" s="18"/>
      <c r="BR128" s="18"/>
      <c r="BS128" s="18"/>
      <c r="BT128" s="18"/>
      <c r="BU128" s="18"/>
      <c r="BV128" s="18"/>
      <c r="BW128" s="18"/>
      <c r="BX128" s="18"/>
      <c r="BY128" s="18"/>
      <c r="BZ128" s="18"/>
      <c r="CA128" s="18"/>
      <c r="CB128" s="18"/>
      <c r="CC128" s="18"/>
      <c r="CD128" s="18"/>
      <c r="CE128" s="18"/>
      <c r="CF128" s="18"/>
      <c r="CG128" s="18"/>
      <c r="CH128" s="18"/>
      <c r="CI128" s="18"/>
      <c r="CJ128" s="18"/>
      <c r="CK128" s="18"/>
      <c r="CL128" s="18"/>
      <c r="CM128" s="18"/>
      <c r="CN128" s="18"/>
      <c r="CO128" s="18"/>
      <c r="CP128" s="18"/>
      <c r="CQ128" s="18"/>
      <c r="CR128" s="18"/>
      <c r="CS128" s="18"/>
      <c r="CT128" s="18"/>
      <c r="CU128" s="18"/>
      <c r="CV128" s="18"/>
      <c r="CW128" s="18"/>
      <c r="CX128" s="18"/>
      <c r="CY128" s="18"/>
      <c r="CZ128" s="18"/>
      <c r="DA128" s="18"/>
      <c r="DB128" s="18"/>
      <c r="DC128" s="18"/>
      <c r="DD128" s="18"/>
      <c r="DE128" s="18"/>
      <c r="DF128" s="18"/>
      <c r="DG128" s="18"/>
      <c r="DH128" s="18"/>
      <c r="DI128" s="18"/>
      <c r="DJ128" s="18"/>
      <c r="DK128" s="18"/>
      <c r="DL128" s="18"/>
      <c r="DM128" s="18"/>
      <c r="DN128" s="18"/>
      <c r="DO128" s="18"/>
      <c r="DP128" s="18"/>
      <c r="DQ128" s="18"/>
      <c r="DR128" s="18"/>
      <c r="DS128" s="18"/>
      <c r="DT128" s="18"/>
      <c r="DU128" s="18"/>
      <c r="DV128" s="18"/>
      <c r="DW128" s="18"/>
      <c r="DX128" s="18"/>
      <c r="DY128" s="18"/>
      <c r="DZ128" s="18"/>
      <c r="EA128" s="18"/>
      <c r="EB128" s="18"/>
      <c r="EC128" s="18"/>
      <c r="ED128" s="18"/>
      <c r="EE128" s="18"/>
      <c r="EF128" s="18"/>
      <c r="EG128" s="18"/>
      <c r="EH128" s="18"/>
      <c r="EI128" s="18"/>
      <c r="EJ128" s="18"/>
      <c r="EK128" s="18"/>
      <c r="EL128" s="18"/>
      <c r="EM128" s="18"/>
      <c r="EN128" s="18"/>
      <c r="EO128" s="18"/>
      <c r="EP128" s="18"/>
      <c r="EQ128" s="18"/>
      <c r="ER128" s="18"/>
      <c r="ES128" s="18"/>
      <c r="ET128" s="18"/>
      <c r="EU128" s="18"/>
      <c r="EV128" s="18"/>
      <c r="EW128" s="18"/>
      <c r="EX128" s="18"/>
      <c r="EY128" s="18"/>
      <c r="EZ128" s="18"/>
      <c r="FA128" s="18"/>
      <c r="FB128" s="18"/>
      <c r="FC128" s="18"/>
      <c r="FD128" s="18"/>
      <c r="FE128" s="18"/>
      <c r="FF128" s="18"/>
      <c r="FG128" s="18"/>
      <c r="FH128" s="18"/>
      <c r="FI128" s="18"/>
      <c r="FJ128" s="18"/>
      <c r="FK128" s="18"/>
      <c r="FL128" s="18"/>
      <c r="FM128" s="18"/>
      <c r="FN128" s="18"/>
      <c r="FO128" s="18"/>
      <c r="FP128" s="18"/>
      <c r="FQ128" s="18"/>
      <c r="FR128" s="18"/>
      <c r="FS128" s="18"/>
      <c r="FT128" s="18"/>
      <c r="FU128" s="18"/>
      <c r="FV128" s="18"/>
      <c r="FW128" s="18"/>
      <c r="FX128" s="18"/>
      <c r="FY128" s="18"/>
      <c r="FZ128" s="18"/>
      <c r="GA128" s="18"/>
      <c r="GB128" s="18"/>
      <c r="GC128" s="18"/>
      <c r="GD128" s="18"/>
      <c r="GE128" s="18"/>
      <c r="GF128" s="18"/>
    </row>
    <row r="129" spans="1:188">
      <c r="AW129" s="18"/>
      <c r="AX129" s="18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18"/>
      <c r="BK129" s="18"/>
      <c r="BL129" s="18"/>
      <c r="BM129" s="18"/>
      <c r="BN129" s="18"/>
      <c r="BO129" s="18"/>
      <c r="BP129" s="18"/>
      <c r="BQ129" s="18"/>
      <c r="BR129" s="18"/>
      <c r="BS129" s="18"/>
      <c r="BT129" s="18"/>
      <c r="BU129" s="18"/>
      <c r="BV129" s="18"/>
      <c r="BW129" s="18"/>
      <c r="BX129" s="18"/>
      <c r="BY129" s="18"/>
      <c r="BZ129" s="18"/>
      <c r="CA129" s="18"/>
      <c r="CB129" s="18"/>
      <c r="CC129" s="18"/>
      <c r="CD129" s="18"/>
      <c r="CE129" s="18"/>
      <c r="CF129" s="18"/>
      <c r="CG129" s="18"/>
      <c r="CH129" s="18"/>
      <c r="CI129" s="18"/>
      <c r="CJ129" s="18"/>
      <c r="CK129" s="18"/>
      <c r="CL129" s="18"/>
      <c r="CM129" s="18"/>
      <c r="CN129" s="18"/>
      <c r="CO129" s="18"/>
      <c r="CP129" s="18"/>
      <c r="CQ129" s="18"/>
      <c r="CR129" s="18"/>
      <c r="CS129" s="18"/>
      <c r="CT129" s="18"/>
      <c r="CU129" s="18"/>
      <c r="CV129" s="18"/>
      <c r="CW129" s="18"/>
      <c r="CX129" s="18"/>
      <c r="CY129" s="18"/>
      <c r="CZ129" s="18"/>
      <c r="DA129" s="18"/>
      <c r="DB129" s="18"/>
      <c r="DC129" s="18"/>
      <c r="DD129" s="18"/>
      <c r="DE129" s="18"/>
      <c r="DF129" s="18"/>
      <c r="DG129" s="18"/>
      <c r="DH129" s="18"/>
      <c r="DI129" s="18"/>
      <c r="DJ129" s="18"/>
      <c r="DK129" s="18"/>
      <c r="DL129" s="18"/>
      <c r="DM129" s="18"/>
      <c r="DN129" s="18"/>
      <c r="DO129" s="18"/>
      <c r="DP129" s="18"/>
      <c r="DQ129" s="18"/>
      <c r="DR129" s="18"/>
      <c r="DS129" s="18"/>
      <c r="DT129" s="18"/>
      <c r="DU129" s="18"/>
      <c r="DV129" s="18"/>
      <c r="DW129" s="18"/>
      <c r="DX129" s="18"/>
      <c r="DY129" s="18"/>
      <c r="DZ129" s="18"/>
      <c r="EA129" s="18"/>
      <c r="EB129" s="18"/>
      <c r="EC129" s="18"/>
      <c r="ED129" s="18"/>
      <c r="EE129" s="18"/>
      <c r="EF129" s="18"/>
      <c r="EG129" s="18"/>
      <c r="EH129" s="18"/>
      <c r="EI129" s="18"/>
      <c r="EJ129" s="18"/>
      <c r="EK129" s="18"/>
      <c r="EL129" s="18"/>
      <c r="EM129" s="18"/>
      <c r="EN129" s="18"/>
      <c r="EO129" s="18"/>
      <c r="EP129" s="18"/>
      <c r="EQ129" s="18"/>
      <c r="ER129" s="18"/>
      <c r="ES129" s="18"/>
      <c r="ET129" s="18"/>
      <c r="EU129" s="18"/>
      <c r="EV129" s="18"/>
      <c r="EW129" s="18"/>
      <c r="EX129" s="18"/>
      <c r="EY129" s="18"/>
      <c r="EZ129" s="18"/>
      <c r="FA129" s="18"/>
      <c r="FB129" s="18"/>
      <c r="FC129" s="18"/>
      <c r="FD129" s="18"/>
      <c r="FE129" s="18"/>
      <c r="FF129" s="18"/>
      <c r="FG129" s="18"/>
      <c r="FH129" s="18"/>
      <c r="FI129" s="18"/>
      <c r="FJ129" s="18"/>
      <c r="FK129" s="18"/>
      <c r="FL129" s="18"/>
      <c r="FM129" s="18"/>
      <c r="FN129" s="18"/>
      <c r="FO129" s="18"/>
      <c r="FP129" s="18"/>
      <c r="FQ129" s="18"/>
      <c r="FR129" s="18"/>
      <c r="FS129" s="18"/>
      <c r="FT129" s="18"/>
      <c r="FU129" s="18"/>
      <c r="FV129" s="18"/>
      <c r="FW129" s="18"/>
      <c r="FX129" s="18"/>
      <c r="FY129" s="18"/>
      <c r="FZ129" s="18"/>
      <c r="GA129" s="18"/>
      <c r="GB129" s="18"/>
      <c r="GC129" s="18"/>
      <c r="GD129" s="18"/>
      <c r="GE129" s="18"/>
      <c r="GF129" s="18"/>
    </row>
    <row r="130" spans="1:188">
      <c r="A130" s="19" t="s">
        <v>18</v>
      </c>
      <c r="B130" s="13"/>
      <c r="C130" s="13"/>
      <c r="AW130" s="18"/>
      <c r="AX130" s="18"/>
      <c r="AY130" s="18"/>
      <c r="AZ130" s="18"/>
      <c r="BA130" s="18"/>
      <c r="BB130" s="18"/>
      <c r="BC130" s="18"/>
      <c r="BD130" s="18"/>
      <c r="BE130" s="18"/>
      <c r="BF130" s="18"/>
      <c r="BG130" s="18"/>
      <c r="BH130" s="18"/>
      <c r="BI130" s="18"/>
      <c r="BJ130" s="18"/>
      <c r="BK130" s="18"/>
      <c r="BL130" s="18"/>
      <c r="BM130" s="18"/>
      <c r="BN130" s="18"/>
      <c r="BO130" s="18"/>
      <c r="BP130" s="18"/>
      <c r="BQ130" s="18"/>
      <c r="BR130" s="18"/>
      <c r="BS130" s="18"/>
      <c r="BT130" s="18"/>
      <c r="BU130" s="18"/>
      <c r="BV130" s="18"/>
      <c r="BW130" s="18"/>
      <c r="BX130" s="18"/>
      <c r="BY130" s="18"/>
      <c r="BZ130" s="18"/>
      <c r="CA130" s="18"/>
      <c r="CB130" s="18"/>
      <c r="CC130" s="18"/>
      <c r="CD130" s="18"/>
      <c r="CE130" s="18"/>
      <c r="CF130" s="18"/>
      <c r="CG130" s="18"/>
      <c r="CH130" s="18"/>
      <c r="CI130" s="18"/>
      <c r="CJ130" s="18"/>
      <c r="CK130" s="18"/>
      <c r="CL130" s="18"/>
      <c r="CM130" s="18"/>
      <c r="CN130" s="18"/>
      <c r="CO130" s="18"/>
      <c r="CP130" s="18"/>
      <c r="CQ130" s="18"/>
      <c r="CR130" s="18"/>
      <c r="CS130" s="18"/>
      <c r="CT130" s="18"/>
      <c r="CU130" s="18"/>
      <c r="CV130" s="18"/>
      <c r="CW130" s="18"/>
      <c r="CX130" s="18"/>
      <c r="CY130" s="18"/>
      <c r="CZ130" s="18"/>
      <c r="DA130" s="18"/>
      <c r="DB130" s="18"/>
      <c r="DC130" s="18"/>
      <c r="DD130" s="18"/>
      <c r="DE130" s="18"/>
      <c r="DF130" s="18"/>
      <c r="DG130" s="18"/>
      <c r="DH130" s="18"/>
      <c r="DI130" s="18"/>
      <c r="DJ130" s="18"/>
      <c r="DK130" s="18"/>
      <c r="DL130" s="18"/>
      <c r="DM130" s="18"/>
      <c r="DN130" s="18"/>
      <c r="DO130" s="18"/>
      <c r="DP130" s="18"/>
      <c r="DQ130" s="18"/>
      <c r="DR130" s="18"/>
      <c r="DS130" s="18"/>
      <c r="DT130" s="18"/>
      <c r="DU130" s="18"/>
      <c r="DV130" s="18"/>
      <c r="DW130" s="18"/>
      <c r="DX130" s="18"/>
      <c r="DY130" s="18"/>
      <c r="DZ130" s="18"/>
      <c r="EA130" s="18"/>
      <c r="EB130" s="18"/>
      <c r="EC130" s="18"/>
      <c r="ED130" s="18"/>
      <c r="EE130" s="18"/>
      <c r="EF130" s="18"/>
      <c r="EG130" s="18"/>
      <c r="EH130" s="18"/>
      <c r="EI130" s="18"/>
      <c r="EJ130" s="18"/>
      <c r="EK130" s="18"/>
      <c r="EL130" s="18"/>
      <c r="EM130" s="18"/>
      <c r="EN130" s="18"/>
      <c r="EO130" s="18"/>
      <c r="EP130" s="18"/>
      <c r="EQ130" s="18"/>
      <c r="ER130" s="18"/>
      <c r="ES130" s="18"/>
      <c r="ET130" s="18"/>
      <c r="EU130" s="18"/>
      <c r="EV130" s="18"/>
      <c r="EW130" s="18"/>
      <c r="EX130" s="18"/>
      <c r="EY130" s="18"/>
      <c r="EZ130" s="18"/>
      <c r="FA130" s="18"/>
      <c r="FB130" s="18"/>
      <c r="FC130" s="18"/>
      <c r="FD130" s="18"/>
      <c r="FE130" s="18"/>
      <c r="FF130" s="18"/>
      <c r="FG130" s="18"/>
      <c r="FH130" s="18"/>
      <c r="FI130" s="18"/>
      <c r="FJ130" s="18"/>
      <c r="FK130" s="18"/>
      <c r="FL130" s="18"/>
      <c r="FM130" s="18"/>
      <c r="FN130" s="18"/>
      <c r="FO130" s="18"/>
      <c r="FP130" s="18"/>
      <c r="FQ130" s="18"/>
      <c r="FR130" s="18"/>
      <c r="FS130" s="18"/>
      <c r="FT130" s="18"/>
      <c r="FU130" s="18"/>
      <c r="FV130" s="18"/>
      <c r="FW130" s="18"/>
      <c r="FX130" s="18"/>
      <c r="FY130" s="18"/>
      <c r="FZ130" s="18"/>
      <c r="GA130" s="18"/>
      <c r="GB130" s="18"/>
      <c r="GC130" s="18"/>
      <c r="GD130" s="18"/>
      <c r="GE130" s="18"/>
      <c r="GF130" s="18"/>
    </row>
    <row r="131" spans="1:188">
      <c r="A131" s="19" t="s">
        <v>19</v>
      </c>
      <c r="B131" s="13"/>
      <c r="C131" s="13"/>
      <c r="AW131" s="18"/>
      <c r="AX131" s="18"/>
      <c r="AY131" s="18"/>
      <c r="AZ131" s="18"/>
      <c r="BA131" s="18"/>
      <c r="BB131" s="18"/>
      <c r="BC131" s="18"/>
      <c r="BD131" s="18"/>
      <c r="BE131" s="18"/>
      <c r="BF131" s="18"/>
      <c r="BG131" s="18"/>
      <c r="BH131" s="18"/>
      <c r="BI131" s="18"/>
      <c r="BJ131" s="18"/>
      <c r="BK131" s="18"/>
      <c r="BL131" s="18"/>
      <c r="BM131" s="18"/>
      <c r="BN131" s="18"/>
      <c r="BO131" s="18"/>
      <c r="BP131" s="18"/>
      <c r="BQ131" s="18"/>
      <c r="BR131" s="18"/>
      <c r="BS131" s="18"/>
      <c r="BT131" s="18"/>
      <c r="BU131" s="18"/>
      <c r="BV131" s="18"/>
      <c r="BW131" s="18"/>
      <c r="BX131" s="18"/>
      <c r="BY131" s="18"/>
      <c r="BZ131" s="18"/>
      <c r="CA131" s="18"/>
      <c r="CB131" s="18"/>
      <c r="CC131" s="18"/>
      <c r="CD131" s="18"/>
      <c r="CE131" s="18"/>
      <c r="CF131" s="18"/>
      <c r="CG131" s="18"/>
      <c r="CH131" s="18"/>
      <c r="CI131" s="18"/>
      <c r="CJ131" s="18"/>
      <c r="CK131" s="18"/>
      <c r="CL131" s="18"/>
      <c r="CM131" s="18"/>
      <c r="CN131" s="18"/>
      <c r="CO131" s="18"/>
      <c r="CP131" s="18"/>
      <c r="CQ131" s="18"/>
      <c r="CR131" s="18"/>
      <c r="CS131" s="18"/>
      <c r="CT131" s="18"/>
      <c r="CU131" s="18"/>
      <c r="CV131" s="18"/>
      <c r="CW131" s="18"/>
      <c r="CX131" s="18"/>
      <c r="CY131" s="18"/>
      <c r="CZ131" s="18"/>
      <c r="DA131" s="18"/>
      <c r="DB131" s="18"/>
      <c r="DC131" s="18"/>
      <c r="DD131" s="18"/>
      <c r="DE131" s="18"/>
      <c r="DF131" s="18"/>
      <c r="DG131" s="18"/>
      <c r="DH131" s="18"/>
      <c r="DI131" s="18"/>
      <c r="DJ131" s="18"/>
      <c r="DK131" s="18"/>
      <c r="DL131" s="18"/>
      <c r="DM131" s="18"/>
      <c r="DN131" s="18"/>
      <c r="DO131" s="18"/>
      <c r="DP131" s="18"/>
      <c r="DQ131" s="18"/>
      <c r="DR131" s="18"/>
      <c r="DS131" s="18"/>
      <c r="DT131" s="18"/>
      <c r="DU131" s="18"/>
      <c r="DV131" s="18"/>
      <c r="DW131" s="18"/>
      <c r="DX131" s="18"/>
      <c r="DY131" s="18"/>
      <c r="DZ131" s="18"/>
      <c r="EA131" s="18"/>
      <c r="EB131" s="18"/>
      <c r="EC131" s="18"/>
      <c r="ED131" s="18"/>
      <c r="EE131" s="18"/>
      <c r="EF131" s="18"/>
      <c r="EG131" s="18"/>
      <c r="EH131" s="18"/>
      <c r="EI131" s="18"/>
      <c r="EJ131" s="18"/>
      <c r="EK131" s="18"/>
      <c r="EL131" s="18"/>
      <c r="EM131" s="18"/>
      <c r="EN131" s="18"/>
      <c r="EO131" s="18"/>
      <c r="EP131" s="18"/>
      <c r="EQ131" s="18"/>
      <c r="ER131" s="18"/>
      <c r="ES131" s="18"/>
      <c r="ET131" s="18"/>
      <c r="EU131" s="18"/>
      <c r="EV131" s="18"/>
      <c r="EW131" s="18"/>
      <c r="EX131" s="18"/>
      <c r="EY131" s="18"/>
      <c r="EZ131" s="18"/>
      <c r="FA131" s="18"/>
      <c r="FB131" s="18"/>
      <c r="FC131" s="18"/>
      <c r="FD131" s="18"/>
      <c r="FE131" s="18"/>
      <c r="FF131" s="18"/>
      <c r="FG131" s="18"/>
      <c r="FH131" s="18"/>
      <c r="FI131" s="18"/>
      <c r="FJ131" s="18"/>
      <c r="FK131" s="18"/>
      <c r="FL131" s="18"/>
      <c r="FM131" s="18"/>
      <c r="FN131" s="18"/>
      <c r="FO131" s="18"/>
      <c r="FP131" s="18"/>
      <c r="FQ131" s="18"/>
      <c r="FR131" s="18"/>
      <c r="FS131" s="18"/>
      <c r="FT131" s="18"/>
      <c r="FU131" s="18"/>
      <c r="FV131" s="18"/>
      <c r="FW131" s="18"/>
      <c r="FX131" s="18"/>
      <c r="FY131" s="18"/>
      <c r="FZ131" s="18"/>
      <c r="GA131" s="18"/>
      <c r="GB131" s="18"/>
      <c r="GC131" s="18"/>
      <c r="GD131" s="18"/>
      <c r="GE131" s="18"/>
      <c r="GF131" s="18"/>
    </row>
    <row r="132" spans="1:188">
      <c r="A132" s="19" t="s">
        <v>20</v>
      </c>
      <c r="B132" s="13"/>
      <c r="C132" s="13"/>
      <c r="AW132" s="18"/>
      <c r="AX132" s="18"/>
      <c r="AY132" s="18"/>
      <c r="AZ132" s="18"/>
      <c r="BA132" s="18"/>
      <c r="BB132" s="18"/>
      <c r="BC132" s="18"/>
      <c r="BD132" s="18"/>
      <c r="BE132" s="18"/>
      <c r="BF132" s="18"/>
      <c r="BG132" s="18"/>
      <c r="BH132" s="18"/>
      <c r="BI132" s="18"/>
      <c r="BJ132" s="18"/>
      <c r="BK132" s="18"/>
      <c r="BL132" s="18"/>
      <c r="BM132" s="18"/>
      <c r="BN132" s="18"/>
      <c r="BO132" s="18"/>
      <c r="BP132" s="18"/>
      <c r="BQ132" s="18"/>
      <c r="BR132" s="18"/>
      <c r="BS132" s="18"/>
      <c r="BT132" s="18"/>
      <c r="BU132" s="18"/>
      <c r="BV132" s="18"/>
      <c r="BW132" s="18"/>
      <c r="BX132" s="18"/>
      <c r="BY132" s="18"/>
      <c r="BZ132" s="18"/>
      <c r="CA132" s="18"/>
      <c r="CB132" s="18"/>
      <c r="CC132" s="18"/>
      <c r="CD132" s="18"/>
      <c r="CE132" s="18"/>
      <c r="CF132" s="18"/>
      <c r="CG132" s="18"/>
      <c r="CH132" s="18"/>
      <c r="CI132" s="18"/>
      <c r="CJ132" s="18"/>
      <c r="CK132" s="18"/>
      <c r="CL132" s="18"/>
      <c r="CM132" s="18"/>
      <c r="CN132" s="18"/>
      <c r="CO132" s="18"/>
      <c r="CP132" s="18"/>
      <c r="CQ132" s="18"/>
      <c r="CR132" s="18"/>
      <c r="CS132" s="18"/>
      <c r="CT132" s="18"/>
      <c r="CU132" s="18"/>
      <c r="CV132" s="18"/>
      <c r="CW132" s="18"/>
      <c r="CX132" s="18"/>
      <c r="CY132" s="18"/>
      <c r="CZ132" s="18"/>
      <c r="DA132" s="18"/>
      <c r="DB132" s="18"/>
      <c r="DC132" s="18"/>
      <c r="DD132" s="18"/>
      <c r="DE132" s="18"/>
      <c r="DF132" s="18"/>
      <c r="DG132" s="18"/>
      <c r="DH132" s="18"/>
      <c r="DI132" s="18"/>
      <c r="DJ132" s="18"/>
      <c r="DK132" s="18"/>
      <c r="DL132" s="18"/>
      <c r="DM132" s="18"/>
      <c r="DN132" s="18"/>
      <c r="DO132" s="18"/>
      <c r="DP132" s="18"/>
      <c r="DQ132" s="18"/>
      <c r="DR132" s="18"/>
      <c r="DS132" s="18"/>
      <c r="DT132" s="18"/>
      <c r="DU132" s="18"/>
      <c r="DV132" s="18"/>
      <c r="DW132" s="18"/>
      <c r="DX132" s="18"/>
      <c r="DY132" s="18"/>
      <c r="DZ132" s="18"/>
      <c r="EA132" s="18"/>
      <c r="EB132" s="18"/>
      <c r="EC132" s="18"/>
      <c r="ED132" s="18"/>
      <c r="EE132" s="18"/>
      <c r="EF132" s="18"/>
      <c r="EG132" s="18"/>
      <c r="EH132" s="18"/>
      <c r="EI132" s="18"/>
      <c r="EJ132" s="18"/>
      <c r="EK132" s="18"/>
      <c r="EL132" s="18"/>
      <c r="EM132" s="18"/>
      <c r="EN132" s="18"/>
      <c r="EO132" s="18"/>
      <c r="EP132" s="18"/>
      <c r="EQ132" s="18"/>
      <c r="ER132" s="18"/>
      <c r="ES132" s="18"/>
      <c r="ET132" s="18"/>
      <c r="EU132" s="18"/>
      <c r="EV132" s="18"/>
      <c r="EW132" s="18"/>
      <c r="EX132" s="18"/>
      <c r="EY132" s="18"/>
      <c r="EZ132" s="18"/>
      <c r="FA132" s="18"/>
      <c r="FB132" s="18"/>
      <c r="FC132" s="18"/>
      <c r="FD132" s="18"/>
      <c r="FE132" s="18"/>
      <c r="FF132" s="18"/>
      <c r="FG132" s="18"/>
      <c r="FH132" s="18"/>
      <c r="FI132" s="18"/>
      <c r="FJ132" s="18"/>
      <c r="FK132" s="18"/>
      <c r="FL132" s="18"/>
      <c r="FM132" s="18"/>
      <c r="FN132" s="18"/>
      <c r="FO132" s="18"/>
      <c r="FP132" s="18"/>
      <c r="FQ132" s="18"/>
      <c r="FR132" s="18"/>
      <c r="FS132" s="18"/>
      <c r="FT132" s="18"/>
      <c r="FU132" s="18"/>
      <c r="FV132" s="18"/>
      <c r="FW132" s="18"/>
      <c r="FX132" s="18"/>
      <c r="FY132" s="18"/>
      <c r="FZ132" s="18"/>
      <c r="GA132" s="18"/>
      <c r="GB132" s="18"/>
      <c r="GC132" s="18"/>
      <c r="GD132" s="18"/>
      <c r="GE132" s="18"/>
      <c r="GF132" s="18"/>
    </row>
    <row r="133" spans="1:188">
      <c r="A133" s="19" t="s">
        <v>21</v>
      </c>
      <c r="B133" s="13"/>
      <c r="C133" s="13"/>
      <c r="AW133" s="18"/>
      <c r="AX133" s="18"/>
      <c r="AY133" s="18"/>
      <c r="AZ133" s="18"/>
      <c r="BA133" s="18"/>
      <c r="BB133" s="18"/>
      <c r="BC133" s="18"/>
      <c r="BD133" s="18"/>
      <c r="BE133" s="18"/>
      <c r="BF133" s="18"/>
      <c r="BG133" s="18"/>
      <c r="BH133" s="18"/>
      <c r="BI133" s="18"/>
      <c r="BJ133" s="18"/>
      <c r="BK133" s="18"/>
      <c r="BL133" s="18"/>
      <c r="BM133" s="18"/>
      <c r="BN133" s="18"/>
      <c r="BO133" s="18"/>
      <c r="BP133" s="18"/>
      <c r="BQ133" s="18"/>
      <c r="BR133" s="18"/>
      <c r="BS133" s="18"/>
      <c r="BT133" s="18"/>
      <c r="BU133" s="18"/>
      <c r="BV133" s="18"/>
      <c r="BW133" s="18"/>
      <c r="BX133" s="18"/>
      <c r="BY133" s="18"/>
      <c r="BZ133" s="18"/>
      <c r="CA133" s="18"/>
      <c r="CB133" s="18"/>
      <c r="CC133" s="18"/>
      <c r="CD133" s="18"/>
      <c r="CE133" s="18"/>
      <c r="CF133" s="18"/>
      <c r="CG133" s="18"/>
      <c r="CH133" s="18"/>
      <c r="CI133" s="18"/>
      <c r="CJ133" s="18"/>
      <c r="CK133" s="18"/>
      <c r="CL133" s="18"/>
      <c r="CM133" s="18"/>
      <c r="CN133" s="18"/>
      <c r="CO133" s="18"/>
      <c r="CP133" s="18"/>
      <c r="CQ133" s="18"/>
      <c r="CR133" s="18"/>
      <c r="CS133" s="18"/>
      <c r="CT133" s="18"/>
      <c r="CU133" s="18"/>
      <c r="CV133" s="18"/>
      <c r="CW133" s="18"/>
      <c r="CX133" s="18"/>
      <c r="CY133" s="18"/>
      <c r="CZ133" s="18"/>
      <c r="DA133" s="18"/>
      <c r="DB133" s="18"/>
      <c r="DC133" s="18"/>
      <c r="DD133" s="18"/>
      <c r="DE133" s="18"/>
      <c r="DF133" s="18"/>
      <c r="DG133" s="18"/>
      <c r="DH133" s="18"/>
      <c r="DI133" s="18"/>
      <c r="DJ133" s="18"/>
      <c r="DK133" s="18"/>
      <c r="DL133" s="18"/>
      <c r="DM133" s="18"/>
      <c r="DN133" s="18"/>
      <c r="DO133" s="18"/>
      <c r="DP133" s="18"/>
      <c r="DQ133" s="18"/>
      <c r="DR133" s="18"/>
      <c r="DS133" s="18"/>
      <c r="DT133" s="18"/>
      <c r="DU133" s="18"/>
      <c r="DV133" s="18"/>
      <c r="DW133" s="18"/>
      <c r="DX133" s="18"/>
      <c r="DY133" s="18"/>
      <c r="DZ133" s="18"/>
      <c r="EA133" s="18"/>
      <c r="EB133" s="18"/>
      <c r="EC133" s="18"/>
      <c r="ED133" s="18"/>
      <c r="EE133" s="18"/>
      <c r="EF133" s="18"/>
      <c r="EG133" s="18"/>
      <c r="EH133" s="18"/>
      <c r="EI133" s="18"/>
      <c r="EJ133" s="18"/>
      <c r="EK133" s="18"/>
      <c r="EL133" s="18"/>
      <c r="EM133" s="18"/>
      <c r="EN133" s="18"/>
      <c r="EO133" s="18"/>
      <c r="EP133" s="18"/>
      <c r="EQ133" s="18"/>
      <c r="ER133" s="18"/>
      <c r="ES133" s="18"/>
      <c r="ET133" s="18"/>
      <c r="EU133" s="18"/>
      <c r="EV133" s="18"/>
      <c r="EW133" s="18"/>
      <c r="EX133" s="18"/>
      <c r="EY133" s="18"/>
      <c r="EZ133" s="18"/>
      <c r="FA133" s="18"/>
      <c r="FB133" s="18"/>
      <c r="FC133" s="18"/>
      <c r="FD133" s="18"/>
      <c r="FE133" s="18"/>
      <c r="FF133" s="18"/>
      <c r="FG133" s="18"/>
      <c r="FH133" s="18"/>
      <c r="FI133" s="18"/>
      <c r="FJ133" s="18"/>
      <c r="FK133" s="18"/>
      <c r="FL133" s="18"/>
      <c r="FM133" s="18"/>
      <c r="FN133" s="18"/>
      <c r="FO133" s="18"/>
      <c r="FP133" s="18"/>
      <c r="FQ133" s="18"/>
      <c r="FR133" s="18"/>
      <c r="FS133" s="18"/>
      <c r="FT133" s="18"/>
      <c r="FU133" s="18"/>
      <c r="FV133" s="18"/>
      <c r="FW133" s="18"/>
      <c r="FX133" s="18"/>
      <c r="FY133" s="18"/>
      <c r="FZ133" s="18"/>
      <c r="GA133" s="18"/>
      <c r="GB133" s="18"/>
      <c r="GC133" s="18"/>
      <c r="GD133" s="18"/>
      <c r="GE133" s="18"/>
      <c r="GF133" s="18"/>
    </row>
    <row r="134" spans="1:188">
      <c r="A134" s="19" t="s">
        <v>22</v>
      </c>
      <c r="B134" s="13"/>
      <c r="C134" s="13"/>
      <c r="AW134" s="18"/>
      <c r="AX134" s="18"/>
      <c r="AY134" s="18"/>
      <c r="AZ134" s="18"/>
      <c r="BA134" s="18"/>
      <c r="BB134" s="18"/>
      <c r="BC134" s="18"/>
      <c r="BD134" s="18"/>
      <c r="BE134" s="18"/>
      <c r="BF134" s="18"/>
      <c r="BG134" s="18"/>
      <c r="BH134" s="18"/>
      <c r="BI134" s="18"/>
      <c r="BJ134" s="18"/>
      <c r="BK134" s="18"/>
      <c r="BL134" s="18"/>
      <c r="BM134" s="18"/>
      <c r="BN134" s="18"/>
      <c r="BO134" s="18"/>
      <c r="BP134" s="18"/>
      <c r="BQ134" s="18"/>
      <c r="BR134" s="18"/>
      <c r="BS134" s="18"/>
      <c r="BT134" s="18"/>
      <c r="BU134" s="18"/>
      <c r="BV134" s="18"/>
      <c r="BW134" s="18"/>
      <c r="BX134" s="18"/>
      <c r="BY134" s="18"/>
      <c r="BZ134" s="18"/>
      <c r="CA134" s="18"/>
      <c r="CB134" s="18"/>
      <c r="CC134" s="18"/>
      <c r="CD134" s="18"/>
      <c r="CE134" s="18"/>
      <c r="CF134" s="18"/>
      <c r="CG134" s="18"/>
      <c r="CH134" s="18"/>
      <c r="CI134" s="18"/>
      <c r="CJ134" s="18"/>
      <c r="CK134" s="18"/>
      <c r="CL134" s="18"/>
      <c r="CM134" s="18"/>
      <c r="CN134" s="18"/>
      <c r="CO134" s="18"/>
      <c r="CP134" s="18"/>
      <c r="CQ134" s="18"/>
      <c r="CR134" s="18"/>
      <c r="CS134" s="18"/>
      <c r="CT134" s="18"/>
      <c r="CU134" s="18"/>
      <c r="CV134" s="18"/>
      <c r="CW134" s="18"/>
      <c r="CX134" s="18"/>
      <c r="CY134" s="18"/>
      <c r="CZ134" s="18"/>
      <c r="DA134" s="18"/>
      <c r="DB134" s="18"/>
      <c r="DC134" s="18"/>
      <c r="DD134" s="18"/>
      <c r="DE134" s="18"/>
      <c r="DF134" s="18"/>
      <c r="DG134" s="18"/>
      <c r="DH134" s="18"/>
      <c r="DI134" s="18"/>
      <c r="DJ134" s="18"/>
      <c r="DK134" s="18"/>
      <c r="DL134" s="18"/>
      <c r="DM134" s="18"/>
      <c r="DN134" s="18"/>
      <c r="DO134" s="18"/>
      <c r="DP134" s="18"/>
      <c r="DQ134" s="18"/>
      <c r="DR134" s="18"/>
      <c r="DS134" s="18"/>
      <c r="DT134" s="18"/>
      <c r="DU134" s="18"/>
      <c r="DV134" s="18"/>
      <c r="DW134" s="18"/>
      <c r="DX134" s="18"/>
      <c r="DY134" s="18"/>
      <c r="DZ134" s="18"/>
      <c r="EA134" s="18"/>
      <c r="EB134" s="18"/>
      <c r="EC134" s="18"/>
      <c r="ED134" s="18"/>
      <c r="EE134" s="18"/>
      <c r="EF134" s="18"/>
      <c r="EG134" s="18"/>
      <c r="EH134" s="18"/>
      <c r="EI134" s="18"/>
      <c r="EJ134" s="18"/>
      <c r="EK134" s="18"/>
      <c r="EL134" s="18"/>
      <c r="EM134" s="18"/>
      <c r="EN134" s="18"/>
      <c r="EO134" s="18"/>
      <c r="EP134" s="18"/>
      <c r="EQ134" s="18"/>
      <c r="ER134" s="18"/>
      <c r="ES134" s="18"/>
      <c r="ET134" s="18"/>
      <c r="EU134" s="18"/>
      <c r="EV134" s="18"/>
      <c r="EW134" s="18"/>
      <c r="EX134" s="18"/>
      <c r="EY134" s="18"/>
      <c r="EZ134" s="18"/>
      <c r="FA134" s="18"/>
      <c r="FB134" s="18"/>
      <c r="FC134" s="18"/>
      <c r="FD134" s="18"/>
      <c r="FE134" s="18"/>
      <c r="FF134" s="18"/>
      <c r="FG134" s="18"/>
      <c r="FH134" s="18"/>
      <c r="FI134" s="18"/>
      <c r="FJ134" s="18"/>
      <c r="FK134" s="18"/>
      <c r="FL134" s="18"/>
      <c r="FM134" s="18"/>
      <c r="FN134" s="18"/>
      <c r="FO134" s="18"/>
      <c r="FP134" s="18"/>
      <c r="FQ134" s="18"/>
      <c r="FR134" s="18"/>
      <c r="FS134" s="18"/>
      <c r="FT134" s="18"/>
      <c r="FU134" s="18"/>
      <c r="FV134" s="18"/>
      <c r="FW134" s="18"/>
      <c r="FX134" s="18"/>
      <c r="FY134" s="18"/>
      <c r="FZ134" s="18"/>
      <c r="GA134" s="18"/>
      <c r="GB134" s="18"/>
      <c r="GC134" s="18"/>
      <c r="GD134" s="18"/>
      <c r="GE134" s="18"/>
      <c r="GF134" s="18"/>
    </row>
    <row r="135" spans="1:188">
      <c r="A135" s="19" t="s">
        <v>23</v>
      </c>
      <c r="B135" s="13"/>
      <c r="C135" s="13"/>
      <c r="AW135" s="18"/>
      <c r="AX135" s="18"/>
      <c r="AY135" s="18"/>
      <c r="AZ135" s="18"/>
      <c r="BA135" s="18"/>
      <c r="BB135" s="18"/>
      <c r="BC135" s="18"/>
      <c r="BD135" s="18"/>
      <c r="BE135" s="18"/>
      <c r="BF135" s="18"/>
      <c r="BG135" s="18"/>
      <c r="BH135" s="18"/>
      <c r="BI135" s="18"/>
      <c r="BJ135" s="18"/>
      <c r="BK135" s="18"/>
      <c r="BL135" s="18"/>
      <c r="BM135" s="18"/>
      <c r="BN135" s="18"/>
      <c r="BO135" s="18"/>
      <c r="BP135" s="18"/>
      <c r="BQ135" s="18"/>
      <c r="BR135" s="18"/>
      <c r="BS135" s="18"/>
      <c r="BT135" s="18"/>
      <c r="BU135" s="18"/>
      <c r="BV135" s="18"/>
      <c r="BW135" s="18"/>
      <c r="BX135" s="18"/>
      <c r="BY135" s="18"/>
      <c r="BZ135" s="18"/>
      <c r="CA135" s="18"/>
      <c r="CB135" s="18"/>
      <c r="CC135" s="18"/>
      <c r="CD135" s="18"/>
      <c r="CE135" s="18"/>
      <c r="CF135" s="18"/>
      <c r="CG135" s="18"/>
      <c r="CH135" s="18"/>
      <c r="CI135" s="18"/>
      <c r="CJ135" s="18"/>
      <c r="CK135" s="18"/>
      <c r="CL135" s="18"/>
      <c r="CM135" s="18"/>
      <c r="CN135" s="18"/>
      <c r="CO135" s="18"/>
      <c r="CP135" s="18"/>
      <c r="CQ135" s="18"/>
      <c r="CR135" s="18"/>
      <c r="CS135" s="18"/>
      <c r="CT135" s="18"/>
      <c r="CU135" s="18"/>
      <c r="CV135" s="18"/>
      <c r="CW135" s="18"/>
      <c r="CX135" s="18"/>
      <c r="CY135" s="18"/>
      <c r="CZ135" s="18"/>
      <c r="DA135" s="18"/>
      <c r="DB135" s="18"/>
      <c r="DC135" s="18"/>
      <c r="DD135" s="18"/>
      <c r="DE135" s="18"/>
      <c r="DF135" s="18"/>
      <c r="DG135" s="18"/>
      <c r="DH135" s="18"/>
      <c r="DI135" s="18"/>
      <c r="DJ135" s="18"/>
      <c r="DK135" s="18"/>
      <c r="DL135" s="18"/>
      <c r="DM135" s="18"/>
      <c r="DN135" s="18"/>
      <c r="DO135" s="18"/>
      <c r="DP135" s="18"/>
      <c r="DQ135" s="18"/>
      <c r="DR135" s="18"/>
      <c r="DS135" s="18"/>
      <c r="DT135" s="18"/>
      <c r="DU135" s="18"/>
      <c r="DV135" s="18"/>
      <c r="DW135" s="18"/>
      <c r="DX135" s="18"/>
      <c r="DY135" s="18"/>
      <c r="DZ135" s="18"/>
      <c r="EA135" s="18"/>
      <c r="EB135" s="18"/>
      <c r="EC135" s="18"/>
      <c r="ED135" s="18"/>
      <c r="EE135" s="18"/>
      <c r="EF135" s="18"/>
      <c r="EG135" s="18"/>
      <c r="EH135" s="18"/>
      <c r="EI135" s="18"/>
      <c r="EJ135" s="18"/>
      <c r="EK135" s="18"/>
      <c r="EL135" s="18"/>
      <c r="EM135" s="18"/>
      <c r="EN135" s="18"/>
      <c r="EO135" s="18"/>
      <c r="EP135" s="18"/>
      <c r="EQ135" s="18"/>
      <c r="ER135" s="18"/>
      <c r="ES135" s="18"/>
      <c r="ET135" s="18"/>
      <c r="EU135" s="18"/>
      <c r="EV135" s="18"/>
      <c r="EW135" s="18"/>
      <c r="EX135" s="18"/>
      <c r="EY135" s="18"/>
      <c r="EZ135" s="18"/>
      <c r="FA135" s="18"/>
      <c r="FB135" s="18"/>
      <c r="FC135" s="18"/>
      <c r="FD135" s="18"/>
      <c r="FE135" s="18"/>
      <c r="FF135" s="18"/>
      <c r="FG135" s="18"/>
      <c r="FH135" s="18"/>
      <c r="FI135" s="18"/>
      <c r="FJ135" s="18"/>
      <c r="FK135" s="18"/>
      <c r="FL135" s="18"/>
      <c r="FM135" s="18"/>
      <c r="FN135" s="18"/>
      <c r="FO135" s="18"/>
      <c r="FP135" s="18"/>
      <c r="FQ135" s="18"/>
      <c r="FR135" s="18"/>
      <c r="FS135" s="18"/>
      <c r="FT135" s="18"/>
      <c r="FU135" s="18"/>
      <c r="FV135" s="18"/>
      <c r="FW135" s="18"/>
      <c r="FX135" s="18"/>
      <c r="FY135" s="18"/>
      <c r="FZ135" s="18"/>
      <c r="GA135" s="18"/>
      <c r="GB135" s="18"/>
      <c r="GC135" s="18"/>
      <c r="GD135" s="18"/>
      <c r="GE135" s="18"/>
      <c r="GF135" s="18"/>
    </row>
    <row r="136" spans="1:188">
      <c r="AW136" s="18"/>
      <c r="AX136" s="18"/>
      <c r="AY136" s="18"/>
      <c r="AZ136" s="18"/>
      <c r="BA136" s="18"/>
      <c r="BB136" s="18"/>
      <c r="BC136" s="18"/>
      <c r="BD136" s="18"/>
      <c r="BE136" s="18"/>
      <c r="BF136" s="18"/>
      <c r="BG136" s="18"/>
      <c r="BH136" s="18"/>
      <c r="BI136" s="18"/>
      <c r="BJ136" s="18"/>
      <c r="BK136" s="18"/>
      <c r="BL136" s="18"/>
      <c r="BM136" s="18"/>
      <c r="BN136" s="18"/>
      <c r="BO136" s="18"/>
      <c r="BP136" s="18"/>
      <c r="BQ136" s="18"/>
      <c r="BR136" s="18"/>
      <c r="BS136" s="18"/>
      <c r="BT136" s="18"/>
      <c r="BU136" s="18"/>
      <c r="BV136" s="18"/>
      <c r="BW136" s="18"/>
      <c r="BX136" s="18"/>
      <c r="BY136" s="18"/>
      <c r="BZ136" s="18"/>
      <c r="CA136" s="18"/>
      <c r="CB136" s="18"/>
      <c r="CC136" s="18"/>
      <c r="CD136" s="18"/>
      <c r="CE136" s="18"/>
      <c r="CF136" s="18"/>
      <c r="CG136" s="18"/>
      <c r="CH136" s="18"/>
      <c r="CI136" s="18"/>
      <c r="CJ136" s="18"/>
      <c r="CK136" s="18"/>
      <c r="CL136" s="18"/>
      <c r="CM136" s="18"/>
      <c r="CN136" s="18"/>
      <c r="CO136" s="18"/>
      <c r="CP136" s="18"/>
      <c r="CQ136" s="18"/>
      <c r="CR136" s="18"/>
      <c r="CS136" s="18"/>
      <c r="CT136" s="18"/>
      <c r="CU136" s="18"/>
      <c r="CV136" s="18"/>
      <c r="CW136" s="18"/>
      <c r="CX136" s="18"/>
      <c r="CY136" s="18"/>
      <c r="CZ136" s="18"/>
      <c r="DA136" s="18"/>
      <c r="DB136" s="18"/>
      <c r="DC136" s="18"/>
      <c r="DD136" s="18"/>
      <c r="DE136" s="18"/>
      <c r="DF136" s="18"/>
      <c r="DG136" s="18"/>
      <c r="DH136" s="18"/>
      <c r="DI136" s="18"/>
      <c r="DJ136" s="18"/>
      <c r="DK136" s="18"/>
      <c r="DL136" s="18"/>
      <c r="DM136" s="18"/>
      <c r="DN136" s="18"/>
      <c r="DO136" s="18"/>
      <c r="DP136" s="18"/>
      <c r="DQ136" s="18"/>
      <c r="DR136" s="18"/>
      <c r="DS136" s="18"/>
      <c r="DT136" s="18"/>
      <c r="DU136" s="18"/>
      <c r="DV136" s="18"/>
      <c r="DW136" s="18"/>
      <c r="DX136" s="18"/>
      <c r="DY136" s="18"/>
      <c r="DZ136" s="18"/>
      <c r="EA136" s="18"/>
      <c r="EB136" s="18"/>
      <c r="EC136" s="18"/>
      <c r="ED136" s="18"/>
      <c r="EE136" s="18"/>
      <c r="EF136" s="18"/>
      <c r="EG136" s="18"/>
      <c r="EH136" s="18"/>
      <c r="EI136" s="18"/>
      <c r="EJ136" s="18"/>
      <c r="EK136" s="18"/>
      <c r="EL136" s="18"/>
      <c r="EM136" s="18"/>
      <c r="EN136" s="18"/>
      <c r="EO136" s="18"/>
      <c r="EP136" s="18"/>
      <c r="EQ136" s="18"/>
      <c r="ER136" s="18"/>
      <c r="ES136" s="18"/>
      <c r="ET136" s="18"/>
      <c r="EU136" s="18"/>
      <c r="EV136" s="18"/>
      <c r="EW136" s="18"/>
      <c r="EX136" s="18"/>
      <c r="EY136" s="18"/>
      <c r="EZ136" s="18"/>
      <c r="FA136" s="18"/>
      <c r="FB136" s="18"/>
      <c r="FC136" s="18"/>
      <c r="FD136" s="18"/>
      <c r="FE136" s="18"/>
      <c r="FF136" s="18"/>
      <c r="FG136" s="18"/>
      <c r="FH136" s="18"/>
      <c r="FI136" s="18"/>
      <c r="FJ136" s="18"/>
      <c r="FK136" s="18"/>
      <c r="FL136" s="18"/>
      <c r="FM136" s="18"/>
      <c r="FN136" s="18"/>
      <c r="FO136" s="18"/>
      <c r="FP136" s="18"/>
      <c r="FQ136" s="18"/>
      <c r="FR136" s="18"/>
      <c r="FS136" s="18"/>
      <c r="FT136" s="18"/>
      <c r="FU136" s="18"/>
      <c r="FV136" s="18"/>
      <c r="FW136" s="18"/>
      <c r="FX136" s="18"/>
      <c r="FY136" s="18"/>
      <c r="FZ136" s="18"/>
      <c r="GA136" s="18"/>
      <c r="GB136" s="18"/>
      <c r="GC136" s="18"/>
      <c r="GD136" s="18"/>
      <c r="GE136" s="18"/>
      <c r="GF136" s="18"/>
    </row>
    <row r="137" spans="1:188">
      <c r="AW137" s="18"/>
      <c r="AX137" s="18"/>
      <c r="AY137" s="18"/>
      <c r="AZ137" s="18"/>
      <c r="BA137" s="18"/>
      <c r="BB137" s="18"/>
      <c r="BC137" s="18"/>
      <c r="BD137" s="18"/>
      <c r="BE137" s="18"/>
      <c r="BF137" s="18"/>
      <c r="BG137" s="18"/>
      <c r="BH137" s="18"/>
      <c r="BI137" s="18"/>
      <c r="BJ137" s="18"/>
      <c r="BK137" s="18"/>
      <c r="BL137" s="18"/>
      <c r="BM137" s="18"/>
      <c r="BN137" s="18"/>
      <c r="BO137" s="18"/>
      <c r="BP137" s="18"/>
      <c r="BQ137" s="18"/>
      <c r="BR137" s="18"/>
      <c r="BS137" s="18"/>
      <c r="BT137" s="18"/>
      <c r="BU137" s="18"/>
      <c r="BV137" s="18"/>
      <c r="BW137" s="18"/>
      <c r="BX137" s="18"/>
      <c r="BY137" s="18"/>
      <c r="BZ137" s="18"/>
      <c r="CA137" s="18"/>
      <c r="CB137" s="18"/>
      <c r="CC137" s="18"/>
      <c r="CD137" s="18"/>
      <c r="CE137" s="18"/>
      <c r="CF137" s="18"/>
      <c r="CG137" s="18"/>
      <c r="CH137" s="18"/>
      <c r="CI137" s="18"/>
      <c r="CJ137" s="18"/>
      <c r="CK137" s="18"/>
      <c r="CL137" s="18"/>
      <c r="CM137" s="18"/>
      <c r="CN137" s="18"/>
      <c r="CO137" s="18"/>
      <c r="CP137" s="18"/>
      <c r="CQ137" s="18"/>
      <c r="CR137" s="18"/>
      <c r="CS137" s="18"/>
      <c r="CT137" s="18"/>
      <c r="CU137" s="18"/>
      <c r="CV137" s="18"/>
      <c r="CW137" s="18"/>
      <c r="CX137" s="18"/>
      <c r="CY137" s="18"/>
      <c r="CZ137" s="18"/>
      <c r="DA137" s="18"/>
      <c r="DB137" s="18"/>
      <c r="DC137" s="18"/>
      <c r="DD137" s="18"/>
      <c r="DE137" s="18"/>
      <c r="DF137" s="18"/>
      <c r="DG137" s="18"/>
      <c r="DH137" s="18"/>
      <c r="DI137" s="18"/>
      <c r="DJ137" s="18"/>
      <c r="DK137" s="18"/>
      <c r="DL137" s="18"/>
      <c r="DM137" s="18"/>
      <c r="DN137" s="18"/>
      <c r="DO137" s="18"/>
      <c r="DP137" s="18"/>
      <c r="DQ137" s="18"/>
      <c r="DR137" s="18"/>
      <c r="DS137" s="18"/>
      <c r="DT137" s="18"/>
      <c r="DU137" s="18"/>
      <c r="DV137" s="18"/>
      <c r="DW137" s="18"/>
      <c r="DX137" s="18"/>
      <c r="DY137" s="18"/>
      <c r="DZ137" s="18"/>
      <c r="EA137" s="18"/>
      <c r="EB137" s="18"/>
      <c r="EC137" s="18"/>
      <c r="ED137" s="18"/>
      <c r="EE137" s="18"/>
      <c r="EF137" s="18"/>
      <c r="EG137" s="18"/>
      <c r="EH137" s="18"/>
      <c r="EI137" s="18"/>
      <c r="EJ137" s="18"/>
      <c r="EK137" s="18"/>
      <c r="EL137" s="18"/>
      <c r="EM137" s="18"/>
      <c r="EN137" s="18"/>
      <c r="EO137" s="18"/>
      <c r="EP137" s="18"/>
      <c r="EQ137" s="18"/>
      <c r="ER137" s="18"/>
      <c r="ES137" s="18"/>
      <c r="ET137" s="18"/>
      <c r="EU137" s="18"/>
      <c r="EV137" s="18"/>
      <c r="EW137" s="18"/>
      <c r="EX137" s="18"/>
      <c r="EY137" s="18"/>
      <c r="EZ137" s="18"/>
      <c r="FA137" s="18"/>
      <c r="FB137" s="18"/>
      <c r="FC137" s="18"/>
      <c r="FD137" s="18"/>
      <c r="FE137" s="18"/>
      <c r="FF137" s="18"/>
      <c r="FG137" s="18"/>
      <c r="FH137" s="18"/>
      <c r="FI137" s="18"/>
      <c r="FJ137" s="18"/>
      <c r="FK137" s="18"/>
      <c r="FL137" s="18"/>
      <c r="FM137" s="18"/>
      <c r="FN137" s="18"/>
      <c r="FO137" s="18"/>
      <c r="FP137" s="18"/>
      <c r="FQ137" s="18"/>
      <c r="FR137" s="18"/>
      <c r="FS137" s="18"/>
      <c r="FT137" s="18"/>
      <c r="FU137" s="18"/>
      <c r="FV137" s="18"/>
      <c r="FW137" s="18"/>
      <c r="FX137" s="18"/>
      <c r="FY137" s="18"/>
      <c r="FZ137" s="18"/>
      <c r="GA137" s="18"/>
      <c r="GB137" s="18"/>
      <c r="GC137" s="18"/>
      <c r="GD137" s="18"/>
      <c r="GE137" s="18"/>
      <c r="GF137" s="18"/>
    </row>
    <row r="139" spans="1:188">
      <c r="B139" s="17"/>
      <c r="C139" s="23"/>
    </row>
    <row r="140" spans="1:188">
      <c r="B140" s="17"/>
      <c r="C140" s="23"/>
    </row>
    <row r="141" spans="1:188">
      <c r="B141" s="17"/>
      <c r="C141" s="23"/>
    </row>
  </sheetData>
  <sheetProtection selectLockedCells="1" selectUnlockedCells="1"/>
  <autoFilter ref="A5:AH68">
    <filterColumn colId="29" showButton="0"/>
    <sortState ref="A8:AH99">
      <sortCondition ref="B5:B99"/>
    </sortState>
  </autoFilter>
  <mergeCells count="32">
    <mergeCell ref="A122:B122"/>
    <mergeCell ref="AH5:AH6"/>
    <mergeCell ref="A72:B72"/>
    <mergeCell ref="AC5:AC6"/>
    <mergeCell ref="AD5:AE5"/>
    <mergeCell ref="AF5:AF6"/>
    <mergeCell ref="AG5:AG6"/>
    <mergeCell ref="V5:V6"/>
    <mergeCell ref="W5:W6"/>
    <mergeCell ref="X5:X6"/>
    <mergeCell ref="Y5:Y6"/>
    <mergeCell ref="Z5:Z6"/>
    <mergeCell ref="AA5:AA6"/>
    <mergeCell ref="P5:P6"/>
    <mergeCell ref="Q5:Q6"/>
    <mergeCell ref="R5:R6"/>
    <mergeCell ref="S5:S6"/>
    <mergeCell ref="T5:T6"/>
    <mergeCell ref="U5:U6"/>
    <mergeCell ref="H5:H6"/>
    <mergeCell ref="I5:I6"/>
    <mergeCell ref="J5:J6"/>
    <mergeCell ref="K5:K6"/>
    <mergeCell ref="L5:L6"/>
    <mergeCell ref="O5:O6"/>
    <mergeCell ref="G5:G6"/>
    <mergeCell ref="A5:A6"/>
    <mergeCell ref="B5:B6"/>
    <mergeCell ref="C5:C6"/>
    <mergeCell ref="D5:D6"/>
    <mergeCell ref="E5:E6"/>
    <mergeCell ref="F5:F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 NOMINA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2016-02-12T20:59:22Z</cp:lastPrinted>
  <dcterms:created xsi:type="dcterms:W3CDTF">2015-07-23T15:19:36Z</dcterms:created>
  <dcterms:modified xsi:type="dcterms:W3CDTF">2016-12-23T18:38:27Z</dcterms:modified>
</cp:coreProperties>
</file>