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Hoja1" sheetId="5" r:id="rId2"/>
  </sheets>
  <definedNames>
    <definedName name="_xlnm._FilterDatabase" localSheetId="0" hidden="1">'FORMATO NOMINA'!$A$5:$AH$66</definedName>
  </definedNames>
  <calcPr calcId="124519"/>
</workbook>
</file>

<file path=xl/calcChain.xml><?xml version="1.0" encoding="utf-8"?>
<calcChain xmlns="http://schemas.openxmlformats.org/spreadsheetml/2006/main">
  <c r="W46" i="4"/>
  <c r="Y46" s="1"/>
  <c r="X46"/>
  <c r="K46"/>
  <c r="W102"/>
  <c r="Y102" s="1"/>
  <c r="X102"/>
  <c r="K102"/>
  <c r="G102"/>
  <c r="G75" l="1"/>
  <c r="G78"/>
  <c r="G91"/>
  <c r="G94"/>
  <c r="G95"/>
  <c r="G79"/>
  <c r="G88"/>
  <c r="G107"/>
  <c r="G101"/>
  <c r="G103"/>
  <c r="G80"/>
  <c r="G83"/>
  <c r="G96"/>
  <c r="G81"/>
  <c r="G106"/>
  <c r="G93"/>
  <c r="G76"/>
  <c r="G104"/>
  <c r="G92"/>
  <c r="G90"/>
  <c r="G77"/>
  <c r="G74"/>
  <c r="G87"/>
  <c r="G100"/>
  <c r="G86"/>
  <c r="G84"/>
  <c r="G71"/>
  <c r="K23"/>
  <c r="X23" s="1"/>
  <c r="K45"/>
  <c r="X45" s="1"/>
  <c r="W45" l="1"/>
  <c r="Y45" s="1"/>
  <c r="W23"/>
  <c r="Y23" s="1"/>
  <c r="K54"/>
  <c r="X54" s="1"/>
  <c r="W54" l="1"/>
  <c r="Y54" s="1"/>
  <c r="K98"/>
  <c r="X98" s="1"/>
  <c r="K84"/>
  <c r="X84" s="1"/>
  <c r="W84" l="1"/>
  <c r="Y84" s="1"/>
  <c r="W98"/>
  <c r="Y98" s="1"/>
  <c r="G68"/>
  <c r="K24" l="1"/>
  <c r="X24" s="1"/>
  <c r="K65"/>
  <c r="X65" s="1"/>
  <c r="W24" l="1"/>
  <c r="Y24" s="1"/>
  <c r="W65"/>
  <c r="Y65" s="1"/>
  <c r="K57" l="1"/>
  <c r="W57" s="1"/>
  <c r="K25"/>
  <c r="X25" s="1"/>
  <c r="X57" l="1"/>
  <c r="Y57" s="1"/>
  <c r="Z57"/>
  <c r="W25"/>
  <c r="Y25" s="1"/>
  <c r="J68" l="1"/>
  <c r="K105" l="1"/>
  <c r="W105" s="1"/>
  <c r="K82"/>
  <c r="W82" s="1"/>
  <c r="K26"/>
  <c r="X26" s="1"/>
  <c r="X82" l="1"/>
  <c r="Y82" s="1"/>
  <c r="X105"/>
  <c r="Y105" s="1"/>
  <c r="W26"/>
  <c r="Y26" s="1"/>
  <c r="K73" l="1"/>
  <c r="W73" s="1"/>
  <c r="Y73" s="1"/>
  <c r="X73" l="1"/>
  <c r="K64"/>
  <c r="X64" s="1"/>
  <c r="W64" l="1"/>
  <c r="Y64" s="1"/>
  <c r="AB30" l="1"/>
  <c r="K30"/>
  <c r="Z30" s="1"/>
  <c r="AB47"/>
  <c r="AB15"/>
  <c r="AC30" l="1"/>
  <c r="W30"/>
  <c r="X30"/>
  <c r="K47"/>
  <c r="K15"/>
  <c r="Y30" l="1"/>
  <c r="X47"/>
  <c r="W47"/>
  <c r="Z47"/>
  <c r="AC47" s="1"/>
  <c r="W15"/>
  <c r="X15"/>
  <c r="Z15"/>
  <c r="AC15" s="1"/>
  <c r="Y47" l="1"/>
  <c r="Y15"/>
  <c r="K39"/>
  <c r="Z39" s="1"/>
  <c r="AB39"/>
  <c r="AB78"/>
  <c r="K78"/>
  <c r="Z78" s="1"/>
  <c r="K60"/>
  <c r="W60" s="1"/>
  <c r="AB60"/>
  <c r="AC39" l="1"/>
  <c r="W39"/>
  <c r="X39"/>
  <c r="AC78"/>
  <c r="W78"/>
  <c r="X78"/>
  <c r="Z60"/>
  <c r="AC60" s="1"/>
  <c r="X60"/>
  <c r="Y60" s="1"/>
  <c r="AB28"/>
  <c r="K28"/>
  <c r="K72"/>
  <c r="W72" s="1"/>
  <c r="Y78" l="1"/>
  <c r="Y39"/>
  <c r="Z28"/>
  <c r="AC28" s="1"/>
  <c r="W28"/>
  <c r="X28"/>
  <c r="Y72"/>
  <c r="Z72"/>
  <c r="AC72" s="1"/>
  <c r="X72"/>
  <c r="Y28" l="1"/>
  <c r="AF28" s="1"/>
  <c r="AB51" l="1"/>
  <c r="K51"/>
  <c r="W51" s="1"/>
  <c r="Z51" l="1"/>
  <c r="AC51" s="1"/>
  <c r="X51"/>
  <c r="Y51" s="1"/>
  <c r="AB22" l="1"/>
  <c r="AB27"/>
  <c r="AB29"/>
  <c r="AB32"/>
  <c r="AB33"/>
  <c r="AB83"/>
  <c r="AB34"/>
  <c r="AB35"/>
  <c r="K22"/>
  <c r="W22" s="1"/>
  <c r="K29"/>
  <c r="X29" s="1"/>
  <c r="W29" l="1"/>
  <c r="Y29" s="1"/>
  <c r="Z22"/>
  <c r="AC22" s="1"/>
  <c r="Z29"/>
  <c r="AC29" s="1"/>
  <c r="X22"/>
  <c r="Y22" s="1"/>
  <c r="K35" l="1"/>
  <c r="Z35" l="1"/>
  <c r="AC35" s="1"/>
  <c r="W35"/>
  <c r="X35"/>
  <c r="Y35" l="1"/>
  <c r="K83"/>
  <c r="W83" l="1"/>
  <c r="X83"/>
  <c r="Z83"/>
  <c r="AC83" s="1"/>
  <c r="Y83" l="1"/>
  <c r="AB63" l="1"/>
  <c r="K63"/>
  <c r="K32"/>
  <c r="AB21"/>
  <c r="K21"/>
  <c r="Z21" s="1"/>
  <c r="AB49"/>
  <c r="K49"/>
  <c r="Z32" l="1"/>
  <c r="AC32" s="1"/>
  <c r="W32"/>
  <c r="X32"/>
  <c r="W63"/>
  <c r="Z63"/>
  <c r="AC63" s="1"/>
  <c r="X49"/>
  <c r="Z49"/>
  <c r="AC49" s="1"/>
  <c r="X63"/>
  <c r="X21"/>
  <c r="W21"/>
  <c r="AC21"/>
  <c r="W49"/>
  <c r="AB53"/>
  <c r="K53"/>
  <c r="Z53" s="1"/>
  <c r="Y32" l="1"/>
  <c r="AF32" s="1"/>
  <c r="Y63"/>
  <c r="Y49"/>
  <c r="Y21"/>
  <c r="AC53"/>
  <c r="W53"/>
  <c r="X53"/>
  <c r="Y53" l="1"/>
  <c r="AF63" l="1"/>
  <c r="AF21" l="1"/>
  <c r="AF49"/>
  <c r="AB58"/>
  <c r="K89" l="1"/>
  <c r="X89" l="1"/>
  <c r="Z89"/>
  <c r="AB89"/>
  <c r="AC89" l="1"/>
  <c r="W89"/>
  <c r="Y89" s="1"/>
  <c r="AF89" s="1"/>
  <c r="AB20" l="1"/>
  <c r="K20"/>
  <c r="W20" l="1"/>
  <c r="Z20"/>
  <c r="AC20" s="1"/>
  <c r="X20"/>
  <c r="Y20" l="1"/>
  <c r="AF20" l="1"/>
  <c r="AB13" l="1"/>
  <c r="AB52"/>
  <c r="K13" l="1"/>
  <c r="Z13" s="1"/>
  <c r="AB50"/>
  <c r="K50"/>
  <c r="Z50" s="1"/>
  <c r="W50" l="1"/>
  <c r="AC50"/>
  <c r="AC13"/>
  <c r="W13"/>
  <c r="X13"/>
  <c r="X50"/>
  <c r="Y13" l="1"/>
  <c r="AF13" s="1"/>
  <c r="Y50"/>
  <c r="AF50" s="1"/>
  <c r="AF114" l="1"/>
  <c r="K33"/>
  <c r="X33" l="1"/>
  <c r="Z33"/>
  <c r="AC33" s="1"/>
  <c r="W33"/>
  <c r="AB59"/>
  <c r="K59" l="1"/>
  <c r="Z59" s="1"/>
  <c r="Y33"/>
  <c r="X59" l="1"/>
  <c r="W59"/>
  <c r="AC59"/>
  <c r="Y59" l="1"/>
  <c r="AF59" s="1"/>
  <c r="AB18" l="1"/>
  <c r="K96" l="1"/>
  <c r="X96" l="1"/>
  <c r="Z96"/>
  <c r="K18"/>
  <c r="AB107"/>
  <c r="AB66"/>
  <c r="AB106"/>
  <c r="AB62"/>
  <c r="AB61"/>
  <c r="AB103"/>
  <c r="AB101"/>
  <c r="AB56"/>
  <c r="AB55"/>
  <c r="AB95"/>
  <c r="AB94"/>
  <c r="AB48"/>
  <c r="AB91"/>
  <c r="AB44"/>
  <c r="AB43"/>
  <c r="AB42"/>
  <c r="AB88"/>
  <c r="AB41"/>
  <c r="AB40"/>
  <c r="AB38"/>
  <c r="AB37"/>
  <c r="AB36"/>
  <c r="AB19"/>
  <c r="AB79"/>
  <c r="AB17"/>
  <c r="AB16"/>
  <c r="AB14"/>
  <c r="AB12"/>
  <c r="AB10"/>
  <c r="AB11"/>
  <c r="AB9"/>
  <c r="AB8"/>
  <c r="AB7"/>
  <c r="X18" l="1"/>
  <c r="Z18"/>
  <c r="AC18" s="1"/>
  <c r="W18"/>
  <c r="AB96"/>
  <c r="Y18" l="1"/>
  <c r="AF18" s="1"/>
  <c r="AC96"/>
  <c r="W96"/>
  <c r="Y96" s="1"/>
  <c r="AF96" s="1"/>
  <c r="K95"/>
  <c r="X95" l="1"/>
  <c r="Z95"/>
  <c r="AC95" s="1"/>
  <c r="AA68"/>
  <c r="W95"/>
  <c r="K71"/>
  <c r="AE68"/>
  <c r="AD68"/>
  <c r="S68"/>
  <c r="R68"/>
  <c r="L68"/>
  <c r="I68"/>
  <c r="H68"/>
  <c r="K52"/>
  <c r="K107"/>
  <c r="K106"/>
  <c r="K104"/>
  <c r="K62"/>
  <c r="K103"/>
  <c r="K58"/>
  <c r="Z58" s="1"/>
  <c r="K101"/>
  <c r="K100"/>
  <c r="K99"/>
  <c r="K56"/>
  <c r="K55"/>
  <c r="K97"/>
  <c r="K94"/>
  <c r="K48"/>
  <c r="K93"/>
  <c r="K92"/>
  <c r="K91"/>
  <c r="K90"/>
  <c r="K44"/>
  <c r="K43"/>
  <c r="K42"/>
  <c r="K88"/>
  <c r="K87"/>
  <c r="K86"/>
  <c r="K85"/>
  <c r="K41"/>
  <c r="K40"/>
  <c r="K38"/>
  <c r="K37"/>
  <c r="K36"/>
  <c r="K34"/>
  <c r="K81"/>
  <c r="K80"/>
  <c r="K79"/>
  <c r="K17"/>
  <c r="K77"/>
  <c r="K16"/>
  <c r="K76"/>
  <c r="K12"/>
  <c r="K75"/>
  <c r="K11"/>
  <c r="K9"/>
  <c r="K74"/>
  <c r="K8"/>
  <c r="AB90" l="1"/>
  <c r="K27"/>
  <c r="W34"/>
  <c r="X34"/>
  <c r="Z34"/>
  <c r="AC34" s="1"/>
  <c r="X48"/>
  <c r="Z48"/>
  <c r="AC48" s="1"/>
  <c r="X41"/>
  <c r="Z41"/>
  <c r="AC41" s="1"/>
  <c r="X37"/>
  <c r="Z37"/>
  <c r="AC37" s="1"/>
  <c r="X38"/>
  <c r="Z38"/>
  <c r="X44"/>
  <c r="Z44"/>
  <c r="AC44" s="1"/>
  <c r="X17"/>
  <c r="Z17"/>
  <c r="X36"/>
  <c r="Z36"/>
  <c r="X40"/>
  <c r="Z40"/>
  <c r="X42"/>
  <c r="Z42"/>
  <c r="AC42" s="1"/>
  <c r="X43"/>
  <c r="Z43"/>
  <c r="X11"/>
  <c r="Z11"/>
  <c r="AC11" s="1"/>
  <c r="X8"/>
  <c r="Z8"/>
  <c r="AC8" s="1"/>
  <c r="X9"/>
  <c r="Z9"/>
  <c r="AC9" s="1"/>
  <c r="X16"/>
  <c r="Z16"/>
  <c r="AC16" s="1"/>
  <c r="X75"/>
  <c r="Z75"/>
  <c r="X94"/>
  <c r="Z94"/>
  <c r="AC94" s="1"/>
  <c r="X79"/>
  <c r="Z79"/>
  <c r="AC79" s="1"/>
  <c r="X76"/>
  <c r="Z76"/>
  <c r="X92"/>
  <c r="Z92"/>
  <c r="X90"/>
  <c r="Z90"/>
  <c r="X77"/>
  <c r="Z77"/>
  <c r="X74"/>
  <c r="Z74"/>
  <c r="X85"/>
  <c r="Z85"/>
  <c r="X80"/>
  <c r="Z80"/>
  <c r="X91"/>
  <c r="Z91"/>
  <c r="AC91" s="1"/>
  <c r="X88"/>
  <c r="Z88"/>
  <c r="AC88" s="1"/>
  <c r="X12"/>
  <c r="Z12"/>
  <c r="AC12" s="1"/>
  <c r="X97"/>
  <c r="Z97"/>
  <c r="X56"/>
  <c r="Z56"/>
  <c r="X104"/>
  <c r="Z104"/>
  <c r="X101"/>
  <c r="Z101"/>
  <c r="AC101" s="1"/>
  <c r="X62"/>
  <c r="Z62"/>
  <c r="AC62" s="1"/>
  <c r="X107"/>
  <c r="Z107"/>
  <c r="AC107" s="1"/>
  <c r="X55"/>
  <c r="Z55"/>
  <c r="AC55" s="1"/>
  <c r="X100"/>
  <c r="Z100"/>
  <c r="X103"/>
  <c r="Z103"/>
  <c r="AC103" s="1"/>
  <c r="X99"/>
  <c r="Z99"/>
  <c r="X106"/>
  <c r="Z106"/>
  <c r="AC106" s="1"/>
  <c r="W52"/>
  <c r="Z52"/>
  <c r="AC52" s="1"/>
  <c r="X93"/>
  <c r="Z93"/>
  <c r="X87"/>
  <c r="Z87"/>
  <c r="X86"/>
  <c r="Z86"/>
  <c r="X81"/>
  <c r="Z81"/>
  <c r="X58"/>
  <c r="X52"/>
  <c r="K14"/>
  <c r="Z14" s="1"/>
  <c r="K61"/>
  <c r="K66"/>
  <c r="K10"/>
  <c r="T68"/>
  <c r="K19"/>
  <c r="Y95"/>
  <c r="AF95" s="1"/>
  <c r="AB86"/>
  <c r="AC58"/>
  <c r="W94"/>
  <c r="AB80"/>
  <c r="U68"/>
  <c r="W41"/>
  <c r="AB76"/>
  <c r="W44"/>
  <c r="W91"/>
  <c r="AF33"/>
  <c r="W9"/>
  <c r="W101"/>
  <c r="W62"/>
  <c r="W16"/>
  <c r="AB87"/>
  <c r="W106"/>
  <c r="AB85"/>
  <c r="W8"/>
  <c r="W12"/>
  <c r="W88"/>
  <c r="K7"/>
  <c r="AB75"/>
  <c r="AB81"/>
  <c r="AB97"/>
  <c r="AB74"/>
  <c r="W11"/>
  <c r="W103"/>
  <c r="AB77"/>
  <c r="AF53"/>
  <c r="W79"/>
  <c r="W42"/>
  <c r="AB92"/>
  <c r="AB93"/>
  <c r="AB104"/>
  <c r="W37"/>
  <c r="W55"/>
  <c r="AB99"/>
  <c r="AB100"/>
  <c r="W48"/>
  <c r="W58"/>
  <c r="W107"/>
  <c r="W27" l="1"/>
  <c r="Z27"/>
  <c r="AC27" s="1"/>
  <c r="X27"/>
  <c r="Y34"/>
  <c r="Y11"/>
  <c r="AF11" s="1"/>
  <c r="Y62"/>
  <c r="AF62" s="1"/>
  <c r="Y107"/>
  <c r="AF107" s="1"/>
  <c r="Y12"/>
  <c r="AF12" s="1"/>
  <c r="Y48"/>
  <c r="AF48" s="1"/>
  <c r="Y37"/>
  <c r="AF37" s="1"/>
  <c r="Y88"/>
  <c r="AF88" s="1"/>
  <c r="Y41"/>
  <c r="AF41" s="1"/>
  <c r="X19"/>
  <c r="Z19"/>
  <c r="AC19" s="1"/>
  <c r="Z10"/>
  <c r="AC10" s="1"/>
  <c r="X7"/>
  <c r="Z7"/>
  <c r="AC7" s="1"/>
  <c r="X66"/>
  <c r="Z66"/>
  <c r="AC66" s="1"/>
  <c r="Y106"/>
  <c r="AF106" s="1"/>
  <c r="X61"/>
  <c r="Z61"/>
  <c r="AC61" s="1"/>
  <c r="X14"/>
  <c r="W14"/>
  <c r="W71"/>
  <c r="X71" s="1"/>
  <c r="Y52"/>
  <c r="AF52" s="1"/>
  <c r="W10"/>
  <c r="X10"/>
  <c r="W61"/>
  <c r="AC14"/>
  <c r="W66"/>
  <c r="W19"/>
  <c r="AF83"/>
  <c r="Y91"/>
  <c r="AF91" s="1"/>
  <c r="Y42"/>
  <c r="AF42" s="1"/>
  <c r="Y16"/>
  <c r="AF16" s="1"/>
  <c r="Y8"/>
  <c r="AF8" s="1"/>
  <c r="Y94"/>
  <c r="AF94" s="1"/>
  <c r="Y44"/>
  <c r="AF44" s="1"/>
  <c r="Y79"/>
  <c r="AF79" s="1"/>
  <c r="Y101"/>
  <c r="AF101" s="1"/>
  <c r="Y103"/>
  <c r="AF103" s="1"/>
  <c r="Y55"/>
  <c r="AF55" s="1"/>
  <c r="Y9"/>
  <c r="AF9" s="1"/>
  <c r="Y58"/>
  <c r="AF58" s="1"/>
  <c r="AC81"/>
  <c r="AC104"/>
  <c r="AC100"/>
  <c r="AC86"/>
  <c r="AC85"/>
  <c r="AC90"/>
  <c r="AC87"/>
  <c r="AC97"/>
  <c r="AC76"/>
  <c r="AC74"/>
  <c r="AC92"/>
  <c r="AC77"/>
  <c r="AC80"/>
  <c r="AC75"/>
  <c r="AC93"/>
  <c r="AC99"/>
  <c r="AB68"/>
  <c r="W86"/>
  <c r="Y86" s="1"/>
  <c r="AF86" s="1"/>
  <c r="W87"/>
  <c r="Y87" s="1"/>
  <c r="AF87" s="1"/>
  <c r="W100"/>
  <c r="Y100" s="1"/>
  <c r="AF100" s="1"/>
  <c r="W80"/>
  <c r="Y80" s="1"/>
  <c r="AF80" s="1"/>
  <c r="W36"/>
  <c r="AC36"/>
  <c r="AC17"/>
  <c r="AC56"/>
  <c r="W40"/>
  <c r="AC40"/>
  <c r="W38"/>
  <c r="AC38"/>
  <c r="W43"/>
  <c r="AC43"/>
  <c r="W76"/>
  <c r="Y76" s="1"/>
  <c r="AF76" s="1"/>
  <c r="W17"/>
  <c r="W92"/>
  <c r="Y92" s="1"/>
  <c r="AF92" s="1"/>
  <c r="W93"/>
  <c r="Y93" s="1"/>
  <c r="AF93" s="1"/>
  <c r="W85"/>
  <c r="Y85" s="1"/>
  <c r="AF85" s="1"/>
  <c r="W81"/>
  <c r="Y81" s="1"/>
  <c r="AF81" s="1"/>
  <c r="W75"/>
  <c r="Y75" s="1"/>
  <c r="AF75" s="1"/>
  <c r="O68"/>
  <c r="W90"/>
  <c r="Y90" s="1"/>
  <c r="AF90" s="1"/>
  <c r="W97"/>
  <c r="Y97" s="1"/>
  <c r="AF97" s="1"/>
  <c r="W104"/>
  <c r="Y104" s="1"/>
  <c r="AF104" s="1"/>
  <c r="P68"/>
  <c r="Q68"/>
  <c r="W7"/>
  <c r="W56"/>
  <c r="W77"/>
  <c r="Y77" s="1"/>
  <c r="AF77" s="1"/>
  <c r="W74"/>
  <c r="Y74" s="1"/>
  <c r="AF74" s="1"/>
  <c r="W99"/>
  <c r="Y99" s="1"/>
  <c r="AF99" s="1"/>
  <c r="Y27" l="1"/>
  <c r="AF27" s="1"/>
  <c r="Y66"/>
  <c r="AF66" s="1"/>
  <c r="Y19"/>
  <c r="AF19" s="1"/>
  <c r="Y14"/>
  <c r="AF14" s="1"/>
  <c r="Y61"/>
  <c r="AF61" s="1"/>
  <c r="Y71"/>
  <c r="Z71"/>
  <c r="AC71" s="1"/>
  <c r="AC112" s="1"/>
  <c r="AC113" s="1"/>
  <c r="Y10"/>
  <c r="AF10" s="1"/>
  <c r="AF34"/>
  <c r="Y17"/>
  <c r="AF17" s="1"/>
  <c r="Y38"/>
  <c r="Y36"/>
  <c r="AF36" s="1"/>
  <c r="Y56"/>
  <c r="AF56" s="1"/>
  <c r="Y40"/>
  <c r="AF40" s="1"/>
  <c r="Y43"/>
  <c r="AF43" s="1"/>
  <c r="V68"/>
  <c r="Y7"/>
  <c r="AF7" s="1"/>
  <c r="K68" l="1"/>
  <c r="Z68"/>
  <c r="X68"/>
  <c r="W68" l="1"/>
  <c r="AC68"/>
  <c r="Y68" l="1"/>
  <c r="AF68"/>
  <c r="AC69"/>
  <c r="AC70" s="1"/>
</calcChain>
</file>

<file path=xl/sharedStrings.xml><?xml version="1.0" encoding="utf-8"?>
<sst xmlns="http://schemas.openxmlformats.org/spreadsheetml/2006/main" count="459" uniqueCount="231">
  <si>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</si>
  <si>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</si>
  <si>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</si>
  <si>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</si>
  <si>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</si>
  <si>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</si>
  <si>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</si>
  <si>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</si>
  <si>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</si>
  <si>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</si>
  <si>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</si>
  <si>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</si>
  <si>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</si>
  <si>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</si>
  <si>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</si>
  <si>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</si>
  <si>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</si>
  <si>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</si>
  <si>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</si>
  <si>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</si>
  <si>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</si>
  <si>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</si>
  <si>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</si>
  <si>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</si>
  <si>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</si>
  <si>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</si>
  <si>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</si>
  <si>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</si>
  <si>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</si>
  <si>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</si>
  <si>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</si>
  <si>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</si>
  <si>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</si>
  <si>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</si>
  <si>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</si>
  <si>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</si>
  <si>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</si>
  <si>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</si>
  <si>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</si>
  <si>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</si>
  <si>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</si>
  <si>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</si>
  <si>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</si>
  <si>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</si>
  <si>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</si>
  <si>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</si>
  <si>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</si>
  <si>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</si>
  <si>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</si>
  <si>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</si>
  <si>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</si>
  <si>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</si>
  <si>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</si>
  <si>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</si>
  <si>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</si>
  <si>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</si>
  <si>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</si>
  <si>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</si>
  <si>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</si>
  <si>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</si>
  <si>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</si>
  <si>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</si>
  <si>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</si>
  <si>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</si>
  <si>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</si>
  <si>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</si>
  <si>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</si>
  <si>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</si>
  <si>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</si>
  <si>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</si>
  <si>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</si>
  <si>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</si>
  <si>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</si>
  <si>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</si>
  <si>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</si>
  <si>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</si>
  <si>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</si>
  <si>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</si>
  <si>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</si>
  <si>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</si>
  <si>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</si>
  <si>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</si>
  <si>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</si>
  <si>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</si>
  <si>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</si>
  <si>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</si>
  <si>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</si>
  <si>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</si>
  <si>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</si>
  <si>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</si>
  <si>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</si>
  <si>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</si>
  <si>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</si>
  <si>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</si>
  <si>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</si>
  <si>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</si>
  <si>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</si>
  <si>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</si>
  <si>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</si>
  <si>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</si>
  <si>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</si>
  <si>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</si>
  <si>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</si>
  <si>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</si>
  <si>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</si>
  <si>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</si>
  <si>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</si>
  <si>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</si>
  <si>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</si>
  <si>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</si>
  <si>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</si>
  <si>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</si>
  <si>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</si>
  <si>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</si>
  <si>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</si>
  <si>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</si>
  <si>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</si>
  <si>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</si>
  <si>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</si>
  <si>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</si>
  <si>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</si>
  <si>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</si>
  <si>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</si>
  <si>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</si>
  <si>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</si>
  <si>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</si>
  <si>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</si>
  <si>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</si>
  <si>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</si>
  <si>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</si>
  <si>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</si>
  <si>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</si>
  <si>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</si>
  <si>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</si>
  <si>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</si>
  <si>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</si>
  <si>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</si>
  <si>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</si>
  <si>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</si>
  <si>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</si>
  <si>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</si>
  <si>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</si>
  <si>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</si>
  <si>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</si>
  <si>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</si>
  <si>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</si>
  <si>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</si>
  <si>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</si>
  <si>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</si>
  <si>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</si>
  <si>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</si>
  <si>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</si>
  <si>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</si>
  <si>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</si>
  <si>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</si>
  <si>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</si>
  <si>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</si>
  <si>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</si>
  <si>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</si>
  <si>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</si>
  <si>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</si>
  <si>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</si>
  <si>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</si>
  <si>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</si>
  <si>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</si>
  <si>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</si>
  <si>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</si>
  <si>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</si>
  <si>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</si>
  <si>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</si>
  <si>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</si>
  <si>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</si>
  <si>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</si>
  <si>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</si>
  <si>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</si>
  <si>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</si>
  <si>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</si>
  <si>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</si>
  <si>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</si>
  <si>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GUTIERREZ OLVERA ARMANDO</t>
  </si>
  <si>
    <t>HURTADO PAJARO JOSE</t>
  </si>
  <si>
    <t>HP16</t>
  </si>
  <si>
    <t>JEFE DE TALLER</t>
  </si>
  <si>
    <t>GALLEGOS RAMIREZ JOSE</t>
  </si>
  <si>
    <t>REYES ARMADILLO JORGE ANDRES</t>
  </si>
  <si>
    <t>FALTAS</t>
  </si>
  <si>
    <t>GUERRERO GOMEZ MARVIN NOE</t>
  </si>
  <si>
    <t>SOLORZANO LUNA MARIANA</t>
  </si>
  <si>
    <t>BARCENAS COLMENERO JORGE ALEJANDRO</t>
  </si>
  <si>
    <t>MATILDE SANTIAGO URIEL</t>
  </si>
  <si>
    <t>CORTES ORTIZ JOSE DAVID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</si>
  <si>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</si>
  <si>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</si>
  <si>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</si>
  <si>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</si>
  <si>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</si>
  <si>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</si>
  <si>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</si>
  <si>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</si>
  <si>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</si>
  <si>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</si>
  <si>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</si>
  <si>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</si>
  <si>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</si>
  <si>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</si>
  <si>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</si>
  <si>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 xml:space="preserve">VEGA GRANADOS JUAN MANUEL 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</si>
  <si>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</si>
  <si>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</si>
  <si>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</si>
  <si>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</si>
  <si>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</si>
  <si>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</si>
  <si>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</si>
  <si>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</si>
  <si>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</si>
  <si>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</si>
  <si>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</si>
  <si>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</si>
  <si>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</si>
  <si>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</si>
  <si>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GALLEGOS ROMERO CRISTIAN</t>
  </si>
  <si>
    <t>COACH BDC</t>
  </si>
  <si>
    <t>BAJA</t>
  </si>
  <si>
    <t>SOTO PEREZ OSCAR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</si>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</sst>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"/>
  </numFmts>
  <fonts count="17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0" borderId="0"/>
    <xf numFmtId="43" fontId="1" fillId="0" borderId="0" applyFill="0" applyBorder="0" applyAlignment="0" applyProtection="0"/>
    <xf numFmtId="0" fontId="2" fillId="0" borderId="0"/>
    <xf numFmtId="0" fontId="1" fillId="0" borderId="0"/>
  </cellStyleXfs>
  <cellXfs count="133">
    <xf numFmtId="0" fontId="0" fillId="0" borderId="0" xfId="0"/>
    <xf numFmtId="43" fontId="1" fillId="0" borderId="0" xfId="2"/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2" applyFont="1"/>
    <xf numFmtId="43" fontId="7" fillId="0" borderId="0" xfId="2" applyFont="1"/>
    <xf numFmtId="43" fontId="6" fillId="0" borderId="0" xfId="2" applyFont="1" applyFill="1"/>
    <xf numFmtId="0" fontId="7" fillId="0" borderId="0" xfId="0" applyFont="1" applyFill="1"/>
    <xf numFmtId="0" fontId="6" fillId="0" borderId="1" xfId="0" applyFont="1" applyBorder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/>
    <xf numFmtId="43" fontId="7" fillId="5" borderId="2" xfId="2" applyFont="1" applyFill="1" applyBorder="1" applyAlignment="1">
      <alignment horizontal="center" wrapText="1"/>
    </xf>
    <xf numFmtId="43" fontId="1" fillId="0" borderId="0" xfId="2" applyProtection="1"/>
    <xf numFmtId="43" fontId="1" fillId="0" borderId="0" xfId="2" applyFill="1"/>
    <xf numFmtId="43" fontId="7" fillId="5" borderId="1" xfId="2" applyFont="1" applyFill="1" applyBorder="1" applyAlignment="1">
      <alignment horizontal="center" wrapText="1"/>
    </xf>
    <xf numFmtId="43" fontId="7" fillId="5" borderId="8" xfId="2" applyFont="1" applyFill="1" applyBorder="1" applyAlignment="1">
      <alignment horizontal="center" wrapText="1"/>
    </xf>
    <xf numFmtId="0" fontId="7" fillId="0" borderId="6" xfId="0" applyFont="1" applyFill="1" applyBorder="1"/>
    <xf numFmtId="0" fontId="6" fillId="0" borderId="8" xfId="0" applyFont="1" applyFill="1" applyBorder="1"/>
    <xf numFmtId="43" fontId="6" fillId="0" borderId="8" xfId="2" applyFont="1" applyFill="1" applyBorder="1"/>
    <xf numFmtId="43" fontId="7" fillId="0" borderId="8" xfId="2" applyFont="1" applyFill="1" applyBorder="1"/>
    <xf numFmtId="0" fontId="6" fillId="0" borderId="7" xfId="0" applyFont="1" applyBorder="1"/>
    <xf numFmtId="0" fontId="6" fillId="2" borderId="7" xfId="0" applyFont="1" applyFill="1" applyBorder="1"/>
    <xf numFmtId="43" fontId="6" fillId="0" borderId="7" xfId="2" applyFont="1" applyBorder="1"/>
    <xf numFmtId="43" fontId="6" fillId="2" borderId="7" xfId="2" applyFont="1" applyFill="1" applyBorder="1"/>
    <xf numFmtId="43" fontId="7" fillId="3" borderId="7" xfId="2" applyFont="1" applyFill="1" applyBorder="1"/>
    <xf numFmtId="43" fontId="6" fillId="0" borderId="7" xfId="2" applyFont="1" applyFill="1" applyBorder="1" applyAlignment="1">
      <alignment horizontal="center"/>
    </xf>
    <xf numFmtId="43" fontId="1" fillId="0" borderId="7" xfId="2" applyFill="1" applyBorder="1"/>
    <xf numFmtId="0" fontId="6" fillId="0" borderId="7" xfId="0" applyFont="1" applyFill="1" applyBorder="1"/>
    <xf numFmtId="14" fontId="6" fillId="0" borderId="7" xfId="0" applyNumberFormat="1" applyFont="1" applyFill="1" applyBorder="1"/>
    <xf numFmtId="43" fontId="6" fillId="0" borderId="7" xfId="2" applyFont="1" applyFill="1" applyBorder="1"/>
    <xf numFmtId="0" fontId="7" fillId="0" borderId="7" xfId="0" applyFont="1" applyFill="1" applyBorder="1"/>
    <xf numFmtId="12" fontId="6" fillId="0" borderId="7" xfId="2" applyNumberFormat="1" applyFont="1" applyFill="1" applyBorder="1"/>
    <xf numFmtId="0" fontId="6" fillId="0" borderId="7" xfId="0" applyFont="1" applyFill="1" applyBorder="1" applyAlignment="1">
      <alignment horizontal="right"/>
    </xf>
    <xf numFmtId="43" fontId="6" fillId="0" borderId="8" xfId="2" applyFont="1" applyFill="1" applyBorder="1" applyAlignment="1">
      <alignment horizontal="center"/>
    </xf>
    <xf numFmtId="0" fontId="7" fillId="0" borderId="7" xfId="0" applyFont="1" applyBorder="1"/>
    <xf numFmtId="43" fontId="7" fillId="0" borderId="7" xfId="2" applyFont="1" applyBorder="1"/>
    <xf numFmtId="43" fontId="7" fillId="9" borderId="7" xfId="2" applyFont="1" applyFill="1" applyBorder="1"/>
    <xf numFmtId="43" fontId="1" fillId="0" borderId="7" xfId="2" applyBorder="1"/>
    <xf numFmtId="0" fontId="7" fillId="4" borderId="7" xfId="0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43" fontId="6" fillId="7" borderId="7" xfId="2" applyFont="1" applyFill="1" applyBorder="1"/>
    <xf numFmtId="43" fontId="10" fillId="5" borderId="2" xfId="2" applyFont="1" applyFill="1" applyBorder="1" applyAlignment="1">
      <alignment horizontal="center" vertical="center" wrapText="1"/>
    </xf>
    <xf numFmtId="43" fontId="11" fillId="0" borderId="0" xfId="2" applyFont="1" applyProtection="1"/>
    <xf numFmtId="43" fontId="11" fillId="0" borderId="0" xfId="2" applyFont="1"/>
    <xf numFmtId="43" fontId="11" fillId="0" borderId="0" xfId="2" applyFont="1" applyFill="1"/>
    <xf numFmtId="43" fontId="11" fillId="0" borderId="7" xfId="2" applyFont="1" applyBorder="1"/>
    <xf numFmtId="43" fontId="11" fillId="3" borderId="7" xfId="2" applyFont="1" applyFill="1" applyBorder="1"/>
    <xf numFmtId="0" fontId="12" fillId="0" borderId="7" xfId="0" applyFont="1" applyFill="1" applyBorder="1"/>
    <xf numFmtId="4" fontId="12" fillId="0" borderId="7" xfId="0" applyNumberFormat="1" applyFont="1" applyFill="1" applyBorder="1"/>
    <xf numFmtId="0" fontId="7" fillId="10" borderId="7" xfId="0" applyFont="1" applyFill="1" applyBorder="1"/>
    <xf numFmtId="43" fontId="4" fillId="0" borderId="7" xfId="2" applyFont="1" applyFill="1" applyBorder="1"/>
    <xf numFmtId="43" fontId="7" fillId="0" borderId="7" xfId="2" applyFont="1" applyFill="1" applyBorder="1"/>
    <xf numFmtId="43" fontId="13" fillId="0" borderId="7" xfId="2" applyFont="1" applyFill="1" applyBorder="1"/>
    <xf numFmtId="2" fontId="6" fillId="0" borderId="7" xfId="0" applyNumberFormat="1" applyFont="1" applyFill="1" applyBorder="1"/>
    <xf numFmtId="43" fontId="13" fillId="8" borderId="7" xfId="2" applyFont="1" applyFill="1" applyBorder="1"/>
    <xf numFmtId="0" fontId="0" fillId="0" borderId="0" xfId="0" applyFill="1"/>
    <xf numFmtId="14" fontId="13" fillId="0" borderId="7" xfId="0" applyNumberFormat="1" applyFont="1" applyFill="1" applyBorder="1"/>
    <xf numFmtId="164" fontId="13" fillId="0" borderId="7" xfId="0" applyNumberFormat="1" applyFont="1" applyFill="1" applyBorder="1"/>
    <xf numFmtId="14" fontId="6" fillId="0" borderId="7" xfId="0" applyNumberFormat="1" applyFont="1" applyFill="1" applyBorder="1" applyAlignment="1"/>
    <xf numFmtId="0" fontId="13" fillId="0" borderId="7" xfId="0" applyFont="1" applyFill="1" applyBorder="1" applyAlignment="1">
      <alignment wrapText="1"/>
    </xf>
    <xf numFmtId="4" fontId="13" fillId="0" borderId="7" xfId="0" applyNumberFormat="1" applyFont="1" applyFill="1" applyBorder="1" applyAlignment="1">
      <alignment wrapText="1"/>
    </xf>
    <xf numFmtId="0" fontId="14" fillId="0" borderId="7" xfId="0" applyFont="1" applyFill="1" applyBorder="1"/>
    <xf numFmtId="164" fontId="13" fillId="0" borderId="7" xfId="0" applyNumberFormat="1" applyFont="1" applyFill="1" applyBorder="1" applyAlignment="1">
      <alignment horizontal="right" vertical="center"/>
    </xf>
    <xf numFmtId="43" fontId="7" fillId="7" borderId="7" xfId="2" applyFont="1" applyFill="1" applyBorder="1"/>
    <xf numFmtId="43" fontId="6" fillId="7" borderId="7" xfId="2" applyFont="1" applyFill="1" applyBorder="1" applyAlignment="1">
      <alignment horizontal="center"/>
    </xf>
    <xf numFmtId="0" fontId="13" fillId="0" borderId="7" xfId="0" applyFont="1" applyFill="1" applyBorder="1"/>
    <xf numFmtId="4" fontId="13" fillId="0" borderId="7" xfId="0" applyNumberFormat="1" applyFont="1" applyFill="1" applyBorder="1"/>
    <xf numFmtId="4" fontId="6" fillId="0" borderId="7" xfId="0" applyNumberFormat="1" applyFont="1" applyFill="1" applyBorder="1"/>
    <xf numFmtId="43" fontId="6" fillId="0" borderId="7" xfId="0" applyNumberFormat="1" applyFont="1" applyFill="1" applyBorder="1"/>
    <xf numFmtId="43" fontId="7" fillId="5" borderId="2" xfId="2" applyFont="1" applyFill="1" applyBorder="1" applyAlignment="1">
      <alignment horizontal="center" wrapText="1"/>
    </xf>
    <xf numFmtId="14" fontId="6" fillId="0" borderId="7" xfId="0" applyNumberFormat="1" applyFont="1" applyBorder="1"/>
    <xf numFmtId="0" fontId="7" fillId="0" borderId="7" xfId="2" applyNumberFormat="1" applyFont="1" applyFill="1" applyBorder="1" applyAlignment="1">
      <alignment horizontal="center"/>
    </xf>
    <xf numFmtId="0" fontId="13" fillId="0" borderId="0" xfId="0" applyFont="1" applyFill="1" applyBorder="1"/>
    <xf numFmtId="43" fontId="7" fillId="0" borderId="7" xfId="2" applyFont="1" applyFill="1" applyBorder="1" applyAlignment="1">
      <alignment horizontal="center"/>
    </xf>
    <xf numFmtId="0" fontId="6" fillId="11" borderId="7" xfId="0" applyFont="1" applyFill="1" applyBorder="1"/>
    <xf numFmtId="164" fontId="13" fillId="11" borderId="7" xfId="0" applyNumberFormat="1" applyFont="1" applyFill="1" applyBorder="1"/>
    <xf numFmtId="43" fontId="6" fillId="11" borderId="7" xfId="2" applyFont="1" applyFill="1" applyBorder="1"/>
    <xf numFmtId="43" fontId="4" fillId="11" borderId="7" xfId="2" applyFont="1" applyFill="1" applyBorder="1"/>
    <xf numFmtId="0" fontId="7" fillId="11" borderId="7" xfId="0" applyFont="1" applyFill="1" applyBorder="1"/>
    <xf numFmtId="43" fontId="15" fillId="0" borderId="7" xfId="2" applyFont="1" applyFill="1" applyBorder="1" applyAlignment="1">
      <alignment horizontal="center"/>
    </xf>
    <xf numFmtId="43" fontId="16" fillId="0" borderId="7" xfId="2" applyFont="1" applyFill="1" applyBorder="1"/>
    <xf numFmtId="43" fontId="16" fillId="0" borderId="7" xfId="2" applyFont="1" applyBorder="1"/>
    <xf numFmtId="0" fontId="6" fillId="7" borderId="7" xfId="0" applyFont="1" applyFill="1" applyBorder="1"/>
    <xf numFmtId="14" fontId="6" fillId="7" borderId="7" xfId="0" applyNumberFormat="1" applyFont="1" applyFill="1" applyBorder="1"/>
    <xf numFmtId="0" fontId="7" fillId="7" borderId="7" xfId="0" applyFont="1" applyFill="1" applyBorder="1"/>
    <xf numFmtId="43" fontId="7" fillId="5" borderId="2" xfId="2" applyFont="1" applyFill="1" applyBorder="1" applyAlignment="1">
      <alignment horizontal="center" vertical="center" wrapText="1"/>
    </xf>
    <xf numFmtId="43" fontId="7" fillId="5" borderId="8" xfId="2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2" xfId="0" applyNumberFormat="1" applyFont="1" applyFill="1" applyBorder="1"/>
    <xf numFmtId="43" fontId="7" fillId="5" borderId="1" xfId="2" applyFont="1" applyFill="1" applyBorder="1" applyAlignment="1">
      <alignment horizontal="center" wrapText="1"/>
    </xf>
    <xf numFmtId="43" fontId="7" fillId="5" borderId="2" xfId="2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43" fontId="10" fillId="5" borderId="3" xfId="2" applyFont="1" applyFill="1" applyBorder="1" applyAlignment="1">
      <alignment horizontal="center" wrapText="1"/>
    </xf>
    <xf numFmtId="43" fontId="10" fillId="5" borderId="4" xfId="2" applyFont="1" applyFill="1" applyBorder="1" applyAlignment="1">
      <alignment horizontal="center" wrapText="1"/>
    </xf>
    <xf numFmtId="43" fontId="1" fillId="4" borderId="5" xfId="2" applyFill="1" applyBorder="1" applyAlignment="1">
      <alignment horizontal="center"/>
    </xf>
    <xf numFmtId="0" fontId="6" fillId="9" borderId="7" xfId="0" applyFont="1" applyFill="1" applyBorder="1"/>
    <xf numFmtId="164" fontId="13" fillId="9" borderId="7" xfId="0" applyNumberFormat="1" applyFont="1" applyFill="1" applyBorder="1"/>
    <xf numFmtId="43" fontId="16" fillId="9" borderId="7" xfId="2" applyFont="1" applyFill="1" applyBorder="1"/>
    <xf numFmtId="43" fontId="6" fillId="9" borderId="7" xfId="2" applyFont="1" applyFill="1" applyBorder="1"/>
    <xf numFmtId="43" fontId="4" fillId="9" borderId="7" xfId="2" applyFont="1" applyFill="1" applyBorder="1"/>
    <xf numFmtId="0" fontId="7" fillId="9" borderId="7" xfId="2" applyNumberFormat="1" applyFont="1" applyFill="1" applyBorder="1" applyAlignment="1">
      <alignment horizontal="center"/>
    </xf>
    <xf numFmtId="43" fontId="7" fillId="9" borderId="7" xfId="2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0" fontId="13" fillId="9" borderId="7" xfId="0" applyFont="1" applyFill="1" applyBorder="1" applyAlignment="1">
      <alignment wrapText="1"/>
    </xf>
    <xf numFmtId="4" fontId="13" fillId="9" borderId="7" xfId="0" applyNumberFormat="1" applyFont="1" applyFill="1" applyBorder="1" applyAlignment="1">
      <alignment wrapText="1"/>
    </xf>
    <xf numFmtId="43" fontId="13" fillId="9" borderId="7" xfId="2" applyFont="1" applyFill="1" applyBorder="1"/>
    <xf numFmtId="0" fontId="6" fillId="9" borderId="0" xfId="0" applyFont="1" applyFill="1"/>
    <xf numFmtId="0" fontId="7" fillId="9" borderId="7" xfId="0" applyFont="1" applyFill="1" applyBorder="1"/>
    <xf numFmtId="0" fontId="6" fillId="8" borderId="7" xfId="0" applyFont="1" applyFill="1" applyBorder="1"/>
    <xf numFmtId="164" fontId="13" fillId="8" borderId="7" xfId="0" applyNumberFormat="1" applyFont="1" applyFill="1" applyBorder="1"/>
    <xf numFmtId="43" fontId="6" fillId="8" borderId="7" xfId="2" applyFont="1" applyFill="1" applyBorder="1"/>
    <xf numFmtId="43" fontId="4" fillId="8" borderId="7" xfId="2" applyFont="1" applyFill="1" applyBorder="1"/>
    <xf numFmtId="0" fontId="7" fillId="8" borderId="7" xfId="0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00FF"/>
      <color rgb="FF66CC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F13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7" hidden="1" customWidth="1"/>
    <col min="31" max="31" width="12.7109375" style="57" hidden="1" customWidth="1"/>
    <col min="32" max="32" width="11.5703125" style="1" hidden="1" customWidth="1"/>
    <col min="33" max="33" width="19.28515625" style="19" bestFit="1" customWidth="1"/>
    <col min="34" max="34" width="105.85546875" style="19" bestFit="1" customWidth="1"/>
    <col min="35" max="35" width="63.5703125" style="18" bestFit="1" customWidth="1"/>
    <col min="36" max="48" width="11.5703125" style="18"/>
    <col min="49" max="16384" width="11.5703125" style="19"/>
  </cols>
  <sheetData>
    <row r="1" spans="1:48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6"/>
      <c r="AE1" s="56"/>
      <c r="AF1" s="2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6"/>
      <c r="AE2" s="56"/>
      <c r="AF2" s="2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>
      <c r="A3" s="10" t="s">
        <v>229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6"/>
      <c r="AE3" s="56"/>
      <c r="AF3" s="2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2" customFormat="1">
      <c r="A4" s="12" t="s">
        <v>230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7"/>
      <c r="AE4" s="57"/>
      <c r="AF4" s="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2" customFormat="1" ht="28.5" customHeight="1">
      <c r="A5" s="101" t="s">
        <v>14</v>
      </c>
      <c r="B5" s="103" t="s">
        <v>15</v>
      </c>
      <c r="C5" s="101" t="s">
        <v>136</v>
      </c>
      <c r="D5" s="103" t="s">
        <v>16</v>
      </c>
      <c r="E5" s="103" t="s">
        <v>0</v>
      </c>
      <c r="F5" s="101" t="s">
        <v>132</v>
      </c>
      <c r="G5" s="99" t="s">
        <v>35</v>
      </c>
      <c r="H5" s="105" t="s">
        <v>10</v>
      </c>
      <c r="I5" s="105" t="s">
        <v>11</v>
      </c>
      <c r="J5" s="105" t="s">
        <v>25</v>
      </c>
      <c r="K5" s="105" t="s">
        <v>12</v>
      </c>
      <c r="L5" s="105" t="s">
        <v>13</v>
      </c>
      <c r="M5" s="83"/>
      <c r="N5" s="24"/>
      <c r="O5" s="107" t="s">
        <v>100</v>
      </c>
      <c r="P5" s="107" t="s">
        <v>117</v>
      </c>
      <c r="Q5" s="107" t="s">
        <v>116</v>
      </c>
      <c r="R5" s="107" t="s">
        <v>101</v>
      </c>
      <c r="S5" s="105" t="s">
        <v>7</v>
      </c>
      <c r="T5" s="105" t="s">
        <v>18</v>
      </c>
      <c r="U5" s="105" t="s">
        <v>17</v>
      </c>
      <c r="V5" s="105" t="s">
        <v>9</v>
      </c>
      <c r="W5" s="105" t="s">
        <v>26</v>
      </c>
      <c r="X5" s="105" t="s">
        <v>4</v>
      </c>
      <c r="Y5" s="105" t="s">
        <v>8</v>
      </c>
      <c r="Z5" s="105" t="s">
        <v>3</v>
      </c>
      <c r="AA5" s="105" t="s">
        <v>5</v>
      </c>
      <c r="AB5" s="27"/>
      <c r="AC5" s="105" t="s">
        <v>6</v>
      </c>
      <c r="AD5" s="112" t="s">
        <v>159</v>
      </c>
      <c r="AE5" s="113"/>
      <c r="AF5" s="114" t="s">
        <v>102</v>
      </c>
      <c r="AG5" s="110" t="s">
        <v>140</v>
      </c>
      <c r="AH5" s="110" t="s">
        <v>141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22" customFormat="1" ht="39" customHeight="1">
      <c r="A6" s="102"/>
      <c r="B6" s="104"/>
      <c r="C6" s="102"/>
      <c r="D6" s="104"/>
      <c r="E6" s="104"/>
      <c r="F6" s="102"/>
      <c r="G6" s="100"/>
      <c r="H6" s="106"/>
      <c r="I6" s="106"/>
      <c r="J6" s="106"/>
      <c r="K6" s="106"/>
      <c r="L6" s="106"/>
      <c r="M6" s="28" t="s">
        <v>185</v>
      </c>
      <c r="N6" s="28" t="s">
        <v>150</v>
      </c>
      <c r="O6" s="108"/>
      <c r="P6" s="108"/>
      <c r="Q6" s="108"/>
      <c r="R6" s="108"/>
      <c r="S6" s="106"/>
      <c r="T6" s="106"/>
      <c r="U6" s="106"/>
      <c r="V6" s="106"/>
      <c r="W6" s="106"/>
      <c r="X6" s="106"/>
      <c r="Y6" s="106"/>
      <c r="Z6" s="106"/>
      <c r="AA6" s="106"/>
      <c r="AB6" s="24"/>
      <c r="AC6" s="106"/>
      <c r="AD6" s="55" t="s">
        <v>27</v>
      </c>
      <c r="AE6" s="55" t="s">
        <v>28</v>
      </c>
      <c r="AF6" s="114"/>
      <c r="AG6" s="110"/>
      <c r="AH6" s="110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8" customFormat="1">
      <c r="A7" s="40" t="s">
        <v>44</v>
      </c>
      <c r="B7" s="40" t="s">
        <v>127</v>
      </c>
      <c r="C7" s="40"/>
      <c r="D7" s="40" t="s">
        <v>48</v>
      </c>
      <c r="E7" s="40" t="s">
        <v>32</v>
      </c>
      <c r="F7" s="71">
        <v>42062</v>
      </c>
      <c r="G7" s="42">
        <v>1469.81</v>
      </c>
      <c r="H7" s="42"/>
      <c r="I7" s="42"/>
      <c r="J7" s="64"/>
      <c r="K7" s="65">
        <f t="shared" ref="K7:K30" si="0">SUM(G7:I7)-J7</f>
        <v>1469.81</v>
      </c>
      <c r="L7" s="42"/>
      <c r="M7" s="85"/>
      <c r="N7" s="42"/>
      <c r="O7" s="42">
        <v>0</v>
      </c>
      <c r="P7" s="87"/>
      <c r="Q7" s="87"/>
      <c r="R7" s="42"/>
      <c r="S7" s="38"/>
      <c r="T7" s="38"/>
      <c r="U7" s="40"/>
      <c r="V7" s="40">
        <v>0</v>
      </c>
      <c r="W7" s="65">
        <f t="shared" ref="W7:W30" si="1">+K7-SUM(L7:V7)</f>
        <v>1469.81</v>
      </c>
      <c r="X7" s="38">
        <f t="shared" ref="X7:X30" si="2">IF(K7&gt;2250,K7*0.1,0)</f>
        <v>0</v>
      </c>
      <c r="Y7" s="65">
        <f t="shared" ref="Y7:Y30" si="3">+W7-X7</f>
        <v>1469.81</v>
      </c>
      <c r="Z7" s="38">
        <f t="shared" ref="Z7:Z30" si="4">IF(K7&lt;2250,K7*0.1,0)</f>
        <v>146.98099999999999</v>
      </c>
      <c r="AA7" s="38">
        <v>10.23</v>
      </c>
      <c r="AB7" s="38">
        <f t="shared" ref="AB7:AB30" si="5">+P7</f>
        <v>0</v>
      </c>
      <c r="AC7" s="65">
        <f t="shared" ref="AC7:AC30" si="6">+K7+Z7+AA7+AB7</f>
        <v>1627.021</v>
      </c>
      <c r="AD7" s="73"/>
      <c r="AE7" s="74"/>
      <c r="AF7" s="66">
        <f t="shared" ref="AF7:AF14" si="7">+AD7+AE7-Y7</f>
        <v>-1469.81</v>
      </c>
      <c r="AG7" s="40"/>
      <c r="AH7" s="40"/>
    </row>
    <row r="8" spans="1:48" s="18" customFormat="1">
      <c r="A8" s="40" t="s">
        <v>31</v>
      </c>
      <c r="B8" s="40" t="s">
        <v>121</v>
      </c>
      <c r="C8" s="40" t="s">
        <v>136</v>
      </c>
      <c r="D8" s="40" t="s">
        <v>82</v>
      </c>
      <c r="E8" s="40" t="s">
        <v>34</v>
      </c>
      <c r="F8" s="71">
        <v>41797</v>
      </c>
      <c r="G8" s="42">
        <v>3656.5</v>
      </c>
      <c r="H8" s="42"/>
      <c r="I8" s="42"/>
      <c r="J8" s="64"/>
      <c r="K8" s="65">
        <f t="shared" si="0"/>
        <v>3656.5</v>
      </c>
      <c r="L8" s="42"/>
      <c r="M8" s="85"/>
      <c r="N8" s="86"/>
      <c r="O8" s="42">
        <v>0</v>
      </c>
      <c r="P8" s="87"/>
      <c r="Q8" s="87"/>
      <c r="R8" s="42"/>
      <c r="S8" s="38"/>
      <c r="T8" s="38"/>
      <c r="U8" s="40"/>
      <c r="V8" s="40">
        <v>0</v>
      </c>
      <c r="W8" s="65">
        <f t="shared" si="1"/>
        <v>3656.5</v>
      </c>
      <c r="X8" s="38">
        <f t="shared" si="2"/>
        <v>365.65000000000003</v>
      </c>
      <c r="Y8" s="65">
        <f t="shared" si="3"/>
        <v>3290.85</v>
      </c>
      <c r="Z8" s="38">
        <f t="shared" si="4"/>
        <v>0</v>
      </c>
      <c r="AA8" s="38">
        <v>10.23</v>
      </c>
      <c r="AB8" s="38">
        <f t="shared" si="5"/>
        <v>0</v>
      </c>
      <c r="AC8" s="65">
        <f t="shared" si="6"/>
        <v>3666.73</v>
      </c>
      <c r="AD8" s="73"/>
      <c r="AE8" s="74"/>
      <c r="AF8" s="66">
        <f t="shared" si="7"/>
        <v>-3290.85</v>
      </c>
      <c r="AG8" s="40"/>
      <c r="AH8" s="40"/>
    </row>
    <row r="9" spans="1:48" s="18" customFormat="1">
      <c r="A9" s="40" t="s">
        <v>31</v>
      </c>
      <c r="B9" s="40" t="s">
        <v>41</v>
      </c>
      <c r="C9" s="40" t="s">
        <v>136</v>
      </c>
      <c r="D9" s="40">
        <v>16</v>
      </c>
      <c r="E9" s="40" t="s">
        <v>34</v>
      </c>
      <c r="F9" s="71">
        <v>39508</v>
      </c>
      <c r="G9" s="42"/>
      <c r="H9" s="42"/>
      <c r="I9" s="42"/>
      <c r="J9" s="64"/>
      <c r="K9" s="65">
        <f t="shared" si="0"/>
        <v>0</v>
      </c>
      <c r="L9" s="42"/>
      <c r="M9" s="85"/>
      <c r="N9" s="42"/>
      <c r="O9" s="42">
        <v>0</v>
      </c>
      <c r="P9" s="87"/>
      <c r="Q9" s="87"/>
      <c r="R9" s="42"/>
      <c r="S9" s="38"/>
      <c r="T9" s="38"/>
      <c r="U9" s="40"/>
      <c r="V9" s="40">
        <v>0</v>
      </c>
      <c r="W9" s="65">
        <f t="shared" si="1"/>
        <v>0</v>
      </c>
      <c r="X9" s="38">
        <f t="shared" si="2"/>
        <v>0</v>
      </c>
      <c r="Y9" s="65">
        <f t="shared" si="3"/>
        <v>0</v>
      </c>
      <c r="Z9" s="38">
        <f t="shared" si="4"/>
        <v>0</v>
      </c>
      <c r="AA9" s="38">
        <v>10.23</v>
      </c>
      <c r="AB9" s="38">
        <f t="shared" si="5"/>
        <v>0</v>
      </c>
      <c r="AC9" s="65">
        <f t="shared" si="6"/>
        <v>10.23</v>
      </c>
      <c r="AD9" s="73"/>
      <c r="AE9" s="74"/>
      <c r="AF9" s="66">
        <f t="shared" si="7"/>
        <v>0</v>
      </c>
      <c r="AG9" s="40"/>
      <c r="AH9" s="40"/>
    </row>
    <row r="10" spans="1:48" s="18" customFormat="1">
      <c r="A10" s="40" t="s">
        <v>31</v>
      </c>
      <c r="B10" s="40" t="s">
        <v>122</v>
      </c>
      <c r="C10" s="40" t="s">
        <v>133</v>
      </c>
      <c r="D10" s="40" t="s">
        <v>83</v>
      </c>
      <c r="E10" s="40" t="s">
        <v>33</v>
      </c>
      <c r="F10" s="71">
        <v>42383</v>
      </c>
      <c r="G10" s="42"/>
      <c r="H10" s="42"/>
      <c r="I10" s="42"/>
      <c r="J10" s="64"/>
      <c r="K10" s="65">
        <f t="shared" si="0"/>
        <v>0</v>
      </c>
      <c r="L10" s="42"/>
      <c r="M10" s="85"/>
      <c r="N10" s="42"/>
      <c r="O10" s="42">
        <v>0</v>
      </c>
      <c r="P10" s="87"/>
      <c r="Q10" s="87"/>
      <c r="R10" s="42"/>
      <c r="S10" s="38"/>
      <c r="T10" s="38"/>
      <c r="U10" s="40"/>
      <c r="V10" s="40">
        <v>345</v>
      </c>
      <c r="W10" s="65">
        <f t="shared" si="1"/>
        <v>-345</v>
      </c>
      <c r="X10" s="38">
        <f t="shared" si="2"/>
        <v>0</v>
      </c>
      <c r="Y10" s="65">
        <f t="shared" si="3"/>
        <v>-345</v>
      </c>
      <c r="Z10" s="38">
        <f t="shared" si="4"/>
        <v>0</v>
      </c>
      <c r="AA10" s="38">
        <v>10.23</v>
      </c>
      <c r="AB10" s="38">
        <f t="shared" si="5"/>
        <v>0</v>
      </c>
      <c r="AC10" s="65">
        <f t="shared" si="6"/>
        <v>10.23</v>
      </c>
      <c r="AD10" s="73"/>
      <c r="AE10" s="74"/>
      <c r="AF10" s="66">
        <f t="shared" si="7"/>
        <v>345</v>
      </c>
      <c r="AG10" s="40"/>
      <c r="AH10" s="40"/>
    </row>
    <row r="11" spans="1:48" s="18" customFormat="1">
      <c r="A11" s="40" t="s">
        <v>30</v>
      </c>
      <c r="B11" s="40" t="s">
        <v>111</v>
      </c>
      <c r="C11" s="40" t="s">
        <v>156</v>
      </c>
      <c r="D11" s="40"/>
      <c r="E11" s="40" t="s">
        <v>98</v>
      </c>
      <c r="F11" s="71">
        <v>42416</v>
      </c>
      <c r="G11" s="42">
        <v>4735.79</v>
      </c>
      <c r="H11" s="42"/>
      <c r="I11" s="42"/>
      <c r="J11" s="64"/>
      <c r="K11" s="65">
        <f t="shared" si="0"/>
        <v>4735.79</v>
      </c>
      <c r="L11" s="42"/>
      <c r="M11" s="85"/>
      <c r="N11" s="42"/>
      <c r="O11" s="42">
        <v>0</v>
      </c>
      <c r="P11" s="87"/>
      <c r="Q11" s="87"/>
      <c r="R11" s="42"/>
      <c r="S11" s="38">
        <v>114.82</v>
      </c>
      <c r="T11" s="38"/>
      <c r="U11" s="40"/>
      <c r="V11" s="40">
        <v>2100</v>
      </c>
      <c r="W11" s="65">
        <f t="shared" si="1"/>
        <v>2520.9699999999998</v>
      </c>
      <c r="X11" s="38">
        <f t="shared" si="2"/>
        <v>473.57900000000001</v>
      </c>
      <c r="Y11" s="65">
        <f t="shared" si="3"/>
        <v>2047.3909999999998</v>
      </c>
      <c r="Z11" s="38">
        <f t="shared" si="4"/>
        <v>0</v>
      </c>
      <c r="AA11" s="38">
        <v>10.23</v>
      </c>
      <c r="AB11" s="38">
        <f t="shared" si="5"/>
        <v>0</v>
      </c>
      <c r="AC11" s="65">
        <f t="shared" si="6"/>
        <v>4746.0199999999995</v>
      </c>
      <c r="AD11" s="73"/>
      <c r="AE11" s="74"/>
      <c r="AF11" s="66">
        <f t="shared" si="7"/>
        <v>-2047.3909999999998</v>
      </c>
      <c r="AG11" s="40"/>
      <c r="AH11" s="40"/>
    </row>
    <row r="12" spans="1:48" s="18" customFormat="1">
      <c r="A12" s="40" t="s">
        <v>29</v>
      </c>
      <c r="B12" s="40" t="s">
        <v>188</v>
      </c>
      <c r="C12" s="40"/>
      <c r="D12" s="40" t="s">
        <v>58</v>
      </c>
      <c r="E12" s="40" t="s">
        <v>96</v>
      </c>
      <c r="F12" s="71">
        <v>42116</v>
      </c>
      <c r="G12" s="42">
        <v>2580</v>
      </c>
      <c r="H12" s="42"/>
      <c r="I12" s="42"/>
      <c r="J12" s="64"/>
      <c r="K12" s="65">
        <f t="shared" si="0"/>
        <v>2580</v>
      </c>
      <c r="L12" s="42"/>
      <c r="M12" s="85"/>
      <c r="N12" s="42"/>
      <c r="O12" s="42">
        <v>0</v>
      </c>
      <c r="P12" s="87"/>
      <c r="Q12" s="87"/>
      <c r="R12" s="42"/>
      <c r="S12" s="38"/>
      <c r="T12" s="38"/>
      <c r="U12" s="67"/>
      <c r="V12" s="40">
        <v>0</v>
      </c>
      <c r="W12" s="65">
        <f t="shared" si="1"/>
        <v>2580</v>
      </c>
      <c r="X12" s="38">
        <f t="shared" si="2"/>
        <v>258</v>
      </c>
      <c r="Y12" s="65">
        <f t="shared" si="3"/>
        <v>2322</v>
      </c>
      <c r="Z12" s="38">
        <f t="shared" si="4"/>
        <v>0</v>
      </c>
      <c r="AA12" s="38">
        <v>10.23</v>
      </c>
      <c r="AB12" s="38">
        <f t="shared" si="5"/>
        <v>0</v>
      </c>
      <c r="AC12" s="65">
        <f t="shared" si="6"/>
        <v>2590.23</v>
      </c>
      <c r="AD12" s="79"/>
      <c r="AE12" s="79"/>
      <c r="AF12" s="66">
        <f t="shared" si="7"/>
        <v>-2322</v>
      </c>
      <c r="AG12" s="40"/>
      <c r="AH12" s="40"/>
    </row>
    <row r="13" spans="1:48" s="18" customFormat="1">
      <c r="A13" s="40" t="s">
        <v>31</v>
      </c>
      <c r="B13" s="40" t="s">
        <v>162</v>
      </c>
      <c r="C13" s="40"/>
      <c r="D13" s="40"/>
      <c r="E13" s="40" t="s">
        <v>33</v>
      </c>
      <c r="F13" s="71">
        <v>42472</v>
      </c>
      <c r="G13" s="42">
        <v>1061.32</v>
      </c>
      <c r="H13" s="42"/>
      <c r="I13" s="42"/>
      <c r="J13" s="64"/>
      <c r="K13" s="65">
        <f t="shared" si="0"/>
        <v>1061.32</v>
      </c>
      <c r="L13" s="42"/>
      <c r="M13" s="85"/>
      <c r="N13" s="42"/>
      <c r="O13" s="42">
        <v>0</v>
      </c>
      <c r="P13" s="87"/>
      <c r="Q13" s="87"/>
      <c r="R13" s="42"/>
      <c r="S13" s="38"/>
      <c r="T13" s="38"/>
      <c r="U13" s="40"/>
      <c r="V13" s="40">
        <v>0</v>
      </c>
      <c r="W13" s="65">
        <f t="shared" si="1"/>
        <v>1061.32</v>
      </c>
      <c r="X13" s="38">
        <f t="shared" si="2"/>
        <v>0</v>
      </c>
      <c r="Y13" s="65">
        <f t="shared" si="3"/>
        <v>1061.32</v>
      </c>
      <c r="Z13" s="38">
        <f t="shared" si="4"/>
        <v>106.13200000000001</v>
      </c>
      <c r="AA13" s="38">
        <v>10.23</v>
      </c>
      <c r="AB13" s="38">
        <f t="shared" si="5"/>
        <v>0</v>
      </c>
      <c r="AC13" s="65">
        <f t="shared" si="6"/>
        <v>1177.682</v>
      </c>
      <c r="AD13" s="79"/>
      <c r="AE13" s="80"/>
      <c r="AF13" s="66">
        <f t="shared" si="7"/>
        <v>-1061.32</v>
      </c>
      <c r="AG13" s="40">
        <v>2899146091</v>
      </c>
      <c r="AH13" s="43"/>
    </row>
    <row r="14" spans="1:48" s="18" customFormat="1" ht="15" customHeight="1">
      <c r="A14" s="40" t="s">
        <v>31</v>
      </c>
      <c r="B14" s="40" t="s">
        <v>142</v>
      </c>
      <c r="C14" s="40" t="s">
        <v>135</v>
      </c>
      <c r="D14" s="40" t="s">
        <v>84</v>
      </c>
      <c r="E14" s="40" t="s">
        <v>33</v>
      </c>
      <c r="F14" s="71">
        <v>41831</v>
      </c>
      <c r="G14" s="42">
        <v>7621.15</v>
      </c>
      <c r="H14" s="42"/>
      <c r="I14" s="42"/>
      <c r="J14" s="64"/>
      <c r="K14" s="65">
        <f t="shared" si="0"/>
        <v>7621.15</v>
      </c>
      <c r="L14" s="42"/>
      <c r="M14" s="85"/>
      <c r="N14" s="42"/>
      <c r="O14" s="42">
        <v>500</v>
      </c>
      <c r="P14" s="87"/>
      <c r="Q14" s="87"/>
      <c r="R14" s="42"/>
      <c r="S14" s="38"/>
      <c r="T14" s="93" t="s">
        <v>207</v>
      </c>
      <c r="U14" s="40"/>
      <c r="V14" s="81">
        <v>3350</v>
      </c>
      <c r="W14" s="65">
        <f t="shared" si="1"/>
        <v>3771.1499999999996</v>
      </c>
      <c r="X14" s="38">
        <f t="shared" si="2"/>
        <v>762.11500000000001</v>
      </c>
      <c r="Y14" s="65">
        <f t="shared" si="3"/>
        <v>3009.0349999999999</v>
      </c>
      <c r="Z14" s="38">
        <f t="shared" si="4"/>
        <v>0</v>
      </c>
      <c r="AA14" s="38">
        <v>10.23</v>
      </c>
      <c r="AB14" s="38">
        <f t="shared" si="5"/>
        <v>0</v>
      </c>
      <c r="AC14" s="65">
        <f t="shared" si="6"/>
        <v>7631.3799999999992</v>
      </c>
      <c r="AD14" s="75"/>
      <c r="AE14" s="73"/>
      <c r="AF14" s="66">
        <f t="shared" si="7"/>
        <v>-3009.0349999999999</v>
      </c>
      <c r="AG14" s="40"/>
      <c r="AH14" s="43"/>
    </row>
    <row r="15" spans="1:48" s="18" customFormat="1" ht="15" customHeight="1">
      <c r="A15" s="40" t="s">
        <v>46</v>
      </c>
      <c r="B15" s="40" t="s">
        <v>199</v>
      </c>
      <c r="C15" s="40"/>
      <c r="D15" s="40"/>
      <c r="E15" s="40" t="s">
        <v>97</v>
      </c>
      <c r="F15" s="71">
        <v>41548</v>
      </c>
      <c r="G15" s="42"/>
      <c r="H15" s="42"/>
      <c r="I15" s="42"/>
      <c r="J15" s="64"/>
      <c r="K15" s="65">
        <f t="shared" si="0"/>
        <v>0</v>
      </c>
      <c r="L15" s="42"/>
      <c r="M15" s="85"/>
      <c r="N15" s="42"/>
      <c r="O15" s="42"/>
      <c r="P15" s="87"/>
      <c r="Q15" s="87"/>
      <c r="R15" s="42"/>
      <c r="S15" s="38"/>
      <c r="T15" s="93"/>
      <c r="U15" s="40"/>
      <c r="V15" s="81">
        <v>0</v>
      </c>
      <c r="W15" s="65">
        <f t="shared" si="1"/>
        <v>0</v>
      </c>
      <c r="X15" s="38">
        <f t="shared" si="2"/>
        <v>0</v>
      </c>
      <c r="Y15" s="65">
        <f t="shared" si="3"/>
        <v>0</v>
      </c>
      <c r="Z15" s="38">
        <f t="shared" si="4"/>
        <v>0</v>
      </c>
      <c r="AA15" s="38">
        <v>11.23</v>
      </c>
      <c r="AB15" s="38">
        <f t="shared" si="5"/>
        <v>0</v>
      </c>
      <c r="AC15" s="65">
        <f t="shared" si="6"/>
        <v>11.23</v>
      </c>
      <c r="AD15" s="75"/>
      <c r="AE15" s="73"/>
      <c r="AF15" s="66"/>
      <c r="AG15" s="40">
        <v>1461266403</v>
      </c>
      <c r="AH15" s="43"/>
    </row>
    <row r="16" spans="1:48" s="18" customFormat="1">
      <c r="A16" s="40" t="s">
        <v>31</v>
      </c>
      <c r="B16" s="40" t="s">
        <v>146</v>
      </c>
      <c r="C16" s="40" t="s">
        <v>136</v>
      </c>
      <c r="D16" s="40">
        <v>18</v>
      </c>
      <c r="E16" s="40" t="s">
        <v>34</v>
      </c>
      <c r="F16" s="71">
        <v>39699</v>
      </c>
      <c r="G16" s="42">
        <v>3387.54</v>
      </c>
      <c r="H16" s="42"/>
      <c r="I16" s="42"/>
      <c r="J16" s="64"/>
      <c r="K16" s="65">
        <f t="shared" si="0"/>
        <v>3387.54</v>
      </c>
      <c r="L16" s="42"/>
      <c r="M16" s="85"/>
      <c r="N16" s="42"/>
      <c r="O16" s="42">
        <v>700</v>
      </c>
      <c r="P16" s="87"/>
      <c r="Q16" s="87"/>
      <c r="R16" s="42"/>
      <c r="S16" s="38"/>
      <c r="T16" s="38"/>
      <c r="U16" s="40"/>
      <c r="V16" s="40">
        <v>0</v>
      </c>
      <c r="W16" s="65">
        <f t="shared" si="1"/>
        <v>2687.54</v>
      </c>
      <c r="X16" s="38">
        <f t="shared" si="2"/>
        <v>338.75400000000002</v>
      </c>
      <c r="Y16" s="65">
        <f t="shared" si="3"/>
        <v>2348.7860000000001</v>
      </c>
      <c r="Z16" s="38">
        <f t="shared" si="4"/>
        <v>0</v>
      </c>
      <c r="AA16" s="38">
        <v>10.23</v>
      </c>
      <c r="AB16" s="38">
        <f t="shared" si="5"/>
        <v>0</v>
      </c>
      <c r="AC16" s="65">
        <f t="shared" si="6"/>
        <v>3397.77</v>
      </c>
      <c r="AD16" s="73"/>
      <c r="AE16" s="74"/>
      <c r="AF16" s="66">
        <f t="shared" ref="AF16:AF18" si="8">+AD16+AE16-Y16</f>
        <v>-2348.7860000000001</v>
      </c>
      <c r="AG16" s="40"/>
      <c r="AH16" s="40"/>
    </row>
    <row r="17" spans="1:34" s="18" customFormat="1">
      <c r="A17" s="40" t="s">
        <v>30</v>
      </c>
      <c r="B17" s="40" t="s">
        <v>131</v>
      </c>
      <c r="C17" s="40" t="s">
        <v>156</v>
      </c>
      <c r="D17" s="40" t="s">
        <v>63</v>
      </c>
      <c r="E17" s="40" t="s">
        <v>98</v>
      </c>
      <c r="F17" s="71">
        <v>42332</v>
      </c>
      <c r="G17" s="42">
        <v>1487.59</v>
      </c>
      <c r="H17" s="42"/>
      <c r="I17" s="42"/>
      <c r="J17" s="64"/>
      <c r="K17" s="65">
        <f t="shared" si="0"/>
        <v>1487.59</v>
      </c>
      <c r="L17" s="42"/>
      <c r="M17" s="85"/>
      <c r="N17" s="42"/>
      <c r="O17" s="42">
        <v>0</v>
      </c>
      <c r="P17" s="87"/>
      <c r="Q17" s="87"/>
      <c r="R17" s="42"/>
      <c r="S17" s="38"/>
      <c r="T17" s="38"/>
      <c r="U17" s="40"/>
      <c r="V17" s="40">
        <v>700</v>
      </c>
      <c r="W17" s="65">
        <f t="shared" si="1"/>
        <v>787.58999999999992</v>
      </c>
      <c r="X17" s="38">
        <f t="shared" si="2"/>
        <v>0</v>
      </c>
      <c r="Y17" s="65">
        <f t="shared" si="3"/>
        <v>787.58999999999992</v>
      </c>
      <c r="Z17" s="38">
        <f t="shared" si="4"/>
        <v>148.75899999999999</v>
      </c>
      <c r="AA17" s="38">
        <v>10.23</v>
      </c>
      <c r="AB17" s="38">
        <f t="shared" si="5"/>
        <v>0</v>
      </c>
      <c r="AC17" s="65">
        <f t="shared" si="6"/>
        <v>1646.579</v>
      </c>
      <c r="AD17" s="73"/>
      <c r="AE17" s="74"/>
      <c r="AF17" s="66">
        <f t="shared" si="8"/>
        <v>-787.58999999999992</v>
      </c>
      <c r="AG17" s="40"/>
      <c r="AH17" s="40"/>
    </row>
    <row r="18" spans="1:34" s="18" customFormat="1">
      <c r="A18" s="40" t="s">
        <v>31</v>
      </c>
      <c r="B18" s="40" t="s">
        <v>154</v>
      </c>
      <c r="C18" s="40" t="s">
        <v>138</v>
      </c>
      <c r="D18" s="40"/>
      <c r="E18" s="40" t="s">
        <v>33</v>
      </c>
      <c r="F18" s="71">
        <v>42437</v>
      </c>
      <c r="G18" s="42"/>
      <c r="H18" s="42"/>
      <c r="I18" s="42"/>
      <c r="J18" s="64"/>
      <c r="K18" s="65">
        <f t="shared" si="0"/>
        <v>0</v>
      </c>
      <c r="L18" s="42"/>
      <c r="M18" s="85"/>
      <c r="N18" s="42"/>
      <c r="O18" s="42">
        <v>0</v>
      </c>
      <c r="P18" s="87"/>
      <c r="Q18" s="87"/>
      <c r="R18" s="42"/>
      <c r="S18" s="38"/>
      <c r="T18" s="38"/>
      <c r="U18" s="40"/>
      <c r="V18" s="40">
        <v>0</v>
      </c>
      <c r="W18" s="65">
        <f t="shared" si="1"/>
        <v>0</v>
      </c>
      <c r="X18" s="38">
        <f t="shared" si="2"/>
        <v>0</v>
      </c>
      <c r="Y18" s="65">
        <f t="shared" si="3"/>
        <v>0</v>
      </c>
      <c r="Z18" s="38">
        <f t="shared" si="4"/>
        <v>0</v>
      </c>
      <c r="AA18" s="38">
        <v>10.23</v>
      </c>
      <c r="AB18" s="38">
        <f t="shared" si="5"/>
        <v>0</v>
      </c>
      <c r="AC18" s="65">
        <f t="shared" si="6"/>
        <v>10.23</v>
      </c>
      <c r="AD18" s="73"/>
      <c r="AE18" s="74"/>
      <c r="AF18" s="66">
        <f t="shared" si="8"/>
        <v>0</v>
      </c>
      <c r="AG18" s="40"/>
      <c r="AH18" s="43"/>
    </row>
    <row r="19" spans="1:34" s="18" customFormat="1" ht="15.75">
      <c r="A19" s="40" t="s">
        <v>137</v>
      </c>
      <c r="B19" s="40" t="s">
        <v>112</v>
      </c>
      <c r="C19" s="40"/>
      <c r="D19" s="40" t="s">
        <v>60</v>
      </c>
      <c r="E19" s="40" t="s">
        <v>97</v>
      </c>
      <c r="F19" s="71">
        <v>42205</v>
      </c>
      <c r="G19" s="94"/>
      <c r="H19" s="42"/>
      <c r="I19" s="42"/>
      <c r="J19" s="64"/>
      <c r="K19" s="65">
        <f t="shared" si="0"/>
        <v>0</v>
      </c>
      <c r="L19" s="42"/>
      <c r="M19" s="85"/>
      <c r="N19" s="42"/>
      <c r="O19" s="42">
        <v>200</v>
      </c>
      <c r="P19" s="87"/>
      <c r="Q19" s="87"/>
      <c r="R19" s="42"/>
      <c r="S19" s="38"/>
      <c r="T19" s="93" t="s">
        <v>207</v>
      </c>
      <c r="U19" s="40"/>
      <c r="V19" s="40">
        <v>0</v>
      </c>
      <c r="W19" s="65">
        <f t="shared" si="1"/>
        <v>-200</v>
      </c>
      <c r="X19" s="38">
        <f t="shared" si="2"/>
        <v>0</v>
      </c>
      <c r="Y19" s="65">
        <f t="shared" si="3"/>
        <v>-200</v>
      </c>
      <c r="Z19" s="38">
        <f t="shared" si="4"/>
        <v>0</v>
      </c>
      <c r="AA19" s="38">
        <v>10.23</v>
      </c>
      <c r="AB19" s="38">
        <f t="shared" si="5"/>
        <v>0</v>
      </c>
      <c r="AC19" s="65">
        <f t="shared" si="6"/>
        <v>10.23</v>
      </c>
      <c r="AD19" s="73"/>
      <c r="AE19" s="73"/>
      <c r="AF19" s="66">
        <f t="shared" ref="AF19:AF21" si="9">+AD19+AE19-Y19</f>
        <v>200</v>
      </c>
      <c r="AG19" s="40"/>
      <c r="AH19" s="40"/>
    </row>
    <row r="20" spans="1:34" s="18" customFormat="1">
      <c r="A20" s="40" t="s">
        <v>137</v>
      </c>
      <c r="B20" s="40" t="s">
        <v>172</v>
      </c>
      <c r="C20" s="40"/>
      <c r="D20" s="40"/>
      <c r="E20" s="40" t="s">
        <v>97</v>
      </c>
      <c r="F20" s="71">
        <v>42476</v>
      </c>
      <c r="G20" s="94"/>
      <c r="H20" s="42"/>
      <c r="I20" s="42"/>
      <c r="J20" s="64"/>
      <c r="K20" s="65">
        <f t="shared" si="0"/>
        <v>0</v>
      </c>
      <c r="L20" s="42"/>
      <c r="M20" s="85"/>
      <c r="N20" s="42"/>
      <c r="O20" s="42">
        <v>0</v>
      </c>
      <c r="P20" s="87"/>
      <c r="Q20" s="87"/>
      <c r="R20" s="42"/>
      <c r="S20" s="38"/>
      <c r="T20" s="38"/>
      <c r="U20" s="40"/>
      <c r="V20" s="40">
        <v>0</v>
      </c>
      <c r="W20" s="65">
        <f t="shared" si="1"/>
        <v>0</v>
      </c>
      <c r="X20" s="38">
        <f t="shared" si="2"/>
        <v>0</v>
      </c>
      <c r="Y20" s="65">
        <f t="shared" si="3"/>
        <v>0</v>
      </c>
      <c r="Z20" s="38">
        <f t="shared" si="4"/>
        <v>0</v>
      </c>
      <c r="AA20" s="38">
        <v>10.23</v>
      </c>
      <c r="AB20" s="38">
        <f t="shared" si="5"/>
        <v>0</v>
      </c>
      <c r="AC20" s="65">
        <f t="shared" si="6"/>
        <v>10.23</v>
      </c>
      <c r="AD20" s="73"/>
      <c r="AE20" s="73"/>
      <c r="AF20" s="66">
        <f t="shared" si="9"/>
        <v>0</v>
      </c>
      <c r="AG20" s="40">
        <v>2919685839</v>
      </c>
      <c r="AH20" s="40"/>
    </row>
    <row r="21" spans="1:34" s="18" customFormat="1">
      <c r="A21" s="40" t="s">
        <v>44</v>
      </c>
      <c r="B21" s="40" t="s">
        <v>175</v>
      </c>
      <c r="C21" s="40"/>
      <c r="D21" s="40"/>
      <c r="E21" s="40" t="s">
        <v>32</v>
      </c>
      <c r="F21" s="71">
        <v>42507</v>
      </c>
      <c r="G21" s="42">
        <v>3069.13</v>
      </c>
      <c r="H21" s="42"/>
      <c r="I21" s="42"/>
      <c r="J21" s="64"/>
      <c r="K21" s="65">
        <f t="shared" si="0"/>
        <v>3069.13</v>
      </c>
      <c r="L21" s="42"/>
      <c r="M21" s="85"/>
      <c r="N21" s="42"/>
      <c r="O21" s="42">
        <v>0</v>
      </c>
      <c r="P21" s="87"/>
      <c r="Q21" s="87"/>
      <c r="R21" s="42"/>
      <c r="S21" s="38"/>
      <c r="T21" s="38"/>
      <c r="U21" s="40"/>
      <c r="V21" s="40"/>
      <c r="W21" s="65">
        <f t="shared" si="1"/>
        <v>3069.13</v>
      </c>
      <c r="X21" s="38">
        <f t="shared" si="2"/>
        <v>306.91300000000001</v>
      </c>
      <c r="Y21" s="65">
        <f t="shared" si="3"/>
        <v>2762.2170000000001</v>
      </c>
      <c r="Z21" s="38">
        <f t="shared" si="4"/>
        <v>0</v>
      </c>
      <c r="AA21" s="38">
        <v>10.23</v>
      </c>
      <c r="AB21" s="38">
        <f t="shared" si="5"/>
        <v>0</v>
      </c>
      <c r="AC21" s="65">
        <f t="shared" si="6"/>
        <v>3079.36</v>
      </c>
      <c r="AD21" s="73"/>
      <c r="AE21" s="73"/>
      <c r="AF21" s="66">
        <f t="shared" si="9"/>
        <v>-2762.2170000000001</v>
      </c>
      <c r="AG21" s="69">
        <v>2791168061</v>
      </c>
      <c r="AH21" s="43"/>
    </row>
    <row r="22" spans="1:34" s="18" customFormat="1">
      <c r="A22" s="40" t="s">
        <v>44</v>
      </c>
      <c r="B22" s="40" t="s">
        <v>183</v>
      </c>
      <c r="C22" s="40"/>
      <c r="D22" s="40"/>
      <c r="E22" s="40" t="s">
        <v>32</v>
      </c>
      <c r="F22" s="71">
        <v>42514</v>
      </c>
      <c r="G22" s="42">
        <v>1459.9</v>
      </c>
      <c r="H22" s="42"/>
      <c r="I22" s="42"/>
      <c r="J22" s="64"/>
      <c r="K22" s="65">
        <f t="shared" si="0"/>
        <v>1459.9</v>
      </c>
      <c r="L22" s="42"/>
      <c r="M22" s="85"/>
      <c r="N22" s="42"/>
      <c r="O22" s="42">
        <v>0</v>
      </c>
      <c r="P22" s="87"/>
      <c r="Q22" s="87"/>
      <c r="R22" s="42"/>
      <c r="S22" s="38"/>
      <c r="T22" s="38"/>
      <c r="U22" s="40"/>
      <c r="V22" s="40">
        <v>0</v>
      </c>
      <c r="W22" s="65">
        <f t="shared" si="1"/>
        <v>1459.9</v>
      </c>
      <c r="X22" s="38">
        <f t="shared" si="2"/>
        <v>0</v>
      </c>
      <c r="Y22" s="65">
        <f t="shared" si="3"/>
        <v>1459.9</v>
      </c>
      <c r="Z22" s="38">
        <f t="shared" si="4"/>
        <v>145.99</v>
      </c>
      <c r="AA22" s="38">
        <v>11.23</v>
      </c>
      <c r="AB22" s="38">
        <f t="shared" si="5"/>
        <v>0</v>
      </c>
      <c r="AC22" s="65">
        <f t="shared" si="6"/>
        <v>1617.1200000000001</v>
      </c>
      <c r="AD22" s="73"/>
      <c r="AE22" s="74"/>
      <c r="AF22" s="66"/>
      <c r="AG22" s="40">
        <v>2747910657</v>
      </c>
      <c r="AH22" s="43"/>
    </row>
    <row r="23" spans="1:34" s="18" customFormat="1">
      <c r="A23" s="40" t="s">
        <v>31</v>
      </c>
      <c r="B23" s="40" t="s">
        <v>221</v>
      </c>
      <c r="C23" s="40"/>
      <c r="D23" s="40"/>
      <c r="E23" s="40" t="s">
        <v>222</v>
      </c>
      <c r="F23" s="71">
        <v>41359</v>
      </c>
      <c r="G23" s="42">
        <v>10684.34</v>
      </c>
      <c r="H23" s="42"/>
      <c r="I23" s="42"/>
      <c r="J23" s="64"/>
      <c r="K23" s="65">
        <f t="shared" si="0"/>
        <v>10684.34</v>
      </c>
      <c r="L23" s="42"/>
      <c r="M23" s="85"/>
      <c r="N23" s="42"/>
      <c r="O23" s="42"/>
      <c r="P23" s="87"/>
      <c r="Q23" s="87"/>
      <c r="R23" s="42"/>
      <c r="S23" s="38"/>
      <c r="T23" s="38"/>
      <c r="U23" s="40"/>
      <c r="V23" s="40"/>
      <c r="W23" s="65">
        <f t="shared" ref="W23" si="10">+K23-SUM(L23:V23)</f>
        <v>10684.34</v>
      </c>
      <c r="X23" s="38">
        <f t="shared" ref="X23" si="11">IF(K23&gt;2250,K23*0.1,0)</f>
        <v>1068.434</v>
      </c>
      <c r="Y23" s="65">
        <f t="shared" ref="Y23" si="12">+W23-X23</f>
        <v>9615.9060000000009</v>
      </c>
      <c r="Z23" s="38"/>
      <c r="AA23" s="38"/>
      <c r="AB23" s="38"/>
      <c r="AC23" s="65"/>
      <c r="AD23" s="73"/>
      <c r="AE23" s="74"/>
      <c r="AF23" s="66"/>
      <c r="AG23" s="40"/>
      <c r="AH23" s="43"/>
    </row>
    <row r="24" spans="1:34" s="18" customFormat="1">
      <c r="A24" s="40" t="s">
        <v>31</v>
      </c>
      <c r="B24" s="40" t="s">
        <v>215</v>
      </c>
      <c r="C24" s="40"/>
      <c r="D24" s="40"/>
      <c r="E24" s="40" t="s">
        <v>33</v>
      </c>
      <c r="F24" s="71">
        <v>42627</v>
      </c>
      <c r="G24" s="42"/>
      <c r="H24" s="42"/>
      <c r="I24" s="42"/>
      <c r="J24" s="64"/>
      <c r="K24" s="65">
        <f t="shared" si="0"/>
        <v>0</v>
      </c>
      <c r="L24" s="42"/>
      <c r="M24" s="85"/>
      <c r="N24" s="42"/>
      <c r="O24" s="42"/>
      <c r="P24" s="87"/>
      <c r="Q24" s="87"/>
      <c r="R24" s="42"/>
      <c r="S24" s="38"/>
      <c r="T24" s="38"/>
      <c r="U24" s="40"/>
      <c r="V24" s="40"/>
      <c r="W24" s="65">
        <f t="shared" ref="W24" si="13">+K24-SUM(L24:V24)</f>
        <v>0</v>
      </c>
      <c r="X24" s="38">
        <f t="shared" ref="X24" si="14">IF(K24&gt;2250,K24*0.1,0)</f>
        <v>0</v>
      </c>
      <c r="Y24" s="65">
        <f t="shared" ref="Y24" si="15">+W24-X24</f>
        <v>0</v>
      </c>
      <c r="Z24" s="38"/>
      <c r="AA24" s="38"/>
      <c r="AB24" s="38"/>
      <c r="AC24" s="65"/>
      <c r="AD24" s="73"/>
      <c r="AE24" s="74"/>
      <c r="AF24" s="66"/>
      <c r="AG24" s="40">
        <v>2723461904</v>
      </c>
      <c r="AH24" s="43"/>
    </row>
    <row r="25" spans="1:34" s="18" customFormat="1">
      <c r="A25" s="40" t="s">
        <v>29</v>
      </c>
      <c r="B25" s="40" t="s">
        <v>208</v>
      </c>
      <c r="C25" s="40"/>
      <c r="D25" s="40"/>
      <c r="E25" s="33" t="s">
        <v>209</v>
      </c>
      <c r="F25" s="71">
        <v>42591</v>
      </c>
      <c r="G25" s="42">
        <v>480</v>
      </c>
      <c r="H25" s="42"/>
      <c r="I25" s="42"/>
      <c r="J25" s="64"/>
      <c r="K25" s="65">
        <f t="shared" si="0"/>
        <v>480</v>
      </c>
      <c r="L25" s="42"/>
      <c r="M25" s="85"/>
      <c r="N25" s="42"/>
      <c r="O25" s="42"/>
      <c r="P25" s="87"/>
      <c r="Q25" s="87"/>
      <c r="R25" s="42"/>
      <c r="S25" s="38"/>
      <c r="T25" s="38"/>
      <c r="U25" s="40"/>
      <c r="V25" s="40"/>
      <c r="W25" s="65">
        <f t="shared" ref="W25" si="16">+K25-SUM(L25:V25)</f>
        <v>480</v>
      </c>
      <c r="X25" s="38">
        <f t="shared" ref="X25" si="17">IF(K25&gt;2250,K25*0.1,0)</f>
        <v>0</v>
      </c>
      <c r="Y25" s="65">
        <f t="shared" ref="Y25" si="18">+W25-X25</f>
        <v>480</v>
      </c>
      <c r="Z25" s="38"/>
      <c r="AA25" s="38"/>
      <c r="AB25" s="38"/>
      <c r="AC25" s="65"/>
      <c r="AD25" s="73"/>
      <c r="AE25" s="74"/>
      <c r="AF25" s="66"/>
      <c r="AG25" s="40">
        <v>2851254995</v>
      </c>
      <c r="AH25" s="43"/>
    </row>
    <row r="26" spans="1:34" s="18" customFormat="1">
      <c r="A26" s="40" t="s">
        <v>44</v>
      </c>
      <c r="B26" s="40" t="s">
        <v>213</v>
      </c>
      <c r="C26" s="40"/>
      <c r="D26" s="40"/>
      <c r="E26" s="40" t="s">
        <v>32</v>
      </c>
      <c r="F26" s="71">
        <v>42604</v>
      </c>
      <c r="G26" s="42"/>
      <c r="H26" s="42"/>
      <c r="I26" s="42"/>
      <c r="J26" s="64"/>
      <c r="K26" s="65">
        <f t="shared" si="0"/>
        <v>0</v>
      </c>
      <c r="L26" s="42"/>
      <c r="M26" s="85"/>
      <c r="N26" s="42"/>
      <c r="O26" s="42"/>
      <c r="P26" s="87"/>
      <c r="Q26" s="87"/>
      <c r="R26" s="42"/>
      <c r="S26" s="38"/>
      <c r="T26" s="38"/>
      <c r="U26" s="40"/>
      <c r="V26" s="40"/>
      <c r="W26" s="65">
        <f t="shared" ref="W26" si="19">+K26-SUM(L26:V26)</f>
        <v>0</v>
      </c>
      <c r="X26" s="38">
        <f t="shared" ref="X26" si="20">IF(K26&gt;2250,K26*0.1,0)</f>
        <v>0</v>
      </c>
      <c r="Y26" s="65">
        <f t="shared" ref="Y26" si="21">+W26-X26</f>
        <v>0</v>
      </c>
      <c r="Z26" s="38"/>
      <c r="AA26" s="38"/>
      <c r="AB26" s="38"/>
      <c r="AC26" s="65"/>
      <c r="AD26" s="73"/>
      <c r="AE26" s="74"/>
      <c r="AF26" s="66"/>
      <c r="AG26" s="40">
        <v>1143946878</v>
      </c>
      <c r="AH26" s="43"/>
    </row>
    <row r="27" spans="1:34" s="18" customFormat="1">
      <c r="A27" s="40" t="s">
        <v>31</v>
      </c>
      <c r="B27" s="40" t="s">
        <v>171</v>
      </c>
      <c r="C27" s="40" t="s">
        <v>133</v>
      </c>
      <c r="D27" s="40"/>
      <c r="E27" s="40" t="s">
        <v>33</v>
      </c>
      <c r="F27" s="71">
        <v>42413</v>
      </c>
      <c r="G27" s="42">
        <v>181.24</v>
      </c>
      <c r="H27" s="42"/>
      <c r="I27" s="42"/>
      <c r="J27" s="64"/>
      <c r="K27" s="65">
        <f t="shared" si="0"/>
        <v>181.24</v>
      </c>
      <c r="L27" s="42"/>
      <c r="M27" s="85"/>
      <c r="N27" s="42"/>
      <c r="O27" s="42">
        <v>0</v>
      </c>
      <c r="P27" s="87"/>
      <c r="Q27" s="87"/>
      <c r="R27" s="42"/>
      <c r="S27" s="38"/>
      <c r="T27" s="38"/>
      <c r="U27" s="40"/>
      <c r="V27" s="40">
        <v>0</v>
      </c>
      <c r="W27" s="65">
        <f t="shared" si="1"/>
        <v>181.24</v>
      </c>
      <c r="X27" s="38">
        <f t="shared" si="2"/>
        <v>0</v>
      </c>
      <c r="Y27" s="65">
        <f t="shared" si="3"/>
        <v>181.24</v>
      </c>
      <c r="Z27" s="38">
        <f t="shared" si="4"/>
        <v>18.124000000000002</v>
      </c>
      <c r="AA27" s="38">
        <v>13.23</v>
      </c>
      <c r="AB27" s="38">
        <f t="shared" si="5"/>
        <v>0</v>
      </c>
      <c r="AC27" s="65">
        <f t="shared" si="6"/>
        <v>212.59399999999999</v>
      </c>
      <c r="AD27" s="73"/>
      <c r="AE27" s="74"/>
      <c r="AF27" s="66">
        <f>+AD27+AE27-Y27</f>
        <v>-181.24</v>
      </c>
      <c r="AG27" s="40"/>
      <c r="AH27" s="43"/>
    </row>
    <row r="28" spans="1:34" s="18" customFormat="1">
      <c r="A28" s="40" t="s">
        <v>31</v>
      </c>
      <c r="B28" s="40" t="s">
        <v>186</v>
      </c>
      <c r="C28" s="40"/>
      <c r="D28" s="40"/>
      <c r="E28" s="40" t="s">
        <v>33</v>
      </c>
      <c r="F28" s="71">
        <v>42532</v>
      </c>
      <c r="G28" s="42"/>
      <c r="H28" s="42"/>
      <c r="I28" s="42"/>
      <c r="J28" s="64"/>
      <c r="K28" s="65">
        <f t="shared" si="0"/>
        <v>0</v>
      </c>
      <c r="L28" s="42"/>
      <c r="M28" s="85"/>
      <c r="N28" s="42"/>
      <c r="O28" s="42">
        <v>0</v>
      </c>
      <c r="P28" s="87"/>
      <c r="Q28" s="87"/>
      <c r="R28" s="42"/>
      <c r="S28" s="38"/>
      <c r="T28" s="38"/>
      <c r="U28" s="40"/>
      <c r="V28" s="40">
        <v>0</v>
      </c>
      <c r="W28" s="65">
        <f t="shared" si="1"/>
        <v>0</v>
      </c>
      <c r="X28" s="38">
        <f t="shared" si="2"/>
        <v>0</v>
      </c>
      <c r="Y28" s="65">
        <f t="shared" si="3"/>
        <v>0</v>
      </c>
      <c r="Z28" s="38">
        <f t="shared" si="4"/>
        <v>0</v>
      </c>
      <c r="AA28" s="38">
        <v>13.23</v>
      </c>
      <c r="AB28" s="38">
        <f t="shared" si="5"/>
        <v>0</v>
      </c>
      <c r="AC28" s="65">
        <f t="shared" si="6"/>
        <v>13.23</v>
      </c>
      <c r="AD28" s="73"/>
      <c r="AE28" s="74"/>
      <c r="AF28" s="66">
        <f>+AD28+AE28-Y28</f>
        <v>0</v>
      </c>
      <c r="AG28" s="40"/>
      <c r="AH28" s="43"/>
    </row>
    <row r="29" spans="1:34" s="18" customFormat="1">
      <c r="A29" s="40" t="s">
        <v>31</v>
      </c>
      <c r="B29" s="40" t="s">
        <v>179</v>
      </c>
      <c r="C29" s="40"/>
      <c r="D29" s="40"/>
      <c r="E29" s="40" t="s">
        <v>33</v>
      </c>
      <c r="F29" s="71">
        <v>42520</v>
      </c>
      <c r="G29" s="42"/>
      <c r="H29" s="42"/>
      <c r="I29" s="42"/>
      <c r="J29" s="64"/>
      <c r="K29" s="65">
        <f t="shared" si="0"/>
        <v>0</v>
      </c>
      <c r="L29" s="42"/>
      <c r="M29" s="85"/>
      <c r="N29" s="42"/>
      <c r="O29" s="42">
        <v>0</v>
      </c>
      <c r="P29" s="87"/>
      <c r="Q29" s="87"/>
      <c r="R29" s="42"/>
      <c r="S29" s="38"/>
      <c r="T29" s="38"/>
      <c r="U29" s="40"/>
      <c r="V29" s="40">
        <v>0</v>
      </c>
      <c r="W29" s="65">
        <f t="shared" si="1"/>
        <v>0</v>
      </c>
      <c r="X29" s="38">
        <f t="shared" si="2"/>
        <v>0</v>
      </c>
      <c r="Y29" s="65">
        <f t="shared" si="3"/>
        <v>0</v>
      </c>
      <c r="Z29" s="38">
        <f t="shared" si="4"/>
        <v>0</v>
      </c>
      <c r="AA29" s="38">
        <v>14.23</v>
      </c>
      <c r="AB29" s="38">
        <f t="shared" si="5"/>
        <v>0</v>
      </c>
      <c r="AC29" s="65">
        <f t="shared" si="6"/>
        <v>14.23</v>
      </c>
      <c r="AD29" s="73"/>
      <c r="AE29" s="74"/>
      <c r="AF29" s="66"/>
      <c r="AG29" s="40">
        <v>1175437504</v>
      </c>
      <c r="AH29" s="43"/>
    </row>
    <row r="30" spans="1:34" s="126" customFormat="1">
      <c r="A30" s="115" t="s">
        <v>46</v>
      </c>
      <c r="B30" s="115" t="s">
        <v>202</v>
      </c>
      <c r="C30" s="115"/>
      <c r="D30" s="115"/>
      <c r="E30" s="115" t="s">
        <v>97</v>
      </c>
      <c r="F30" s="116">
        <v>42592</v>
      </c>
      <c r="G30" s="117"/>
      <c r="H30" s="118"/>
      <c r="I30" s="118"/>
      <c r="J30" s="119"/>
      <c r="K30" s="49">
        <f t="shared" si="0"/>
        <v>0</v>
      </c>
      <c r="L30" s="118"/>
      <c r="M30" s="120"/>
      <c r="N30" s="118"/>
      <c r="O30" s="118">
        <v>0</v>
      </c>
      <c r="P30" s="121"/>
      <c r="Q30" s="121"/>
      <c r="R30" s="118"/>
      <c r="S30" s="122"/>
      <c r="T30" s="122"/>
      <c r="U30" s="115"/>
      <c r="V30" s="115">
        <v>342.2</v>
      </c>
      <c r="W30" s="49">
        <f t="shared" si="1"/>
        <v>-342.2</v>
      </c>
      <c r="X30" s="122">
        <f t="shared" si="2"/>
        <v>0</v>
      </c>
      <c r="Y30" s="49">
        <f t="shared" si="3"/>
        <v>-342.2</v>
      </c>
      <c r="Z30" s="122">
        <f t="shared" si="4"/>
        <v>0</v>
      </c>
      <c r="AA30" s="122">
        <v>15.23</v>
      </c>
      <c r="AB30" s="122">
        <f t="shared" si="5"/>
        <v>0</v>
      </c>
      <c r="AC30" s="49">
        <f t="shared" si="6"/>
        <v>15.23</v>
      </c>
      <c r="AD30" s="123"/>
      <c r="AE30" s="124"/>
      <c r="AF30" s="125"/>
      <c r="AG30" s="115">
        <v>1150751154</v>
      </c>
      <c r="AH30" s="127" t="s">
        <v>223</v>
      </c>
    </row>
    <row r="31" spans="1:34" s="18" customFormat="1">
      <c r="A31" s="88" t="s">
        <v>29</v>
      </c>
      <c r="B31" s="88" t="s">
        <v>210</v>
      </c>
      <c r="C31" s="88"/>
      <c r="D31" s="88"/>
      <c r="E31" s="88" t="s">
        <v>209</v>
      </c>
      <c r="F31" s="89">
        <v>42010</v>
      </c>
      <c r="G31" s="90"/>
      <c r="H31" s="90"/>
      <c r="I31" s="90"/>
      <c r="J31" s="91"/>
      <c r="K31" s="65"/>
      <c r="L31" s="42"/>
      <c r="M31" s="85"/>
      <c r="N31" s="42"/>
      <c r="O31" s="42"/>
      <c r="P31" s="87"/>
      <c r="Q31" s="87"/>
      <c r="R31" s="42"/>
      <c r="S31" s="38"/>
      <c r="T31" s="38"/>
      <c r="U31" s="40"/>
      <c r="V31" s="40"/>
      <c r="W31" s="65"/>
      <c r="X31" s="38"/>
      <c r="Y31" s="65"/>
      <c r="Z31" s="38"/>
      <c r="AA31" s="38"/>
      <c r="AB31" s="38"/>
      <c r="AC31" s="65"/>
      <c r="AD31" s="73"/>
      <c r="AE31" s="74"/>
      <c r="AF31" s="66"/>
      <c r="AG31" s="40">
        <v>2871132644</v>
      </c>
      <c r="AH31" s="92" t="s">
        <v>211</v>
      </c>
    </row>
    <row r="32" spans="1:34" s="18" customFormat="1">
      <c r="A32" s="40" t="s">
        <v>31</v>
      </c>
      <c r="B32" s="40" t="s">
        <v>178</v>
      </c>
      <c r="C32" s="40"/>
      <c r="D32" s="40"/>
      <c r="E32" s="40" t="s">
        <v>196</v>
      </c>
      <c r="F32" s="71">
        <v>42480</v>
      </c>
      <c r="G32" s="42"/>
      <c r="H32" s="42"/>
      <c r="I32" s="42"/>
      <c r="J32" s="64"/>
      <c r="K32" s="65">
        <f t="shared" ref="K32:K49" si="22">SUM(G32:I32)-J32</f>
        <v>0</v>
      </c>
      <c r="L32" s="42"/>
      <c r="M32" s="85"/>
      <c r="N32" s="42"/>
      <c r="O32" s="42">
        <v>0</v>
      </c>
      <c r="P32" s="87"/>
      <c r="Q32" s="87"/>
      <c r="R32" s="42"/>
      <c r="S32" s="38"/>
      <c r="T32" s="38"/>
      <c r="U32" s="40"/>
      <c r="V32" s="40">
        <v>0</v>
      </c>
      <c r="W32" s="65">
        <f t="shared" ref="W32:W49" si="23">+K32-SUM(L32:V32)</f>
        <v>0</v>
      </c>
      <c r="X32" s="38">
        <f t="shared" ref="X32:X49" si="24">IF(K32&gt;2250,K32*0.1,0)</f>
        <v>0</v>
      </c>
      <c r="Y32" s="65">
        <f t="shared" ref="Y32:Y49" si="25">+W32-X32</f>
        <v>0</v>
      </c>
      <c r="Z32" s="38">
        <f t="shared" ref="Z32:Z49" si="26">IF(K32&lt;2250,K32*0.1,0)</f>
        <v>0</v>
      </c>
      <c r="AA32" s="38">
        <v>17.23</v>
      </c>
      <c r="AB32" s="38">
        <f t="shared" ref="AB32:AB49" si="27">+P32</f>
        <v>0</v>
      </c>
      <c r="AC32" s="65">
        <f t="shared" ref="AC32:AC49" si="28">+K32+Z32+AA32+AB32</f>
        <v>17.23</v>
      </c>
      <c r="AD32" s="73"/>
      <c r="AE32" s="74"/>
      <c r="AF32" s="66">
        <f>+AD32+AE32-Y32</f>
        <v>0</v>
      </c>
      <c r="AG32" s="40">
        <v>1116618499</v>
      </c>
      <c r="AH32" s="43"/>
    </row>
    <row r="33" spans="1:34" s="18" customFormat="1">
      <c r="A33" s="40" t="s">
        <v>31</v>
      </c>
      <c r="B33" s="40" t="s">
        <v>134</v>
      </c>
      <c r="C33" s="40" t="s">
        <v>133</v>
      </c>
      <c r="D33" s="45"/>
      <c r="E33" s="40" t="s">
        <v>33</v>
      </c>
      <c r="F33" s="71">
        <v>42240</v>
      </c>
      <c r="G33" s="42">
        <v>2202.33</v>
      </c>
      <c r="H33" s="42"/>
      <c r="I33" s="42"/>
      <c r="J33" s="64"/>
      <c r="K33" s="65">
        <f t="shared" si="22"/>
        <v>2202.33</v>
      </c>
      <c r="L33" s="42"/>
      <c r="M33" s="85"/>
      <c r="N33" s="42"/>
      <c r="O33" s="42">
        <v>0</v>
      </c>
      <c r="P33" s="87"/>
      <c r="Q33" s="87"/>
      <c r="R33" s="42"/>
      <c r="S33" s="38"/>
      <c r="T33" s="38"/>
      <c r="U33" s="40"/>
      <c r="V33" s="40">
        <v>0</v>
      </c>
      <c r="W33" s="65">
        <f t="shared" si="23"/>
        <v>2202.33</v>
      </c>
      <c r="X33" s="38">
        <f t="shared" si="24"/>
        <v>0</v>
      </c>
      <c r="Y33" s="65">
        <f t="shared" si="25"/>
        <v>2202.33</v>
      </c>
      <c r="Z33" s="38">
        <f t="shared" si="26"/>
        <v>220.233</v>
      </c>
      <c r="AA33" s="38">
        <v>18.23</v>
      </c>
      <c r="AB33" s="38">
        <f t="shared" si="27"/>
        <v>0</v>
      </c>
      <c r="AC33" s="65">
        <f t="shared" si="28"/>
        <v>2440.7930000000001</v>
      </c>
      <c r="AD33" s="75"/>
      <c r="AE33" s="75"/>
      <c r="AF33" s="66">
        <f>+AD33+AE33-Y33</f>
        <v>-2202.33</v>
      </c>
      <c r="AG33" s="40"/>
      <c r="AH33" s="43"/>
    </row>
    <row r="34" spans="1:34" s="18" customFormat="1">
      <c r="A34" s="40" t="s">
        <v>31</v>
      </c>
      <c r="B34" s="40" t="s">
        <v>123</v>
      </c>
      <c r="C34" s="40" t="s">
        <v>135</v>
      </c>
      <c r="D34" s="40" t="s">
        <v>85</v>
      </c>
      <c r="E34" s="40" t="s">
        <v>33</v>
      </c>
      <c r="F34" s="71">
        <v>41463</v>
      </c>
      <c r="G34" s="42">
        <v>13701.94</v>
      </c>
      <c r="H34" s="42"/>
      <c r="I34" s="42"/>
      <c r="J34" s="64"/>
      <c r="K34" s="65">
        <f t="shared" si="22"/>
        <v>13701.94</v>
      </c>
      <c r="L34" s="42"/>
      <c r="M34" s="85"/>
      <c r="N34" s="42"/>
      <c r="O34" s="42">
        <v>0</v>
      </c>
      <c r="P34" s="87"/>
      <c r="Q34" s="87"/>
      <c r="R34" s="42"/>
      <c r="S34" s="38"/>
      <c r="T34" s="38"/>
      <c r="U34" s="40"/>
      <c r="V34" s="40">
        <v>0</v>
      </c>
      <c r="W34" s="65">
        <f t="shared" si="23"/>
        <v>13701.94</v>
      </c>
      <c r="X34" s="38">
        <f t="shared" si="24"/>
        <v>1370.1940000000002</v>
      </c>
      <c r="Y34" s="65">
        <f t="shared" si="25"/>
        <v>12331.746000000001</v>
      </c>
      <c r="Z34" s="38">
        <f t="shared" si="26"/>
        <v>0</v>
      </c>
      <c r="AA34" s="38">
        <v>20.23</v>
      </c>
      <c r="AB34" s="38">
        <f t="shared" si="27"/>
        <v>0</v>
      </c>
      <c r="AC34" s="65">
        <f t="shared" si="28"/>
        <v>13722.17</v>
      </c>
      <c r="AD34" s="73"/>
      <c r="AE34" s="74"/>
      <c r="AF34" s="66">
        <f>+AD34+AE34-Y34</f>
        <v>-12331.746000000001</v>
      </c>
      <c r="AG34" s="40"/>
      <c r="AH34" s="40"/>
    </row>
    <row r="35" spans="1:34" s="18" customFormat="1">
      <c r="A35" s="40" t="s">
        <v>29</v>
      </c>
      <c r="B35" s="40" t="s">
        <v>180</v>
      </c>
      <c r="C35" s="40"/>
      <c r="D35" s="40" t="s">
        <v>181</v>
      </c>
      <c r="E35" s="40" t="s">
        <v>182</v>
      </c>
      <c r="F35" s="76">
        <v>40618</v>
      </c>
      <c r="G35" s="42">
        <v>4503.6000000000004</v>
      </c>
      <c r="H35" s="42"/>
      <c r="I35" s="42"/>
      <c r="J35" s="64"/>
      <c r="K35" s="65">
        <f t="shared" si="22"/>
        <v>4503.6000000000004</v>
      </c>
      <c r="L35" s="42"/>
      <c r="M35" s="85"/>
      <c r="N35" s="42"/>
      <c r="O35" s="42">
        <v>0</v>
      </c>
      <c r="P35" s="87"/>
      <c r="Q35" s="87"/>
      <c r="R35" s="42"/>
      <c r="S35" s="38"/>
      <c r="T35" s="38"/>
      <c r="U35" s="40"/>
      <c r="V35" s="40">
        <v>0</v>
      </c>
      <c r="W35" s="65">
        <f t="shared" si="23"/>
        <v>4503.6000000000004</v>
      </c>
      <c r="X35" s="38">
        <f t="shared" si="24"/>
        <v>450.36000000000007</v>
      </c>
      <c r="Y35" s="65">
        <f t="shared" si="25"/>
        <v>4053.2400000000002</v>
      </c>
      <c r="Z35" s="38">
        <f t="shared" si="26"/>
        <v>0</v>
      </c>
      <c r="AA35" s="38">
        <v>21.23</v>
      </c>
      <c r="AB35" s="38">
        <f t="shared" si="27"/>
        <v>0</v>
      </c>
      <c r="AC35" s="65">
        <f t="shared" si="28"/>
        <v>4524.83</v>
      </c>
      <c r="AD35" s="73"/>
      <c r="AE35" s="74"/>
      <c r="AF35" s="66"/>
      <c r="AG35" s="40">
        <v>2659973974</v>
      </c>
      <c r="AH35" s="43"/>
    </row>
    <row r="36" spans="1:34" s="18" customFormat="1">
      <c r="A36" s="40" t="s">
        <v>31</v>
      </c>
      <c r="B36" s="40" t="s">
        <v>170</v>
      </c>
      <c r="C36" s="40" t="s">
        <v>138</v>
      </c>
      <c r="D36" s="40" t="s">
        <v>86</v>
      </c>
      <c r="E36" s="40" t="s">
        <v>33</v>
      </c>
      <c r="F36" s="71">
        <v>42296</v>
      </c>
      <c r="G36" s="42">
        <v>2055.2399999999998</v>
      </c>
      <c r="H36" s="42"/>
      <c r="I36" s="42"/>
      <c r="J36" s="64"/>
      <c r="K36" s="65">
        <f t="shared" si="22"/>
        <v>2055.2399999999998</v>
      </c>
      <c r="L36" s="42"/>
      <c r="M36" s="85"/>
      <c r="N36" s="42"/>
      <c r="O36" s="42">
        <v>0</v>
      </c>
      <c r="P36" s="87"/>
      <c r="Q36" s="87"/>
      <c r="R36" s="42"/>
      <c r="S36" s="38"/>
      <c r="T36" s="38"/>
      <c r="U36" s="40"/>
      <c r="V36" s="40">
        <v>1000</v>
      </c>
      <c r="W36" s="65">
        <f t="shared" si="23"/>
        <v>1055.2399999999998</v>
      </c>
      <c r="X36" s="38">
        <f t="shared" si="24"/>
        <v>0</v>
      </c>
      <c r="Y36" s="65">
        <f t="shared" si="25"/>
        <v>1055.2399999999998</v>
      </c>
      <c r="Z36" s="38">
        <f t="shared" si="26"/>
        <v>205.524</v>
      </c>
      <c r="AA36" s="38">
        <v>10.23</v>
      </c>
      <c r="AB36" s="38">
        <f t="shared" si="27"/>
        <v>0</v>
      </c>
      <c r="AC36" s="65">
        <f t="shared" si="28"/>
        <v>2270.9939999999997</v>
      </c>
      <c r="AD36" s="73"/>
      <c r="AE36" s="74"/>
      <c r="AF36" s="66">
        <f>+AD36+AE36-Y36</f>
        <v>-1055.2399999999998</v>
      </c>
      <c r="AG36" s="40"/>
      <c r="AH36" s="40"/>
    </row>
    <row r="37" spans="1:34" s="18" customFormat="1">
      <c r="A37" s="40" t="s">
        <v>30</v>
      </c>
      <c r="B37" s="40" t="s">
        <v>40</v>
      </c>
      <c r="C37" s="40" t="s">
        <v>156</v>
      </c>
      <c r="D37" s="40" t="s">
        <v>64</v>
      </c>
      <c r="E37" s="40" t="s">
        <v>98</v>
      </c>
      <c r="F37" s="71">
        <v>42199</v>
      </c>
      <c r="G37" s="42">
        <v>3859.77</v>
      </c>
      <c r="H37" s="42"/>
      <c r="I37" s="42"/>
      <c r="J37" s="64"/>
      <c r="K37" s="65">
        <f t="shared" si="22"/>
        <v>3859.77</v>
      </c>
      <c r="L37" s="42"/>
      <c r="M37" s="85"/>
      <c r="N37" s="42"/>
      <c r="O37" s="42">
        <v>0</v>
      </c>
      <c r="P37" s="87"/>
      <c r="Q37" s="87"/>
      <c r="R37" s="42"/>
      <c r="S37" s="38"/>
      <c r="T37" s="38"/>
      <c r="U37" s="40"/>
      <c r="V37" s="40">
        <v>0</v>
      </c>
      <c r="W37" s="65">
        <f t="shared" si="23"/>
        <v>3859.77</v>
      </c>
      <c r="X37" s="38">
        <f t="shared" si="24"/>
        <v>385.97700000000003</v>
      </c>
      <c r="Y37" s="65">
        <f t="shared" si="25"/>
        <v>3473.7930000000001</v>
      </c>
      <c r="Z37" s="38">
        <f t="shared" si="26"/>
        <v>0</v>
      </c>
      <c r="AA37" s="38">
        <v>10.23</v>
      </c>
      <c r="AB37" s="38">
        <f t="shared" si="27"/>
        <v>0</v>
      </c>
      <c r="AC37" s="65">
        <f t="shared" si="28"/>
        <v>3870</v>
      </c>
      <c r="AD37" s="73"/>
      <c r="AE37" s="74"/>
      <c r="AF37" s="66">
        <f>+AD37+AE37-Y37</f>
        <v>-3473.7930000000001</v>
      </c>
      <c r="AG37" s="40"/>
      <c r="AH37" s="40"/>
    </row>
    <row r="38" spans="1:34" s="18" customFormat="1">
      <c r="A38" s="40" t="s">
        <v>31</v>
      </c>
      <c r="B38" s="40" t="s">
        <v>139</v>
      </c>
      <c r="C38" s="40" t="s">
        <v>138</v>
      </c>
      <c r="D38" s="40" t="s">
        <v>87</v>
      </c>
      <c r="E38" s="40" t="s">
        <v>33</v>
      </c>
      <c r="F38" s="71">
        <v>42304</v>
      </c>
      <c r="G38" s="42">
        <v>3516.51</v>
      </c>
      <c r="H38" s="42"/>
      <c r="I38" s="42"/>
      <c r="J38" s="64"/>
      <c r="K38" s="65">
        <f t="shared" si="22"/>
        <v>3516.51</v>
      </c>
      <c r="L38" s="42"/>
      <c r="M38" s="85"/>
      <c r="N38" s="42"/>
      <c r="O38" s="42">
        <v>0</v>
      </c>
      <c r="P38" s="87"/>
      <c r="Q38" s="87"/>
      <c r="R38" s="42"/>
      <c r="S38" s="38"/>
      <c r="T38" s="38"/>
      <c r="U38" s="40"/>
      <c r="V38" s="40">
        <v>0</v>
      </c>
      <c r="W38" s="65">
        <f t="shared" si="23"/>
        <v>3516.51</v>
      </c>
      <c r="X38" s="38">
        <f t="shared" si="24"/>
        <v>351.65100000000007</v>
      </c>
      <c r="Y38" s="65">
        <f t="shared" si="25"/>
        <v>3164.8590000000004</v>
      </c>
      <c r="Z38" s="38">
        <f t="shared" si="26"/>
        <v>0</v>
      </c>
      <c r="AA38" s="38">
        <v>10.23</v>
      </c>
      <c r="AB38" s="38">
        <f t="shared" si="27"/>
        <v>0</v>
      </c>
      <c r="AC38" s="65">
        <f t="shared" si="28"/>
        <v>3526.7400000000002</v>
      </c>
      <c r="AD38" s="66"/>
      <c r="AE38" s="66"/>
      <c r="AF38" s="66"/>
      <c r="AG38" s="40"/>
      <c r="AH38" s="40"/>
    </row>
    <row r="39" spans="1:34" s="18" customFormat="1">
      <c r="A39" s="40" t="s">
        <v>30</v>
      </c>
      <c r="B39" s="40" t="s">
        <v>191</v>
      </c>
      <c r="C39" s="40"/>
      <c r="D39" s="40"/>
      <c r="E39" s="40" t="s">
        <v>98</v>
      </c>
      <c r="F39" s="71">
        <v>42576</v>
      </c>
      <c r="G39" s="42">
        <v>776.49</v>
      </c>
      <c r="H39" s="42"/>
      <c r="I39" s="42"/>
      <c r="J39" s="64"/>
      <c r="K39" s="65">
        <f t="shared" si="22"/>
        <v>776.49</v>
      </c>
      <c r="L39" s="42"/>
      <c r="M39" s="85"/>
      <c r="N39" s="42"/>
      <c r="O39" s="42">
        <v>0</v>
      </c>
      <c r="P39" s="87"/>
      <c r="Q39" s="87"/>
      <c r="R39" s="42"/>
      <c r="S39" s="38"/>
      <c r="T39" s="38"/>
      <c r="U39" s="40"/>
      <c r="V39" s="40">
        <v>0</v>
      </c>
      <c r="W39" s="65">
        <f t="shared" si="23"/>
        <v>776.49</v>
      </c>
      <c r="X39" s="38">
        <f t="shared" si="24"/>
        <v>0</v>
      </c>
      <c r="Y39" s="65">
        <f t="shared" si="25"/>
        <v>776.49</v>
      </c>
      <c r="Z39" s="38">
        <f t="shared" si="26"/>
        <v>77.649000000000001</v>
      </c>
      <c r="AA39" s="38">
        <v>11.23</v>
      </c>
      <c r="AB39" s="38">
        <f t="shared" si="27"/>
        <v>0</v>
      </c>
      <c r="AC39" s="65">
        <f t="shared" si="28"/>
        <v>865.36900000000003</v>
      </c>
      <c r="AD39" s="68"/>
      <c r="AE39" s="68"/>
      <c r="AF39" s="68"/>
      <c r="AG39" s="40">
        <v>2960710474</v>
      </c>
      <c r="AH39" s="40"/>
    </row>
    <row r="40" spans="1:34" s="18" customFormat="1">
      <c r="A40" s="40" t="s">
        <v>31</v>
      </c>
      <c r="B40" s="40" t="s">
        <v>143</v>
      </c>
      <c r="C40" s="40"/>
      <c r="D40" s="40" t="s">
        <v>89</v>
      </c>
      <c r="E40" s="40" t="s">
        <v>33</v>
      </c>
      <c r="F40" s="71">
        <v>42164</v>
      </c>
      <c r="G40" s="42"/>
      <c r="H40" s="42"/>
      <c r="I40" s="42"/>
      <c r="J40" s="64"/>
      <c r="K40" s="65">
        <f t="shared" si="22"/>
        <v>0</v>
      </c>
      <c r="L40" s="42"/>
      <c r="M40" s="85"/>
      <c r="N40" s="42"/>
      <c r="O40" s="42">
        <v>0</v>
      </c>
      <c r="P40" s="87"/>
      <c r="Q40" s="87"/>
      <c r="R40" s="42"/>
      <c r="S40" s="38"/>
      <c r="T40" s="38"/>
      <c r="U40" s="40"/>
      <c r="V40" s="40">
        <v>228.56</v>
      </c>
      <c r="W40" s="65">
        <f t="shared" si="23"/>
        <v>-228.56</v>
      </c>
      <c r="X40" s="38">
        <f t="shared" si="24"/>
        <v>0</v>
      </c>
      <c r="Y40" s="65">
        <f t="shared" si="25"/>
        <v>-228.56</v>
      </c>
      <c r="Z40" s="38">
        <f t="shared" si="26"/>
        <v>0</v>
      </c>
      <c r="AA40" s="38">
        <v>10.23</v>
      </c>
      <c r="AB40" s="38">
        <f t="shared" si="27"/>
        <v>0</v>
      </c>
      <c r="AC40" s="65">
        <f t="shared" si="28"/>
        <v>10.23</v>
      </c>
      <c r="AD40" s="73"/>
      <c r="AE40" s="80"/>
      <c r="AF40" s="66">
        <f t="shared" ref="AF40:AF44" si="29">+AD40+AE40-Y40</f>
        <v>228.56</v>
      </c>
      <c r="AG40" s="40"/>
      <c r="AH40" s="40"/>
    </row>
    <row r="41" spans="1:34" s="18" customFormat="1">
      <c r="A41" s="40" t="s">
        <v>46</v>
      </c>
      <c r="B41" s="40" t="s">
        <v>110</v>
      </c>
      <c r="C41" s="40"/>
      <c r="D41" s="40"/>
      <c r="E41" s="40" t="s">
        <v>97</v>
      </c>
      <c r="F41" s="71">
        <v>42413</v>
      </c>
      <c r="G41" s="94"/>
      <c r="H41" s="42"/>
      <c r="I41" s="42"/>
      <c r="J41" s="64"/>
      <c r="K41" s="65">
        <f t="shared" si="22"/>
        <v>0</v>
      </c>
      <c r="L41" s="42"/>
      <c r="M41" s="85"/>
      <c r="N41" s="42"/>
      <c r="O41" s="42">
        <v>0</v>
      </c>
      <c r="P41" s="87"/>
      <c r="Q41" s="87"/>
      <c r="R41" s="42"/>
      <c r="S41" s="38"/>
      <c r="T41" s="38"/>
      <c r="U41" s="40"/>
      <c r="V41" s="40">
        <v>0</v>
      </c>
      <c r="W41" s="65">
        <f t="shared" si="23"/>
        <v>0</v>
      </c>
      <c r="X41" s="38">
        <f t="shared" si="24"/>
        <v>0</v>
      </c>
      <c r="Y41" s="65">
        <f t="shared" si="25"/>
        <v>0</v>
      </c>
      <c r="Z41" s="38">
        <f t="shared" si="26"/>
        <v>0</v>
      </c>
      <c r="AA41" s="38">
        <v>10.23</v>
      </c>
      <c r="AB41" s="38">
        <f t="shared" si="27"/>
        <v>0</v>
      </c>
      <c r="AC41" s="65">
        <f t="shared" si="28"/>
        <v>10.23</v>
      </c>
      <c r="AD41" s="73"/>
      <c r="AE41" s="74"/>
      <c r="AF41" s="66">
        <f t="shared" si="29"/>
        <v>0</v>
      </c>
      <c r="AG41" s="40"/>
      <c r="AH41" s="40"/>
    </row>
    <row r="42" spans="1:34" s="18" customFormat="1">
      <c r="A42" s="40" t="s">
        <v>31</v>
      </c>
      <c r="B42" s="40" t="s">
        <v>167</v>
      </c>
      <c r="C42" s="40" t="s">
        <v>138</v>
      </c>
      <c r="D42" s="40" t="s">
        <v>88</v>
      </c>
      <c r="E42" s="40" t="s">
        <v>33</v>
      </c>
      <c r="F42" s="71">
        <v>41622</v>
      </c>
      <c r="G42" s="42"/>
      <c r="H42" s="42"/>
      <c r="I42" s="42"/>
      <c r="J42" s="64"/>
      <c r="K42" s="65">
        <f t="shared" si="22"/>
        <v>0</v>
      </c>
      <c r="L42" s="42"/>
      <c r="M42" s="85"/>
      <c r="N42" s="42"/>
      <c r="O42" s="42">
        <v>0</v>
      </c>
      <c r="P42" s="87"/>
      <c r="Q42" s="87"/>
      <c r="R42" s="42"/>
      <c r="S42" s="38"/>
      <c r="T42" s="38"/>
      <c r="U42" s="40"/>
      <c r="V42" s="40">
        <v>0</v>
      </c>
      <c r="W42" s="65">
        <f t="shared" si="23"/>
        <v>0</v>
      </c>
      <c r="X42" s="38">
        <f t="shared" si="24"/>
        <v>0</v>
      </c>
      <c r="Y42" s="65">
        <f t="shared" si="25"/>
        <v>0</v>
      </c>
      <c r="Z42" s="38">
        <f t="shared" si="26"/>
        <v>0</v>
      </c>
      <c r="AA42" s="38">
        <v>10.23</v>
      </c>
      <c r="AB42" s="38">
        <f t="shared" si="27"/>
        <v>0</v>
      </c>
      <c r="AC42" s="65">
        <f t="shared" si="28"/>
        <v>10.23</v>
      </c>
      <c r="AD42" s="73"/>
      <c r="AE42" s="73"/>
      <c r="AF42" s="66">
        <f t="shared" si="29"/>
        <v>0</v>
      </c>
      <c r="AG42" s="40"/>
      <c r="AH42" s="40"/>
    </row>
    <row r="43" spans="1:34" s="18" customFormat="1">
      <c r="A43" s="40" t="s">
        <v>31</v>
      </c>
      <c r="B43" s="40" t="s">
        <v>173</v>
      </c>
      <c r="C43" s="40" t="s">
        <v>135</v>
      </c>
      <c r="D43" s="40">
        <v>30</v>
      </c>
      <c r="E43" s="40" t="s">
        <v>33</v>
      </c>
      <c r="F43" s="71">
        <v>37834</v>
      </c>
      <c r="G43" s="42">
        <v>23054.63</v>
      </c>
      <c r="H43" s="42"/>
      <c r="I43" s="42"/>
      <c r="J43" s="64"/>
      <c r="K43" s="65">
        <f t="shared" si="22"/>
        <v>23054.63</v>
      </c>
      <c r="L43" s="42"/>
      <c r="M43" s="85"/>
      <c r="N43" s="42"/>
      <c r="O43" s="42">
        <v>0</v>
      </c>
      <c r="P43" s="87"/>
      <c r="Q43" s="87"/>
      <c r="R43" s="42"/>
      <c r="S43" s="38"/>
      <c r="T43" s="38"/>
      <c r="U43" s="40"/>
      <c r="V43" s="40">
        <v>0</v>
      </c>
      <c r="W43" s="65">
        <f t="shared" si="23"/>
        <v>23054.63</v>
      </c>
      <c r="X43" s="38">
        <f t="shared" si="24"/>
        <v>2305.4630000000002</v>
      </c>
      <c r="Y43" s="65">
        <f t="shared" si="25"/>
        <v>20749.167000000001</v>
      </c>
      <c r="Z43" s="38">
        <f t="shared" si="26"/>
        <v>0</v>
      </c>
      <c r="AA43" s="38">
        <v>10.23</v>
      </c>
      <c r="AB43" s="38">
        <f t="shared" si="27"/>
        <v>0</v>
      </c>
      <c r="AC43" s="65">
        <f t="shared" si="28"/>
        <v>23064.86</v>
      </c>
      <c r="AD43" s="73"/>
      <c r="AE43" s="74"/>
      <c r="AF43" s="66">
        <f t="shared" si="29"/>
        <v>-20749.167000000001</v>
      </c>
      <c r="AG43" s="40"/>
      <c r="AH43" s="40"/>
    </row>
    <row r="44" spans="1:34" s="18" customFormat="1">
      <c r="A44" s="40" t="s">
        <v>31</v>
      </c>
      <c r="B44" s="40" t="s">
        <v>118</v>
      </c>
      <c r="C44" s="40" t="s">
        <v>133</v>
      </c>
      <c r="D44" s="40" t="s">
        <v>90</v>
      </c>
      <c r="E44" s="40" t="s">
        <v>33</v>
      </c>
      <c r="F44" s="71">
        <v>42394</v>
      </c>
      <c r="G44" s="42">
        <v>6503.18</v>
      </c>
      <c r="H44" s="42"/>
      <c r="I44" s="42"/>
      <c r="J44" s="64"/>
      <c r="K44" s="65">
        <f t="shared" si="22"/>
        <v>6503.18</v>
      </c>
      <c r="L44" s="42"/>
      <c r="M44" s="85"/>
      <c r="N44" s="42"/>
      <c r="O44" s="42">
        <v>0</v>
      </c>
      <c r="P44" s="87"/>
      <c r="Q44" s="87"/>
      <c r="R44" s="42"/>
      <c r="S44" s="38"/>
      <c r="T44" s="38"/>
      <c r="U44" s="67"/>
      <c r="V44" s="67">
        <v>1000</v>
      </c>
      <c r="W44" s="65">
        <f t="shared" si="23"/>
        <v>5503.18</v>
      </c>
      <c r="X44" s="38">
        <f t="shared" si="24"/>
        <v>650.3180000000001</v>
      </c>
      <c r="Y44" s="65">
        <f t="shared" si="25"/>
        <v>4852.8620000000001</v>
      </c>
      <c r="Z44" s="38">
        <f t="shared" si="26"/>
        <v>0</v>
      </c>
      <c r="AA44" s="38">
        <v>10.23</v>
      </c>
      <c r="AB44" s="38">
        <f t="shared" si="27"/>
        <v>0</v>
      </c>
      <c r="AC44" s="65">
        <f t="shared" si="28"/>
        <v>6513.41</v>
      </c>
      <c r="AD44" s="73"/>
      <c r="AE44" s="74"/>
      <c r="AF44" s="66">
        <f t="shared" si="29"/>
        <v>-4852.8620000000001</v>
      </c>
      <c r="AG44" s="40"/>
      <c r="AH44" s="43"/>
    </row>
    <row r="45" spans="1:34" s="18" customFormat="1">
      <c r="A45" s="40" t="s">
        <v>31</v>
      </c>
      <c r="B45" s="40" t="s">
        <v>220</v>
      </c>
      <c r="C45" s="40"/>
      <c r="D45" s="40"/>
      <c r="E45" s="40" t="s">
        <v>33</v>
      </c>
      <c r="F45" s="71">
        <v>42342</v>
      </c>
      <c r="G45" s="42">
        <v>7500</v>
      </c>
      <c r="H45" s="42"/>
      <c r="I45" s="42"/>
      <c r="J45" s="64"/>
      <c r="K45" s="65">
        <f t="shared" si="22"/>
        <v>7500</v>
      </c>
      <c r="L45" s="42"/>
      <c r="M45" s="85"/>
      <c r="N45" s="42"/>
      <c r="O45" s="42">
        <v>0</v>
      </c>
      <c r="P45" s="87"/>
      <c r="Q45" s="87"/>
      <c r="R45" s="42"/>
      <c r="S45" s="38">
        <v>257.3</v>
      </c>
      <c r="T45" s="38"/>
      <c r="U45" s="67"/>
      <c r="V45" s="67"/>
      <c r="W45" s="65">
        <f t="shared" ref="W45" si="30">+K45-SUM(L45:V45)</f>
        <v>7242.7</v>
      </c>
      <c r="X45" s="38">
        <f t="shared" ref="X45" si="31">IF(K45&gt;2250,K45*0.1,0)</f>
        <v>750</v>
      </c>
      <c r="Y45" s="65">
        <f t="shared" ref="Y45" si="32">+W45-X45</f>
        <v>6492.7</v>
      </c>
      <c r="Z45" s="38"/>
      <c r="AA45" s="38"/>
      <c r="AB45" s="38"/>
      <c r="AC45" s="65"/>
      <c r="AD45" s="73"/>
      <c r="AE45" s="74"/>
      <c r="AF45" s="66"/>
      <c r="AG45" s="40"/>
      <c r="AH45" s="43"/>
    </row>
    <row r="46" spans="1:34" s="18" customFormat="1">
      <c r="A46" s="128" t="s">
        <v>31</v>
      </c>
      <c r="B46" s="128" t="s">
        <v>227</v>
      </c>
      <c r="C46" s="128"/>
      <c r="D46" s="128"/>
      <c r="E46" s="128" t="s">
        <v>33</v>
      </c>
      <c r="F46" s="129">
        <v>42648</v>
      </c>
      <c r="G46" s="130"/>
      <c r="H46" s="130"/>
      <c r="I46" s="130"/>
      <c r="J46" s="131"/>
      <c r="K46" s="65">
        <f t="shared" si="22"/>
        <v>0</v>
      </c>
      <c r="L46" s="42"/>
      <c r="M46" s="85"/>
      <c r="N46" s="42"/>
      <c r="O46" s="42"/>
      <c r="P46" s="87"/>
      <c r="Q46" s="87"/>
      <c r="R46" s="42"/>
      <c r="S46" s="38"/>
      <c r="T46" s="38"/>
      <c r="U46" s="67"/>
      <c r="V46" s="67"/>
      <c r="W46" s="65">
        <f t="shared" ref="W46" si="33">+K46-SUM(L46:V46)</f>
        <v>0</v>
      </c>
      <c r="X46" s="38">
        <f t="shared" ref="X46" si="34">IF(K46&gt;2250,K46*0.1,0)</f>
        <v>0</v>
      </c>
      <c r="Y46" s="65">
        <f t="shared" ref="Y46" si="35">+W46-X46</f>
        <v>0</v>
      </c>
      <c r="Z46" s="38"/>
      <c r="AA46" s="38"/>
      <c r="AB46" s="38"/>
      <c r="AC46" s="65"/>
      <c r="AD46" s="73"/>
      <c r="AE46" s="74"/>
      <c r="AF46" s="66"/>
      <c r="AG46" s="128">
        <v>1128031436</v>
      </c>
      <c r="AH46" s="132" t="s">
        <v>228</v>
      </c>
    </row>
    <row r="47" spans="1:34" s="18" customFormat="1">
      <c r="A47" s="40" t="s">
        <v>46</v>
      </c>
      <c r="B47" s="40" t="s">
        <v>200</v>
      </c>
      <c r="C47" s="40"/>
      <c r="D47" s="40"/>
      <c r="E47" s="40" t="s">
        <v>97</v>
      </c>
      <c r="F47" s="71">
        <v>41709</v>
      </c>
      <c r="G47" s="42"/>
      <c r="H47" s="42"/>
      <c r="I47" s="42"/>
      <c r="J47" s="64"/>
      <c r="K47" s="65">
        <f t="shared" si="22"/>
        <v>0</v>
      </c>
      <c r="L47" s="42"/>
      <c r="M47" s="85"/>
      <c r="N47" s="42"/>
      <c r="O47" s="42"/>
      <c r="P47" s="87"/>
      <c r="Q47" s="87"/>
      <c r="R47" s="42"/>
      <c r="S47" s="38"/>
      <c r="T47" s="38"/>
      <c r="U47" s="40"/>
      <c r="V47" s="40">
        <v>0</v>
      </c>
      <c r="W47" s="65">
        <f t="shared" si="23"/>
        <v>0</v>
      </c>
      <c r="X47" s="38">
        <f t="shared" si="24"/>
        <v>0</v>
      </c>
      <c r="Y47" s="65">
        <f t="shared" si="25"/>
        <v>0</v>
      </c>
      <c r="Z47" s="38">
        <f t="shared" si="26"/>
        <v>0</v>
      </c>
      <c r="AA47" s="38">
        <v>11.23</v>
      </c>
      <c r="AB47" s="38">
        <f t="shared" si="27"/>
        <v>0</v>
      </c>
      <c r="AC47" s="65">
        <f t="shared" si="28"/>
        <v>11.23</v>
      </c>
      <c r="AD47" s="73"/>
      <c r="AE47" s="74"/>
      <c r="AF47" s="66"/>
      <c r="AG47" s="18">
        <v>2836126510</v>
      </c>
      <c r="AH47" s="40"/>
    </row>
    <row r="48" spans="1:34" s="18" customFormat="1">
      <c r="A48" s="40" t="s">
        <v>31</v>
      </c>
      <c r="B48" s="40" t="s">
        <v>151</v>
      </c>
      <c r="C48" s="40" t="s">
        <v>138</v>
      </c>
      <c r="D48" s="40" t="s">
        <v>91</v>
      </c>
      <c r="E48" s="40" t="s">
        <v>33</v>
      </c>
      <c r="F48" s="71">
        <v>42251</v>
      </c>
      <c r="G48" s="42">
        <v>2852.11</v>
      </c>
      <c r="H48" s="42"/>
      <c r="I48" s="42"/>
      <c r="J48" s="64"/>
      <c r="K48" s="65">
        <f t="shared" si="22"/>
        <v>2852.11</v>
      </c>
      <c r="L48" s="42"/>
      <c r="M48" s="85"/>
      <c r="N48" s="42"/>
      <c r="O48" s="42">
        <v>0</v>
      </c>
      <c r="P48" s="87"/>
      <c r="Q48" s="87"/>
      <c r="R48" s="42"/>
      <c r="S48" s="38"/>
      <c r="T48" s="38"/>
      <c r="U48" s="40"/>
      <c r="V48" s="40">
        <v>0</v>
      </c>
      <c r="W48" s="65">
        <f t="shared" si="23"/>
        <v>2852.11</v>
      </c>
      <c r="X48" s="38">
        <f t="shared" si="24"/>
        <v>285.21100000000001</v>
      </c>
      <c r="Y48" s="65">
        <f t="shared" si="25"/>
        <v>2566.8990000000003</v>
      </c>
      <c r="Z48" s="38">
        <f t="shared" si="26"/>
        <v>0</v>
      </c>
      <c r="AA48" s="38">
        <v>10.23</v>
      </c>
      <c r="AB48" s="38">
        <f t="shared" si="27"/>
        <v>0</v>
      </c>
      <c r="AC48" s="65">
        <f t="shared" si="28"/>
        <v>2862.34</v>
      </c>
      <c r="AD48" s="73"/>
      <c r="AE48" s="74"/>
      <c r="AF48" s="66">
        <f t="shared" ref="AF48:AF50" si="36">+AD48+AE48-Y48</f>
        <v>-2566.8990000000003</v>
      </c>
      <c r="AH48" s="40"/>
    </row>
    <row r="49" spans="1:34" s="18" customFormat="1">
      <c r="A49" s="40" t="s">
        <v>44</v>
      </c>
      <c r="B49" s="40" t="s">
        <v>177</v>
      </c>
      <c r="C49" s="40"/>
      <c r="D49" s="40"/>
      <c r="E49" s="40" t="s">
        <v>32</v>
      </c>
      <c r="F49" s="71">
        <v>42506</v>
      </c>
      <c r="G49" s="42">
        <v>2167.34</v>
      </c>
      <c r="H49" s="42"/>
      <c r="I49" s="42"/>
      <c r="J49" s="64"/>
      <c r="K49" s="65">
        <f t="shared" si="22"/>
        <v>2167.34</v>
      </c>
      <c r="L49" s="42"/>
      <c r="M49" s="85"/>
      <c r="N49" s="42"/>
      <c r="O49" s="42">
        <v>0</v>
      </c>
      <c r="P49" s="87"/>
      <c r="Q49" s="87"/>
      <c r="R49" s="42"/>
      <c r="S49" s="38"/>
      <c r="T49" s="38"/>
      <c r="U49" s="40"/>
      <c r="V49" s="40">
        <v>0</v>
      </c>
      <c r="W49" s="65">
        <f t="shared" si="23"/>
        <v>2167.34</v>
      </c>
      <c r="X49" s="38">
        <f t="shared" si="24"/>
        <v>0</v>
      </c>
      <c r="Y49" s="65">
        <f t="shared" si="25"/>
        <v>2167.34</v>
      </c>
      <c r="Z49" s="38">
        <f t="shared" si="26"/>
        <v>216.73400000000004</v>
      </c>
      <c r="AA49" s="38">
        <v>10.23</v>
      </c>
      <c r="AB49" s="38">
        <f t="shared" si="27"/>
        <v>0</v>
      </c>
      <c r="AC49" s="65">
        <f t="shared" si="28"/>
        <v>2394.3040000000001</v>
      </c>
      <c r="AD49" s="73"/>
      <c r="AE49" s="73"/>
      <c r="AF49" s="66">
        <f t="shared" si="36"/>
        <v>-2167.34</v>
      </c>
      <c r="AG49" s="53">
        <v>2928860106</v>
      </c>
      <c r="AH49" s="43"/>
    </row>
    <row r="50" spans="1:34" s="18" customFormat="1">
      <c r="A50" s="40" t="s">
        <v>44</v>
      </c>
      <c r="B50" s="40" t="s">
        <v>161</v>
      </c>
      <c r="C50" s="40"/>
      <c r="D50" s="40"/>
      <c r="E50" s="40" t="s">
        <v>32</v>
      </c>
      <c r="F50" s="71">
        <v>42472</v>
      </c>
      <c r="G50" s="42">
        <v>1304.9100000000001</v>
      </c>
      <c r="H50" s="44"/>
      <c r="I50" s="42"/>
      <c r="J50" s="64"/>
      <c r="K50" s="65">
        <f t="shared" ref="K50:K66" si="37">SUM(G50:I50)-J50</f>
        <v>1304.9100000000001</v>
      </c>
      <c r="L50" s="42"/>
      <c r="M50" s="85"/>
      <c r="N50" s="42"/>
      <c r="O50" s="42">
        <v>0</v>
      </c>
      <c r="P50" s="87"/>
      <c r="Q50" s="87"/>
      <c r="R50" s="42"/>
      <c r="S50" s="38"/>
      <c r="T50" s="38"/>
      <c r="U50" s="40"/>
      <c r="V50" s="40">
        <v>0</v>
      </c>
      <c r="W50" s="65">
        <f t="shared" ref="W50:W66" si="38">+K50-SUM(L50:V50)</f>
        <v>1304.9100000000001</v>
      </c>
      <c r="X50" s="38">
        <f t="shared" ref="X50:X56" si="39">IF(K50&gt;2250,K50*0.1,0)</f>
        <v>0</v>
      </c>
      <c r="Y50" s="65">
        <f t="shared" ref="Y50:Y66" si="40">+W50-X50</f>
        <v>1304.9100000000001</v>
      </c>
      <c r="Z50" s="38">
        <f t="shared" ref="Z50:Z63" si="41">IF(K50&lt;2250,K50*0.1,0)</f>
        <v>130.49100000000001</v>
      </c>
      <c r="AA50" s="38">
        <v>10.23</v>
      </c>
      <c r="AB50" s="38">
        <f t="shared" ref="AB50:AB63" si="42">+P50</f>
        <v>0</v>
      </c>
      <c r="AC50" s="65">
        <f t="shared" ref="AC50:AC63" si="43">+K50+Z50+AA50+AB50</f>
        <v>1445.6310000000001</v>
      </c>
      <c r="AD50" s="73"/>
      <c r="AE50" s="74"/>
      <c r="AF50" s="66">
        <f t="shared" si="36"/>
        <v>-1304.9100000000001</v>
      </c>
      <c r="AG50" s="40">
        <v>1123036669</v>
      </c>
      <c r="AH50" s="43"/>
    </row>
    <row r="51" spans="1:34" s="18" customFormat="1">
      <c r="A51" s="40" t="s">
        <v>31</v>
      </c>
      <c r="B51" s="40" t="s">
        <v>184</v>
      </c>
      <c r="C51" s="40"/>
      <c r="D51" s="40"/>
      <c r="E51" s="40" t="s">
        <v>33</v>
      </c>
      <c r="F51" s="71">
        <v>42522</v>
      </c>
      <c r="G51" s="42">
        <v>7392.11</v>
      </c>
      <c r="H51" s="42"/>
      <c r="I51" s="42"/>
      <c r="J51" s="64"/>
      <c r="K51" s="65">
        <f t="shared" si="37"/>
        <v>7392.11</v>
      </c>
      <c r="L51" s="42"/>
      <c r="M51" s="85"/>
      <c r="N51" s="42"/>
      <c r="O51" s="42">
        <v>0</v>
      </c>
      <c r="P51" s="87"/>
      <c r="Q51" s="87"/>
      <c r="R51" s="42"/>
      <c r="S51" s="38"/>
      <c r="T51" s="38"/>
      <c r="U51" s="40"/>
      <c r="V51" s="40">
        <v>0</v>
      </c>
      <c r="W51" s="65">
        <f t="shared" si="38"/>
        <v>7392.11</v>
      </c>
      <c r="X51" s="38">
        <f t="shared" si="39"/>
        <v>739.21100000000001</v>
      </c>
      <c r="Y51" s="65">
        <f t="shared" si="40"/>
        <v>6652.8989999999994</v>
      </c>
      <c r="Z51" s="38">
        <f t="shared" si="41"/>
        <v>0</v>
      </c>
      <c r="AA51" s="38">
        <v>10.23</v>
      </c>
      <c r="AB51" s="38">
        <f t="shared" si="42"/>
        <v>0</v>
      </c>
      <c r="AC51" s="65">
        <f t="shared" si="43"/>
        <v>7402.3399999999992</v>
      </c>
      <c r="AD51" s="73"/>
      <c r="AE51" s="73"/>
      <c r="AF51" s="66"/>
      <c r="AG51" s="40">
        <v>2952708604</v>
      </c>
      <c r="AH51" s="43"/>
    </row>
    <row r="52" spans="1:34" s="18" customFormat="1">
      <c r="A52" s="40" t="s">
        <v>31</v>
      </c>
      <c r="B52" s="40" t="s">
        <v>119</v>
      </c>
      <c r="C52" s="40" t="s">
        <v>135</v>
      </c>
      <c r="D52" s="45" t="s">
        <v>120</v>
      </c>
      <c r="E52" s="40" t="s">
        <v>33</v>
      </c>
      <c r="F52" s="71">
        <v>42396</v>
      </c>
      <c r="G52" s="42">
        <v>1274.1199999999999</v>
      </c>
      <c r="H52" s="42"/>
      <c r="I52" s="42"/>
      <c r="J52" s="64"/>
      <c r="K52" s="65">
        <f t="shared" si="37"/>
        <v>1274.1199999999999</v>
      </c>
      <c r="L52" s="42"/>
      <c r="M52" s="85"/>
      <c r="N52" s="42"/>
      <c r="O52" s="42">
        <v>0</v>
      </c>
      <c r="P52" s="87"/>
      <c r="Q52" s="87"/>
      <c r="R52" s="42"/>
      <c r="S52" s="38"/>
      <c r="T52" s="38"/>
      <c r="U52" s="40"/>
      <c r="V52" s="40">
        <v>500</v>
      </c>
      <c r="W52" s="65">
        <f t="shared" si="38"/>
        <v>774.11999999999989</v>
      </c>
      <c r="X52" s="38">
        <f t="shared" si="39"/>
        <v>0</v>
      </c>
      <c r="Y52" s="65">
        <f t="shared" si="40"/>
        <v>774.11999999999989</v>
      </c>
      <c r="Z52" s="38">
        <f t="shared" si="41"/>
        <v>127.41199999999999</v>
      </c>
      <c r="AA52" s="38">
        <v>10.23</v>
      </c>
      <c r="AB52" s="38">
        <f t="shared" si="42"/>
        <v>0</v>
      </c>
      <c r="AC52" s="65">
        <f t="shared" si="43"/>
        <v>1411.7619999999999</v>
      </c>
      <c r="AD52" s="73"/>
      <c r="AE52" s="73"/>
      <c r="AF52" s="66">
        <f t="shared" ref="AF52:AF56" si="44">+AD52+AE52-Y52</f>
        <v>-774.11999999999989</v>
      </c>
      <c r="AG52" s="40"/>
      <c r="AH52" s="43"/>
    </row>
    <row r="53" spans="1:34" s="18" customFormat="1">
      <c r="A53" s="40" t="s">
        <v>44</v>
      </c>
      <c r="B53" s="40" t="s">
        <v>130</v>
      </c>
      <c r="C53" s="40"/>
      <c r="D53" s="40" t="s">
        <v>61</v>
      </c>
      <c r="E53" s="40" t="s">
        <v>97</v>
      </c>
      <c r="F53" s="71">
        <v>42321</v>
      </c>
      <c r="G53" s="94"/>
      <c r="H53" s="42"/>
      <c r="I53" s="42"/>
      <c r="J53" s="64"/>
      <c r="K53" s="65">
        <f t="shared" si="37"/>
        <v>0</v>
      </c>
      <c r="L53" s="42"/>
      <c r="M53" s="85"/>
      <c r="N53" s="42"/>
      <c r="O53" s="42">
        <v>0</v>
      </c>
      <c r="P53" s="87"/>
      <c r="Q53" s="87"/>
      <c r="R53" s="42"/>
      <c r="S53" s="38"/>
      <c r="T53" s="38"/>
      <c r="U53" s="40"/>
      <c r="V53" s="40">
        <v>0</v>
      </c>
      <c r="W53" s="65">
        <f t="shared" si="38"/>
        <v>0</v>
      </c>
      <c r="X53" s="38">
        <f t="shared" si="39"/>
        <v>0</v>
      </c>
      <c r="Y53" s="65">
        <f t="shared" si="40"/>
        <v>0</v>
      </c>
      <c r="Z53" s="38">
        <f t="shared" si="41"/>
        <v>0</v>
      </c>
      <c r="AA53" s="38">
        <v>10.23</v>
      </c>
      <c r="AB53" s="38">
        <f t="shared" si="42"/>
        <v>0</v>
      </c>
      <c r="AC53" s="65">
        <f t="shared" si="43"/>
        <v>10.23</v>
      </c>
      <c r="AD53" s="73"/>
      <c r="AE53" s="74"/>
      <c r="AF53" s="66">
        <f t="shared" si="44"/>
        <v>0</v>
      </c>
      <c r="AG53" s="40"/>
      <c r="AH53" s="40"/>
    </row>
    <row r="54" spans="1:34" s="18" customFormat="1">
      <c r="A54" s="40" t="s">
        <v>44</v>
      </c>
      <c r="B54" s="40" t="s">
        <v>218</v>
      </c>
      <c r="C54" s="40"/>
      <c r="D54" s="40"/>
      <c r="E54" s="40" t="s">
        <v>32</v>
      </c>
      <c r="F54" s="71">
        <v>42646</v>
      </c>
      <c r="G54" s="94"/>
      <c r="H54" s="42"/>
      <c r="I54" s="42"/>
      <c r="J54" s="64"/>
      <c r="K54" s="65">
        <f t="shared" si="37"/>
        <v>0</v>
      </c>
      <c r="L54" s="42"/>
      <c r="M54" s="85"/>
      <c r="N54" s="42"/>
      <c r="O54" s="42">
        <v>0</v>
      </c>
      <c r="P54" s="87"/>
      <c r="Q54" s="87"/>
      <c r="R54" s="42"/>
      <c r="S54" s="38"/>
      <c r="T54" s="38"/>
      <c r="U54" s="40"/>
      <c r="V54" s="40"/>
      <c r="W54" s="65">
        <f t="shared" ref="W54" si="45">+K54-SUM(L54:V54)</f>
        <v>0</v>
      </c>
      <c r="X54" s="38">
        <f t="shared" ref="X54" si="46">IF(K54&gt;2250,K54*0.1,0)</f>
        <v>0</v>
      </c>
      <c r="Y54" s="65">
        <f t="shared" ref="Y54" si="47">+W54-X54</f>
        <v>0</v>
      </c>
      <c r="Z54" s="38"/>
      <c r="AA54" s="38"/>
      <c r="AB54" s="38"/>
      <c r="AC54" s="65"/>
      <c r="AD54" s="73"/>
      <c r="AE54" s="74"/>
      <c r="AF54" s="66"/>
      <c r="AG54" s="40"/>
      <c r="AH54" s="40"/>
    </row>
    <row r="55" spans="1:34" s="18" customFormat="1">
      <c r="A55" s="40" t="s">
        <v>44</v>
      </c>
      <c r="B55" s="40" t="s">
        <v>128</v>
      </c>
      <c r="C55" s="40"/>
      <c r="D55" s="40" t="s">
        <v>49</v>
      </c>
      <c r="E55" s="40" t="s">
        <v>32</v>
      </c>
      <c r="F55" s="71">
        <v>42065</v>
      </c>
      <c r="G55" s="42">
        <v>2088.5300000000002</v>
      </c>
      <c r="H55" s="42"/>
      <c r="I55" s="42"/>
      <c r="J55" s="64"/>
      <c r="K55" s="65">
        <f t="shared" si="37"/>
        <v>2088.5300000000002</v>
      </c>
      <c r="L55" s="42"/>
      <c r="M55" s="85"/>
      <c r="N55" s="42"/>
      <c r="O55" s="42">
        <v>0</v>
      </c>
      <c r="P55" s="87"/>
      <c r="Q55" s="87"/>
      <c r="R55" s="42"/>
      <c r="S55" s="38"/>
      <c r="T55" s="38"/>
      <c r="U55" s="40"/>
      <c r="V55" s="40">
        <v>0</v>
      </c>
      <c r="W55" s="65">
        <f t="shared" si="38"/>
        <v>2088.5300000000002</v>
      </c>
      <c r="X55" s="38">
        <f t="shared" si="39"/>
        <v>0</v>
      </c>
      <c r="Y55" s="65">
        <f t="shared" si="40"/>
        <v>2088.5300000000002</v>
      </c>
      <c r="Z55" s="38">
        <f t="shared" si="41"/>
        <v>208.85300000000004</v>
      </c>
      <c r="AA55" s="38">
        <v>10.23</v>
      </c>
      <c r="AB55" s="38">
        <f t="shared" si="42"/>
        <v>0</v>
      </c>
      <c r="AC55" s="65">
        <f t="shared" si="43"/>
        <v>2307.6130000000003</v>
      </c>
      <c r="AD55" s="73"/>
      <c r="AE55" s="74"/>
      <c r="AF55" s="66">
        <f t="shared" si="44"/>
        <v>-2088.5300000000002</v>
      </c>
      <c r="AG55" s="40"/>
      <c r="AH55" s="40"/>
    </row>
    <row r="56" spans="1:34" s="18" customFormat="1">
      <c r="A56" s="40" t="s">
        <v>31</v>
      </c>
      <c r="B56" s="40" t="s">
        <v>42</v>
      </c>
      <c r="C56" s="40" t="s">
        <v>133</v>
      </c>
      <c r="D56" s="40" t="s">
        <v>92</v>
      </c>
      <c r="E56" s="40" t="s">
        <v>33</v>
      </c>
      <c r="F56" s="71">
        <v>41218</v>
      </c>
      <c r="G56" s="42">
        <v>4390.6899999999996</v>
      </c>
      <c r="H56" s="42"/>
      <c r="I56" s="42"/>
      <c r="J56" s="64"/>
      <c r="K56" s="65">
        <f t="shared" si="37"/>
        <v>4390.6899999999996</v>
      </c>
      <c r="L56" s="42"/>
      <c r="M56" s="85"/>
      <c r="N56" s="42"/>
      <c r="O56" s="42">
        <v>0</v>
      </c>
      <c r="P56" s="87"/>
      <c r="Q56" s="87"/>
      <c r="R56" s="42"/>
      <c r="S56" s="38"/>
      <c r="T56" s="38"/>
      <c r="U56" s="40"/>
      <c r="V56" s="40">
        <v>0</v>
      </c>
      <c r="W56" s="65">
        <f t="shared" si="38"/>
        <v>4390.6899999999996</v>
      </c>
      <c r="X56" s="38">
        <f t="shared" si="39"/>
        <v>439.06899999999996</v>
      </c>
      <c r="Y56" s="65">
        <f t="shared" si="40"/>
        <v>3951.6209999999996</v>
      </c>
      <c r="Z56" s="38">
        <f t="shared" si="41"/>
        <v>0</v>
      </c>
      <c r="AA56" s="38">
        <v>10.23</v>
      </c>
      <c r="AB56" s="38">
        <f t="shared" si="42"/>
        <v>0</v>
      </c>
      <c r="AC56" s="65">
        <f t="shared" si="43"/>
        <v>4400.9199999999992</v>
      </c>
      <c r="AD56" s="73"/>
      <c r="AE56" s="74"/>
      <c r="AF56" s="66">
        <f t="shared" si="44"/>
        <v>-3951.6209999999996</v>
      </c>
      <c r="AG56" s="40"/>
      <c r="AH56" s="40"/>
    </row>
    <row r="57" spans="1:34" s="18" customFormat="1">
      <c r="A57" s="40" t="s">
        <v>29</v>
      </c>
      <c r="B57" s="40" t="s">
        <v>212</v>
      </c>
      <c r="C57" s="40"/>
      <c r="D57" s="40"/>
      <c r="E57" s="40" t="s">
        <v>209</v>
      </c>
      <c r="F57" s="71">
        <v>42241</v>
      </c>
      <c r="G57" s="42">
        <v>560</v>
      </c>
      <c r="H57" s="42"/>
      <c r="I57" s="42"/>
      <c r="J57" s="64"/>
      <c r="K57" s="65">
        <f t="shared" si="37"/>
        <v>560</v>
      </c>
      <c r="L57" s="42"/>
      <c r="M57" s="85"/>
      <c r="N57" s="42"/>
      <c r="O57" s="42"/>
      <c r="P57" s="87"/>
      <c r="Q57" s="87"/>
      <c r="R57" s="42"/>
      <c r="S57" s="38"/>
      <c r="T57" s="38"/>
      <c r="U57" s="40"/>
      <c r="V57" s="40"/>
      <c r="W57" s="65">
        <f t="shared" ref="W57" si="48">+K57-SUM(L57:V57)</f>
        <v>560</v>
      </c>
      <c r="X57" s="38">
        <f t="shared" ref="X57" si="49">IF(K57&gt;2250,K57*0.1,0)</f>
        <v>0</v>
      </c>
      <c r="Y57" s="65">
        <f t="shared" ref="Y57" si="50">+W57-X57</f>
        <v>560</v>
      </c>
      <c r="Z57" s="38">
        <f t="shared" si="41"/>
        <v>56</v>
      </c>
      <c r="AA57" s="38"/>
      <c r="AB57" s="38"/>
      <c r="AC57" s="65"/>
      <c r="AD57" s="73"/>
      <c r="AE57" s="74"/>
      <c r="AF57" s="66"/>
      <c r="AG57" s="40">
        <v>2965106850</v>
      </c>
      <c r="AH57" s="40"/>
    </row>
    <row r="58" spans="1:34" s="18" customFormat="1">
      <c r="A58" s="40" t="s">
        <v>46</v>
      </c>
      <c r="B58" s="40" t="s">
        <v>158</v>
      </c>
      <c r="C58" s="40"/>
      <c r="D58" s="40" t="s">
        <v>62</v>
      </c>
      <c r="E58" s="40" t="s">
        <v>97</v>
      </c>
      <c r="F58" s="71">
        <v>42333</v>
      </c>
      <c r="G58" s="94"/>
      <c r="H58" s="42"/>
      <c r="I58" s="42"/>
      <c r="J58" s="64"/>
      <c r="K58" s="65">
        <f t="shared" si="37"/>
        <v>0</v>
      </c>
      <c r="L58" s="42"/>
      <c r="M58" s="85"/>
      <c r="N58" s="42"/>
      <c r="O58" s="42">
        <v>0</v>
      </c>
      <c r="P58" s="87"/>
      <c r="Q58" s="87"/>
      <c r="R58" s="42"/>
      <c r="S58" s="38"/>
      <c r="T58" s="38"/>
      <c r="U58" s="40"/>
      <c r="V58" s="40">
        <v>351.55</v>
      </c>
      <c r="W58" s="65">
        <f t="shared" si="38"/>
        <v>-351.55</v>
      </c>
      <c r="X58" s="38">
        <f t="shared" ref="X58:X66" si="51">IF(K58&gt;2250,K58*0.1,0)</f>
        <v>0</v>
      </c>
      <c r="Y58" s="65">
        <f t="shared" si="40"/>
        <v>-351.55</v>
      </c>
      <c r="Z58" s="38">
        <f t="shared" si="41"/>
        <v>0</v>
      </c>
      <c r="AA58" s="38">
        <v>10.23</v>
      </c>
      <c r="AB58" s="38">
        <f t="shared" si="42"/>
        <v>0</v>
      </c>
      <c r="AC58" s="65">
        <f t="shared" si="43"/>
        <v>10.23</v>
      </c>
      <c r="AD58" s="73"/>
      <c r="AE58" s="74"/>
      <c r="AF58" s="66">
        <f>+AD58+AE58-Y58</f>
        <v>351.55</v>
      </c>
      <c r="AG58" s="40"/>
      <c r="AH58" s="40"/>
    </row>
    <row r="59" spans="1:34" s="18" customFormat="1">
      <c r="A59" s="40" t="s">
        <v>31</v>
      </c>
      <c r="B59" s="40" t="s">
        <v>192</v>
      </c>
      <c r="C59" s="40"/>
      <c r="D59" s="40"/>
      <c r="E59" s="40" t="s">
        <v>33</v>
      </c>
      <c r="F59" s="71">
        <v>42459</v>
      </c>
      <c r="G59" s="42">
        <v>4071.96</v>
      </c>
      <c r="H59" s="42"/>
      <c r="I59" s="42"/>
      <c r="J59" s="64"/>
      <c r="K59" s="65">
        <f t="shared" si="37"/>
        <v>4071.96</v>
      </c>
      <c r="L59" s="42"/>
      <c r="M59" s="85"/>
      <c r="N59" s="42"/>
      <c r="O59" s="42">
        <v>0</v>
      </c>
      <c r="P59" s="87"/>
      <c r="Q59" s="87"/>
      <c r="R59" s="42"/>
      <c r="S59" s="38"/>
      <c r="T59" s="38"/>
      <c r="U59" s="40"/>
      <c r="V59" s="40"/>
      <c r="W59" s="65">
        <f t="shared" si="38"/>
        <v>4071.96</v>
      </c>
      <c r="X59" s="38">
        <f t="shared" si="51"/>
        <v>407.19600000000003</v>
      </c>
      <c r="Y59" s="65">
        <f t="shared" si="40"/>
        <v>3664.7640000000001</v>
      </c>
      <c r="Z59" s="38">
        <f t="shared" si="41"/>
        <v>0</v>
      </c>
      <c r="AA59" s="38">
        <v>10.23</v>
      </c>
      <c r="AB59" s="38">
        <f t="shared" si="42"/>
        <v>0</v>
      </c>
      <c r="AC59" s="65">
        <f t="shared" si="43"/>
        <v>4082.19</v>
      </c>
      <c r="AD59" s="79"/>
      <c r="AE59" s="74"/>
      <c r="AF59" s="66">
        <f>+AD59+AE59-Y59</f>
        <v>-3664.7640000000001</v>
      </c>
      <c r="AG59" s="40"/>
      <c r="AH59" s="43"/>
    </row>
    <row r="60" spans="1:34" s="18" customFormat="1">
      <c r="A60" s="40" t="s">
        <v>29</v>
      </c>
      <c r="B60" s="40" t="s">
        <v>187</v>
      </c>
      <c r="C60" s="40"/>
      <c r="D60" s="40"/>
      <c r="E60" s="40" t="s">
        <v>96</v>
      </c>
      <c r="F60" s="71">
        <v>42566</v>
      </c>
      <c r="G60" s="42">
        <v>2700</v>
      </c>
      <c r="H60" s="42"/>
      <c r="I60" s="42"/>
      <c r="J60" s="64"/>
      <c r="K60" s="65">
        <f t="shared" si="37"/>
        <v>2700</v>
      </c>
      <c r="L60" s="42"/>
      <c r="M60" s="85"/>
      <c r="N60" s="42"/>
      <c r="O60" s="42"/>
      <c r="P60" s="87"/>
      <c r="Q60" s="87"/>
      <c r="R60" s="42"/>
      <c r="S60" s="38"/>
      <c r="T60" s="38"/>
      <c r="U60" s="40"/>
      <c r="V60" s="40"/>
      <c r="W60" s="65">
        <f t="shared" si="38"/>
        <v>2700</v>
      </c>
      <c r="X60" s="38">
        <f t="shared" si="51"/>
        <v>270</v>
      </c>
      <c r="Y60" s="65">
        <f t="shared" si="40"/>
        <v>2430</v>
      </c>
      <c r="Z60" s="38">
        <f t="shared" si="41"/>
        <v>0</v>
      </c>
      <c r="AA60" s="38">
        <v>21.23</v>
      </c>
      <c r="AB60" s="38">
        <f t="shared" si="42"/>
        <v>0</v>
      </c>
      <c r="AC60" s="65">
        <f t="shared" si="43"/>
        <v>2721.23</v>
      </c>
      <c r="AD60" s="79"/>
      <c r="AE60" s="74"/>
      <c r="AF60" s="66"/>
      <c r="AG60" s="40">
        <v>2671903578</v>
      </c>
      <c r="AH60" s="43"/>
    </row>
    <row r="61" spans="1:34" s="18" customFormat="1">
      <c r="A61" s="40" t="s">
        <v>31</v>
      </c>
      <c r="B61" s="40" t="s">
        <v>163</v>
      </c>
      <c r="C61" s="40" t="s">
        <v>135</v>
      </c>
      <c r="D61" s="40" t="s">
        <v>93</v>
      </c>
      <c r="E61" s="40" t="s">
        <v>33</v>
      </c>
      <c r="F61" s="71">
        <v>42327</v>
      </c>
      <c r="G61" s="42">
        <v>5398.76</v>
      </c>
      <c r="H61" s="42"/>
      <c r="I61" s="42"/>
      <c r="J61" s="64"/>
      <c r="K61" s="65">
        <f t="shared" si="37"/>
        <v>5398.76</v>
      </c>
      <c r="L61" s="42"/>
      <c r="M61" s="85"/>
      <c r="N61" s="42"/>
      <c r="O61" s="42">
        <v>0</v>
      </c>
      <c r="P61" s="87"/>
      <c r="Q61" s="87"/>
      <c r="R61" s="42"/>
      <c r="S61" s="38"/>
      <c r="T61" s="38"/>
      <c r="U61" s="40"/>
      <c r="V61" s="82">
        <v>680</v>
      </c>
      <c r="W61" s="65">
        <f t="shared" si="38"/>
        <v>4718.76</v>
      </c>
      <c r="X61" s="38">
        <f t="shared" si="51"/>
        <v>539.87600000000009</v>
      </c>
      <c r="Y61" s="65">
        <f t="shared" si="40"/>
        <v>4178.884</v>
      </c>
      <c r="Z61" s="38">
        <f t="shared" si="41"/>
        <v>0</v>
      </c>
      <c r="AA61" s="38">
        <v>10.23</v>
      </c>
      <c r="AB61" s="38">
        <f t="shared" si="42"/>
        <v>0</v>
      </c>
      <c r="AC61" s="65">
        <f t="shared" si="43"/>
        <v>5408.99</v>
      </c>
      <c r="AD61" s="73"/>
      <c r="AE61" s="74"/>
      <c r="AF61" s="66">
        <f t="shared" ref="AF61:AF63" si="52">+AD61+AE61-Y61</f>
        <v>-4178.884</v>
      </c>
      <c r="AG61" s="40"/>
      <c r="AH61" s="43"/>
    </row>
    <row r="62" spans="1:34" s="18" customFormat="1">
      <c r="A62" s="40" t="s">
        <v>30</v>
      </c>
      <c r="B62" s="40" t="s">
        <v>149</v>
      </c>
      <c r="C62" s="40" t="s">
        <v>136</v>
      </c>
      <c r="D62" s="40" t="s">
        <v>65</v>
      </c>
      <c r="E62" s="40" t="s">
        <v>157</v>
      </c>
      <c r="F62" s="71">
        <v>42173</v>
      </c>
      <c r="G62" s="42">
        <v>1252.1500000000001</v>
      </c>
      <c r="H62" s="42"/>
      <c r="I62" s="42"/>
      <c r="J62" s="64"/>
      <c r="K62" s="65">
        <f t="shared" si="37"/>
        <v>1252.1500000000001</v>
      </c>
      <c r="L62" s="42"/>
      <c r="M62" s="85"/>
      <c r="N62" s="42"/>
      <c r="O62" s="42">
        <v>0</v>
      </c>
      <c r="P62" s="87"/>
      <c r="Q62" s="87"/>
      <c r="R62" s="42"/>
      <c r="S62" s="38"/>
      <c r="T62" s="38"/>
      <c r="U62" s="40"/>
      <c r="V62" s="40">
        <v>0</v>
      </c>
      <c r="W62" s="65">
        <f t="shared" si="38"/>
        <v>1252.1500000000001</v>
      </c>
      <c r="X62" s="38">
        <f t="shared" si="51"/>
        <v>0</v>
      </c>
      <c r="Y62" s="65">
        <f t="shared" si="40"/>
        <v>1252.1500000000001</v>
      </c>
      <c r="Z62" s="38">
        <f t="shared" si="41"/>
        <v>125.21500000000002</v>
      </c>
      <c r="AA62" s="38">
        <v>10.23</v>
      </c>
      <c r="AB62" s="38">
        <f t="shared" si="42"/>
        <v>0</v>
      </c>
      <c r="AC62" s="65">
        <f t="shared" si="43"/>
        <v>1387.595</v>
      </c>
      <c r="AD62" s="79"/>
      <c r="AE62" s="80"/>
      <c r="AF62" s="66">
        <f t="shared" si="52"/>
        <v>-1252.1500000000001</v>
      </c>
      <c r="AH62" s="40"/>
    </row>
    <row r="63" spans="1:34" s="18" customFormat="1">
      <c r="A63" s="40" t="s">
        <v>31</v>
      </c>
      <c r="B63" s="40" t="s">
        <v>176</v>
      </c>
      <c r="C63" s="40" t="s">
        <v>133</v>
      </c>
      <c r="D63" s="40"/>
      <c r="E63" s="40" t="s">
        <v>33</v>
      </c>
      <c r="F63" s="71">
        <v>42506</v>
      </c>
      <c r="G63" s="42">
        <v>2594.56</v>
      </c>
      <c r="H63" s="42"/>
      <c r="I63" s="42"/>
      <c r="J63" s="64"/>
      <c r="K63" s="65">
        <f t="shared" si="37"/>
        <v>2594.56</v>
      </c>
      <c r="L63" s="42"/>
      <c r="M63" s="85"/>
      <c r="N63" s="42"/>
      <c r="O63" s="42">
        <v>0</v>
      </c>
      <c r="P63" s="87"/>
      <c r="Q63" s="87"/>
      <c r="R63" s="42"/>
      <c r="S63" s="38"/>
      <c r="T63" s="38"/>
      <c r="U63" s="40"/>
      <c r="V63" s="82">
        <v>0</v>
      </c>
      <c r="W63" s="65">
        <f t="shared" si="38"/>
        <v>2594.56</v>
      </c>
      <c r="X63" s="38">
        <f t="shared" si="51"/>
        <v>259.45600000000002</v>
      </c>
      <c r="Y63" s="65">
        <f t="shared" si="40"/>
        <v>2335.1039999999998</v>
      </c>
      <c r="Z63" s="38">
        <f t="shared" si="41"/>
        <v>0</v>
      </c>
      <c r="AA63" s="38">
        <v>10.23</v>
      </c>
      <c r="AB63" s="38">
        <f t="shared" si="42"/>
        <v>0</v>
      </c>
      <c r="AC63" s="65">
        <f t="shared" si="43"/>
        <v>2604.79</v>
      </c>
      <c r="AD63" s="79"/>
      <c r="AE63" s="79"/>
      <c r="AF63" s="66">
        <f t="shared" si="52"/>
        <v>-2335.1039999999998</v>
      </c>
      <c r="AG63" s="53">
        <v>1179675078</v>
      </c>
      <c r="AH63" s="43"/>
    </row>
    <row r="64" spans="1:34" s="18" customFormat="1">
      <c r="A64" s="40" t="s">
        <v>29</v>
      </c>
      <c r="B64" s="40" t="s">
        <v>203</v>
      </c>
      <c r="C64" s="40"/>
      <c r="D64" s="40"/>
      <c r="E64" s="40" t="s">
        <v>96</v>
      </c>
      <c r="F64" s="71">
        <v>42597</v>
      </c>
      <c r="G64" s="42">
        <v>2030</v>
      </c>
      <c r="H64" s="42"/>
      <c r="I64" s="42"/>
      <c r="J64" s="64"/>
      <c r="K64" s="65">
        <f t="shared" si="37"/>
        <v>2030</v>
      </c>
      <c r="L64" s="42"/>
      <c r="M64" s="85"/>
      <c r="N64" s="42"/>
      <c r="O64" s="42"/>
      <c r="P64" s="87"/>
      <c r="Q64" s="87"/>
      <c r="R64" s="42"/>
      <c r="S64" s="38"/>
      <c r="T64" s="38"/>
      <c r="U64" s="40"/>
      <c r="V64" s="82">
        <v>0</v>
      </c>
      <c r="W64" s="65">
        <f t="shared" si="38"/>
        <v>2030</v>
      </c>
      <c r="X64" s="38">
        <f t="shared" si="51"/>
        <v>0</v>
      </c>
      <c r="Y64" s="65">
        <f t="shared" si="40"/>
        <v>2030</v>
      </c>
      <c r="Z64" s="38"/>
      <c r="AA64" s="38"/>
      <c r="AB64" s="38"/>
      <c r="AC64" s="65"/>
      <c r="AD64" s="79"/>
      <c r="AE64" s="79"/>
      <c r="AF64" s="66"/>
      <c r="AG64" s="53">
        <v>2983558908</v>
      </c>
      <c r="AH64" s="43"/>
    </row>
    <row r="65" spans="1:188" s="18" customFormat="1">
      <c r="A65" s="40" t="s">
        <v>31</v>
      </c>
      <c r="B65" s="40" t="s">
        <v>214</v>
      </c>
      <c r="C65" s="40"/>
      <c r="D65" s="40"/>
      <c r="E65" s="40" t="s">
        <v>33</v>
      </c>
      <c r="F65" s="71">
        <v>42632</v>
      </c>
      <c r="G65" s="42"/>
      <c r="H65" s="42"/>
      <c r="I65" s="42"/>
      <c r="J65" s="64"/>
      <c r="K65" s="65">
        <f t="shared" si="37"/>
        <v>0</v>
      </c>
      <c r="L65" s="42"/>
      <c r="M65" s="85"/>
      <c r="N65" s="42"/>
      <c r="O65" s="42"/>
      <c r="P65" s="87"/>
      <c r="Q65" s="87"/>
      <c r="R65" s="42"/>
      <c r="S65" s="38"/>
      <c r="T65" s="38"/>
      <c r="U65" s="40"/>
      <c r="V65" s="82"/>
      <c r="W65" s="65">
        <f t="shared" ref="W65" si="53">+K65-SUM(L65:V65)</f>
        <v>0</v>
      </c>
      <c r="X65" s="38">
        <f t="shared" ref="X65" si="54">IF(K65&gt;2250,K65*0.1,0)</f>
        <v>0</v>
      </c>
      <c r="Y65" s="65">
        <f t="shared" ref="Y65" si="55">+W65-X65</f>
        <v>0</v>
      </c>
      <c r="Z65" s="38"/>
      <c r="AA65" s="38"/>
      <c r="AB65" s="38"/>
      <c r="AC65" s="65"/>
      <c r="AD65" s="79"/>
      <c r="AE65" s="79"/>
      <c r="AF65" s="66"/>
      <c r="AG65" s="53">
        <v>2856562434</v>
      </c>
      <c r="AH65" s="43"/>
    </row>
    <row r="66" spans="1:188" s="18" customFormat="1">
      <c r="A66" s="40" t="s">
        <v>31</v>
      </c>
      <c r="B66" s="40" t="s">
        <v>43</v>
      </c>
      <c r="C66" s="40" t="s">
        <v>138</v>
      </c>
      <c r="D66" s="40" t="s">
        <v>94</v>
      </c>
      <c r="E66" s="40" t="s">
        <v>33</v>
      </c>
      <c r="F66" s="71">
        <v>42333</v>
      </c>
      <c r="G66" s="42"/>
      <c r="H66" s="42"/>
      <c r="I66" s="42"/>
      <c r="J66" s="64"/>
      <c r="K66" s="65">
        <f t="shared" si="37"/>
        <v>0</v>
      </c>
      <c r="L66" s="42"/>
      <c r="M66" s="85"/>
      <c r="N66" s="42"/>
      <c r="O66" s="42">
        <v>0</v>
      </c>
      <c r="P66" s="87"/>
      <c r="Q66" s="87"/>
      <c r="R66" s="42"/>
      <c r="S66" s="38"/>
      <c r="T66" s="38"/>
      <c r="U66" s="40"/>
      <c r="V66" s="40">
        <v>0</v>
      </c>
      <c r="W66" s="65">
        <f t="shared" si="38"/>
        <v>0</v>
      </c>
      <c r="X66" s="38">
        <f t="shared" si="51"/>
        <v>0</v>
      </c>
      <c r="Y66" s="65">
        <f t="shared" si="40"/>
        <v>0</v>
      </c>
      <c r="Z66" s="38">
        <f>IF(K66&lt;2250,K66*0.1,0)</f>
        <v>0</v>
      </c>
      <c r="AA66" s="38">
        <v>10.23</v>
      </c>
      <c r="AB66" s="38">
        <f>+P66</f>
        <v>0</v>
      </c>
      <c r="AC66" s="65">
        <f>+K66+Z66+AA66+AB66</f>
        <v>10.23</v>
      </c>
      <c r="AD66" s="73"/>
      <c r="AE66" s="80"/>
      <c r="AF66" s="66">
        <f>+AD66+AE66-Y66</f>
        <v>0</v>
      </c>
      <c r="AG66" s="40"/>
      <c r="AH66" s="40"/>
    </row>
    <row r="67" spans="1:188" s="18" customFormat="1">
      <c r="A67" s="29"/>
      <c r="B67" s="30"/>
      <c r="C67" s="30"/>
      <c r="D67" s="30"/>
      <c r="E67" s="30"/>
      <c r="F67" s="30"/>
      <c r="G67" s="31"/>
      <c r="H67" s="31"/>
      <c r="I67" s="31"/>
      <c r="J67" s="31"/>
      <c r="K67" s="32"/>
      <c r="L67" s="31"/>
      <c r="M67" s="31"/>
      <c r="N67" s="31"/>
      <c r="O67" s="31"/>
      <c r="P67" s="31"/>
      <c r="Q67" s="31"/>
      <c r="R67" s="31"/>
      <c r="S67" s="46"/>
      <c r="T67" s="46"/>
      <c r="U67" s="46"/>
      <c r="V67" s="46"/>
      <c r="W67" s="32"/>
      <c r="X67" s="46"/>
      <c r="Y67" s="32"/>
      <c r="Z67" s="46"/>
      <c r="AA67" s="46"/>
      <c r="AB67" s="46"/>
      <c r="AC67" s="32"/>
      <c r="AD67" s="58"/>
      <c r="AE67" s="58"/>
      <c r="AF67" s="26"/>
    </row>
    <row r="68" spans="1:188">
      <c r="B68" s="47" t="s">
        <v>1</v>
      </c>
      <c r="C68" s="47"/>
      <c r="D68" s="47"/>
      <c r="E68" s="47"/>
      <c r="F68" s="47"/>
      <c r="G68" s="48">
        <f>SUM(G7:G67)</f>
        <v>149625.24</v>
      </c>
      <c r="H68" s="48">
        <f t="shared" ref="H68:L68" si="56">SUM(H7:H67)</f>
        <v>0</v>
      </c>
      <c r="I68" s="48">
        <f t="shared" si="56"/>
        <v>0</v>
      </c>
      <c r="J68" s="48">
        <f t="shared" si="56"/>
        <v>0</v>
      </c>
      <c r="K68" s="48">
        <f t="shared" si="56"/>
        <v>149625.24</v>
      </c>
      <c r="L68" s="48">
        <f t="shared" si="56"/>
        <v>0</v>
      </c>
      <c r="M68" s="48"/>
      <c r="N68" s="48"/>
      <c r="O68" s="49">
        <f t="shared" ref="O68:AF68" si="57">SUM(O7:O67)</f>
        <v>1400</v>
      </c>
      <c r="P68" s="49">
        <f t="shared" si="57"/>
        <v>0</v>
      </c>
      <c r="Q68" s="49">
        <f t="shared" si="57"/>
        <v>0</v>
      </c>
      <c r="R68" s="49">
        <f t="shared" si="57"/>
        <v>0</v>
      </c>
      <c r="S68" s="48">
        <f t="shared" si="57"/>
        <v>372.12</v>
      </c>
      <c r="T68" s="48">
        <f t="shared" si="57"/>
        <v>0</v>
      </c>
      <c r="U68" s="48">
        <f t="shared" si="57"/>
        <v>0</v>
      </c>
      <c r="V68" s="48">
        <f t="shared" si="57"/>
        <v>10597.31</v>
      </c>
      <c r="W68" s="48">
        <f t="shared" si="57"/>
        <v>137255.81</v>
      </c>
      <c r="X68" s="48">
        <f t="shared" si="57"/>
        <v>12777.426999999998</v>
      </c>
      <c r="Y68" s="48">
        <f t="shared" si="57"/>
        <v>124478.38299999999</v>
      </c>
      <c r="Z68" s="48">
        <f t="shared" si="57"/>
        <v>1934.0970000000002</v>
      </c>
      <c r="AA68" s="48">
        <f t="shared" si="57"/>
        <v>567.27000000000044</v>
      </c>
      <c r="AB68" s="48">
        <f t="shared" si="57"/>
        <v>0</v>
      </c>
      <c r="AC68" s="48">
        <f t="shared" si="57"/>
        <v>130816.26699999998</v>
      </c>
      <c r="AD68" s="59">
        <f t="shared" si="57"/>
        <v>0</v>
      </c>
      <c r="AE68" s="59">
        <f t="shared" si="57"/>
        <v>0</v>
      </c>
      <c r="AF68" s="50">
        <f t="shared" si="57"/>
        <v>-87104.588999999993</v>
      </c>
      <c r="AG68" s="33"/>
      <c r="AH68" s="33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</row>
    <row r="69" spans="1:188">
      <c r="AC69" s="14">
        <f>AC68*0.16</f>
        <v>20930.602719999995</v>
      </c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</row>
    <row r="70" spans="1:188">
      <c r="A70" s="111" t="s">
        <v>152</v>
      </c>
      <c r="B70" s="111"/>
      <c r="C70" s="51"/>
      <c r="D70" s="33"/>
      <c r="E70" s="33"/>
      <c r="F70" s="33"/>
      <c r="G70" s="35"/>
      <c r="H70" s="35"/>
      <c r="I70" s="35"/>
      <c r="J70" s="35"/>
      <c r="K70" s="48"/>
      <c r="L70" s="35"/>
      <c r="M70" s="35"/>
      <c r="N70" s="35"/>
      <c r="O70" s="42"/>
      <c r="P70" s="42"/>
      <c r="Q70" s="42"/>
      <c r="R70" s="42"/>
      <c r="S70" s="35"/>
      <c r="T70" s="35"/>
      <c r="U70" s="35"/>
      <c r="V70" s="35"/>
      <c r="W70" s="48"/>
      <c r="X70" s="35"/>
      <c r="Y70" s="48"/>
      <c r="Z70" s="35"/>
      <c r="AA70" s="35"/>
      <c r="AB70" s="35"/>
      <c r="AC70" s="48">
        <f>+AC68+AC69</f>
        <v>151746.86971999996</v>
      </c>
      <c r="AD70" s="59"/>
      <c r="AE70" s="59"/>
      <c r="AF70" s="50"/>
      <c r="AG70" s="33"/>
      <c r="AH70" s="33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</row>
    <row r="71" spans="1:188">
      <c r="A71" s="40" t="s">
        <v>47</v>
      </c>
      <c r="B71" s="40" t="s">
        <v>153</v>
      </c>
      <c r="C71" s="34"/>
      <c r="D71" s="34"/>
      <c r="E71" s="34" t="s">
        <v>198</v>
      </c>
      <c r="F71" s="72">
        <v>41142</v>
      </c>
      <c r="G71" s="42">
        <f>1374.892+5.571</f>
        <v>1380.463</v>
      </c>
      <c r="H71" s="36"/>
      <c r="I71" s="36"/>
      <c r="J71" s="36"/>
      <c r="K71" s="65">
        <f>SUM(G71:J71)</f>
        <v>1380.463</v>
      </c>
      <c r="L71" s="42"/>
      <c r="M71" s="85"/>
      <c r="N71" s="42"/>
      <c r="O71" s="42"/>
      <c r="P71" s="87" t="s">
        <v>207</v>
      </c>
      <c r="Q71" s="87" t="s">
        <v>207</v>
      </c>
      <c r="R71" s="42"/>
      <c r="S71" s="38"/>
      <c r="T71" s="38"/>
      <c r="U71" s="40"/>
      <c r="V71" s="40"/>
      <c r="W71" s="65">
        <f>+K71-SUM(L71:V71)</f>
        <v>1380.463</v>
      </c>
      <c r="X71" s="38">
        <f>+W71*0.05</f>
        <v>69.023150000000001</v>
      </c>
      <c r="Y71" s="65">
        <f>+W71-S71-V71</f>
        <v>1380.463</v>
      </c>
      <c r="Z71" s="78">
        <f>IF(W71&lt;3000,W71*0.1,0)</f>
        <v>138.0463</v>
      </c>
      <c r="AA71" s="78">
        <v>0</v>
      </c>
      <c r="AB71" s="78"/>
      <c r="AC71" s="77">
        <f>+W71+Z71+AA71</f>
        <v>1518.5092999999999</v>
      </c>
      <c r="AD71" s="60"/>
      <c r="AE71" s="60"/>
      <c r="AF71" s="52"/>
      <c r="AG71" s="33"/>
      <c r="AH71" s="33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</row>
    <row r="72" spans="1:188">
      <c r="A72" s="33" t="s">
        <v>31</v>
      </c>
      <c r="B72" s="40" t="s">
        <v>155</v>
      </c>
      <c r="C72" s="33"/>
      <c r="D72" s="33"/>
      <c r="E72" s="33" t="s">
        <v>97</v>
      </c>
      <c r="F72" s="84">
        <v>40813</v>
      </c>
      <c r="G72" s="95"/>
      <c r="H72" s="35"/>
      <c r="I72" s="35"/>
      <c r="J72" s="35"/>
      <c r="K72" s="65">
        <f>SUM(G72:J72)</f>
        <v>0</v>
      </c>
      <c r="L72" s="42"/>
      <c r="M72" s="85"/>
      <c r="N72" s="42"/>
      <c r="O72" s="42"/>
      <c r="P72" s="87"/>
      <c r="Q72" s="87"/>
      <c r="R72" s="42"/>
      <c r="S72" s="38"/>
      <c r="T72" s="38"/>
      <c r="U72" s="40"/>
      <c r="V72" s="40"/>
      <c r="W72" s="65">
        <f t="shared" ref="W72" si="58">+K72-SUM(L72:V72)</f>
        <v>0</v>
      </c>
      <c r="X72" s="38">
        <f t="shared" ref="X72" si="59">+W72*0.05</f>
        <v>0</v>
      </c>
      <c r="Y72" s="65">
        <f t="shared" ref="Y72" si="60">+W72-S72-V72</f>
        <v>0</v>
      </c>
      <c r="Z72" s="78">
        <f t="shared" ref="Z72" si="61">IF(W72&lt;3000,W72*0.1,0)</f>
        <v>0</v>
      </c>
      <c r="AA72" s="78"/>
      <c r="AB72" s="78"/>
      <c r="AC72" s="77">
        <f t="shared" ref="AC72" si="62">+W72+Z72+AA72</f>
        <v>0</v>
      </c>
      <c r="AD72" s="59"/>
      <c r="AE72" s="59"/>
      <c r="AF72" s="50"/>
      <c r="AG72" s="33"/>
      <c r="AH72" s="40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</row>
    <row r="73" spans="1:188">
      <c r="A73" s="96" t="s">
        <v>44</v>
      </c>
      <c r="B73" s="96" t="s">
        <v>201</v>
      </c>
      <c r="C73" s="96"/>
      <c r="D73" s="96"/>
      <c r="E73" s="96" t="s">
        <v>97</v>
      </c>
      <c r="F73" s="97">
        <v>34275</v>
      </c>
      <c r="G73" s="54"/>
      <c r="H73" s="54"/>
      <c r="I73" s="54"/>
      <c r="J73" s="35"/>
      <c r="K73" s="65">
        <f>SUM(G73:J73)</f>
        <v>0</v>
      </c>
      <c r="L73" s="42"/>
      <c r="M73" s="85"/>
      <c r="N73" s="42"/>
      <c r="O73" s="42"/>
      <c r="P73" s="87"/>
      <c r="Q73" s="87"/>
      <c r="R73" s="42"/>
      <c r="S73" s="38"/>
      <c r="T73" s="38"/>
      <c r="U73" s="40"/>
      <c r="V73" s="40"/>
      <c r="W73" s="65">
        <f t="shared" ref="W73" si="63">+K73-SUM(L73:V73)</f>
        <v>0</v>
      </c>
      <c r="X73" s="38">
        <f t="shared" ref="X73" si="64">+W73*0.05</f>
        <v>0</v>
      </c>
      <c r="Y73" s="65">
        <f t="shared" ref="Y73" si="65">+W73-S73-V73</f>
        <v>0</v>
      </c>
      <c r="Z73" s="78"/>
      <c r="AA73" s="78"/>
      <c r="AB73" s="78"/>
      <c r="AC73" s="77"/>
      <c r="AD73" s="59"/>
      <c r="AE73" s="59"/>
      <c r="AF73" s="50"/>
      <c r="AG73" s="33"/>
      <c r="AH73" s="98" t="s">
        <v>219</v>
      </c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</row>
    <row r="74" spans="1:188" s="18" customFormat="1">
      <c r="A74" s="40" t="s">
        <v>47</v>
      </c>
      <c r="B74" s="40" t="s">
        <v>107</v>
      </c>
      <c r="C74" s="40"/>
      <c r="D74" s="40" t="s">
        <v>66</v>
      </c>
      <c r="E74" s="40" t="s">
        <v>198</v>
      </c>
      <c r="F74" s="71">
        <v>41381</v>
      </c>
      <c r="G74" s="42">
        <f>5349.381+2.599</f>
        <v>5351.9800000000005</v>
      </c>
      <c r="H74" s="42"/>
      <c r="I74" s="42"/>
      <c r="J74" s="64"/>
      <c r="K74" s="65">
        <f t="shared" ref="K74:K107" si="66">SUM(G74:I74)-J74</f>
        <v>5351.9800000000005</v>
      </c>
      <c r="L74" s="42"/>
      <c r="M74" s="85"/>
      <c r="N74" s="42"/>
      <c r="O74" s="42">
        <v>0</v>
      </c>
      <c r="P74" s="87" t="s">
        <v>207</v>
      </c>
      <c r="Q74" s="87" t="s">
        <v>207</v>
      </c>
      <c r="R74" s="42"/>
      <c r="S74" s="38"/>
      <c r="T74" s="38"/>
      <c r="U74" s="40"/>
      <c r="V74" s="40">
        <v>0</v>
      </c>
      <c r="W74" s="65">
        <f t="shared" ref="W74:W81" si="67">+K74-SUM(L74:V74)</f>
        <v>5351.9800000000005</v>
      </c>
      <c r="X74" s="38">
        <f t="shared" ref="X74:X81" si="68">IF(K74&gt;2250,K74*0.1,0)</f>
        <v>535.19800000000009</v>
      </c>
      <c r="Y74" s="65">
        <f t="shared" ref="Y74:Y81" si="69">+W74-X74</f>
        <v>4816.7820000000002</v>
      </c>
      <c r="Z74" s="38">
        <f t="shared" ref="Z74:Z81" si="70">IF(K74&lt;2250,K74*0.1,0)</f>
        <v>0</v>
      </c>
      <c r="AA74" s="38">
        <v>10.23</v>
      </c>
      <c r="AB74" s="38" t="str">
        <f t="shared" ref="AB74:AB81" si="71">+P74</f>
        <v>X</v>
      </c>
      <c r="AC74" s="65" t="e">
        <f t="shared" ref="AC74:AC81" si="72">+K74+Z74+AA74+AB74</f>
        <v>#VALUE!</v>
      </c>
      <c r="AD74" s="73"/>
      <c r="AE74" s="74"/>
      <c r="AF74" s="66">
        <f t="shared" ref="AF74:AF77" si="73">+AD74+AE74-Y74</f>
        <v>-4816.7820000000002</v>
      </c>
      <c r="AG74" s="40"/>
      <c r="AH74" s="40"/>
    </row>
    <row r="75" spans="1:188" s="18" customFormat="1">
      <c r="A75" s="40" t="s">
        <v>47</v>
      </c>
      <c r="B75" s="40" t="s">
        <v>169</v>
      </c>
      <c r="C75" s="40"/>
      <c r="D75" s="40" t="s">
        <v>67</v>
      </c>
      <c r="E75" s="40" t="s">
        <v>198</v>
      </c>
      <c r="F75" s="71">
        <v>41740</v>
      </c>
      <c r="G75" s="42">
        <f>1957.503+5.571</f>
        <v>1963.0739999999998</v>
      </c>
      <c r="H75" s="42"/>
      <c r="I75" s="42"/>
      <c r="J75" s="64"/>
      <c r="K75" s="65">
        <f t="shared" si="66"/>
        <v>1963.0739999999998</v>
      </c>
      <c r="L75" s="42"/>
      <c r="M75" s="85"/>
      <c r="N75" s="42"/>
      <c r="O75" s="42">
        <v>300</v>
      </c>
      <c r="P75" s="87" t="s">
        <v>207</v>
      </c>
      <c r="Q75" s="87" t="s">
        <v>207</v>
      </c>
      <c r="R75" s="42"/>
      <c r="S75" s="38"/>
      <c r="T75" s="38"/>
      <c r="U75" s="40"/>
      <c r="V75" s="40">
        <v>0</v>
      </c>
      <c r="W75" s="65">
        <f t="shared" si="67"/>
        <v>1663.0739999999998</v>
      </c>
      <c r="X75" s="38">
        <f t="shared" si="68"/>
        <v>0</v>
      </c>
      <c r="Y75" s="65">
        <f t="shared" si="69"/>
        <v>1663.0739999999998</v>
      </c>
      <c r="Z75" s="38">
        <f t="shared" si="70"/>
        <v>196.3074</v>
      </c>
      <c r="AA75" s="38">
        <v>10.23</v>
      </c>
      <c r="AB75" s="38" t="str">
        <f t="shared" si="71"/>
        <v>X</v>
      </c>
      <c r="AC75" s="65" t="e">
        <f t="shared" si="72"/>
        <v>#VALUE!</v>
      </c>
      <c r="AD75" s="73"/>
      <c r="AE75" s="74"/>
      <c r="AF75" s="66">
        <f t="shared" si="73"/>
        <v>-1663.0739999999998</v>
      </c>
      <c r="AG75" s="40"/>
      <c r="AH75" s="43"/>
    </row>
    <row r="76" spans="1:188" s="18" customFormat="1">
      <c r="A76" s="40" t="s">
        <v>47</v>
      </c>
      <c r="B76" s="40" t="s">
        <v>108</v>
      </c>
      <c r="C76" s="40"/>
      <c r="D76" s="40" t="s">
        <v>68</v>
      </c>
      <c r="E76" s="40" t="s">
        <v>99</v>
      </c>
      <c r="F76" s="71">
        <v>41227</v>
      </c>
      <c r="G76" s="42">
        <f>6247.8+7.428</f>
        <v>6255.2280000000001</v>
      </c>
      <c r="H76" s="42"/>
      <c r="I76" s="42"/>
      <c r="J76" s="64"/>
      <c r="K76" s="65">
        <f t="shared" si="66"/>
        <v>6255.2280000000001</v>
      </c>
      <c r="L76" s="42"/>
      <c r="M76" s="85"/>
      <c r="N76" s="42"/>
      <c r="O76" s="42">
        <v>700</v>
      </c>
      <c r="P76" s="87" t="s">
        <v>207</v>
      </c>
      <c r="Q76" s="87" t="s">
        <v>207</v>
      </c>
      <c r="R76" s="42"/>
      <c r="S76" s="38"/>
      <c r="T76" s="38"/>
      <c r="U76" s="40"/>
      <c r="V76" s="40">
        <v>0</v>
      </c>
      <c r="W76" s="65">
        <f t="shared" si="67"/>
        <v>5555.2280000000001</v>
      </c>
      <c r="X76" s="38">
        <f t="shared" si="68"/>
        <v>625.52280000000007</v>
      </c>
      <c r="Y76" s="65">
        <f t="shared" si="69"/>
        <v>4929.7052000000003</v>
      </c>
      <c r="Z76" s="38">
        <f t="shared" si="70"/>
        <v>0</v>
      </c>
      <c r="AA76" s="38">
        <v>10.23</v>
      </c>
      <c r="AB76" s="38" t="str">
        <f t="shared" si="71"/>
        <v>X</v>
      </c>
      <c r="AC76" s="65" t="e">
        <f t="shared" si="72"/>
        <v>#VALUE!</v>
      </c>
      <c r="AD76" s="73"/>
      <c r="AE76" s="73"/>
      <c r="AF76" s="66">
        <f t="shared" si="73"/>
        <v>-4929.7052000000003</v>
      </c>
      <c r="AG76" s="40"/>
      <c r="AH76" s="43"/>
    </row>
    <row r="77" spans="1:188" s="18" customFormat="1">
      <c r="A77" s="40" t="s">
        <v>47</v>
      </c>
      <c r="B77" s="40" t="s">
        <v>147</v>
      </c>
      <c r="C77" s="40"/>
      <c r="D77" s="40" t="s">
        <v>69</v>
      </c>
      <c r="E77" s="40" t="s">
        <v>194</v>
      </c>
      <c r="F77" s="71">
        <v>42242</v>
      </c>
      <c r="G77" s="42">
        <f>879.578+2.599</f>
        <v>882.17700000000002</v>
      </c>
      <c r="H77" s="42"/>
      <c r="I77" s="42"/>
      <c r="J77" s="64"/>
      <c r="K77" s="65">
        <f t="shared" si="66"/>
        <v>882.17700000000002</v>
      </c>
      <c r="L77" s="42"/>
      <c r="M77" s="85"/>
      <c r="N77" s="42"/>
      <c r="O77" s="42">
        <v>0</v>
      </c>
      <c r="P77" s="87" t="s">
        <v>207</v>
      </c>
      <c r="Q77" s="87" t="s">
        <v>207</v>
      </c>
      <c r="R77" s="42"/>
      <c r="S77" s="38"/>
      <c r="T77" s="38"/>
      <c r="U77" s="40"/>
      <c r="V77" s="40">
        <v>0</v>
      </c>
      <c r="W77" s="65">
        <f t="shared" si="67"/>
        <v>882.17700000000002</v>
      </c>
      <c r="X77" s="38">
        <f t="shared" si="68"/>
        <v>0</v>
      </c>
      <c r="Y77" s="65">
        <f t="shared" si="69"/>
        <v>882.17700000000002</v>
      </c>
      <c r="Z77" s="38">
        <f t="shared" si="70"/>
        <v>88.217700000000008</v>
      </c>
      <c r="AA77" s="38">
        <v>10.23</v>
      </c>
      <c r="AB77" s="38" t="str">
        <f t="shared" si="71"/>
        <v>X</v>
      </c>
      <c r="AC77" s="65" t="e">
        <f t="shared" si="72"/>
        <v>#VALUE!</v>
      </c>
      <c r="AD77" s="73"/>
      <c r="AE77" s="74"/>
      <c r="AF77" s="66">
        <f t="shared" si="73"/>
        <v>-882.17700000000002</v>
      </c>
      <c r="AG77" s="40"/>
      <c r="AH77" s="40"/>
    </row>
    <row r="78" spans="1:188" s="18" customFormat="1">
      <c r="A78" s="40" t="s">
        <v>45</v>
      </c>
      <c r="B78" s="40" t="s">
        <v>190</v>
      </c>
      <c r="C78" s="40"/>
      <c r="D78" s="40"/>
      <c r="E78" s="40" t="s">
        <v>95</v>
      </c>
      <c r="F78" s="71">
        <v>42571</v>
      </c>
      <c r="G78" s="42">
        <f>388.218+2.972</f>
        <v>391.19</v>
      </c>
      <c r="H78" s="42"/>
      <c r="I78" s="42"/>
      <c r="J78" s="64"/>
      <c r="K78" s="65">
        <f t="shared" si="66"/>
        <v>391.19</v>
      </c>
      <c r="L78" s="42"/>
      <c r="M78" s="85"/>
      <c r="N78" s="42"/>
      <c r="O78" s="42">
        <v>0</v>
      </c>
      <c r="P78" s="87"/>
      <c r="Q78" s="87"/>
      <c r="R78" s="42"/>
      <c r="S78" s="38"/>
      <c r="T78" s="38"/>
      <c r="U78" s="40"/>
      <c r="V78" s="40">
        <v>0</v>
      </c>
      <c r="W78" s="65">
        <f t="shared" si="67"/>
        <v>391.19</v>
      </c>
      <c r="X78" s="38">
        <f t="shared" si="68"/>
        <v>0</v>
      </c>
      <c r="Y78" s="65">
        <f t="shared" si="69"/>
        <v>391.19</v>
      </c>
      <c r="Z78" s="38">
        <f t="shared" si="70"/>
        <v>39.119</v>
      </c>
      <c r="AA78" s="38">
        <v>10.23</v>
      </c>
      <c r="AB78" s="38">
        <f t="shared" si="71"/>
        <v>0</v>
      </c>
      <c r="AC78" s="65">
        <f t="shared" si="72"/>
        <v>440.53899999999999</v>
      </c>
      <c r="AD78" s="73"/>
      <c r="AE78" s="74"/>
      <c r="AF78" s="66"/>
      <c r="AG78" s="40">
        <v>1158901600</v>
      </c>
      <c r="AH78" s="43"/>
    </row>
    <row r="79" spans="1:188" s="18" customFormat="1">
      <c r="A79" s="40" t="s">
        <v>45</v>
      </c>
      <c r="B79" s="40" t="s">
        <v>164</v>
      </c>
      <c r="C79" s="40"/>
      <c r="D79" s="40" t="s">
        <v>59</v>
      </c>
      <c r="E79" s="40" t="s">
        <v>194</v>
      </c>
      <c r="F79" s="71">
        <v>42338</v>
      </c>
      <c r="G79" s="42">
        <f>1119.264+5.571</f>
        <v>1124.8349999999998</v>
      </c>
      <c r="H79" s="42"/>
      <c r="I79" s="42"/>
      <c r="J79" s="64"/>
      <c r="K79" s="65">
        <f t="shared" si="66"/>
        <v>1124.8349999999998</v>
      </c>
      <c r="L79" s="42"/>
      <c r="M79" s="85"/>
      <c r="N79" s="42"/>
      <c r="O79" s="42">
        <v>0</v>
      </c>
      <c r="P79" s="87"/>
      <c r="Q79" s="87"/>
      <c r="R79" s="42"/>
      <c r="S79" s="38"/>
      <c r="T79" s="38"/>
      <c r="U79" s="40"/>
      <c r="V79" s="40">
        <v>0</v>
      </c>
      <c r="W79" s="65">
        <f t="shared" si="67"/>
        <v>1124.8349999999998</v>
      </c>
      <c r="X79" s="38">
        <f t="shared" si="68"/>
        <v>0</v>
      </c>
      <c r="Y79" s="65">
        <f t="shared" si="69"/>
        <v>1124.8349999999998</v>
      </c>
      <c r="Z79" s="38">
        <f t="shared" si="70"/>
        <v>112.48349999999999</v>
      </c>
      <c r="AA79" s="38">
        <v>10.23</v>
      </c>
      <c r="AB79" s="38">
        <f t="shared" si="71"/>
        <v>0</v>
      </c>
      <c r="AC79" s="65">
        <f t="shared" si="72"/>
        <v>1247.5484999999999</v>
      </c>
      <c r="AD79" s="73"/>
      <c r="AE79" s="74"/>
      <c r="AF79" s="66">
        <f>+AD79+AE79-Y79</f>
        <v>-1124.8349999999998</v>
      </c>
      <c r="AG79" s="40"/>
      <c r="AH79" s="43"/>
    </row>
    <row r="80" spans="1:188" s="18" customFormat="1">
      <c r="A80" s="40" t="s">
        <v>47</v>
      </c>
      <c r="B80" s="40" t="s">
        <v>174</v>
      </c>
      <c r="C80" s="40"/>
      <c r="D80" s="40" t="s">
        <v>70</v>
      </c>
      <c r="E80" s="40" t="s">
        <v>198</v>
      </c>
      <c r="F80" s="71">
        <v>41227</v>
      </c>
      <c r="G80" s="42">
        <f>1190.66+3.736</f>
        <v>1194.3960000000002</v>
      </c>
      <c r="H80" s="42"/>
      <c r="I80" s="42"/>
      <c r="J80" s="64"/>
      <c r="K80" s="65">
        <f t="shared" si="66"/>
        <v>1194.3960000000002</v>
      </c>
      <c r="L80" s="42"/>
      <c r="M80" s="85"/>
      <c r="N80" s="42"/>
      <c r="O80" s="42">
        <v>500</v>
      </c>
      <c r="P80" s="87" t="s">
        <v>207</v>
      </c>
      <c r="Q80" s="87" t="s">
        <v>207</v>
      </c>
      <c r="R80" s="42"/>
      <c r="S80" s="38"/>
      <c r="T80" s="38"/>
      <c r="U80" s="40"/>
      <c r="V80" s="40">
        <v>0</v>
      </c>
      <c r="W80" s="65">
        <f t="shared" si="67"/>
        <v>694.39600000000019</v>
      </c>
      <c r="X80" s="38">
        <f t="shared" si="68"/>
        <v>0</v>
      </c>
      <c r="Y80" s="65">
        <f t="shared" si="69"/>
        <v>694.39600000000019</v>
      </c>
      <c r="Z80" s="38">
        <f t="shared" si="70"/>
        <v>119.43960000000003</v>
      </c>
      <c r="AA80" s="38">
        <v>10.23</v>
      </c>
      <c r="AB80" s="38" t="str">
        <f t="shared" si="71"/>
        <v>X</v>
      </c>
      <c r="AC80" s="65" t="e">
        <f t="shared" si="72"/>
        <v>#VALUE!</v>
      </c>
      <c r="AD80" s="73"/>
      <c r="AE80" s="73"/>
      <c r="AF80" s="66">
        <f>+AD80+AE80-Y80</f>
        <v>-694.39600000000019</v>
      </c>
      <c r="AG80" s="40"/>
      <c r="AH80" s="43"/>
    </row>
    <row r="81" spans="1:34" s="18" customFormat="1">
      <c r="A81" s="40" t="s">
        <v>47</v>
      </c>
      <c r="B81" s="40" t="s">
        <v>124</v>
      </c>
      <c r="C81" s="40"/>
      <c r="D81" s="40" t="s">
        <v>71</v>
      </c>
      <c r="E81" s="40" t="s">
        <v>198</v>
      </c>
      <c r="F81" s="71">
        <v>41227</v>
      </c>
      <c r="G81" s="42">
        <f>4038.642+2.972</f>
        <v>4041.614</v>
      </c>
      <c r="H81" s="42"/>
      <c r="I81" s="42"/>
      <c r="J81" s="64"/>
      <c r="K81" s="65">
        <f t="shared" si="66"/>
        <v>4041.614</v>
      </c>
      <c r="L81" s="42"/>
      <c r="M81" s="85"/>
      <c r="N81" s="42"/>
      <c r="O81" s="42">
        <v>0</v>
      </c>
      <c r="P81" s="87" t="s">
        <v>207</v>
      </c>
      <c r="Q81" s="87" t="s">
        <v>207</v>
      </c>
      <c r="R81" s="42"/>
      <c r="S81" s="38"/>
      <c r="T81" s="38"/>
      <c r="U81" s="67"/>
      <c r="V81" s="40">
        <v>0</v>
      </c>
      <c r="W81" s="65">
        <f t="shared" si="67"/>
        <v>4041.614</v>
      </c>
      <c r="X81" s="38">
        <f t="shared" si="68"/>
        <v>404.16140000000001</v>
      </c>
      <c r="Y81" s="65">
        <f t="shared" si="69"/>
        <v>3637.4526000000001</v>
      </c>
      <c r="Z81" s="38">
        <f t="shared" si="70"/>
        <v>0</v>
      </c>
      <c r="AA81" s="38">
        <v>10.23</v>
      </c>
      <c r="AB81" s="38" t="str">
        <f t="shared" si="71"/>
        <v>X</v>
      </c>
      <c r="AC81" s="65" t="e">
        <f t="shared" si="72"/>
        <v>#VALUE!</v>
      </c>
      <c r="AD81" s="73"/>
      <c r="AE81" s="74"/>
      <c r="AF81" s="66">
        <f>+AD81+AE81-Y81</f>
        <v>-3637.4526000000001</v>
      </c>
      <c r="AG81" s="40"/>
      <c r="AH81" s="43"/>
    </row>
    <row r="82" spans="1:34" s="18" customFormat="1">
      <c r="A82" s="40" t="s">
        <v>45</v>
      </c>
      <c r="B82" s="40" t="s">
        <v>205</v>
      </c>
      <c r="C82" s="40"/>
      <c r="D82" s="40"/>
      <c r="E82" s="40" t="s">
        <v>194</v>
      </c>
      <c r="F82" s="71">
        <v>42604</v>
      </c>
      <c r="G82" s="42">
        <v>315.46899999999999</v>
      </c>
      <c r="H82" s="42"/>
      <c r="I82" s="42"/>
      <c r="J82" s="64"/>
      <c r="K82" s="65">
        <f t="shared" si="66"/>
        <v>315.46899999999999</v>
      </c>
      <c r="L82" s="42"/>
      <c r="M82" s="85"/>
      <c r="N82" s="42"/>
      <c r="O82" s="42"/>
      <c r="P82" s="87"/>
      <c r="Q82" s="87"/>
      <c r="R82" s="42"/>
      <c r="S82" s="38"/>
      <c r="T82" s="38"/>
      <c r="U82" s="40"/>
      <c r="V82" s="40"/>
      <c r="W82" s="65">
        <f t="shared" ref="W82" si="74">+K82-SUM(L82:V82)</f>
        <v>315.46899999999999</v>
      </c>
      <c r="X82" s="38">
        <f t="shared" ref="X82" si="75">IF(K82&gt;2250,K82*0.1,0)</f>
        <v>0</v>
      </c>
      <c r="Y82" s="65">
        <f t="shared" ref="Y82" si="76">+W82-X82</f>
        <v>315.46899999999999</v>
      </c>
      <c r="Z82" s="38"/>
      <c r="AA82" s="38"/>
      <c r="AB82" s="38"/>
      <c r="AC82" s="65"/>
      <c r="AD82" s="73"/>
      <c r="AE82" s="74"/>
      <c r="AF82" s="66"/>
      <c r="AG82" s="40">
        <v>1258728658</v>
      </c>
      <c r="AH82" s="43"/>
    </row>
    <row r="83" spans="1:34" s="18" customFormat="1">
      <c r="A83" s="40" t="s">
        <v>45</v>
      </c>
      <c r="B83" s="40" t="s">
        <v>125</v>
      </c>
      <c r="C83" s="40"/>
      <c r="D83" s="40" t="s">
        <v>50</v>
      </c>
      <c r="E83" s="40" t="s">
        <v>95</v>
      </c>
      <c r="F83" s="71">
        <v>42319</v>
      </c>
      <c r="G83" s="42">
        <f>1472.238+7.428</f>
        <v>1479.6660000000002</v>
      </c>
      <c r="H83" s="42"/>
      <c r="I83" s="42"/>
      <c r="J83" s="64"/>
      <c r="K83" s="65">
        <f t="shared" si="66"/>
        <v>1479.6660000000002</v>
      </c>
      <c r="L83" s="42"/>
      <c r="M83" s="85"/>
      <c r="N83" s="42"/>
      <c r="O83" s="42">
        <v>0</v>
      </c>
      <c r="P83" s="87"/>
      <c r="Q83" s="87"/>
      <c r="R83" s="42"/>
      <c r="S83" s="38"/>
      <c r="T83" s="38"/>
      <c r="U83" s="40"/>
      <c r="V83" s="40">
        <v>0</v>
      </c>
      <c r="W83" s="65">
        <f t="shared" ref="W83:W104" si="77">+K83-SUM(L83:V83)</f>
        <v>1479.6660000000002</v>
      </c>
      <c r="X83" s="38">
        <f t="shared" ref="X83:X104" si="78">IF(K83&gt;2250,K83*0.1,0)</f>
        <v>0</v>
      </c>
      <c r="Y83" s="65">
        <f t="shared" ref="Y83:Y104" si="79">+W83-X83</f>
        <v>1479.6660000000002</v>
      </c>
      <c r="Z83" s="38">
        <f t="shared" ref="Z83:Z104" si="80">IF(K83&lt;2250,K83*0.1,0)</f>
        <v>147.96660000000003</v>
      </c>
      <c r="AA83" s="38">
        <v>19.23</v>
      </c>
      <c r="AB83" s="38">
        <f t="shared" ref="AB83:AB104" si="81">+P83</f>
        <v>0</v>
      </c>
      <c r="AC83" s="65">
        <f t="shared" ref="AC83:AC104" si="82">+K83+Z83+AA83+AB83</f>
        <v>1646.8626000000002</v>
      </c>
      <c r="AD83" s="73"/>
      <c r="AE83" s="74"/>
      <c r="AF83" s="66">
        <f>+AD83+AE83-Y83</f>
        <v>-1479.6660000000002</v>
      </c>
      <c r="AG83" s="40"/>
      <c r="AH83" s="43"/>
    </row>
    <row r="84" spans="1:34" s="18" customFormat="1">
      <c r="A84" s="40" t="s">
        <v>45</v>
      </c>
      <c r="B84" s="40" t="s">
        <v>216</v>
      </c>
      <c r="C84" s="40"/>
      <c r="D84" s="40"/>
      <c r="E84" s="40" t="s">
        <v>95</v>
      </c>
      <c r="F84" s="71">
        <v>42635</v>
      </c>
      <c r="G84" s="42">
        <f>1467.966+7.428</f>
        <v>1475.394</v>
      </c>
      <c r="H84" s="42"/>
      <c r="I84" s="42"/>
      <c r="J84" s="64"/>
      <c r="K84" s="65">
        <f t="shared" si="66"/>
        <v>1475.394</v>
      </c>
      <c r="L84" s="42"/>
      <c r="M84" s="85"/>
      <c r="N84" s="42"/>
      <c r="O84" s="42">
        <v>0</v>
      </c>
      <c r="P84" s="87"/>
      <c r="Q84" s="87"/>
      <c r="R84" s="42"/>
      <c r="S84" s="38"/>
      <c r="T84" s="38"/>
      <c r="U84" s="40"/>
      <c r="V84" s="40">
        <v>0</v>
      </c>
      <c r="W84" s="65">
        <f t="shared" ref="W84" si="83">+K84-SUM(L84:V84)</f>
        <v>1475.394</v>
      </c>
      <c r="X84" s="38">
        <f t="shared" ref="X84" si="84">IF(K84&gt;2250,K84*0.1,0)</f>
        <v>0</v>
      </c>
      <c r="Y84" s="65">
        <f t="shared" ref="Y84" si="85">+W84-X84</f>
        <v>1475.394</v>
      </c>
      <c r="Z84" s="38"/>
      <c r="AA84" s="38"/>
      <c r="AB84" s="38"/>
      <c r="AC84" s="65"/>
      <c r="AD84" s="73"/>
      <c r="AE84" s="74"/>
      <c r="AF84" s="66"/>
      <c r="AG84" s="40">
        <v>2676585558</v>
      </c>
      <c r="AH84" s="43"/>
    </row>
    <row r="85" spans="1:34" s="18" customFormat="1">
      <c r="A85" s="40" t="s">
        <v>47</v>
      </c>
      <c r="B85" s="40" t="s">
        <v>103</v>
      </c>
      <c r="C85" s="40"/>
      <c r="D85" s="40" t="s">
        <v>72</v>
      </c>
      <c r="E85" s="40" t="s">
        <v>194</v>
      </c>
      <c r="F85" s="71">
        <v>41981</v>
      </c>
      <c r="G85" s="42">
        <v>364.04599999999999</v>
      </c>
      <c r="H85" s="42"/>
      <c r="I85" s="42"/>
      <c r="J85" s="64"/>
      <c r="K85" s="65">
        <f t="shared" si="66"/>
        <v>364.04599999999999</v>
      </c>
      <c r="L85" s="42"/>
      <c r="M85" s="85"/>
      <c r="N85" s="42"/>
      <c r="O85" s="42">
        <v>100</v>
      </c>
      <c r="P85" s="87" t="s">
        <v>207</v>
      </c>
      <c r="Q85" s="87" t="s">
        <v>207</v>
      </c>
      <c r="R85" s="42"/>
      <c r="S85" s="38"/>
      <c r="T85" s="38"/>
      <c r="U85" s="40"/>
      <c r="V85" s="40">
        <v>0</v>
      </c>
      <c r="W85" s="65">
        <f t="shared" si="77"/>
        <v>264.04599999999999</v>
      </c>
      <c r="X85" s="38">
        <f t="shared" si="78"/>
        <v>0</v>
      </c>
      <c r="Y85" s="65">
        <f t="shared" si="79"/>
        <v>264.04599999999999</v>
      </c>
      <c r="Z85" s="38">
        <f t="shared" si="80"/>
        <v>36.404600000000002</v>
      </c>
      <c r="AA85" s="38">
        <v>10.23</v>
      </c>
      <c r="AB85" s="38" t="str">
        <f t="shared" si="81"/>
        <v>X</v>
      </c>
      <c r="AC85" s="65" t="e">
        <f t="shared" si="82"/>
        <v>#VALUE!</v>
      </c>
      <c r="AD85" s="73"/>
      <c r="AE85" s="73"/>
      <c r="AF85" s="66">
        <f t="shared" ref="AF85:AF104" si="86">+AD85+AE85-Y85</f>
        <v>-264.04599999999999</v>
      </c>
      <c r="AG85" s="40"/>
      <c r="AH85" s="40"/>
    </row>
    <row r="86" spans="1:34" s="18" customFormat="1">
      <c r="A86" s="40" t="s">
        <v>47</v>
      </c>
      <c r="B86" s="40" t="s">
        <v>144</v>
      </c>
      <c r="C86" s="40"/>
      <c r="D86" s="40" t="s">
        <v>145</v>
      </c>
      <c r="E86" s="40" t="s">
        <v>198</v>
      </c>
      <c r="F86" s="70">
        <v>41284</v>
      </c>
      <c r="G86" s="42">
        <f>3848.5+2.599</f>
        <v>3851.0990000000002</v>
      </c>
      <c r="H86" s="42"/>
      <c r="I86" s="42"/>
      <c r="J86" s="64"/>
      <c r="K86" s="65">
        <f t="shared" si="66"/>
        <v>3851.0990000000002</v>
      </c>
      <c r="L86" s="42"/>
      <c r="M86" s="85"/>
      <c r="N86" s="42"/>
      <c r="O86" s="42">
        <v>0</v>
      </c>
      <c r="P86" s="87" t="s">
        <v>207</v>
      </c>
      <c r="Q86" s="87" t="s">
        <v>207</v>
      </c>
      <c r="R86" s="42"/>
      <c r="S86" s="38"/>
      <c r="T86" s="38"/>
      <c r="U86" s="40"/>
      <c r="V86" s="40">
        <v>0</v>
      </c>
      <c r="W86" s="65">
        <f t="shared" si="77"/>
        <v>3851.0990000000002</v>
      </c>
      <c r="X86" s="38">
        <f t="shared" si="78"/>
        <v>385.10990000000004</v>
      </c>
      <c r="Y86" s="65">
        <f t="shared" si="79"/>
        <v>3465.9891000000002</v>
      </c>
      <c r="Z86" s="38">
        <f t="shared" si="80"/>
        <v>0</v>
      </c>
      <c r="AA86" s="38">
        <v>10.23</v>
      </c>
      <c r="AB86" s="38" t="str">
        <f t="shared" si="81"/>
        <v>X</v>
      </c>
      <c r="AC86" s="65" t="e">
        <f t="shared" si="82"/>
        <v>#VALUE!</v>
      </c>
      <c r="AD86" s="73"/>
      <c r="AE86" s="74"/>
      <c r="AF86" s="66">
        <f t="shared" si="86"/>
        <v>-3465.9891000000002</v>
      </c>
      <c r="AG86" s="40">
        <v>2948910731</v>
      </c>
      <c r="AH86" s="43"/>
    </row>
    <row r="87" spans="1:34" s="18" customFormat="1">
      <c r="A87" s="40" t="s">
        <v>47</v>
      </c>
      <c r="B87" s="40" t="s">
        <v>105</v>
      </c>
      <c r="C87" s="40"/>
      <c r="D87" s="40" t="s">
        <v>73</v>
      </c>
      <c r="E87" s="40" t="s">
        <v>198</v>
      </c>
      <c r="F87" s="70">
        <v>41227</v>
      </c>
      <c r="G87" s="42">
        <f>2065.512+2.972</f>
        <v>2068.4840000000004</v>
      </c>
      <c r="H87" s="42"/>
      <c r="I87" s="42"/>
      <c r="J87" s="64"/>
      <c r="K87" s="65">
        <f t="shared" si="66"/>
        <v>2068.4840000000004</v>
      </c>
      <c r="L87" s="42"/>
      <c r="M87" s="85"/>
      <c r="N87" s="42"/>
      <c r="O87" s="42">
        <v>0</v>
      </c>
      <c r="P87" s="87" t="s">
        <v>207</v>
      </c>
      <c r="Q87" s="87" t="s">
        <v>207</v>
      </c>
      <c r="R87" s="42"/>
      <c r="S87" s="38"/>
      <c r="T87" s="38"/>
      <c r="U87" s="40"/>
      <c r="V87" s="40">
        <v>0</v>
      </c>
      <c r="W87" s="65">
        <f t="shared" si="77"/>
        <v>2068.4840000000004</v>
      </c>
      <c r="X87" s="38">
        <f t="shared" si="78"/>
        <v>0</v>
      </c>
      <c r="Y87" s="65">
        <f t="shared" si="79"/>
        <v>2068.4840000000004</v>
      </c>
      <c r="Z87" s="38">
        <f t="shared" si="80"/>
        <v>206.84840000000005</v>
      </c>
      <c r="AA87" s="38">
        <v>10.23</v>
      </c>
      <c r="AB87" s="38" t="str">
        <f t="shared" si="81"/>
        <v>X</v>
      </c>
      <c r="AC87" s="65" t="e">
        <f t="shared" si="82"/>
        <v>#VALUE!</v>
      </c>
      <c r="AD87" s="73"/>
      <c r="AE87" s="73"/>
      <c r="AF87" s="66">
        <f t="shared" si="86"/>
        <v>-2068.4840000000004</v>
      </c>
      <c r="AG87" s="40"/>
      <c r="AH87" s="43"/>
    </row>
    <row r="88" spans="1:34" s="18" customFormat="1">
      <c r="A88" s="40" t="s">
        <v>45</v>
      </c>
      <c r="B88" s="40" t="s">
        <v>126</v>
      </c>
      <c r="C88" s="40"/>
      <c r="D88" s="40" t="s">
        <v>51</v>
      </c>
      <c r="E88" s="40" t="s">
        <v>95</v>
      </c>
      <c r="F88" s="70">
        <v>41493</v>
      </c>
      <c r="G88" s="42">
        <f>1540.09+7.428</f>
        <v>1547.518</v>
      </c>
      <c r="H88" s="42"/>
      <c r="I88" s="42"/>
      <c r="J88" s="64"/>
      <c r="K88" s="65">
        <f t="shared" si="66"/>
        <v>1547.518</v>
      </c>
      <c r="L88" s="42">
        <v>312.5</v>
      </c>
      <c r="M88" s="85"/>
      <c r="N88" s="42"/>
      <c r="O88" s="42">
        <v>0</v>
      </c>
      <c r="P88" s="87"/>
      <c r="Q88" s="87"/>
      <c r="R88" s="42"/>
      <c r="S88" s="38"/>
      <c r="T88" s="38"/>
      <c r="U88" s="40"/>
      <c r="V88" s="40">
        <v>0</v>
      </c>
      <c r="W88" s="65">
        <f t="shared" si="77"/>
        <v>1235.018</v>
      </c>
      <c r="X88" s="38">
        <f t="shared" si="78"/>
        <v>0</v>
      </c>
      <c r="Y88" s="65">
        <f t="shared" si="79"/>
        <v>1235.018</v>
      </c>
      <c r="Z88" s="38">
        <f t="shared" si="80"/>
        <v>154.7518</v>
      </c>
      <c r="AA88" s="38">
        <v>10.23</v>
      </c>
      <c r="AB88" s="38">
        <f t="shared" si="81"/>
        <v>0</v>
      </c>
      <c r="AC88" s="65">
        <f t="shared" si="82"/>
        <v>1712.4998000000001</v>
      </c>
      <c r="AD88" s="73"/>
      <c r="AE88" s="74"/>
      <c r="AF88" s="66">
        <f t="shared" si="86"/>
        <v>-1235.018</v>
      </c>
      <c r="AG88" s="40"/>
      <c r="AH88" s="43" t="s">
        <v>204</v>
      </c>
    </row>
    <row r="89" spans="1:34" s="18" customFormat="1">
      <c r="A89" s="40" t="s">
        <v>47</v>
      </c>
      <c r="B89" s="40" t="s">
        <v>189</v>
      </c>
      <c r="C89" s="40"/>
      <c r="D89" s="40"/>
      <c r="E89" s="40" t="s">
        <v>194</v>
      </c>
      <c r="F89" s="71">
        <v>42493</v>
      </c>
      <c r="G89" s="42">
        <v>778.154</v>
      </c>
      <c r="H89" s="42"/>
      <c r="I89" s="42"/>
      <c r="J89" s="64"/>
      <c r="K89" s="65">
        <f t="shared" si="66"/>
        <v>778.154</v>
      </c>
      <c r="L89" s="42"/>
      <c r="M89" s="85"/>
      <c r="N89" s="42"/>
      <c r="O89" s="42">
        <v>0</v>
      </c>
      <c r="P89" s="87" t="s">
        <v>207</v>
      </c>
      <c r="Q89" s="87" t="s">
        <v>207</v>
      </c>
      <c r="R89" s="42"/>
      <c r="S89" s="38"/>
      <c r="T89" s="38"/>
      <c r="U89" s="40"/>
      <c r="V89" s="40">
        <v>0</v>
      </c>
      <c r="W89" s="65">
        <f t="shared" si="77"/>
        <v>778.154</v>
      </c>
      <c r="X89" s="38">
        <f t="shared" si="78"/>
        <v>0</v>
      </c>
      <c r="Y89" s="65">
        <f t="shared" si="79"/>
        <v>778.154</v>
      </c>
      <c r="Z89" s="38">
        <f t="shared" si="80"/>
        <v>77.815400000000011</v>
      </c>
      <c r="AA89" s="38">
        <v>10.23</v>
      </c>
      <c r="AB89" s="38" t="str">
        <f t="shared" si="81"/>
        <v>X</v>
      </c>
      <c r="AC89" s="65" t="e">
        <f t="shared" si="82"/>
        <v>#VALUE!</v>
      </c>
      <c r="AD89" s="73"/>
      <c r="AE89" s="73"/>
      <c r="AF89" s="66">
        <f t="shared" si="86"/>
        <v>-778.154</v>
      </c>
      <c r="AG89" s="40"/>
      <c r="AH89" s="43"/>
    </row>
    <row r="90" spans="1:34" s="18" customFormat="1">
      <c r="A90" s="40" t="s">
        <v>47</v>
      </c>
      <c r="B90" s="40" t="s">
        <v>129</v>
      </c>
      <c r="C90" s="40"/>
      <c r="D90" s="40" t="s">
        <v>74</v>
      </c>
      <c r="E90" s="40" t="s">
        <v>194</v>
      </c>
      <c r="F90" s="71">
        <v>42242</v>
      </c>
      <c r="G90" s="42">
        <f>808.392+2.599</f>
        <v>810.9910000000001</v>
      </c>
      <c r="H90" s="42"/>
      <c r="I90" s="42"/>
      <c r="J90" s="64"/>
      <c r="K90" s="65">
        <f t="shared" si="66"/>
        <v>810.9910000000001</v>
      </c>
      <c r="L90" s="42"/>
      <c r="M90" s="85"/>
      <c r="N90" s="42"/>
      <c r="O90" s="42">
        <v>0</v>
      </c>
      <c r="P90" s="87" t="s">
        <v>207</v>
      </c>
      <c r="Q90" s="87" t="s">
        <v>207</v>
      </c>
      <c r="R90" s="42"/>
      <c r="S90" s="38"/>
      <c r="T90" s="38"/>
      <c r="U90" s="40"/>
      <c r="V90" s="40">
        <v>0</v>
      </c>
      <c r="W90" s="65">
        <f t="shared" si="77"/>
        <v>810.9910000000001</v>
      </c>
      <c r="X90" s="38">
        <f t="shared" si="78"/>
        <v>0</v>
      </c>
      <c r="Y90" s="65">
        <f t="shared" si="79"/>
        <v>810.9910000000001</v>
      </c>
      <c r="Z90" s="38">
        <f t="shared" si="80"/>
        <v>81.099100000000021</v>
      </c>
      <c r="AA90" s="38">
        <v>10.23</v>
      </c>
      <c r="AB90" s="38" t="str">
        <f t="shared" si="81"/>
        <v>X</v>
      </c>
      <c r="AC90" s="65" t="e">
        <f t="shared" si="82"/>
        <v>#VALUE!</v>
      </c>
      <c r="AD90" s="73"/>
      <c r="AE90" s="73"/>
      <c r="AF90" s="66">
        <f t="shared" si="86"/>
        <v>-810.9910000000001</v>
      </c>
      <c r="AG90" s="40"/>
      <c r="AH90" s="40"/>
    </row>
    <row r="91" spans="1:34" s="18" customFormat="1">
      <c r="A91" s="40" t="s">
        <v>45</v>
      </c>
      <c r="B91" s="40" t="s">
        <v>165</v>
      </c>
      <c r="C91" s="40"/>
      <c r="D91" s="40" t="s">
        <v>52</v>
      </c>
      <c r="E91" s="40" t="s">
        <v>95</v>
      </c>
      <c r="F91" s="71">
        <v>42170</v>
      </c>
      <c r="G91" s="42">
        <f>2924.337+13.099</f>
        <v>2937.4360000000001</v>
      </c>
      <c r="H91" s="42"/>
      <c r="I91" s="42"/>
      <c r="J91" s="64"/>
      <c r="K91" s="65">
        <f t="shared" si="66"/>
        <v>2937.4360000000001</v>
      </c>
      <c r="L91" s="85">
        <v>1</v>
      </c>
      <c r="M91" s="85"/>
      <c r="N91" s="42"/>
      <c r="O91" s="42">
        <v>0</v>
      </c>
      <c r="P91" s="87"/>
      <c r="Q91" s="87"/>
      <c r="R91" s="42"/>
      <c r="S91" s="38"/>
      <c r="T91" s="38"/>
      <c r="U91" s="40"/>
      <c r="V91" s="40">
        <v>0</v>
      </c>
      <c r="W91" s="65">
        <f t="shared" si="77"/>
        <v>2936.4360000000001</v>
      </c>
      <c r="X91" s="38">
        <f t="shared" si="78"/>
        <v>293.74360000000001</v>
      </c>
      <c r="Y91" s="65">
        <f t="shared" si="79"/>
        <v>2642.6923999999999</v>
      </c>
      <c r="Z91" s="38">
        <f t="shared" si="80"/>
        <v>0</v>
      </c>
      <c r="AA91" s="38">
        <v>10.23</v>
      </c>
      <c r="AB91" s="38">
        <f t="shared" si="81"/>
        <v>0</v>
      </c>
      <c r="AC91" s="65">
        <f t="shared" si="82"/>
        <v>2947.6660000000002</v>
      </c>
      <c r="AD91" s="73"/>
      <c r="AE91" s="74"/>
      <c r="AF91" s="66">
        <f t="shared" si="86"/>
        <v>-2642.6923999999999</v>
      </c>
      <c r="AG91" s="40"/>
      <c r="AH91" s="43"/>
    </row>
    <row r="92" spans="1:34" s="18" customFormat="1">
      <c r="A92" s="40" t="s">
        <v>47</v>
      </c>
      <c r="B92" s="40" t="s">
        <v>113</v>
      </c>
      <c r="C92" s="40"/>
      <c r="D92" s="40" t="s">
        <v>75</v>
      </c>
      <c r="E92" s="40" t="s">
        <v>197</v>
      </c>
      <c r="F92" s="71">
        <v>36868</v>
      </c>
      <c r="G92" s="42">
        <f>2009.682+3.714</f>
        <v>2013.396</v>
      </c>
      <c r="H92" s="42"/>
      <c r="I92" s="42"/>
      <c r="J92" s="64"/>
      <c r="K92" s="65">
        <f t="shared" si="66"/>
        <v>2013.396</v>
      </c>
      <c r="L92" s="42"/>
      <c r="M92" s="85"/>
      <c r="N92" s="42"/>
      <c r="O92" s="42">
        <v>0</v>
      </c>
      <c r="P92" s="87" t="s">
        <v>207</v>
      </c>
      <c r="Q92" s="87" t="s">
        <v>207</v>
      </c>
      <c r="R92" s="42"/>
      <c r="S92" s="38"/>
      <c r="T92" s="38"/>
      <c r="U92" s="40"/>
      <c r="V92" s="40">
        <v>0</v>
      </c>
      <c r="W92" s="65">
        <f t="shared" si="77"/>
        <v>2013.396</v>
      </c>
      <c r="X92" s="38">
        <f t="shared" si="78"/>
        <v>0</v>
      </c>
      <c r="Y92" s="65">
        <f t="shared" si="79"/>
        <v>2013.396</v>
      </c>
      <c r="Z92" s="38">
        <f t="shared" si="80"/>
        <v>201.33960000000002</v>
      </c>
      <c r="AA92" s="38">
        <v>10.23</v>
      </c>
      <c r="AB92" s="38" t="str">
        <f t="shared" si="81"/>
        <v>X</v>
      </c>
      <c r="AC92" s="65" t="e">
        <f t="shared" si="82"/>
        <v>#VALUE!</v>
      </c>
      <c r="AD92" s="73"/>
      <c r="AE92" s="73"/>
      <c r="AF92" s="66">
        <f t="shared" si="86"/>
        <v>-2013.396</v>
      </c>
      <c r="AG92" s="40"/>
      <c r="AH92" s="40"/>
    </row>
    <row r="93" spans="1:34" s="18" customFormat="1">
      <c r="A93" s="40" t="s">
        <v>47</v>
      </c>
      <c r="B93" s="40" t="s">
        <v>109</v>
      </c>
      <c r="C93" s="40"/>
      <c r="D93" s="40" t="s">
        <v>76</v>
      </c>
      <c r="E93" s="40" t="s">
        <v>195</v>
      </c>
      <c r="F93" s="71">
        <v>41949</v>
      </c>
      <c r="G93" s="42">
        <f>4378.8+7.428</f>
        <v>4386.2280000000001</v>
      </c>
      <c r="H93" s="42"/>
      <c r="I93" s="42"/>
      <c r="J93" s="64"/>
      <c r="K93" s="65">
        <f t="shared" si="66"/>
        <v>4386.2280000000001</v>
      </c>
      <c r="L93" s="42"/>
      <c r="M93" s="85"/>
      <c r="N93" s="42"/>
      <c r="O93" s="42">
        <v>100</v>
      </c>
      <c r="P93" s="87" t="s">
        <v>207</v>
      </c>
      <c r="Q93" s="87" t="s">
        <v>207</v>
      </c>
      <c r="R93" s="42"/>
      <c r="S93" s="38"/>
      <c r="T93" s="38"/>
      <c r="U93" s="40"/>
      <c r="V93" s="40">
        <v>0</v>
      </c>
      <c r="W93" s="65">
        <f t="shared" si="77"/>
        <v>4286.2280000000001</v>
      </c>
      <c r="X93" s="38">
        <f t="shared" si="78"/>
        <v>438.62280000000004</v>
      </c>
      <c r="Y93" s="65">
        <f t="shared" si="79"/>
        <v>3847.6052</v>
      </c>
      <c r="Z93" s="38">
        <f t="shared" si="80"/>
        <v>0</v>
      </c>
      <c r="AA93" s="38">
        <v>10.23</v>
      </c>
      <c r="AB93" s="38" t="str">
        <f t="shared" si="81"/>
        <v>X</v>
      </c>
      <c r="AC93" s="65" t="e">
        <f t="shared" si="82"/>
        <v>#VALUE!</v>
      </c>
      <c r="AD93" s="73"/>
      <c r="AE93" s="74"/>
      <c r="AF93" s="66">
        <f t="shared" si="86"/>
        <v>-3847.6052</v>
      </c>
      <c r="AG93" s="40"/>
      <c r="AH93" s="40"/>
    </row>
    <row r="94" spans="1:34" s="18" customFormat="1">
      <c r="A94" s="40" t="s">
        <v>45</v>
      </c>
      <c r="B94" s="40" t="s">
        <v>37</v>
      </c>
      <c r="C94" s="40"/>
      <c r="D94" s="40" t="s">
        <v>53</v>
      </c>
      <c r="E94" s="40" t="s">
        <v>95</v>
      </c>
      <c r="F94" s="71">
        <v>42129</v>
      </c>
      <c r="G94" s="42">
        <f>5056.366+13.099</f>
        <v>5069.4650000000001</v>
      </c>
      <c r="H94" s="44"/>
      <c r="I94" s="42"/>
      <c r="J94" s="64"/>
      <c r="K94" s="65">
        <f t="shared" si="66"/>
        <v>5069.4650000000001</v>
      </c>
      <c r="L94" s="42"/>
      <c r="M94" s="85"/>
      <c r="N94" s="42"/>
      <c r="O94" s="42">
        <v>0</v>
      </c>
      <c r="P94" s="87"/>
      <c r="Q94" s="87"/>
      <c r="R94" s="42"/>
      <c r="S94" s="38"/>
      <c r="T94" s="38"/>
      <c r="U94" s="40"/>
      <c r="V94" s="40">
        <v>0</v>
      </c>
      <c r="W94" s="65">
        <f t="shared" si="77"/>
        <v>5069.4650000000001</v>
      </c>
      <c r="X94" s="38">
        <f t="shared" si="78"/>
        <v>506.94650000000001</v>
      </c>
      <c r="Y94" s="65">
        <f t="shared" si="79"/>
        <v>4562.5185000000001</v>
      </c>
      <c r="Z94" s="38">
        <f t="shared" si="80"/>
        <v>0</v>
      </c>
      <c r="AA94" s="38">
        <v>10.23</v>
      </c>
      <c r="AB94" s="38">
        <f t="shared" si="81"/>
        <v>0</v>
      </c>
      <c r="AC94" s="65">
        <f t="shared" si="82"/>
        <v>5079.6949999999997</v>
      </c>
      <c r="AD94" s="73"/>
      <c r="AE94" s="74"/>
      <c r="AF94" s="66">
        <f t="shared" si="86"/>
        <v>-4562.5185000000001</v>
      </c>
      <c r="AG94" s="40"/>
      <c r="AH94" s="43"/>
    </row>
    <row r="95" spans="1:34" s="18" customFormat="1">
      <c r="A95" s="40" t="s">
        <v>45</v>
      </c>
      <c r="B95" s="40" t="s">
        <v>148</v>
      </c>
      <c r="C95" s="40"/>
      <c r="D95" s="40"/>
      <c r="E95" s="40" t="s">
        <v>194</v>
      </c>
      <c r="F95" s="71">
        <v>42422</v>
      </c>
      <c r="G95" s="42">
        <f>3497.942+13.099</f>
        <v>3511.0410000000002</v>
      </c>
      <c r="H95" s="42"/>
      <c r="I95" s="42"/>
      <c r="J95" s="64"/>
      <c r="K95" s="65">
        <f t="shared" si="66"/>
        <v>3511.0410000000002</v>
      </c>
      <c r="L95" s="42"/>
      <c r="M95" s="85"/>
      <c r="N95" s="42"/>
      <c r="O95" s="42">
        <v>0</v>
      </c>
      <c r="P95" s="87"/>
      <c r="Q95" s="87"/>
      <c r="R95" s="42"/>
      <c r="S95" s="38"/>
      <c r="T95" s="38"/>
      <c r="U95" s="40"/>
      <c r="V95" s="40">
        <v>0</v>
      </c>
      <c r="W95" s="65">
        <f t="shared" si="77"/>
        <v>3511.0410000000002</v>
      </c>
      <c r="X95" s="38">
        <f t="shared" si="78"/>
        <v>351.10410000000002</v>
      </c>
      <c r="Y95" s="65">
        <f t="shared" si="79"/>
        <v>3159.9369000000002</v>
      </c>
      <c r="Z95" s="38">
        <f t="shared" si="80"/>
        <v>0</v>
      </c>
      <c r="AA95" s="38">
        <v>10.23</v>
      </c>
      <c r="AB95" s="38">
        <f t="shared" si="81"/>
        <v>0</v>
      </c>
      <c r="AC95" s="65">
        <f t="shared" si="82"/>
        <v>3521.2710000000002</v>
      </c>
      <c r="AD95" s="73"/>
      <c r="AE95" s="74"/>
      <c r="AF95" s="66">
        <f t="shared" si="86"/>
        <v>-3159.9369000000002</v>
      </c>
      <c r="AG95" s="40"/>
      <c r="AH95" s="43"/>
    </row>
    <row r="96" spans="1:34" s="18" customFormat="1">
      <c r="A96" s="40" t="s">
        <v>47</v>
      </c>
      <c r="B96" s="40" t="s">
        <v>166</v>
      </c>
      <c r="C96" s="40"/>
      <c r="D96" s="40" t="s">
        <v>77</v>
      </c>
      <c r="E96" s="40" t="s">
        <v>198</v>
      </c>
      <c r="F96" s="71">
        <v>41227</v>
      </c>
      <c r="G96" s="42">
        <f>2498.358+5.571</f>
        <v>2503.9290000000001</v>
      </c>
      <c r="H96" s="42"/>
      <c r="I96" s="42"/>
      <c r="J96" s="64"/>
      <c r="K96" s="65">
        <f t="shared" si="66"/>
        <v>2503.9290000000001</v>
      </c>
      <c r="L96" s="42"/>
      <c r="M96" s="85"/>
      <c r="N96" s="42"/>
      <c r="O96" s="42">
        <v>200</v>
      </c>
      <c r="P96" s="87" t="s">
        <v>207</v>
      </c>
      <c r="Q96" s="87" t="s">
        <v>207</v>
      </c>
      <c r="R96" s="42">
        <v>322</v>
      </c>
      <c r="S96" s="38"/>
      <c r="T96" s="38"/>
      <c r="U96" s="40"/>
      <c r="V96" s="40">
        <v>0</v>
      </c>
      <c r="W96" s="65">
        <f t="shared" si="77"/>
        <v>1981.9290000000001</v>
      </c>
      <c r="X96" s="38">
        <f t="shared" si="78"/>
        <v>250.39290000000003</v>
      </c>
      <c r="Y96" s="65">
        <f t="shared" si="79"/>
        <v>1731.5361</v>
      </c>
      <c r="Z96" s="38">
        <f t="shared" si="80"/>
        <v>0</v>
      </c>
      <c r="AA96" s="38">
        <v>10.23</v>
      </c>
      <c r="AB96" s="38" t="str">
        <f t="shared" si="81"/>
        <v>X</v>
      </c>
      <c r="AC96" s="65" t="e">
        <f t="shared" si="82"/>
        <v>#VALUE!</v>
      </c>
      <c r="AD96" s="73"/>
      <c r="AE96" s="73"/>
      <c r="AF96" s="66">
        <f t="shared" si="86"/>
        <v>-1731.5361</v>
      </c>
      <c r="AG96" s="40"/>
      <c r="AH96" s="43"/>
    </row>
    <row r="97" spans="1:188" s="18" customFormat="1">
      <c r="A97" s="40" t="s">
        <v>47</v>
      </c>
      <c r="B97" s="40" t="s">
        <v>106</v>
      </c>
      <c r="C97" s="40"/>
      <c r="D97" s="40" t="s">
        <v>78</v>
      </c>
      <c r="E97" s="40" t="s">
        <v>198</v>
      </c>
      <c r="F97" s="71">
        <v>41732</v>
      </c>
      <c r="G97" s="42"/>
      <c r="H97" s="42"/>
      <c r="I97" s="42"/>
      <c r="J97" s="64"/>
      <c r="K97" s="65">
        <f t="shared" si="66"/>
        <v>0</v>
      </c>
      <c r="L97" s="42"/>
      <c r="M97" s="85"/>
      <c r="N97" s="42"/>
      <c r="O97" s="42">
        <v>0</v>
      </c>
      <c r="P97" s="87" t="s">
        <v>207</v>
      </c>
      <c r="Q97" s="87" t="s">
        <v>207</v>
      </c>
      <c r="R97" s="42"/>
      <c r="S97" s="38"/>
      <c r="T97" s="38"/>
      <c r="U97" s="40"/>
      <c r="V97" s="40">
        <v>0</v>
      </c>
      <c r="W97" s="65">
        <f t="shared" si="77"/>
        <v>0</v>
      </c>
      <c r="X97" s="38">
        <f t="shared" si="78"/>
        <v>0</v>
      </c>
      <c r="Y97" s="65">
        <f t="shared" si="79"/>
        <v>0</v>
      </c>
      <c r="Z97" s="38">
        <f t="shared" si="80"/>
        <v>0</v>
      </c>
      <c r="AA97" s="38">
        <v>10.23</v>
      </c>
      <c r="AB97" s="38" t="str">
        <f t="shared" si="81"/>
        <v>X</v>
      </c>
      <c r="AC97" s="65" t="e">
        <f t="shared" si="82"/>
        <v>#VALUE!</v>
      </c>
      <c r="AD97" s="73"/>
      <c r="AE97" s="73"/>
      <c r="AF97" s="66">
        <f t="shared" si="86"/>
        <v>0</v>
      </c>
      <c r="AG97" s="40"/>
      <c r="AH97" s="40"/>
    </row>
    <row r="98" spans="1:188" s="18" customFormat="1">
      <c r="A98" s="40" t="s">
        <v>47</v>
      </c>
      <c r="B98" s="40" t="s">
        <v>217</v>
      </c>
      <c r="C98" s="40"/>
      <c r="D98" s="40"/>
      <c r="E98" s="40" t="s">
        <v>194</v>
      </c>
      <c r="F98" s="71">
        <v>42635</v>
      </c>
      <c r="G98" s="42">
        <v>681.2</v>
      </c>
      <c r="H98" s="42"/>
      <c r="I98" s="42"/>
      <c r="J98" s="64"/>
      <c r="K98" s="65">
        <f t="shared" si="66"/>
        <v>681.2</v>
      </c>
      <c r="L98" s="42"/>
      <c r="M98" s="85"/>
      <c r="N98" s="42"/>
      <c r="O98" s="42"/>
      <c r="P98" s="87"/>
      <c r="Q98" s="87"/>
      <c r="R98" s="42"/>
      <c r="S98" s="38"/>
      <c r="T98" s="38"/>
      <c r="U98" s="40"/>
      <c r="V98" s="40"/>
      <c r="W98" s="65">
        <f t="shared" ref="W98" si="87">+K98-SUM(L98:V98)</f>
        <v>681.2</v>
      </c>
      <c r="X98" s="38">
        <f t="shared" ref="X98" si="88">IF(K98&gt;2250,K98*0.1,0)</f>
        <v>0</v>
      </c>
      <c r="Y98" s="65">
        <f t="shared" ref="Y98" si="89">+W98-X98</f>
        <v>681.2</v>
      </c>
      <c r="Z98" s="38"/>
      <c r="AA98" s="38"/>
      <c r="AB98" s="38"/>
      <c r="AC98" s="65"/>
      <c r="AD98" s="73"/>
      <c r="AE98" s="73"/>
      <c r="AF98" s="66"/>
      <c r="AG98" s="40">
        <v>1133340031</v>
      </c>
      <c r="AH98" s="40"/>
    </row>
    <row r="99" spans="1:188" s="18" customFormat="1">
      <c r="A99" s="40" t="s">
        <v>47</v>
      </c>
      <c r="B99" s="40" t="s">
        <v>168</v>
      </c>
      <c r="C99" s="40"/>
      <c r="D99" s="40" t="s">
        <v>79</v>
      </c>
      <c r="E99" s="40" t="s">
        <v>198</v>
      </c>
      <c r="F99" s="71">
        <v>41703</v>
      </c>
      <c r="G99" s="42">
        <v>1100.5619999999999</v>
      </c>
      <c r="H99" s="42"/>
      <c r="I99" s="42"/>
      <c r="J99" s="64"/>
      <c r="K99" s="65">
        <f t="shared" si="66"/>
        <v>1100.5619999999999</v>
      </c>
      <c r="L99" s="42"/>
      <c r="M99" s="85"/>
      <c r="N99" s="42"/>
      <c r="O99" s="42">
        <v>0</v>
      </c>
      <c r="P99" s="87" t="s">
        <v>207</v>
      </c>
      <c r="Q99" s="87" t="s">
        <v>207</v>
      </c>
      <c r="R99" s="42"/>
      <c r="S99" s="38"/>
      <c r="T99" s="38"/>
      <c r="U99" s="40"/>
      <c r="V99" s="40">
        <v>0</v>
      </c>
      <c r="W99" s="65">
        <f t="shared" si="77"/>
        <v>1100.5619999999999</v>
      </c>
      <c r="X99" s="38">
        <f t="shared" si="78"/>
        <v>0</v>
      </c>
      <c r="Y99" s="65">
        <f t="shared" si="79"/>
        <v>1100.5619999999999</v>
      </c>
      <c r="Z99" s="38">
        <f t="shared" si="80"/>
        <v>110.05619999999999</v>
      </c>
      <c r="AA99" s="38">
        <v>10.23</v>
      </c>
      <c r="AB99" s="38" t="str">
        <f t="shared" si="81"/>
        <v>X</v>
      </c>
      <c r="AC99" s="65" t="e">
        <f t="shared" si="82"/>
        <v>#VALUE!</v>
      </c>
      <c r="AD99" s="73"/>
      <c r="AE99" s="73"/>
      <c r="AF99" s="66">
        <f t="shared" si="86"/>
        <v>-1100.5619999999999</v>
      </c>
      <c r="AG99" s="40"/>
      <c r="AH99" s="40"/>
    </row>
    <row r="100" spans="1:188" s="18" customFormat="1">
      <c r="A100" s="40" t="s">
        <v>47</v>
      </c>
      <c r="B100" s="40" t="s">
        <v>104</v>
      </c>
      <c r="C100" s="40"/>
      <c r="D100" s="40" t="s">
        <v>80</v>
      </c>
      <c r="E100" s="40" t="s">
        <v>198</v>
      </c>
      <c r="F100" s="71">
        <v>41291</v>
      </c>
      <c r="G100" s="42">
        <f>2852.675+5.571</f>
        <v>2858.2460000000001</v>
      </c>
      <c r="H100" s="42"/>
      <c r="I100" s="42"/>
      <c r="J100" s="64"/>
      <c r="K100" s="65">
        <f t="shared" si="66"/>
        <v>2858.2460000000001</v>
      </c>
      <c r="L100" s="42"/>
      <c r="M100" s="85"/>
      <c r="N100" s="42"/>
      <c r="O100" s="42">
        <v>200</v>
      </c>
      <c r="P100" s="87" t="s">
        <v>207</v>
      </c>
      <c r="Q100" s="87" t="s">
        <v>207</v>
      </c>
      <c r="R100" s="42">
        <v>1200</v>
      </c>
      <c r="S100" s="38"/>
      <c r="T100" s="38"/>
      <c r="U100" s="40"/>
      <c r="V100" s="40">
        <v>0</v>
      </c>
      <c r="W100" s="65">
        <f t="shared" si="77"/>
        <v>1458.2460000000001</v>
      </c>
      <c r="X100" s="38">
        <f t="shared" si="78"/>
        <v>285.82460000000003</v>
      </c>
      <c r="Y100" s="65">
        <f t="shared" si="79"/>
        <v>1172.4214000000002</v>
      </c>
      <c r="Z100" s="38">
        <f t="shared" si="80"/>
        <v>0</v>
      </c>
      <c r="AA100" s="38">
        <v>10.23</v>
      </c>
      <c r="AB100" s="38" t="str">
        <f t="shared" si="81"/>
        <v>X</v>
      </c>
      <c r="AC100" s="65" t="e">
        <f t="shared" si="82"/>
        <v>#VALUE!</v>
      </c>
      <c r="AD100" s="73"/>
      <c r="AE100" s="73"/>
      <c r="AF100" s="66">
        <f t="shared" si="86"/>
        <v>-1172.4214000000002</v>
      </c>
      <c r="AG100" s="40"/>
      <c r="AH100" s="43"/>
    </row>
    <row r="101" spans="1:188" s="18" customFormat="1">
      <c r="A101" s="40" t="s">
        <v>45</v>
      </c>
      <c r="B101" s="40" t="s">
        <v>115</v>
      </c>
      <c r="C101" s="40"/>
      <c r="D101" s="40" t="s">
        <v>54</v>
      </c>
      <c r="E101" s="40" t="s">
        <v>95</v>
      </c>
      <c r="F101" s="71">
        <v>41666</v>
      </c>
      <c r="G101" s="42">
        <f>2484.702+7.428</f>
        <v>2492.13</v>
      </c>
      <c r="H101" s="42"/>
      <c r="I101" s="42"/>
      <c r="J101" s="64"/>
      <c r="K101" s="65">
        <f t="shared" si="66"/>
        <v>2492.13</v>
      </c>
      <c r="L101" s="42"/>
      <c r="M101" s="85"/>
      <c r="N101" s="42"/>
      <c r="O101" s="42">
        <v>150</v>
      </c>
      <c r="P101" s="87"/>
      <c r="Q101" s="87"/>
      <c r="R101" s="42"/>
      <c r="S101" s="38"/>
      <c r="T101" s="38"/>
      <c r="U101" s="40"/>
      <c r="V101" s="40">
        <v>0</v>
      </c>
      <c r="W101" s="65">
        <f t="shared" si="77"/>
        <v>2342.13</v>
      </c>
      <c r="X101" s="38">
        <f t="shared" si="78"/>
        <v>249.21300000000002</v>
      </c>
      <c r="Y101" s="65">
        <f t="shared" si="79"/>
        <v>2092.9169999999999</v>
      </c>
      <c r="Z101" s="38">
        <f t="shared" si="80"/>
        <v>0</v>
      </c>
      <c r="AA101" s="38">
        <v>10.23</v>
      </c>
      <c r="AB101" s="38">
        <f t="shared" si="81"/>
        <v>0</v>
      </c>
      <c r="AC101" s="65">
        <f t="shared" si="82"/>
        <v>2502.36</v>
      </c>
      <c r="AD101" s="73"/>
      <c r="AE101" s="74"/>
      <c r="AF101" s="66">
        <f t="shared" si="86"/>
        <v>-2092.9169999999999</v>
      </c>
      <c r="AG101" s="40"/>
      <c r="AH101" s="40"/>
    </row>
    <row r="102" spans="1:188" s="18" customFormat="1">
      <c r="A102" s="128" t="s">
        <v>45</v>
      </c>
      <c r="B102" s="128" t="s">
        <v>224</v>
      </c>
      <c r="C102" s="128"/>
      <c r="D102" s="128"/>
      <c r="E102" s="128" t="s">
        <v>95</v>
      </c>
      <c r="F102" s="129">
        <v>42653</v>
      </c>
      <c r="G102" s="130">
        <f>190.638+2.972</f>
        <v>193.61</v>
      </c>
      <c r="H102" s="130"/>
      <c r="I102" s="130"/>
      <c r="J102" s="131"/>
      <c r="K102" s="65">
        <f t="shared" si="66"/>
        <v>193.61</v>
      </c>
      <c r="L102" s="42"/>
      <c r="M102" s="85"/>
      <c r="N102" s="42"/>
      <c r="O102" s="42"/>
      <c r="P102" s="87"/>
      <c r="Q102" s="87"/>
      <c r="R102" s="42"/>
      <c r="S102" s="38"/>
      <c r="T102" s="38"/>
      <c r="U102" s="40"/>
      <c r="V102" s="40"/>
      <c r="W102" s="65">
        <f t="shared" ref="W102" si="90">+K102-SUM(L102:V102)</f>
        <v>193.61</v>
      </c>
      <c r="X102" s="38">
        <f t="shared" ref="X102" si="91">IF(K102&gt;2250,K102*0.1,0)</f>
        <v>0</v>
      </c>
      <c r="Y102" s="65">
        <f t="shared" ref="Y102" si="92">+W102-X102</f>
        <v>193.61</v>
      </c>
      <c r="Z102" s="38"/>
      <c r="AA102" s="38"/>
      <c r="AB102" s="38"/>
      <c r="AC102" s="65"/>
      <c r="AD102" s="73"/>
      <c r="AE102" s="74"/>
      <c r="AF102" s="66"/>
      <c r="AG102" s="128" t="s">
        <v>225</v>
      </c>
      <c r="AH102" s="132" t="s">
        <v>226</v>
      </c>
    </row>
    <row r="103" spans="1:188" s="18" customFormat="1">
      <c r="A103" s="40" t="s">
        <v>45</v>
      </c>
      <c r="B103" s="40" t="s">
        <v>38</v>
      </c>
      <c r="C103" s="40"/>
      <c r="D103" s="40" t="s">
        <v>55</v>
      </c>
      <c r="E103" s="40" t="s">
        <v>95</v>
      </c>
      <c r="F103" s="71">
        <v>42100</v>
      </c>
      <c r="G103" s="42">
        <f>1048.99+3.714</f>
        <v>1052.704</v>
      </c>
      <c r="H103" s="42"/>
      <c r="I103" s="42"/>
      <c r="J103" s="64"/>
      <c r="K103" s="65">
        <f t="shared" si="66"/>
        <v>1052.704</v>
      </c>
      <c r="L103" s="85">
        <v>1</v>
      </c>
      <c r="M103" s="85"/>
      <c r="N103" s="42"/>
      <c r="O103" s="42">
        <v>0</v>
      </c>
      <c r="P103" s="87"/>
      <c r="Q103" s="87"/>
      <c r="R103" s="42"/>
      <c r="S103" s="38"/>
      <c r="T103" s="38"/>
      <c r="U103" s="40"/>
      <c r="V103" s="40">
        <v>0</v>
      </c>
      <c r="W103" s="65">
        <f t="shared" si="77"/>
        <v>1051.704</v>
      </c>
      <c r="X103" s="38">
        <f t="shared" si="78"/>
        <v>0</v>
      </c>
      <c r="Y103" s="65">
        <f t="shared" si="79"/>
        <v>1051.704</v>
      </c>
      <c r="Z103" s="38">
        <f t="shared" si="80"/>
        <v>105.2704</v>
      </c>
      <c r="AA103" s="38">
        <v>10.23</v>
      </c>
      <c r="AB103" s="38">
        <f t="shared" si="81"/>
        <v>0</v>
      </c>
      <c r="AC103" s="65">
        <f t="shared" si="82"/>
        <v>1168.2044000000001</v>
      </c>
      <c r="AD103" s="73"/>
      <c r="AE103" s="74"/>
      <c r="AF103" s="66">
        <f t="shared" si="86"/>
        <v>-1051.704</v>
      </c>
      <c r="AG103" s="40"/>
      <c r="AH103" s="43"/>
    </row>
    <row r="104" spans="1:188" s="18" customFormat="1">
      <c r="A104" s="40" t="s">
        <v>47</v>
      </c>
      <c r="B104" s="40" t="s">
        <v>193</v>
      </c>
      <c r="C104" s="40"/>
      <c r="D104" s="40" t="s">
        <v>81</v>
      </c>
      <c r="E104" s="40" t="s">
        <v>197</v>
      </c>
      <c r="F104" s="71">
        <v>41227</v>
      </c>
      <c r="G104" s="42">
        <f>1374.576+3.714</f>
        <v>1378.29</v>
      </c>
      <c r="H104" s="42"/>
      <c r="I104" s="42"/>
      <c r="J104" s="64"/>
      <c r="K104" s="65">
        <f t="shared" si="66"/>
        <v>1378.29</v>
      </c>
      <c r="L104" s="42"/>
      <c r="M104" s="85"/>
      <c r="N104" s="42"/>
      <c r="O104" s="42">
        <v>50</v>
      </c>
      <c r="P104" s="87" t="s">
        <v>207</v>
      </c>
      <c r="Q104" s="87" t="s">
        <v>207</v>
      </c>
      <c r="R104" s="42"/>
      <c r="S104" s="38"/>
      <c r="T104" s="38"/>
      <c r="U104" s="40"/>
      <c r="V104" s="40">
        <v>0</v>
      </c>
      <c r="W104" s="65">
        <f t="shared" si="77"/>
        <v>1328.29</v>
      </c>
      <c r="X104" s="38">
        <f t="shared" si="78"/>
        <v>0</v>
      </c>
      <c r="Y104" s="65">
        <f t="shared" si="79"/>
        <v>1328.29</v>
      </c>
      <c r="Z104" s="38">
        <f t="shared" si="80"/>
        <v>137.82900000000001</v>
      </c>
      <c r="AA104" s="38">
        <v>10.23</v>
      </c>
      <c r="AB104" s="38" t="str">
        <f t="shared" si="81"/>
        <v>X</v>
      </c>
      <c r="AC104" s="65" t="e">
        <f t="shared" si="82"/>
        <v>#VALUE!</v>
      </c>
      <c r="AD104" s="73"/>
      <c r="AE104" s="74"/>
      <c r="AF104" s="66">
        <f t="shared" si="86"/>
        <v>-1328.29</v>
      </c>
      <c r="AG104" s="40"/>
      <c r="AH104" s="43"/>
    </row>
    <row r="105" spans="1:188" s="18" customFormat="1">
      <c r="A105" s="40" t="s">
        <v>45</v>
      </c>
      <c r="B105" s="40" t="s">
        <v>206</v>
      </c>
      <c r="C105" s="40"/>
      <c r="D105" s="40"/>
      <c r="E105" s="40" t="s">
        <v>194</v>
      </c>
      <c r="F105" s="71">
        <v>42604</v>
      </c>
      <c r="G105" s="42">
        <v>269.01499999999999</v>
      </c>
      <c r="H105" s="42"/>
      <c r="I105" s="42"/>
      <c r="J105" s="64"/>
      <c r="K105" s="65">
        <f t="shared" si="66"/>
        <v>269.01499999999999</v>
      </c>
      <c r="L105" s="42"/>
      <c r="M105" s="85"/>
      <c r="N105" s="42"/>
      <c r="O105" s="42"/>
      <c r="P105" s="87"/>
      <c r="Q105" s="87"/>
      <c r="R105" s="42"/>
      <c r="S105" s="38"/>
      <c r="T105" s="38"/>
      <c r="U105" s="40"/>
      <c r="V105" s="40"/>
      <c r="W105" s="65">
        <f t="shared" ref="W105" si="93">+K105-SUM(L105:V105)</f>
        <v>269.01499999999999</v>
      </c>
      <c r="X105" s="38">
        <f t="shared" ref="X105" si="94">IF(K105&gt;2250,K105*0.1,0)</f>
        <v>0</v>
      </c>
      <c r="Y105" s="65">
        <f t="shared" ref="Y105" si="95">+W105-X105</f>
        <v>269.01499999999999</v>
      </c>
      <c r="Z105" s="38"/>
      <c r="AA105" s="38"/>
      <c r="AB105" s="38"/>
      <c r="AC105" s="65"/>
      <c r="AD105" s="73"/>
      <c r="AE105" s="80"/>
      <c r="AF105" s="66"/>
      <c r="AG105" s="40">
        <v>1258728771</v>
      </c>
      <c r="AH105" s="40"/>
    </row>
    <row r="106" spans="1:188" s="18" customFormat="1">
      <c r="A106" s="40" t="s">
        <v>44</v>
      </c>
      <c r="B106" s="40" t="s">
        <v>39</v>
      </c>
      <c r="C106" s="40"/>
      <c r="D106" s="40" t="s">
        <v>57</v>
      </c>
      <c r="E106" s="40" t="s">
        <v>95</v>
      </c>
      <c r="F106" s="71">
        <v>42361</v>
      </c>
      <c r="G106" s="42">
        <f>439.482+2.972</f>
        <v>442.45400000000001</v>
      </c>
      <c r="H106" s="42"/>
      <c r="I106" s="42"/>
      <c r="J106" s="64"/>
      <c r="K106" s="65">
        <f t="shared" si="66"/>
        <v>442.45400000000001</v>
      </c>
      <c r="L106" s="42"/>
      <c r="M106" s="85"/>
      <c r="N106" s="42"/>
      <c r="O106" s="42">
        <v>0</v>
      </c>
      <c r="P106" s="87"/>
      <c r="Q106" s="87"/>
      <c r="R106" s="42"/>
      <c r="S106" s="38"/>
      <c r="T106" s="38"/>
      <c r="U106" s="40"/>
      <c r="V106" s="40">
        <v>0</v>
      </c>
      <c r="W106" s="65">
        <f>+K106-SUM(L106:V106)</f>
        <v>442.45400000000001</v>
      </c>
      <c r="X106" s="38">
        <f>IF(K106&gt;2250,K106*0.1,0)</f>
        <v>0</v>
      </c>
      <c r="Y106" s="65">
        <f>+W106-X106</f>
        <v>442.45400000000001</v>
      </c>
      <c r="Z106" s="38">
        <f>IF(K106&lt;2250,K106*0.1,0)</f>
        <v>44.245400000000004</v>
      </c>
      <c r="AA106" s="38">
        <v>10.23</v>
      </c>
      <c r="AB106" s="38">
        <f>+P106</f>
        <v>0</v>
      </c>
      <c r="AC106" s="65">
        <f>+K106+Z106+AA106+AB106</f>
        <v>496.92940000000004</v>
      </c>
      <c r="AD106" s="73"/>
      <c r="AE106" s="79"/>
      <c r="AF106" s="66">
        <f>+AD106+AE106-Y106</f>
        <v>-442.45400000000001</v>
      </c>
      <c r="AG106" s="40"/>
      <c r="AH106" s="40"/>
    </row>
    <row r="107" spans="1:188" s="18" customFormat="1">
      <c r="A107" s="40" t="s">
        <v>45</v>
      </c>
      <c r="B107" s="40" t="s">
        <v>114</v>
      </c>
      <c r="C107" s="40"/>
      <c r="D107" s="40" t="s">
        <v>56</v>
      </c>
      <c r="E107" s="40" t="s">
        <v>95</v>
      </c>
      <c r="F107" s="71">
        <v>41549</v>
      </c>
      <c r="G107" s="42">
        <f>6469.424+13.099</f>
        <v>6482.5230000000001</v>
      </c>
      <c r="H107" s="42"/>
      <c r="I107" s="42"/>
      <c r="J107" s="64"/>
      <c r="K107" s="65">
        <f t="shared" si="66"/>
        <v>6482.5230000000001</v>
      </c>
      <c r="L107" s="42"/>
      <c r="M107" s="85"/>
      <c r="N107" s="42"/>
      <c r="O107" s="42">
        <v>0</v>
      </c>
      <c r="P107" s="87"/>
      <c r="Q107" s="87"/>
      <c r="R107" s="42"/>
      <c r="S107" s="38"/>
      <c r="T107" s="38"/>
      <c r="U107" s="40"/>
      <c r="V107" s="40">
        <v>0</v>
      </c>
      <c r="W107" s="65">
        <f>+K107-SUM(L107:V107)</f>
        <v>6482.5230000000001</v>
      </c>
      <c r="X107" s="38">
        <f>IF(K107&gt;2250,K107*0.1,0)</f>
        <v>648.2523000000001</v>
      </c>
      <c r="Y107" s="65">
        <f>+W107-X107</f>
        <v>5834.2707</v>
      </c>
      <c r="Z107" s="38">
        <f>IF(K107&lt;2250,K107*0.1,0)</f>
        <v>0</v>
      </c>
      <c r="AA107" s="38">
        <v>10.23</v>
      </c>
      <c r="AB107" s="38">
        <f>+P107</f>
        <v>0</v>
      </c>
      <c r="AC107" s="65">
        <f>+K107+Z107+AA107+AB107</f>
        <v>6492.7529999999997</v>
      </c>
      <c r="AD107" s="73"/>
      <c r="AE107" s="74"/>
      <c r="AF107" s="66">
        <f>+AD107+AE107-Y107</f>
        <v>-5834.2707</v>
      </c>
      <c r="AG107" s="40"/>
      <c r="AH107" s="43"/>
    </row>
    <row r="108" spans="1:188">
      <c r="A108" s="33"/>
      <c r="B108" s="40"/>
      <c r="C108" s="33"/>
      <c r="D108" s="33"/>
      <c r="E108" s="33"/>
      <c r="F108" s="84"/>
      <c r="G108" s="35"/>
      <c r="H108" s="35"/>
      <c r="I108" s="35"/>
      <c r="J108" s="35"/>
      <c r="K108" s="37"/>
      <c r="L108" s="54"/>
      <c r="M108" s="54"/>
      <c r="N108" s="54"/>
      <c r="O108" s="54"/>
      <c r="P108" s="54"/>
      <c r="Q108" s="54"/>
      <c r="R108" s="54"/>
      <c r="S108" s="78"/>
      <c r="T108" s="78"/>
      <c r="U108" s="78"/>
      <c r="V108" s="78"/>
      <c r="W108" s="77"/>
      <c r="X108" s="78"/>
      <c r="Y108" s="77"/>
      <c r="Z108" s="78"/>
      <c r="AA108" s="78"/>
      <c r="AB108" s="78"/>
      <c r="AC108" s="77"/>
      <c r="AD108" s="59"/>
      <c r="AE108" s="59"/>
      <c r="AF108" s="50"/>
      <c r="AG108" s="33"/>
      <c r="AH108" s="33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</row>
    <row r="109" spans="1:188">
      <c r="A109" s="33"/>
      <c r="B109" s="40"/>
      <c r="C109" s="33"/>
      <c r="D109" s="33"/>
      <c r="E109" s="33"/>
      <c r="F109" s="84"/>
      <c r="G109" s="35"/>
      <c r="H109" s="35"/>
      <c r="I109" s="35"/>
      <c r="J109" s="35"/>
      <c r="K109" s="37"/>
      <c r="L109" s="54"/>
      <c r="M109" s="54"/>
      <c r="N109" s="54"/>
      <c r="O109" s="54"/>
      <c r="P109" s="54"/>
      <c r="Q109" s="54"/>
      <c r="R109" s="54"/>
      <c r="S109" s="78"/>
      <c r="T109" s="78"/>
      <c r="U109" s="78"/>
      <c r="V109" s="78"/>
      <c r="W109" s="77"/>
      <c r="X109" s="78"/>
      <c r="Y109" s="77"/>
      <c r="Z109" s="78"/>
      <c r="AA109" s="78"/>
      <c r="AB109" s="78"/>
      <c r="AC109" s="77"/>
      <c r="AD109" s="59"/>
      <c r="AE109" s="59"/>
      <c r="AF109" s="50"/>
      <c r="AG109" s="33"/>
      <c r="AH109" s="33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</row>
    <row r="110" spans="1:188">
      <c r="A110" s="33"/>
      <c r="B110" s="40"/>
      <c r="C110" s="33"/>
      <c r="D110" s="33"/>
      <c r="E110" s="33"/>
      <c r="F110" s="84"/>
      <c r="G110" s="35"/>
      <c r="H110" s="35"/>
      <c r="I110" s="35"/>
      <c r="J110" s="35"/>
      <c r="K110" s="37"/>
      <c r="L110" s="54"/>
      <c r="M110" s="54"/>
      <c r="N110" s="54"/>
      <c r="O110" s="54"/>
      <c r="P110" s="54"/>
      <c r="Q110" s="54"/>
      <c r="R110" s="54"/>
      <c r="S110" s="78"/>
      <c r="T110" s="78"/>
      <c r="U110" s="78"/>
      <c r="V110" s="78"/>
      <c r="W110" s="77"/>
      <c r="X110" s="78"/>
      <c r="Y110" s="77"/>
      <c r="Z110" s="78"/>
      <c r="AA110" s="78"/>
      <c r="AB110" s="78"/>
      <c r="AC110" s="77"/>
      <c r="AD110" s="59"/>
      <c r="AE110" s="59"/>
      <c r="AF110" s="50"/>
      <c r="AG110" s="33"/>
      <c r="AH110" s="33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</row>
    <row r="111" spans="1:188">
      <c r="A111" s="33"/>
      <c r="B111" s="40"/>
      <c r="C111" s="33"/>
      <c r="D111" s="33"/>
      <c r="E111" s="33"/>
      <c r="F111" s="84"/>
      <c r="G111" s="35"/>
      <c r="H111" s="35"/>
      <c r="I111" s="35"/>
      <c r="J111" s="35"/>
      <c r="K111" s="37"/>
      <c r="L111" s="54"/>
      <c r="M111" s="54"/>
      <c r="N111" s="54"/>
      <c r="O111" s="54"/>
      <c r="P111" s="54"/>
      <c r="Q111" s="54"/>
      <c r="R111" s="54"/>
      <c r="S111" s="78"/>
      <c r="T111" s="78"/>
      <c r="U111" s="78"/>
      <c r="V111" s="78"/>
      <c r="W111" s="77"/>
      <c r="X111" s="78"/>
      <c r="Y111" s="77"/>
      <c r="Z111" s="78"/>
      <c r="AA111" s="78"/>
      <c r="AB111" s="78"/>
      <c r="AC111" s="77"/>
      <c r="AD111" s="59"/>
      <c r="AE111" s="59"/>
      <c r="AF111" s="50"/>
      <c r="AG111" s="33"/>
      <c r="AH111" s="33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</row>
    <row r="112" spans="1:188">
      <c r="B112" s="20"/>
      <c r="C112" s="20"/>
      <c r="D112" s="20"/>
      <c r="AC112" s="14">
        <f>+AC72*0.16</f>
        <v>0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</row>
    <row r="113" spans="1:188">
      <c r="A113" s="109" t="s">
        <v>160</v>
      </c>
      <c r="B113" s="109"/>
      <c r="C113" s="20"/>
      <c r="D113" s="20"/>
      <c r="AC113" s="14">
        <f>+AC72+AC112</f>
        <v>0</v>
      </c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</row>
    <row r="114" spans="1:188" s="18" customFormat="1">
      <c r="A114" s="40"/>
      <c r="B114" s="40"/>
      <c r="C114" s="40"/>
      <c r="D114" s="45"/>
      <c r="E114" s="40"/>
      <c r="F114" s="41"/>
      <c r="G114" s="42"/>
      <c r="H114" s="42"/>
      <c r="I114" s="42"/>
      <c r="J114" s="64"/>
      <c r="K114" s="65"/>
      <c r="L114" s="42"/>
      <c r="M114" s="42"/>
      <c r="N114" s="42"/>
      <c r="O114" s="42"/>
      <c r="P114" s="42"/>
      <c r="Q114" s="42"/>
      <c r="R114" s="42"/>
      <c r="S114" s="38"/>
      <c r="T114" s="38"/>
      <c r="U114" s="40"/>
      <c r="V114" s="40"/>
      <c r="W114" s="65"/>
      <c r="X114" s="38"/>
      <c r="Y114" s="65"/>
      <c r="Z114" s="38"/>
      <c r="AA114" s="38"/>
      <c r="AB114" s="38"/>
      <c r="AC114" s="65"/>
      <c r="AD114" s="61"/>
      <c r="AE114" s="62"/>
      <c r="AF114" s="39">
        <f t="shared" ref="AF114" si="96">+AD114+AE114-Y114</f>
        <v>0</v>
      </c>
      <c r="AG114" s="40"/>
      <c r="AH114" s="63"/>
    </row>
    <row r="115" spans="1:188"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</row>
    <row r="116" spans="1:188"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</row>
    <row r="117" spans="1:188"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</row>
    <row r="118" spans="1:188"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</row>
    <row r="119" spans="1:188"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</row>
    <row r="120" spans="1:188"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</row>
    <row r="121" spans="1:188">
      <c r="A121" s="19" t="s">
        <v>19</v>
      </c>
      <c r="B121" s="13"/>
      <c r="C121" s="13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</row>
    <row r="122" spans="1:188">
      <c r="A122" s="19" t="s">
        <v>20</v>
      </c>
      <c r="B122" s="13"/>
      <c r="C122" s="13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</row>
    <row r="123" spans="1:188">
      <c r="A123" s="19" t="s">
        <v>21</v>
      </c>
      <c r="B123" s="13"/>
      <c r="C123" s="13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</row>
    <row r="124" spans="1:188">
      <c r="A124" s="19" t="s">
        <v>22</v>
      </c>
      <c r="B124" s="13"/>
      <c r="C124" s="13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</row>
    <row r="125" spans="1:188">
      <c r="A125" s="19" t="s">
        <v>23</v>
      </c>
      <c r="B125" s="13"/>
      <c r="C125" s="13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</row>
    <row r="126" spans="1:188">
      <c r="A126" s="19" t="s">
        <v>24</v>
      </c>
      <c r="B126" s="13"/>
      <c r="C126" s="13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</row>
    <row r="127" spans="1:188"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</row>
    <row r="128" spans="1:188"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</row>
    <row r="130" spans="2:3">
      <c r="B130" s="17"/>
      <c r="C130" s="23"/>
    </row>
    <row r="131" spans="2:3">
      <c r="B131" s="17"/>
      <c r="C131" s="23"/>
    </row>
    <row r="132" spans="2:3">
      <c r="B132" s="17"/>
      <c r="C132" s="23"/>
    </row>
  </sheetData>
  <sheetProtection selectLockedCells="1" selectUnlockedCells="1"/>
  <autoFilter ref="A5:AH66">
    <filterColumn colId="29" showButton="0"/>
    <sortState ref="A8:AH99">
      <sortCondition ref="B5:B99"/>
    </sortState>
  </autoFilter>
  <mergeCells count="32">
    <mergeCell ref="A113:B113"/>
    <mergeCell ref="AH5:AH6"/>
    <mergeCell ref="A70:B70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2016-10-13T23:17:57Z</dcterms:modified>
</cp:coreProperties>
</file>