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descuentos" sheetId="2" r:id="rId2"/>
    <sheet name="INFONAVIT" sheetId="3" r:id="rId3"/>
    <sheet name="COMPLEMENTO" sheetId="5" r:id="rId4"/>
  </sheets>
  <definedNames>
    <definedName name="_xlnm._FilterDatabase" localSheetId="3" hidden="1">COMPLEMENTO!$A$5:$AN$6</definedName>
    <definedName name="_xlnm._FilterDatabase" localSheetId="0" hidden="1">'FORMATO NOMINA'!$A$5:$AH$97</definedName>
  </definedNames>
  <calcPr calcId="124519"/>
</workbook>
</file>

<file path=xl/calcChain.xml><?xml version="1.0" encoding="utf-8"?>
<calcChain xmlns="http://schemas.openxmlformats.org/spreadsheetml/2006/main">
  <c r="AB81" i="4"/>
  <c r="AC81" s="1"/>
  <c r="Y81"/>
  <c r="Z81"/>
  <c r="W81"/>
  <c r="K81"/>
  <c r="G14"/>
  <c r="G26"/>
  <c r="G63"/>
  <c r="G69"/>
  <c r="G60"/>
  <c r="G71"/>
  <c r="G28"/>
  <c r="G53"/>
  <c r="G96"/>
  <c r="G25"/>
  <c r="G87"/>
  <c r="G83"/>
  <c r="G88"/>
  <c r="G31"/>
  <c r="G41"/>
  <c r="G11"/>
  <c r="G72"/>
  <c r="G33"/>
  <c r="G18"/>
  <c r="G94"/>
  <c r="G65"/>
  <c r="G77"/>
  <c r="G20"/>
  <c r="G93"/>
  <c r="G64"/>
  <c r="G9"/>
  <c r="G52"/>
  <c r="G82"/>
  <c r="G51"/>
  <c r="G102"/>
  <c r="AB66"/>
  <c r="AB40"/>
  <c r="AB19"/>
  <c r="K66" l="1"/>
  <c r="K40"/>
  <c r="K19"/>
  <c r="X66" l="1"/>
  <c r="W66"/>
  <c r="Z66"/>
  <c r="AC66" s="1"/>
  <c r="X40"/>
  <c r="W40"/>
  <c r="Z40"/>
  <c r="AC40" s="1"/>
  <c r="W19"/>
  <c r="X19"/>
  <c r="Z19"/>
  <c r="AC19" s="1"/>
  <c r="Y40" l="1"/>
  <c r="Y66"/>
  <c r="Y19"/>
  <c r="K48"/>
  <c r="Z48" s="1"/>
  <c r="AB48"/>
  <c r="AB26"/>
  <c r="K26"/>
  <c r="Z26" s="1"/>
  <c r="K86"/>
  <c r="W86" s="1"/>
  <c r="AB86"/>
  <c r="AC48" l="1"/>
  <c r="W48"/>
  <c r="X48"/>
  <c r="AC26"/>
  <c r="W26"/>
  <c r="X26"/>
  <c r="Z86"/>
  <c r="AC86" s="1"/>
  <c r="X86"/>
  <c r="Y86" s="1"/>
  <c r="AB36"/>
  <c r="K36"/>
  <c r="K104"/>
  <c r="W104" s="1"/>
  <c r="Y26" l="1"/>
  <c r="Y48"/>
  <c r="Z36"/>
  <c r="AC36" s="1"/>
  <c r="W36"/>
  <c r="X36"/>
  <c r="Y104"/>
  <c r="Z104"/>
  <c r="AC104" s="1"/>
  <c r="X104"/>
  <c r="Y36" l="1"/>
  <c r="AF36" s="1"/>
  <c r="K47"/>
  <c r="P47" l="1"/>
  <c r="AB47" s="1"/>
  <c r="Q47"/>
  <c r="X47"/>
  <c r="Z47"/>
  <c r="AC47" l="1"/>
  <c r="W47"/>
  <c r="Y47" s="1"/>
  <c r="AB73" l="1"/>
  <c r="K73"/>
  <c r="W73" s="1"/>
  <c r="Z73" l="1"/>
  <c r="AC73" s="1"/>
  <c r="X73"/>
  <c r="Y73" s="1"/>
  <c r="AB34" l="1"/>
  <c r="AB35"/>
  <c r="AB37"/>
  <c r="AB38"/>
  <c r="AB39"/>
  <c r="AB41"/>
  <c r="AB42"/>
  <c r="AB43"/>
  <c r="K34"/>
  <c r="W34" s="1"/>
  <c r="K37"/>
  <c r="X37" s="1"/>
  <c r="W37" l="1"/>
  <c r="Y37" s="1"/>
  <c r="Z34"/>
  <c r="AC34" s="1"/>
  <c r="Z37"/>
  <c r="AC37" s="1"/>
  <c r="X34"/>
  <c r="Y34" s="1"/>
  <c r="K43" l="1"/>
  <c r="Z43" l="1"/>
  <c r="AC43" s="1"/>
  <c r="W43"/>
  <c r="X43"/>
  <c r="Y43" l="1"/>
  <c r="K41"/>
  <c r="W41" l="1"/>
  <c r="X41"/>
  <c r="Z41"/>
  <c r="AC41" s="1"/>
  <c r="Y41" l="1"/>
  <c r="AB92" l="1"/>
  <c r="K92"/>
  <c r="K38"/>
  <c r="AB32"/>
  <c r="K32"/>
  <c r="Z32" s="1"/>
  <c r="AB68"/>
  <c r="K68"/>
  <c r="K18"/>
  <c r="Z38" l="1"/>
  <c r="AC38" s="1"/>
  <c r="W38"/>
  <c r="X38"/>
  <c r="W18"/>
  <c r="Z18"/>
  <c r="W92"/>
  <c r="Z92"/>
  <c r="AC92" s="1"/>
  <c r="X68"/>
  <c r="Z68"/>
  <c r="AC68" s="1"/>
  <c r="X92"/>
  <c r="X32"/>
  <c r="W32"/>
  <c r="AC32"/>
  <c r="W68"/>
  <c r="AB76"/>
  <c r="K76"/>
  <c r="Z76" s="1"/>
  <c r="Y38" l="1"/>
  <c r="AF38" s="1"/>
  <c r="Y92"/>
  <c r="Y68"/>
  <c r="Y32"/>
  <c r="AC76"/>
  <c r="W76"/>
  <c r="X76"/>
  <c r="Y76" l="1"/>
  <c r="AB18"/>
  <c r="AC18" s="1"/>
  <c r="X18" l="1"/>
  <c r="Y18" s="1"/>
  <c r="AF18" s="1"/>
  <c r="AF92"/>
  <c r="AF32" l="1"/>
  <c r="AF68"/>
  <c r="AB84"/>
  <c r="K55" l="1"/>
  <c r="Q55" s="1"/>
  <c r="K60"/>
  <c r="X55" l="1"/>
  <c r="Z55"/>
  <c r="P55"/>
  <c r="AB55" s="1"/>
  <c r="AB60"/>
  <c r="Z60"/>
  <c r="X60"/>
  <c r="AC55" l="1"/>
  <c r="W55"/>
  <c r="Y55" s="1"/>
  <c r="AF55" s="1"/>
  <c r="W60"/>
  <c r="Y60" s="1"/>
  <c r="AF60" s="1"/>
  <c r="AC60"/>
  <c r="AB30" l="1"/>
  <c r="K30"/>
  <c r="W30" l="1"/>
  <c r="Z30"/>
  <c r="AC30" s="1"/>
  <c r="X30"/>
  <c r="Y30" l="1"/>
  <c r="AF30" l="1"/>
  <c r="AB16" l="1"/>
  <c r="AB74"/>
  <c r="K16" l="1"/>
  <c r="Z16" s="1"/>
  <c r="AB70"/>
  <c r="K70"/>
  <c r="Z70" s="1"/>
  <c r="W70" l="1"/>
  <c r="AC70"/>
  <c r="AC16"/>
  <c r="W16"/>
  <c r="X16"/>
  <c r="X70"/>
  <c r="Y16" l="1"/>
  <c r="AF16" s="1"/>
  <c r="Y70"/>
  <c r="AF70" s="1"/>
  <c r="AF107" l="1"/>
  <c r="K39"/>
  <c r="X39" l="1"/>
  <c r="Z39"/>
  <c r="AC39" s="1"/>
  <c r="W39"/>
  <c r="AB85"/>
  <c r="K85" l="1"/>
  <c r="Z85" s="1"/>
  <c r="Y39"/>
  <c r="X85" l="1"/>
  <c r="W85"/>
  <c r="AC85"/>
  <c r="Y85" l="1"/>
  <c r="AF85" s="1"/>
  <c r="AF97"/>
  <c r="Q9" i="5" l="1"/>
  <c r="V9" s="1"/>
  <c r="U9" l="1"/>
  <c r="AB9"/>
  <c r="AE9" l="1"/>
  <c r="AH9" s="1"/>
  <c r="AH10" s="1"/>
  <c r="AC9"/>
  <c r="AD9"/>
  <c r="AH11" l="1"/>
  <c r="AH12" s="1"/>
  <c r="AH7" l="1"/>
  <c r="AH8" s="1"/>
  <c r="AH14" s="1"/>
  <c r="K97" i="4" l="1"/>
  <c r="X97" s="1"/>
  <c r="K59"/>
  <c r="Z59" l="1"/>
  <c r="P59"/>
  <c r="AB59" s="1"/>
  <c r="Q59"/>
  <c r="X59"/>
  <c r="AC59" l="1"/>
  <c r="W59"/>
  <c r="Y59" s="1"/>
  <c r="AF59" s="1"/>
  <c r="AB24"/>
  <c r="K72" l="1"/>
  <c r="X72" l="1"/>
  <c r="Z72"/>
  <c r="K24"/>
  <c r="AB97"/>
  <c r="AB89"/>
  <c r="AB96"/>
  <c r="AB95"/>
  <c r="AB94"/>
  <c r="AB91"/>
  <c r="AB90"/>
  <c r="AB88"/>
  <c r="AB87"/>
  <c r="AB83"/>
  <c r="AB79"/>
  <c r="AB78"/>
  <c r="AB71"/>
  <c r="AB69"/>
  <c r="AB67"/>
  <c r="AB63"/>
  <c r="AB61"/>
  <c r="AB58"/>
  <c r="AB57"/>
  <c r="AB56"/>
  <c r="AB53"/>
  <c r="AB54"/>
  <c r="AB49"/>
  <c r="AB46"/>
  <c r="AB45"/>
  <c r="AB44"/>
  <c r="AB29"/>
  <c r="AB28"/>
  <c r="AB27"/>
  <c r="AB25"/>
  <c r="AB23"/>
  <c r="AB21"/>
  <c r="AB17"/>
  <c r="AB15"/>
  <c r="AB12"/>
  <c r="AB13"/>
  <c r="AB11"/>
  <c r="AB10"/>
  <c r="AB8"/>
  <c r="AB7"/>
  <c r="X24" l="1"/>
  <c r="Z24"/>
  <c r="AC24" s="1"/>
  <c r="W24"/>
  <c r="P72"/>
  <c r="AB72" s="1"/>
  <c r="Q72"/>
  <c r="Y24" l="1"/>
  <c r="AF24" s="1"/>
  <c r="AC72"/>
  <c r="W72"/>
  <c r="Y72" s="1"/>
  <c r="AF72" s="1"/>
  <c r="Z97"/>
  <c r="AC97" s="1"/>
  <c r="K71"/>
  <c r="X71" l="1"/>
  <c r="Z71"/>
  <c r="AC71" s="1"/>
  <c r="AA99"/>
  <c r="W71"/>
  <c r="K103"/>
  <c r="W103" s="1"/>
  <c r="K102"/>
  <c r="AE99"/>
  <c r="AD99"/>
  <c r="S99"/>
  <c r="R99"/>
  <c r="L99"/>
  <c r="J99"/>
  <c r="I99"/>
  <c r="H99"/>
  <c r="K89"/>
  <c r="K74"/>
  <c r="K96"/>
  <c r="K94"/>
  <c r="K93"/>
  <c r="K91"/>
  <c r="K88"/>
  <c r="K87"/>
  <c r="K84"/>
  <c r="Z84" s="1"/>
  <c r="K83"/>
  <c r="K82"/>
  <c r="K80"/>
  <c r="K79"/>
  <c r="K78"/>
  <c r="K77"/>
  <c r="K75"/>
  <c r="K69"/>
  <c r="K67"/>
  <c r="K65"/>
  <c r="K64"/>
  <c r="K63"/>
  <c r="K62"/>
  <c r="K61"/>
  <c r="K58"/>
  <c r="K57"/>
  <c r="K56"/>
  <c r="K53"/>
  <c r="K52"/>
  <c r="K51"/>
  <c r="K50"/>
  <c r="K54"/>
  <c r="K49"/>
  <c r="K46"/>
  <c r="K45"/>
  <c r="K44"/>
  <c r="K42"/>
  <c r="K33"/>
  <c r="K31"/>
  <c r="K28"/>
  <c r="K27"/>
  <c r="K23"/>
  <c r="K22"/>
  <c r="Q22" s="1"/>
  <c r="K21"/>
  <c r="K20"/>
  <c r="K15"/>
  <c r="K14"/>
  <c r="K13"/>
  <c r="K11"/>
  <c r="K10"/>
  <c r="K9"/>
  <c r="K8"/>
  <c r="X103" l="1"/>
  <c r="Z103"/>
  <c r="AC103" s="1"/>
  <c r="Y103"/>
  <c r="P62"/>
  <c r="AB62" s="1"/>
  <c r="Q62"/>
  <c r="P77"/>
  <c r="AB77" s="1"/>
  <c r="Q77"/>
  <c r="K35"/>
  <c r="W42"/>
  <c r="X42"/>
  <c r="Z42"/>
  <c r="AC42" s="1"/>
  <c r="X67"/>
  <c r="Z67"/>
  <c r="AC67" s="1"/>
  <c r="X54"/>
  <c r="Z54"/>
  <c r="AC54" s="1"/>
  <c r="X45"/>
  <c r="Z45"/>
  <c r="AC45" s="1"/>
  <c r="X46"/>
  <c r="Z46"/>
  <c r="X58"/>
  <c r="Z58"/>
  <c r="AC58" s="1"/>
  <c r="X61"/>
  <c r="Z61"/>
  <c r="AC61" s="1"/>
  <c r="X23"/>
  <c r="Z23"/>
  <c r="X44"/>
  <c r="Z44"/>
  <c r="X49"/>
  <c r="Z49"/>
  <c r="X56"/>
  <c r="Z56"/>
  <c r="AC56" s="1"/>
  <c r="X57"/>
  <c r="Z57"/>
  <c r="X27"/>
  <c r="Z27"/>
  <c r="AC27" s="1"/>
  <c r="X13"/>
  <c r="Z13"/>
  <c r="AC13" s="1"/>
  <c r="X8"/>
  <c r="Z8"/>
  <c r="AC8" s="1"/>
  <c r="X10"/>
  <c r="Z10"/>
  <c r="AC10" s="1"/>
  <c r="X21"/>
  <c r="Z21"/>
  <c r="AC21" s="1"/>
  <c r="X14"/>
  <c r="Z14"/>
  <c r="X69"/>
  <c r="Z69"/>
  <c r="AC69" s="1"/>
  <c r="X28"/>
  <c r="Z28"/>
  <c r="AC28" s="1"/>
  <c r="X11"/>
  <c r="Z11"/>
  <c r="AC11" s="1"/>
  <c r="X20"/>
  <c r="Z20"/>
  <c r="X64"/>
  <c r="Z64"/>
  <c r="X62"/>
  <c r="Z62"/>
  <c r="X22"/>
  <c r="Z22"/>
  <c r="X9"/>
  <c r="Z9"/>
  <c r="X50"/>
  <c r="Z50"/>
  <c r="X31"/>
  <c r="Z31"/>
  <c r="X63"/>
  <c r="Z63"/>
  <c r="AC63" s="1"/>
  <c r="X53"/>
  <c r="Z53"/>
  <c r="AC53" s="1"/>
  <c r="X15"/>
  <c r="Z15"/>
  <c r="AC15" s="1"/>
  <c r="X75"/>
  <c r="Z75"/>
  <c r="X79"/>
  <c r="Z79"/>
  <c r="X93"/>
  <c r="Z93"/>
  <c r="X83"/>
  <c r="Z83"/>
  <c r="AC83" s="1"/>
  <c r="X91"/>
  <c r="Z91"/>
  <c r="AC91" s="1"/>
  <c r="X96"/>
  <c r="Z96"/>
  <c r="AC96" s="1"/>
  <c r="X78"/>
  <c r="Z78"/>
  <c r="AC78" s="1"/>
  <c r="X82"/>
  <c r="Z82"/>
  <c r="X88"/>
  <c r="Z88"/>
  <c r="AC88" s="1"/>
  <c r="X77"/>
  <c r="Z77"/>
  <c r="X80"/>
  <c r="Z80"/>
  <c r="X87"/>
  <c r="Z87"/>
  <c r="AC87" s="1"/>
  <c r="X89"/>
  <c r="Z89"/>
  <c r="AC89" s="1"/>
  <c r="X94"/>
  <c r="Z94"/>
  <c r="AC94" s="1"/>
  <c r="W74"/>
  <c r="Z74"/>
  <c r="AC74" s="1"/>
  <c r="X65"/>
  <c r="Z65"/>
  <c r="X52"/>
  <c r="Z52"/>
  <c r="X51"/>
  <c r="Z51"/>
  <c r="X33"/>
  <c r="Z33"/>
  <c r="X84"/>
  <c r="X74"/>
  <c r="K17"/>
  <c r="Z17" s="1"/>
  <c r="K90"/>
  <c r="K95"/>
  <c r="K12"/>
  <c r="Q102"/>
  <c r="P102"/>
  <c r="T99"/>
  <c r="K29"/>
  <c r="Y71"/>
  <c r="AF71" s="1"/>
  <c r="Q51"/>
  <c r="P51"/>
  <c r="AB51" s="1"/>
  <c r="AC84"/>
  <c r="W69"/>
  <c r="P31"/>
  <c r="AB31" s="1"/>
  <c r="Q82"/>
  <c r="Q52"/>
  <c r="U99"/>
  <c r="W11"/>
  <c r="W54"/>
  <c r="P20"/>
  <c r="AB20" s="1"/>
  <c r="W58"/>
  <c r="Q20"/>
  <c r="W63"/>
  <c r="AF39"/>
  <c r="W10"/>
  <c r="Q50"/>
  <c r="W83"/>
  <c r="W91"/>
  <c r="W21"/>
  <c r="P52"/>
  <c r="AB52" s="1"/>
  <c r="W94"/>
  <c r="G99"/>
  <c r="P50"/>
  <c r="AB50" s="1"/>
  <c r="W8"/>
  <c r="W15"/>
  <c r="W53"/>
  <c r="K7"/>
  <c r="Q9"/>
  <c r="Q14"/>
  <c r="P14"/>
  <c r="AB14" s="1"/>
  <c r="W27"/>
  <c r="P33"/>
  <c r="AB33" s="1"/>
  <c r="Q33"/>
  <c r="P75"/>
  <c r="AB75" s="1"/>
  <c r="Q75"/>
  <c r="W87"/>
  <c r="W89"/>
  <c r="P9"/>
  <c r="AB9" s="1"/>
  <c r="W13"/>
  <c r="W88"/>
  <c r="P22"/>
  <c r="AB22" s="1"/>
  <c r="W61"/>
  <c r="AF76"/>
  <c r="Q64"/>
  <c r="W28"/>
  <c r="W56"/>
  <c r="P64"/>
  <c r="AB64" s="1"/>
  <c r="Q65"/>
  <c r="P65"/>
  <c r="AB65" s="1"/>
  <c r="P93"/>
  <c r="AB93" s="1"/>
  <c r="Q31"/>
  <c r="W45"/>
  <c r="W78"/>
  <c r="P80"/>
  <c r="AB80" s="1"/>
  <c r="Q80"/>
  <c r="P82"/>
  <c r="AB82" s="1"/>
  <c r="Q93"/>
  <c r="W67"/>
  <c r="W84"/>
  <c r="W96"/>
  <c r="W35" l="1"/>
  <c r="Z35"/>
  <c r="AC35" s="1"/>
  <c r="X35"/>
  <c r="Y42"/>
  <c r="Y13"/>
  <c r="AF13" s="1"/>
  <c r="Y91"/>
  <c r="AF91" s="1"/>
  <c r="Y96"/>
  <c r="AF96" s="1"/>
  <c r="Y15"/>
  <c r="AF15" s="1"/>
  <c r="Y67"/>
  <c r="AF67" s="1"/>
  <c r="Y45"/>
  <c r="AF45" s="1"/>
  <c r="Y53"/>
  <c r="AF53" s="1"/>
  <c r="Y61"/>
  <c r="AF61" s="1"/>
  <c r="Y54"/>
  <c r="AF54" s="1"/>
  <c r="X29"/>
  <c r="Z29"/>
  <c r="AC29" s="1"/>
  <c r="Z12"/>
  <c r="AC12" s="1"/>
  <c r="X7"/>
  <c r="Z7"/>
  <c r="AC7" s="1"/>
  <c r="X95"/>
  <c r="Z95"/>
  <c r="AC95" s="1"/>
  <c r="Y94"/>
  <c r="AF94" s="1"/>
  <c r="X90"/>
  <c r="Z90"/>
  <c r="AC90" s="1"/>
  <c r="X17"/>
  <c r="W17"/>
  <c r="W102"/>
  <c r="X102" s="1"/>
  <c r="Y74"/>
  <c r="AF74" s="1"/>
  <c r="W12"/>
  <c r="X12"/>
  <c r="W90"/>
  <c r="AC17"/>
  <c r="W95"/>
  <c r="W29"/>
  <c r="Y89"/>
  <c r="AF89" s="1"/>
  <c r="AF41"/>
  <c r="Y63"/>
  <c r="AF63" s="1"/>
  <c r="Y56"/>
  <c r="AF56" s="1"/>
  <c r="Y21"/>
  <c r="AF21" s="1"/>
  <c r="Y8"/>
  <c r="AF8" s="1"/>
  <c r="Y69"/>
  <c r="AF69" s="1"/>
  <c r="Y27"/>
  <c r="AF27" s="1"/>
  <c r="Y87"/>
  <c r="AF87" s="1"/>
  <c r="Y58"/>
  <c r="AF58" s="1"/>
  <c r="Y28"/>
  <c r="AF28" s="1"/>
  <c r="Y83"/>
  <c r="AF83" s="1"/>
  <c r="Y88"/>
  <c r="AF88" s="1"/>
  <c r="Y78"/>
  <c r="AF78" s="1"/>
  <c r="Y10"/>
  <c r="AF10" s="1"/>
  <c r="Y11"/>
  <c r="AF11" s="1"/>
  <c r="Y84"/>
  <c r="AF84" s="1"/>
  <c r="AC33"/>
  <c r="AC93"/>
  <c r="AC82"/>
  <c r="AC51"/>
  <c r="AC50"/>
  <c r="AC62"/>
  <c r="AC52"/>
  <c r="AC75"/>
  <c r="AC20"/>
  <c r="AC9"/>
  <c r="AC64"/>
  <c r="AC22"/>
  <c r="AC31"/>
  <c r="AC14"/>
  <c r="AC65"/>
  <c r="AC80"/>
  <c r="AB99"/>
  <c r="W51"/>
  <c r="Y51" s="1"/>
  <c r="AF51" s="1"/>
  <c r="W52"/>
  <c r="Y52" s="1"/>
  <c r="AF52" s="1"/>
  <c r="W82"/>
  <c r="Y82" s="1"/>
  <c r="AF82" s="1"/>
  <c r="W31"/>
  <c r="Y31" s="1"/>
  <c r="AF31" s="1"/>
  <c r="W44"/>
  <c r="AC44"/>
  <c r="AC23"/>
  <c r="AC79"/>
  <c r="W49"/>
  <c r="AC49"/>
  <c r="W46"/>
  <c r="AC46"/>
  <c r="W57"/>
  <c r="AC57"/>
  <c r="W77"/>
  <c r="AC77"/>
  <c r="W20"/>
  <c r="Y20" s="1"/>
  <c r="AF20" s="1"/>
  <c r="W23"/>
  <c r="W64"/>
  <c r="Y64" s="1"/>
  <c r="AF64" s="1"/>
  <c r="W65"/>
  <c r="Y65" s="1"/>
  <c r="AF65" s="1"/>
  <c r="W50"/>
  <c r="Y50" s="1"/>
  <c r="AF50" s="1"/>
  <c r="W33"/>
  <c r="Y33" s="1"/>
  <c r="AF33" s="1"/>
  <c r="W14"/>
  <c r="Y14" s="1"/>
  <c r="AF14" s="1"/>
  <c r="O99"/>
  <c r="W62"/>
  <c r="Y62" s="1"/>
  <c r="AF62" s="1"/>
  <c r="W75"/>
  <c r="Y75" s="1"/>
  <c r="AF75" s="1"/>
  <c r="W93"/>
  <c r="Y93" s="1"/>
  <c r="AF93" s="1"/>
  <c r="P99"/>
  <c r="Q99"/>
  <c r="W7"/>
  <c r="W79"/>
  <c r="W22"/>
  <c r="Y22" s="1"/>
  <c r="AF22" s="1"/>
  <c r="W9"/>
  <c r="Y9" s="1"/>
  <c r="AF9" s="1"/>
  <c r="W80"/>
  <c r="Y80" s="1"/>
  <c r="AF80" s="1"/>
  <c r="Y35" l="1"/>
  <c r="AF35" s="1"/>
  <c r="Y95"/>
  <c r="AF95" s="1"/>
  <c r="Y29"/>
  <c r="AF29" s="1"/>
  <c r="Y17"/>
  <c r="AF17" s="1"/>
  <c r="Y90"/>
  <c r="AF90" s="1"/>
  <c r="Y102"/>
  <c r="Z102"/>
  <c r="AC102" s="1"/>
  <c r="AC105" s="1"/>
  <c r="AC106" s="1"/>
  <c r="Y12"/>
  <c r="AF12" s="1"/>
  <c r="AF42"/>
  <c r="Y23"/>
  <c r="AF23" s="1"/>
  <c r="Y46"/>
  <c r="Y44"/>
  <c r="AF44" s="1"/>
  <c r="Y79"/>
  <c r="AF79" s="1"/>
  <c r="Y49"/>
  <c r="AF49" s="1"/>
  <c r="Y57"/>
  <c r="AF57" s="1"/>
  <c r="Y77"/>
  <c r="AF77" s="1"/>
  <c r="V99"/>
  <c r="Y7"/>
  <c r="AF7" s="1"/>
  <c r="D21" i="3" l="1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D28" i="3" l="1"/>
  <c r="G28"/>
  <c r="K25" i="4"/>
  <c r="K99" l="1"/>
  <c r="Z25"/>
  <c r="Z99" s="1"/>
  <c r="X25"/>
  <c r="X99" s="1"/>
  <c r="W25"/>
  <c r="W99" l="1"/>
  <c r="Y25"/>
  <c r="AC25"/>
  <c r="AC99" s="1"/>
  <c r="Y99" l="1"/>
  <c r="AF25"/>
  <c r="AF99" s="1"/>
  <c r="AC100"/>
  <c r="AC101" s="1"/>
</calcChain>
</file>

<file path=xl/sharedStrings.xml><?xml version="1.0" encoding="utf-8"?>
<sst xmlns="http://schemas.openxmlformats.org/spreadsheetml/2006/main" count="530" uniqueCount="271">
  <si>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</si>
  <si>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</si>
  <si>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</si>
  <si>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</si>
  <si>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</si>
  <si>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</si>
  <si>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</si>
  <si>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</si>
  <si>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</si>
  <si>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</si>
  <si>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</si>
  <si>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</si>
  <si>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</si>
  <si>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</si>
  <si>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</si>
  <si>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</si>
  <si>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</si>
  <si>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</si>
  <si>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</si>
  <si>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</si>
  <si>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</si>
  <si>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</si>
  <si>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</si>
  <si>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</si>
  <si>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</si>
  <si>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</si>
  <si>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</si>
  <si>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</si>
  <si>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</si>
  <si>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</si>
  <si>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</si>
  <si>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</si>
  <si>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</si>
  <si>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</si>
  <si>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</si>
  <si>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</si>
  <si>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</si>
  <si>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</si>
  <si>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</si>
  <si>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</si>
  <si>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</si>
  <si>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</si>
  <si>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</si>
  <si>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</si>
  <si>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</si>
  <si>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</si>
  <si>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</si>
  <si>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</si>
  <si>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</si>
  <si>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</si>
  <si>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</si>
  <si>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</si>
  <si>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</si>
  <si>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</si>
  <si>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</si>
  <si>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</si>
  <si>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</si>
  <si>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</si>
  <si>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</si>
  <si>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</si>
  <si>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</si>
  <si>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</si>
  <si>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</si>
  <si>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</si>
  <si>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</si>
  <si>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</si>
  <si>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</si>
  <si>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</si>
  <si>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</si>
  <si>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</si>
  <si>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</si>
  <si>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</si>
  <si>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</si>
  <si>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</si>
  <si>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</si>
  <si>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</si>
  <si>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</si>
  <si>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</si>
  <si>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</si>
  <si>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</si>
  <si>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</si>
  <si>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</si>
  <si>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</si>
  <si>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</si>
  <si>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</si>
  <si>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</si>
  <si>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</si>
  <si>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</si>
  <si>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</si>
  <si>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</si>
  <si>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</si>
  <si>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</si>
  <si>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SL08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</si>
  <si>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</si>
  <si>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</si>
  <si>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</si>
  <si>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</si>
  <si>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</si>
  <si>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</si>
  <si>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</si>
  <si>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</si>
  <si>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</si>
  <si>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CM22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</si>
  <si>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</si>
  <si>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</si>
  <si>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</si>
  <si>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</si>
  <si>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</si>
  <si>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</si>
  <si>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</si>
  <si>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</si>
  <si>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</si>
  <si>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</si>
  <si>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</si>
  <si>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</si>
  <si>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</si>
  <si>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</si>
  <si>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</si>
  <si>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</si>
  <si>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</si>
  <si>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</si>
  <si>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</si>
  <si>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</si>
  <si>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</si>
  <si>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</si>
  <si>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</si>
  <si>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</si>
  <si>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</si>
  <si>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</si>
  <si>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</si>
  <si>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</si>
  <si>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</si>
  <si>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</si>
  <si>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</si>
  <si>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</si>
  <si>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</si>
  <si>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</si>
  <si>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</si>
  <si>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</si>
  <si>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</si>
  <si>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</si>
  <si>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</si>
  <si>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</si>
  <si>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</si>
  <si>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</si>
  <si>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</si>
  <si>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</si>
  <si>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</si>
  <si>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</si>
  <si>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</si>
  <si>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</si>
  <si>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</si>
  <si>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</si>
  <si>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</si>
  <si>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</si>
  <si>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</si>
  <si>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</si>
  <si>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</si>
  <si>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</si>
  <si>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</si>
  <si>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</si>
  <si>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</si>
  <si>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</si>
  <si>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</si>
  <si>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</si>
  <si>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</si>
  <si>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</si>
  <si>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</si>
  <si>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</si>
  <si>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</si>
  <si>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</si>
  <si>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</si>
  <si>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</si>
  <si>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</si>
  <si>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TINOCO LOPEZ ALFREDO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</si>
  <si>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</si>
  <si>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</si>
  <si>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</si>
  <si>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</si>
  <si>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</si>
  <si>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</si>
  <si>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</si>
  <si>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</si>
  <si>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</si>
  <si>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</si>
  <si>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</si>
  <si>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</si>
  <si>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</si>
  <si>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</si>
  <si>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</si>
  <si>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NORIA BADILLO JUAN JOSE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</si>
  <si>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</si>
  <si>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</si>
  <si>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</si>
  <si>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</si>
  <si>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</si>
  <si>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</si>
  <si>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</si>
  <si>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</si>
  <si>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</si>
  <si>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</si>
  <si>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</si>
  <si>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</si>
  <si>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</si>
  <si>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</si>
  <si>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</si>
  <si>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</si>
  <si>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</si>
  <si>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</si>
  <si>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</si>
  <si>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MONTES DE OCA JUAREZ JOSE ANTONIO</t>
  </si>
  <si>
    <t>23/03/2016 AL 29/03/2016</t>
  </si>
  <si>
    <t>Periodo Semana 13</t>
  </si>
  <si>
    <t>Num. Cuenta</t>
  </si>
  <si>
    <t>DISPERSION</t>
  </si>
  <si>
    <t>INCAPACIDADES</t>
  </si>
  <si>
    <t>HUGO RANGEL ZUÑIGA</t>
  </si>
  <si>
    <t>QUILLO ARRIAGA OSIEL JONATHAN</t>
  </si>
  <si>
    <t>BARRAGAN SERRANO HECTOR TONATIUH</t>
  </si>
  <si>
    <t>CORTES MIRANDA CARLOS ARMANDO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</si>
  <si>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</si>
  <si>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</si>
  <si>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</si>
  <si>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</si>
  <si>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</si>
  <si>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</si>
  <si>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</si>
  <si>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</si>
  <si>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</si>
  <si>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</si>
  <si>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</si>
  <si>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</si>
  <si>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BLANCO SALOMON RACIEL</t>
  </si>
  <si>
    <t>FEREGRINO RAMIREZ JUAN MANUEL</t>
  </si>
  <si>
    <t>TRONCOSO PEÑA GERARDO</t>
  </si>
  <si>
    <t>PATIÑO NAVARRO OSCAR MARTIN</t>
  </si>
  <si>
    <t>HERNANDEZ ARREOLA RODOLFO MAYOLO</t>
  </si>
  <si>
    <t>MORALES ROSAS ISRAEL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</si>
  <si>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</si>
  <si>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</si>
  <si>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</si>
  <si>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</si>
  <si>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</si>
  <si>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</si>
  <si>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</si>
  <si>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</si>
  <si>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NUMERO DE CUENTA BANCOMER: 1171646753</t>
  </si>
  <si>
    <t>SOLORZANO LUNA MARIANA</t>
  </si>
  <si>
    <t>DESCUENTO CTA 254 POR CONCEPTO DE PRESTAMO</t>
  </si>
  <si>
    <t>BARCENAS COLMENERO JORGE ALEJANDRO</t>
  </si>
  <si>
    <t>LOPEZ MIRELES ERIC</t>
  </si>
  <si>
    <t>MATILDE SANTIAGO URIEL</t>
  </si>
  <si>
    <t>CORTES ORTIZ JOSE DAVID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</si>
  <si>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</si>
  <si>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</si>
  <si>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</si>
  <si>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</si>
  <si>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</si>
  <si>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</si>
  <si>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</si>
  <si>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</si>
  <si>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</si>
  <si>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HERNANDEZ HERRERA J HECTOR</t>
  </si>
  <si>
    <t>PADILLA RUIZ JOSE ANTONIO</t>
  </si>
  <si>
    <t>DESCUENTO CTA 254 POR CONCEPTO DE OPTICA</t>
  </si>
  <si>
    <t>Periodo Semana 32</t>
  </si>
  <si>
    <t>03/08/2016 AL 09/08/2016</t>
  </si>
  <si>
    <t>SANCHEZ DE SANTIAGO RICARDO</t>
  </si>
  <si>
    <t>PASA DE QUINCENAL A SEMANAL</t>
  </si>
  <si>
    <t>CUENTA CON FONDO DE AHORRO DEL 4.9 % Y CUOTA SINDICAL DEL 1%</t>
  </si>
  <si>
    <t>PAGO DE 14 DIAS DE VACACIONES NO DISFRUTADAS Y PRIMA VACACIONAL CORRESPONDIENTE AL PERIODO 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</si>
</sst>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8" fillId="0" borderId="0"/>
    <xf numFmtId="43" fontId="2" fillId="0" borderId="0" applyFill="0" applyBorder="0" applyAlignment="0" applyProtection="0"/>
    <xf numFmtId="0" fontId="4" fillId="0" borderId="0"/>
    <xf numFmtId="0" fontId="2" fillId="0" borderId="0"/>
  </cellStyleXfs>
  <cellXfs count="132">
    <xf numFmtId="0" fontId="0" fillId="0" borderId="0" xfId="0"/>
    <xf numFmtId="0" fontId="5" fillId="0" borderId="0" xfId="3" applyFont="1" applyFill="1" applyAlignment="1" applyProtection="1">
      <alignment horizontal="left"/>
    </xf>
    <xf numFmtId="0" fontId="6" fillId="0" borderId="0" xfId="3" applyFont="1" applyFill="1" applyAlignment="1" applyProtection="1">
      <alignment horizontal="left"/>
    </xf>
    <xf numFmtId="15" fontId="7" fillId="0" borderId="0" xfId="3" applyNumberFormat="1" applyFont="1" applyFill="1" applyAlignment="1" applyProtection="1">
      <alignment horizontal="left"/>
    </xf>
    <xf numFmtId="43" fontId="2" fillId="0" borderId="0" xfId="2"/>
    <xf numFmtId="0" fontId="3" fillId="0" borderId="1" xfId="0" applyFont="1" applyFill="1" applyBorder="1"/>
    <xf numFmtId="49" fontId="3" fillId="0" borderId="1" xfId="0" applyNumberFormat="1" applyFont="1" applyFill="1" applyBorder="1"/>
    <xf numFmtId="4" fontId="3" fillId="0" borderId="1" xfId="0" applyNumberFormat="1" applyFont="1" applyFill="1" applyBorder="1"/>
    <xf numFmtId="4" fontId="3" fillId="0" borderId="0" xfId="0" applyNumberFormat="1" applyFont="1" applyFill="1" applyBorder="1"/>
    <xf numFmtId="164" fontId="9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43" fontId="0" fillId="0" borderId="0" xfId="2" applyFont="1"/>
    <xf numFmtId="0" fontId="11" fillId="0" borderId="0" xfId="3" applyFont="1" applyFill="1" applyAlignment="1" applyProtection="1">
      <alignment horizontal="left"/>
    </xf>
    <xf numFmtId="0" fontId="11" fillId="0" borderId="0" xfId="3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43" fontId="13" fillId="0" borderId="0" xfId="2" applyFont="1" applyFill="1" applyAlignment="1" applyProtection="1">
      <alignment horizontal="center"/>
    </xf>
    <xf numFmtId="0" fontId="12" fillId="0" borderId="0" xfId="0" applyFont="1" applyFill="1" applyProtection="1"/>
    <xf numFmtId="0" fontId="12" fillId="0" borderId="0" xfId="0" applyFont="1" applyProtection="1"/>
    <xf numFmtId="0" fontId="14" fillId="0" borderId="0" xfId="3" applyFont="1" applyFill="1" applyAlignment="1" applyProtection="1">
      <alignment horizontal="left"/>
    </xf>
    <xf numFmtId="0" fontId="14" fillId="0" borderId="0" xfId="3" applyFont="1" applyFill="1" applyAlignment="1" applyProtection="1">
      <alignment horizontal="center"/>
    </xf>
    <xf numFmtId="15" fontId="11" fillId="0" borderId="0" xfId="3" applyNumberFormat="1" applyFont="1" applyFill="1" applyAlignment="1" applyProtection="1">
      <alignment horizontal="left"/>
    </xf>
    <xf numFmtId="15" fontId="11" fillId="0" borderId="0" xfId="3" applyNumberFormat="1" applyFont="1" applyFill="1" applyAlignment="1" applyProtection="1">
      <alignment horizontal="center"/>
    </xf>
    <xf numFmtId="0" fontId="13" fillId="0" borderId="0" xfId="0" applyFont="1"/>
    <xf numFmtId="43" fontId="12" fillId="0" borderId="0" xfId="2" applyFont="1"/>
    <xf numFmtId="43" fontId="13" fillId="0" borderId="0" xfId="2" applyFont="1"/>
    <xf numFmtId="43" fontId="12" fillId="0" borderId="0" xfId="2" applyFont="1" applyFill="1"/>
    <xf numFmtId="0" fontId="13" fillId="0" borderId="0" xfId="0" applyFont="1" applyFill="1"/>
    <xf numFmtId="0" fontId="12" fillId="0" borderId="1" xfId="0" applyFont="1" applyBorder="1"/>
    <xf numFmtId="0" fontId="12" fillId="0" borderId="0" xfId="0" applyFont="1" applyFill="1"/>
    <xf numFmtId="0" fontId="12" fillId="0" borderId="0" xfId="0" applyFont="1"/>
    <xf numFmtId="0" fontId="15" fillId="0" borderId="0" xfId="0" applyFont="1"/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Border="1"/>
    <xf numFmtId="43" fontId="13" fillId="8" borderId="2" xfId="2" applyFont="1" applyFill="1" applyBorder="1" applyAlignment="1">
      <alignment horizontal="center" wrapText="1"/>
    </xf>
    <xf numFmtId="43" fontId="2" fillId="0" borderId="0" xfId="2" applyProtection="1"/>
    <xf numFmtId="43" fontId="2" fillId="0" borderId="0" xfId="2" applyFill="1"/>
    <xf numFmtId="43" fontId="13" fillId="8" borderId="1" xfId="2" applyFont="1" applyFill="1" applyBorder="1" applyAlignment="1">
      <alignment horizontal="center" wrapText="1"/>
    </xf>
    <xf numFmtId="43" fontId="13" fillId="8" borderId="8" xfId="2" applyFont="1" applyFill="1" applyBorder="1" applyAlignment="1">
      <alignment horizontal="center" wrapText="1"/>
    </xf>
    <xf numFmtId="43" fontId="2" fillId="8" borderId="2" xfId="2" applyFill="1" applyBorder="1" applyAlignment="1">
      <alignment horizontal="center" vertical="center" wrapText="1"/>
    </xf>
    <xf numFmtId="0" fontId="13" fillId="0" borderId="6" xfId="0" applyFont="1" applyFill="1" applyBorder="1"/>
    <xf numFmtId="0" fontId="12" fillId="0" borderId="8" xfId="0" applyFont="1" applyFill="1" applyBorder="1"/>
    <xf numFmtId="43" fontId="12" fillId="0" borderId="8" xfId="2" applyFont="1" applyFill="1" applyBorder="1"/>
    <xf numFmtId="43" fontId="13" fillId="0" borderId="8" xfId="2" applyFont="1" applyFill="1" applyBorder="1"/>
    <xf numFmtId="0" fontId="12" fillId="0" borderId="7" xfId="0" applyFont="1" applyBorder="1"/>
    <xf numFmtId="0" fontId="12" fillId="2" borderId="7" xfId="0" applyFont="1" applyFill="1" applyBorder="1"/>
    <xf numFmtId="43" fontId="12" fillId="0" borderId="7" xfId="2" applyFont="1" applyBorder="1"/>
    <xf numFmtId="43" fontId="12" fillId="2" borderId="7" xfId="2" applyFont="1" applyFill="1" applyBorder="1"/>
    <xf numFmtId="43" fontId="13" fillId="3" borderId="7" xfId="2" applyFont="1" applyFill="1" applyBorder="1"/>
    <xf numFmtId="43" fontId="12" fillId="4" borderId="7" xfId="2" applyFont="1" applyFill="1" applyBorder="1"/>
    <xf numFmtId="43" fontId="12" fillId="0" borderId="7" xfId="2" applyFont="1" applyFill="1" applyBorder="1" applyAlignment="1">
      <alignment horizontal="center"/>
    </xf>
    <xf numFmtId="43" fontId="12" fillId="6" borderId="7" xfId="2" applyFont="1" applyFill="1" applyBorder="1" applyAlignment="1">
      <alignment horizontal="center"/>
    </xf>
    <xf numFmtId="43" fontId="2" fillId="0" borderId="7" xfId="2" applyFill="1" applyBorder="1"/>
    <xf numFmtId="0" fontId="12" fillId="0" borderId="7" xfId="0" applyFont="1" applyFill="1" applyBorder="1"/>
    <xf numFmtId="43" fontId="12" fillId="11" borderId="7" xfId="2" applyFont="1" applyFill="1" applyBorder="1"/>
    <xf numFmtId="14" fontId="12" fillId="0" borderId="7" xfId="0" applyNumberFormat="1" applyFont="1" applyFill="1" applyBorder="1"/>
    <xf numFmtId="43" fontId="12" fillId="0" borderId="7" xfId="2" applyFont="1" applyFill="1" applyBorder="1"/>
    <xf numFmtId="0" fontId="13" fillId="0" borderId="7" xfId="0" applyFont="1" applyFill="1" applyBorder="1"/>
    <xf numFmtId="12" fontId="12" fillId="0" borderId="7" xfId="2" applyNumberFormat="1" applyFont="1" applyFill="1" applyBorder="1"/>
    <xf numFmtId="0" fontId="12" fillId="0" borderId="7" xfId="0" applyFont="1" applyFill="1" applyBorder="1" applyAlignment="1">
      <alignment horizontal="right"/>
    </xf>
    <xf numFmtId="43" fontId="12" fillId="0" borderId="8" xfId="2" applyFont="1" applyFill="1" applyBorder="1" applyAlignment="1">
      <alignment horizontal="center"/>
    </xf>
    <xf numFmtId="0" fontId="13" fillId="0" borderId="7" xfId="0" applyFont="1" applyBorder="1"/>
    <xf numFmtId="43" fontId="13" fillId="0" borderId="7" xfId="2" applyFont="1" applyBorder="1"/>
    <xf numFmtId="43" fontId="13" fillId="12" borderId="7" xfId="2" applyFont="1" applyFill="1" applyBorder="1"/>
    <xf numFmtId="43" fontId="2" fillId="0" borderId="7" xfId="2" applyBorder="1"/>
    <xf numFmtId="0" fontId="13" fillId="7" borderId="7" xfId="0" applyFont="1" applyFill="1" applyBorder="1" applyAlignment="1">
      <alignment horizontal="center"/>
    </xf>
    <xf numFmtId="43" fontId="12" fillId="5" borderId="7" xfId="2" applyFont="1" applyFill="1" applyBorder="1" applyAlignment="1">
      <alignment horizontal="center"/>
    </xf>
    <xf numFmtId="43" fontId="2" fillId="3" borderId="7" xfId="2" applyFill="1" applyBorder="1"/>
    <xf numFmtId="0" fontId="0" fillId="0" borderId="7" xfId="0" applyFill="1" applyBorder="1"/>
    <xf numFmtId="0" fontId="13" fillId="7" borderId="5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43" fontId="13" fillId="8" borderId="1" xfId="2" applyFont="1" applyFill="1" applyBorder="1" applyAlignment="1">
      <alignment horizontal="center" wrapText="1"/>
    </xf>
    <xf numFmtId="43" fontId="13" fillId="8" borderId="2" xfId="2" applyFont="1" applyFill="1" applyBorder="1" applyAlignment="1">
      <alignment horizontal="center" wrapText="1"/>
    </xf>
    <xf numFmtId="43" fontId="13" fillId="8" borderId="2" xfId="2" applyFont="1" applyFill="1" applyBorder="1" applyAlignment="1">
      <alignment horizontal="center" vertical="center" wrapText="1"/>
    </xf>
    <xf numFmtId="43" fontId="13" fillId="8" borderId="8" xfId="2" applyFont="1" applyFill="1" applyBorder="1" applyAlignment="1">
      <alignment horizontal="center" vertical="center" wrapText="1"/>
    </xf>
    <xf numFmtId="43" fontId="12" fillId="10" borderId="7" xfId="2" applyFont="1" applyFill="1" applyBorder="1"/>
    <xf numFmtId="43" fontId="16" fillId="8" borderId="2" xfId="2" applyFont="1" applyFill="1" applyBorder="1" applyAlignment="1">
      <alignment horizontal="center" vertical="center" wrapText="1"/>
    </xf>
    <xf numFmtId="43" fontId="17" fillId="0" borderId="0" xfId="2" applyFont="1" applyProtection="1"/>
    <xf numFmtId="43" fontId="17" fillId="0" borderId="0" xfId="2" applyFont="1"/>
    <xf numFmtId="43" fontId="17" fillId="0" borderId="0" xfId="2" applyFont="1" applyFill="1"/>
    <xf numFmtId="43" fontId="17" fillId="0" borderId="7" xfId="2" applyFont="1" applyBorder="1"/>
    <xf numFmtId="43" fontId="17" fillId="3" borderId="7" xfId="2" applyFont="1" applyFill="1" applyBorder="1"/>
    <xf numFmtId="0" fontId="18" fillId="0" borderId="7" xfId="0" applyFont="1" applyFill="1" applyBorder="1"/>
    <xf numFmtId="4" fontId="18" fillId="0" borderId="7" xfId="0" applyNumberFormat="1" applyFont="1" applyFill="1" applyBorder="1"/>
    <xf numFmtId="0" fontId="13" fillId="13" borderId="7" xfId="0" applyFont="1" applyFill="1" applyBorder="1"/>
    <xf numFmtId="43" fontId="10" fillId="0" borderId="7" xfId="2" applyFont="1" applyFill="1" applyBorder="1"/>
    <xf numFmtId="43" fontId="13" fillId="0" borderId="7" xfId="2" applyFont="1" applyFill="1" applyBorder="1"/>
    <xf numFmtId="43" fontId="19" fillId="0" borderId="7" xfId="2" applyFont="1" applyFill="1" applyBorder="1"/>
    <xf numFmtId="2" fontId="12" fillId="0" borderId="7" xfId="0" applyNumberFormat="1" applyFont="1" applyFill="1" applyBorder="1"/>
    <xf numFmtId="43" fontId="19" fillId="11" borderId="7" xfId="2" applyFont="1" applyFill="1" applyBorder="1"/>
    <xf numFmtId="0" fontId="0" fillId="0" borderId="0" xfId="0" applyFill="1"/>
    <xf numFmtId="14" fontId="19" fillId="0" borderId="7" xfId="0" applyNumberFormat="1" applyFont="1" applyFill="1" applyBorder="1"/>
    <xf numFmtId="165" fontId="19" fillId="0" borderId="7" xfId="0" applyNumberFormat="1" applyFont="1" applyFill="1" applyBorder="1"/>
    <xf numFmtId="14" fontId="12" fillId="0" borderId="7" xfId="0" applyNumberFormat="1" applyFont="1" applyFill="1" applyBorder="1" applyAlignment="1"/>
    <xf numFmtId="0" fontId="13" fillId="14" borderId="7" xfId="0" applyFont="1" applyFill="1" applyBorder="1"/>
    <xf numFmtId="0" fontId="12" fillId="10" borderId="7" xfId="0" applyFont="1" applyFill="1" applyBorder="1"/>
    <xf numFmtId="0" fontId="19" fillId="0" borderId="7" xfId="0" applyFont="1" applyFill="1" applyBorder="1" applyAlignment="1">
      <alignment wrapText="1"/>
    </xf>
    <xf numFmtId="4" fontId="19" fillId="0" borderId="7" xfId="0" applyNumberFormat="1" applyFont="1" applyFill="1" applyBorder="1" applyAlignment="1">
      <alignment wrapText="1"/>
    </xf>
    <xf numFmtId="0" fontId="20" fillId="0" borderId="7" xfId="0" applyFont="1" applyFill="1" applyBorder="1"/>
    <xf numFmtId="165" fontId="19" fillId="0" borderId="7" xfId="0" applyNumberFormat="1" applyFont="1" applyFill="1" applyBorder="1" applyAlignment="1">
      <alignment horizontal="right" vertical="center"/>
    </xf>
    <xf numFmtId="43" fontId="13" fillId="10" borderId="7" xfId="2" applyFont="1" applyFill="1" applyBorder="1"/>
    <xf numFmtId="43" fontId="12" fillId="10" borderId="7" xfId="2" applyFont="1" applyFill="1" applyBorder="1" applyAlignment="1">
      <alignment horizontal="center"/>
    </xf>
    <xf numFmtId="0" fontId="19" fillId="0" borderId="0" xfId="0" applyFont="1" applyFill="1"/>
    <xf numFmtId="0" fontId="19" fillId="0" borderId="7" xfId="0" applyFont="1" applyFill="1" applyBorder="1"/>
    <xf numFmtId="4" fontId="19" fillId="0" borderId="7" xfId="0" applyNumberFormat="1" applyFont="1" applyFill="1" applyBorder="1"/>
    <xf numFmtId="4" fontId="12" fillId="0" borderId="7" xfId="0" applyNumberFormat="1" applyFont="1" applyFill="1" applyBorder="1"/>
    <xf numFmtId="43" fontId="12" fillId="0" borderId="7" xfId="0" applyNumberFormat="1" applyFont="1" applyFill="1" applyBorder="1"/>
    <xf numFmtId="43" fontId="13" fillId="8" borderId="2" xfId="2" applyFont="1" applyFill="1" applyBorder="1" applyAlignment="1">
      <alignment horizontal="center" wrapText="1"/>
    </xf>
    <xf numFmtId="14" fontId="12" fillId="0" borderId="7" xfId="0" applyNumberFormat="1" applyFont="1" applyBorder="1"/>
    <xf numFmtId="0" fontId="1" fillId="10" borderId="7" xfId="0" applyFont="1" applyFill="1" applyBorder="1"/>
    <xf numFmtId="0" fontId="13" fillId="0" borderId="7" xfId="2" applyNumberFormat="1" applyFont="1" applyFill="1" applyBorder="1" applyAlignment="1">
      <alignment horizontal="center"/>
    </xf>
    <xf numFmtId="0" fontId="12" fillId="10" borderId="0" xfId="0" applyFont="1" applyFill="1"/>
    <xf numFmtId="0" fontId="13" fillId="13" borderId="7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43" fontId="13" fillId="8" borderId="1" xfId="2" applyFont="1" applyFill="1" applyBorder="1" applyAlignment="1">
      <alignment horizontal="center" wrapText="1"/>
    </xf>
    <xf numFmtId="43" fontId="13" fillId="8" borderId="2" xfId="2" applyFont="1" applyFill="1" applyBorder="1" applyAlignment="1">
      <alignment horizontal="center" wrapText="1"/>
    </xf>
    <xf numFmtId="43" fontId="16" fillId="8" borderId="3" xfId="2" applyFont="1" applyFill="1" applyBorder="1" applyAlignment="1">
      <alignment horizontal="center" wrapText="1"/>
    </xf>
    <xf numFmtId="43" fontId="16" fillId="8" borderId="4" xfId="2" applyFont="1" applyFill="1" applyBorder="1" applyAlignment="1">
      <alignment horizontal="center" wrapText="1"/>
    </xf>
    <xf numFmtId="43" fontId="2" fillId="7" borderId="5" xfId="2" applyFill="1" applyBorder="1" applyAlignment="1">
      <alignment horizontal="center"/>
    </xf>
    <xf numFmtId="0" fontId="13" fillId="9" borderId="2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43" fontId="13" fillId="8" borderId="2" xfId="2" applyFont="1" applyFill="1" applyBorder="1" applyAlignment="1">
      <alignment horizontal="center" vertical="center" wrapText="1"/>
    </xf>
    <xf numFmtId="43" fontId="13" fillId="8" borderId="8" xfId="2" applyFont="1" applyFill="1" applyBorder="1" applyAlignment="1">
      <alignment horizontal="center" vertical="center" wrapText="1"/>
    </xf>
    <xf numFmtId="3" fontId="13" fillId="8" borderId="2" xfId="0" applyNumberFormat="1" applyFont="1" applyFill="1" applyBorder="1" applyAlignment="1">
      <alignment horizontal="center"/>
    </xf>
    <xf numFmtId="3" fontId="13" fillId="8" borderId="8" xfId="0" applyNumberFormat="1" applyFont="1" applyFill="1" applyBorder="1" applyAlignment="1">
      <alignment horizontal="center"/>
    </xf>
    <xf numFmtId="3" fontId="13" fillId="8" borderId="1" xfId="0" applyNumberFormat="1" applyFont="1" applyFill="1" applyBorder="1"/>
    <xf numFmtId="3" fontId="13" fillId="8" borderId="2" xfId="0" applyNumberFormat="1" applyFont="1" applyFill="1" applyBorder="1"/>
    <xf numFmtId="43" fontId="2" fillId="8" borderId="3" xfId="2" applyFill="1" applyBorder="1" applyAlignment="1">
      <alignment horizontal="center" wrapText="1"/>
    </xf>
    <xf numFmtId="43" fontId="2" fillId="8" borderId="4" xfId="2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BCD6EE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25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29" customWidth="1"/>
    <col min="2" max="2" width="39.5703125" style="29" bestFit="1" customWidth="1"/>
    <col min="3" max="3" width="8.140625" style="29" customWidth="1"/>
    <col min="4" max="4" width="8.85546875" style="29" customWidth="1"/>
    <col min="5" max="5" width="30" style="29" bestFit="1" customWidth="1"/>
    <col min="6" max="6" width="20.140625" style="29" customWidth="1"/>
    <col min="7" max="7" width="13.85546875" style="23" customWidth="1"/>
    <col min="8" max="10" width="13.5703125" style="23" customWidth="1"/>
    <col min="11" max="11" width="17" style="24" customWidth="1"/>
    <col min="12" max="14" width="13.5703125" style="23" customWidth="1"/>
    <col min="15" max="15" width="13.5703125" style="25" customWidth="1"/>
    <col min="16" max="16" width="19.28515625" style="25" customWidth="1"/>
    <col min="17" max="17" width="16.85546875" style="25" customWidth="1"/>
    <col min="18" max="18" width="16.140625" style="25" customWidth="1"/>
    <col min="19" max="22" width="13.5703125" style="23" customWidth="1"/>
    <col min="23" max="23" width="16.7109375" style="24" customWidth="1"/>
    <col min="24" max="24" width="16.7109375" style="23" customWidth="1"/>
    <col min="25" max="25" width="15.42578125" style="24" customWidth="1"/>
    <col min="26" max="28" width="13.5703125" style="23" customWidth="1"/>
    <col min="29" max="29" width="15.42578125" style="24" customWidth="1"/>
    <col min="30" max="30" width="15.28515625" style="78" hidden="1" customWidth="1"/>
    <col min="31" max="31" width="12.7109375" style="78" hidden="1" customWidth="1"/>
    <col min="32" max="32" width="11.5703125" style="4" hidden="1" customWidth="1"/>
    <col min="33" max="33" width="13.28515625" style="29" customWidth="1"/>
    <col min="34" max="34" width="47.28515625" style="29" bestFit="1" customWidth="1"/>
    <col min="35" max="35" width="63.5703125" style="28" bestFit="1" customWidth="1"/>
    <col min="36" max="48" width="11.5703125" style="28"/>
    <col min="49" max="16384" width="11.5703125" style="29"/>
  </cols>
  <sheetData>
    <row r="1" spans="1:48" s="17" customFormat="1">
      <c r="A1" s="12" t="s">
        <v>22</v>
      </c>
      <c r="B1" s="12"/>
      <c r="C1" s="12"/>
      <c r="D1" s="12"/>
      <c r="E1" s="13"/>
      <c r="F1" s="13"/>
      <c r="G1" s="14"/>
      <c r="H1" s="14"/>
      <c r="I1" s="14"/>
      <c r="J1" s="14"/>
      <c r="K1" s="15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4"/>
      <c r="Y1" s="15"/>
      <c r="Z1" s="14"/>
      <c r="AA1" s="14"/>
      <c r="AB1" s="14"/>
      <c r="AC1" s="15"/>
      <c r="AD1" s="77"/>
      <c r="AE1" s="77"/>
      <c r="AF1" s="35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2" spans="1:48" s="17" customFormat="1">
      <c r="A2" s="18" t="s">
        <v>73</v>
      </c>
      <c r="B2" s="18"/>
      <c r="C2" s="18"/>
      <c r="D2" s="18"/>
      <c r="E2" s="19"/>
      <c r="F2" s="19"/>
      <c r="G2" s="14"/>
      <c r="H2" s="14"/>
      <c r="I2" s="14"/>
      <c r="J2" s="14"/>
      <c r="K2" s="15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4"/>
      <c r="Y2" s="15"/>
      <c r="Z2" s="14"/>
      <c r="AA2" s="14"/>
      <c r="AB2" s="14"/>
      <c r="AC2" s="15"/>
      <c r="AD2" s="77"/>
      <c r="AE2" s="77"/>
      <c r="AF2" s="35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</row>
    <row r="3" spans="1:48" s="17" customFormat="1">
      <c r="A3" s="20" t="s">
        <v>265</v>
      </c>
      <c r="B3" s="20"/>
      <c r="C3" s="20"/>
      <c r="D3" s="20"/>
      <c r="E3" s="21"/>
      <c r="F3" s="21"/>
      <c r="G3" s="14"/>
      <c r="H3" s="14"/>
      <c r="I3" s="14"/>
      <c r="J3" s="14"/>
      <c r="K3" s="15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4"/>
      <c r="Y3" s="15"/>
      <c r="Z3" s="14"/>
      <c r="AA3" s="14"/>
      <c r="AB3" s="14"/>
      <c r="AC3" s="15"/>
      <c r="AD3" s="77"/>
      <c r="AE3" s="77"/>
      <c r="AF3" s="35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4" spans="1:48" s="22" customFormat="1">
      <c r="A4" s="22" t="s">
        <v>266</v>
      </c>
      <c r="G4" s="23"/>
      <c r="H4" s="23"/>
      <c r="I4" s="23"/>
      <c r="J4" s="23"/>
      <c r="K4" s="24"/>
      <c r="L4" s="23"/>
      <c r="M4" s="23"/>
      <c r="N4" s="23"/>
      <c r="O4" s="25"/>
      <c r="P4" s="25"/>
      <c r="Q4" s="25"/>
      <c r="R4" s="25"/>
      <c r="S4" s="23"/>
      <c r="T4" s="23"/>
      <c r="U4" s="23"/>
      <c r="V4" s="23"/>
      <c r="W4" s="24"/>
      <c r="X4" s="23"/>
      <c r="Y4" s="24"/>
      <c r="Z4" s="23"/>
      <c r="AA4" s="23"/>
      <c r="AB4" s="23"/>
      <c r="AC4" s="24"/>
      <c r="AD4" s="78"/>
      <c r="AE4" s="78"/>
      <c r="AF4" s="4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</row>
    <row r="5" spans="1:48" s="22" customFormat="1" ht="28.5" customHeight="1">
      <c r="A5" s="124" t="s">
        <v>36</v>
      </c>
      <c r="B5" s="126" t="s">
        <v>37</v>
      </c>
      <c r="C5" s="124" t="s">
        <v>182</v>
      </c>
      <c r="D5" s="126" t="s">
        <v>38</v>
      </c>
      <c r="E5" s="126" t="s">
        <v>0</v>
      </c>
      <c r="F5" s="124" t="s">
        <v>178</v>
      </c>
      <c r="G5" s="122" t="s">
        <v>72</v>
      </c>
      <c r="H5" s="115" t="s">
        <v>32</v>
      </c>
      <c r="I5" s="115" t="s">
        <v>33</v>
      </c>
      <c r="J5" s="115" t="s">
        <v>60</v>
      </c>
      <c r="K5" s="115" t="s">
        <v>34</v>
      </c>
      <c r="L5" s="115" t="s">
        <v>35</v>
      </c>
      <c r="M5" s="107"/>
      <c r="N5" s="34"/>
      <c r="O5" s="120" t="s">
        <v>142</v>
      </c>
      <c r="P5" s="120" t="s">
        <v>161</v>
      </c>
      <c r="Q5" s="120" t="s">
        <v>160</v>
      </c>
      <c r="R5" s="120" t="s">
        <v>143</v>
      </c>
      <c r="S5" s="115" t="s">
        <v>28</v>
      </c>
      <c r="T5" s="115" t="s">
        <v>53</v>
      </c>
      <c r="U5" s="115" t="s">
        <v>52</v>
      </c>
      <c r="V5" s="115" t="s">
        <v>30</v>
      </c>
      <c r="W5" s="115" t="s">
        <v>61</v>
      </c>
      <c r="X5" s="115" t="s">
        <v>25</v>
      </c>
      <c r="Y5" s="115" t="s">
        <v>29</v>
      </c>
      <c r="Z5" s="115" t="s">
        <v>24</v>
      </c>
      <c r="AA5" s="115" t="s">
        <v>26</v>
      </c>
      <c r="AB5" s="37"/>
      <c r="AC5" s="115" t="s">
        <v>27</v>
      </c>
      <c r="AD5" s="117" t="s">
        <v>214</v>
      </c>
      <c r="AE5" s="118"/>
      <c r="AF5" s="119" t="s">
        <v>145</v>
      </c>
      <c r="AG5" s="113" t="s">
        <v>186</v>
      </c>
      <c r="AH5" s="113" t="s">
        <v>187</v>
      </c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</row>
    <row r="6" spans="1:48" s="32" customFormat="1" ht="39" customHeight="1">
      <c r="A6" s="125"/>
      <c r="B6" s="127"/>
      <c r="C6" s="125"/>
      <c r="D6" s="127"/>
      <c r="E6" s="127"/>
      <c r="F6" s="125"/>
      <c r="G6" s="123"/>
      <c r="H6" s="116"/>
      <c r="I6" s="116"/>
      <c r="J6" s="116"/>
      <c r="K6" s="116"/>
      <c r="L6" s="116"/>
      <c r="M6" s="38" t="s">
        <v>244</v>
      </c>
      <c r="N6" s="38" t="s">
        <v>200</v>
      </c>
      <c r="O6" s="121"/>
      <c r="P6" s="121"/>
      <c r="Q6" s="121"/>
      <c r="R6" s="121"/>
      <c r="S6" s="116"/>
      <c r="T6" s="116"/>
      <c r="U6" s="116"/>
      <c r="V6" s="116"/>
      <c r="W6" s="116"/>
      <c r="X6" s="116"/>
      <c r="Y6" s="116"/>
      <c r="Z6" s="116"/>
      <c r="AA6" s="116"/>
      <c r="AB6" s="34"/>
      <c r="AC6" s="116"/>
      <c r="AD6" s="76" t="s">
        <v>63</v>
      </c>
      <c r="AE6" s="76" t="s">
        <v>65</v>
      </c>
      <c r="AF6" s="119"/>
      <c r="AG6" s="113"/>
      <c r="AH6" s="113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s="28" customFormat="1">
      <c r="A7" s="53" t="s">
        <v>81</v>
      </c>
      <c r="B7" s="53" t="s">
        <v>172</v>
      </c>
      <c r="C7" s="53"/>
      <c r="D7" s="53" t="s">
        <v>85</v>
      </c>
      <c r="E7" s="53" t="s">
        <v>69</v>
      </c>
      <c r="F7" s="92">
        <v>42062</v>
      </c>
      <c r="G7" s="56">
        <v>1336.91</v>
      </c>
      <c r="H7" s="56"/>
      <c r="I7" s="56"/>
      <c r="J7" s="85">
        <v>45.13</v>
      </c>
      <c r="K7" s="86">
        <f t="shared" ref="K7:K38" si="0">SUM(G7:I7)-J7</f>
        <v>1291.78</v>
      </c>
      <c r="L7" s="56"/>
      <c r="M7" s="110">
        <v>1</v>
      </c>
      <c r="N7" s="56"/>
      <c r="O7" s="56">
        <v>0</v>
      </c>
      <c r="P7" s="56"/>
      <c r="Q7" s="56"/>
      <c r="R7" s="56"/>
      <c r="S7" s="50"/>
      <c r="T7" s="50"/>
      <c r="U7" s="53"/>
      <c r="V7" s="53">
        <v>0</v>
      </c>
      <c r="W7" s="86">
        <f t="shared" ref="W7:W37" si="1">+K7-SUM(L7:V7)</f>
        <v>1290.78</v>
      </c>
      <c r="X7" s="50">
        <f t="shared" ref="X7:X37" si="2">IF(K7&gt;2250,K7*0.1,0)</f>
        <v>0</v>
      </c>
      <c r="Y7" s="86">
        <f t="shared" ref="Y7:Y37" si="3">+W7-X7</f>
        <v>1290.78</v>
      </c>
      <c r="Z7" s="50">
        <f t="shared" ref="Z7:Z37" si="4">IF(K7&lt;2250,K7*0.1,0)</f>
        <v>129.178</v>
      </c>
      <c r="AA7" s="50">
        <v>10.23</v>
      </c>
      <c r="AB7" s="50">
        <f t="shared" ref="AB7:AB37" si="5">+P7</f>
        <v>0</v>
      </c>
      <c r="AC7" s="86">
        <f t="shared" ref="AC7:AC37" si="6">+K7+Z7+AA7+AB7</f>
        <v>1431.1880000000001</v>
      </c>
      <c r="AD7" s="96"/>
      <c r="AE7" s="97"/>
      <c r="AF7" s="87">
        <f t="shared" ref="AF7:AF33" si="7">+AD7+AE7-Y7</f>
        <v>-1290.78</v>
      </c>
      <c r="AG7" s="53"/>
      <c r="AH7" s="53"/>
    </row>
    <row r="8" spans="1:48" s="28" customFormat="1">
      <c r="A8" s="53" t="s">
        <v>68</v>
      </c>
      <c r="B8" s="53" t="s">
        <v>166</v>
      </c>
      <c r="C8" s="53" t="s">
        <v>182</v>
      </c>
      <c r="D8" s="53" t="s">
        <v>123</v>
      </c>
      <c r="E8" s="53" t="s">
        <v>71</v>
      </c>
      <c r="F8" s="92">
        <v>41797</v>
      </c>
      <c r="G8" s="56">
        <v>80.86</v>
      </c>
      <c r="H8" s="56"/>
      <c r="I8" s="56"/>
      <c r="J8" s="85">
        <v>45.13</v>
      </c>
      <c r="K8" s="86">
        <f t="shared" si="0"/>
        <v>35.729999999999997</v>
      </c>
      <c r="L8" s="56"/>
      <c r="M8" s="110"/>
      <c r="N8" s="102"/>
      <c r="O8" s="56">
        <v>0</v>
      </c>
      <c r="P8" s="56"/>
      <c r="Q8" s="56"/>
      <c r="R8" s="56"/>
      <c r="S8" s="50"/>
      <c r="T8" s="50"/>
      <c r="U8" s="53"/>
      <c r="V8" s="53">
        <v>0</v>
      </c>
      <c r="W8" s="86">
        <f t="shared" si="1"/>
        <v>35.729999999999997</v>
      </c>
      <c r="X8" s="50">
        <f t="shared" si="2"/>
        <v>0</v>
      </c>
      <c r="Y8" s="86">
        <f t="shared" si="3"/>
        <v>35.729999999999997</v>
      </c>
      <c r="Z8" s="50">
        <f t="shared" si="4"/>
        <v>3.573</v>
      </c>
      <c r="AA8" s="50">
        <v>10.23</v>
      </c>
      <c r="AB8" s="50">
        <f t="shared" si="5"/>
        <v>0</v>
      </c>
      <c r="AC8" s="86">
        <f t="shared" si="6"/>
        <v>49.533000000000001</v>
      </c>
      <c r="AD8" s="96"/>
      <c r="AE8" s="97"/>
      <c r="AF8" s="87">
        <f t="shared" si="7"/>
        <v>-35.729999999999997</v>
      </c>
      <c r="AG8" s="53"/>
      <c r="AH8" s="53"/>
    </row>
    <row r="9" spans="1:48" s="28" customFormat="1">
      <c r="A9" s="53" t="s">
        <v>84</v>
      </c>
      <c r="B9" s="53" t="s">
        <v>150</v>
      </c>
      <c r="C9" s="53"/>
      <c r="D9" s="53" t="s">
        <v>106</v>
      </c>
      <c r="E9" s="53" t="s">
        <v>260</v>
      </c>
      <c r="F9" s="92">
        <v>41381</v>
      </c>
      <c r="G9" s="56">
        <f>5540.67+2.599</f>
        <v>5543.2690000000002</v>
      </c>
      <c r="H9" s="56"/>
      <c r="I9" s="56"/>
      <c r="J9" s="85">
        <v>45.13</v>
      </c>
      <c r="K9" s="86">
        <f t="shared" si="0"/>
        <v>5498.1390000000001</v>
      </c>
      <c r="L9" s="56"/>
      <c r="M9" s="110"/>
      <c r="N9" s="56"/>
      <c r="O9" s="56">
        <v>0</v>
      </c>
      <c r="P9" s="56">
        <f>K9*4.9%</f>
        <v>269.40881100000001</v>
      </c>
      <c r="Q9" s="56">
        <f>K9*1%</f>
        <v>54.981390000000005</v>
      </c>
      <c r="R9" s="56"/>
      <c r="S9" s="50"/>
      <c r="T9" s="50"/>
      <c r="U9" s="53"/>
      <c r="V9" s="53">
        <v>0</v>
      </c>
      <c r="W9" s="86">
        <f t="shared" si="1"/>
        <v>5173.748799</v>
      </c>
      <c r="X9" s="50">
        <f t="shared" si="2"/>
        <v>549.81389999999999</v>
      </c>
      <c r="Y9" s="86">
        <f t="shared" si="3"/>
        <v>4623.9348989999999</v>
      </c>
      <c r="Z9" s="50">
        <f t="shared" si="4"/>
        <v>0</v>
      </c>
      <c r="AA9" s="50">
        <v>10.23</v>
      </c>
      <c r="AB9" s="50">
        <f t="shared" si="5"/>
        <v>269.40881100000001</v>
      </c>
      <c r="AC9" s="86">
        <f t="shared" si="6"/>
        <v>5777.7778109999999</v>
      </c>
      <c r="AD9" s="96"/>
      <c r="AE9" s="97"/>
      <c r="AF9" s="87">
        <f t="shared" si="7"/>
        <v>-4623.9348989999999</v>
      </c>
      <c r="AG9" s="53"/>
      <c r="AH9" s="53"/>
      <c r="AI9" s="111" t="s">
        <v>269</v>
      </c>
    </row>
    <row r="10" spans="1:48" s="28" customFormat="1">
      <c r="A10" s="53" t="s">
        <v>68</v>
      </c>
      <c r="B10" s="53" t="s">
        <v>78</v>
      </c>
      <c r="C10" s="53" t="s">
        <v>182</v>
      </c>
      <c r="D10" s="53">
        <v>16</v>
      </c>
      <c r="E10" s="53" t="s">
        <v>71</v>
      </c>
      <c r="F10" s="92">
        <v>39508</v>
      </c>
      <c r="G10" s="56"/>
      <c r="H10" s="56"/>
      <c r="I10" s="56"/>
      <c r="J10" s="85">
        <v>45.13</v>
      </c>
      <c r="K10" s="86">
        <f t="shared" si="0"/>
        <v>-45.13</v>
      </c>
      <c r="L10" s="56"/>
      <c r="M10" s="110"/>
      <c r="N10" s="56"/>
      <c r="O10" s="56">
        <v>0</v>
      </c>
      <c r="P10" s="56"/>
      <c r="Q10" s="56"/>
      <c r="R10" s="56"/>
      <c r="S10" s="50"/>
      <c r="T10" s="50"/>
      <c r="U10" s="53"/>
      <c r="V10" s="53">
        <v>0</v>
      </c>
      <c r="W10" s="86">
        <f t="shared" si="1"/>
        <v>-45.13</v>
      </c>
      <c r="X10" s="50">
        <f t="shared" si="2"/>
        <v>0</v>
      </c>
      <c r="Y10" s="86">
        <f t="shared" si="3"/>
        <v>-45.13</v>
      </c>
      <c r="Z10" s="50">
        <f t="shared" si="4"/>
        <v>-4.5130000000000008</v>
      </c>
      <c r="AA10" s="50">
        <v>10.23</v>
      </c>
      <c r="AB10" s="50">
        <f t="shared" si="5"/>
        <v>0</v>
      </c>
      <c r="AC10" s="86">
        <f t="shared" si="6"/>
        <v>-39.412999999999997</v>
      </c>
      <c r="AD10" s="96"/>
      <c r="AE10" s="97"/>
      <c r="AF10" s="87">
        <f t="shared" si="7"/>
        <v>45.13</v>
      </c>
      <c r="AG10" s="53"/>
      <c r="AH10" s="53"/>
    </row>
    <row r="11" spans="1:48" s="28" customFormat="1">
      <c r="A11" s="53" t="s">
        <v>81</v>
      </c>
      <c r="B11" s="53" t="s">
        <v>195</v>
      </c>
      <c r="C11" s="53"/>
      <c r="D11" s="53"/>
      <c r="E11" s="53" t="s">
        <v>196</v>
      </c>
      <c r="F11" s="92">
        <v>42422</v>
      </c>
      <c r="G11" s="56">
        <f>977.22+2.972</f>
        <v>980.19200000000001</v>
      </c>
      <c r="H11" s="56"/>
      <c r="I11" s="56"/>
      <c r="J11" s="85">
        <v>45.13</v>
      </c>
      <c r="K11" s="86">
        <f t="shared" si="0"/>
        <v>935.06200000000001</v>
      </c>
      <c r="L11" s="56"/>
      <c r="M11" s="110"/>
      <c r="N11" s="56"/>
      <c r="O11" s="56">
        <v>0</v>
      </c>
      <c r="P11" s="56"/>
      <c r="Q11" s="56"/>
      <c r="R11" s="56"/>
      <c r="S11" s="50"/>
      <c r="T11" s="50"/>
      <c r="U11" s="53"/>
      <c r="V11" s="53">
        <v>0</v>
      </c>
      <c r="W11" s="86">
        <f t="shared" si="1"/>
        <v>935.06200000000001</v>
      </c>
      <c r="X11" s="50">
        <f t="shared" si="2"/>
        <v>0</v>
      </c>
      <c r="Y11" s="86">
        <f t="shared" si="3"/>
        <v>935.06200000000001</v>
      </c>
      <c r="Z11" s="50">
        <f t="shared" si="4"/>
        <v>93.506200000000007</v>
      </c>
      <c r="AA11" s="50">
        <v>10.23</v>
      </c>
      <c r="AB11" s="50">
        <f t="shared" si="5"/>
        <v>0</v>
      </c>
      <c r="AC11" s="86">
        <f t="shared" si="6"/>
        <v>1038.7982</v>
      </c>
      <c r="AD11" s="96"/>
      <c r="AE11" s="97"/>
      <c r="AF11" s="87">
        <f t="shared" si="7"/>
        <v>-935.06200000000001</v>
      </c>
      <c r="AG11" s="53">
        <v>1456104819</v>
      </c>
      <c r="AH11" s="57"/>
    </row>
    <row r="12" spans="1:48" s="28" customFormat="1">
      <c r="A12" s="53" t="s">
        <v>68</v>
      </c>
      <c r="B12" s="53" t="s">
        <v>167</v>
      </c>
      <c r="C12" s="53" t="s">
        <v>179</v>
      </c>
      <c r="D12" s="53" t="s">
        <v>124</v>
      </c>
      <c r="E12" s="53" t="s">
        <v>70</v>
      </c>
      <c r="F12" s="92">
        <v>42383</v>
      </c>
      <c r="G12" s="56">
        <v>8211.69</v>
      </c>
      <c r="H12" s="56"/>
      <c r="I12" s="56"/>
      <c r="J12" s="85">
        <v>45.13</v>
      </c>
      <c r="K12" s="86">
        <f t="shared" si="0"/>
        <v>8166.56</v>
      </c>
      <c r="L12" s="56"/>
      <c r="M12" s="110"/>
      <c r="N12" s="56"/>
      <c r="O12" s="56">
        <v>0</v>
      </c>
      <c r="P12" s="56"/>
      <c r="Q12" s="56"/>
      <c r="R12" s="56"/>
      <c r="S12" s="50"/>
      <c r="T12" s="50"/>
      <c r="U12" s="53"/>
      <c r="V12" s="53">
        <v>368.35</v>
      </c>
      <c r="W12" s="86">
        <f t="shared" si="1"/>
        <v>7798.21</v>
      </c>
      <c r="X12" s="50">
        <f t="shared" si="2"/>
        <v>816.65600000000006</v>
      </c>
      <c r="Y12" s="86">
        <f t="shared" si="3"/>
        <v>6981.5540000000001</v>
      </c>
      <c r="Z12" s="50">
        <f t="shared" si="4"/>
        <v>0</v>
      </c>
      <c r="AA12" s="50">
        <v>10.23</v>
      </c>
      <c r="AB12" s="50">
        <f t="shared" si="5"/>
        <v>0</v>
      </c>
      <c r="AC12" s="86">
        <f t="shared" si="6"/>
        <v>8176.79</v>
      </c>
      <c r="AD12" s="96"/>
      <c r="AE12" s="97"/>
      <c r="AF12" s="87">
        <f t="shared" si="7"/>
        <v>-6981.5540000000001</v>
      </c>
      <c r="AG12" s="53"/>
      <c r="AH12" s="53"/>
    </row>
    <row r="13" spans="1:48" s="28" customFormat="1">
      <c r="A13" s="53" t="s">
        <v>67</v>
      </c>
      <c r="B13" s="53" t="s">
        <v>154</v>
      </c>
      <c r="C13" s="53" t="s">
        <v>207</v>
      </c>
      <c r="D13" s="53"/>
      <c r="E13" s="53" t="s">
        <v>140</v>
      </c>
      <c r="F13" s="92">
        <v>42416</v>
      </c>
      <c r="G13" s="56">
        <v>5676.95</v>
      </c>
      <c r="H13" s="56"/>
      <c r="I13" s="56"/>
      <c r="J13" s="85">
        <v>45.13</v>
      </c>
      <c r="K13" s="86">
        <f t="shared" si="0"/>
        <v>5631.82</v>
      </c>
      <c r="L13" s="56"/>
      <c r="M13" s="110"/>
      <c r="N13" s="56"/>
      <c r="O13" s="56">
        <v>0</v>
      </c>
      <c r="P13" s="56"/>
      <c r="Q13" s="56"/>
      <c r="R13" s="56"/>
      <c r="S13" s="50">
        <v>114.82</v>
      </c>
      <c r="T13" s="50"/>
      <c r="U13" s="53"/>
      <c r="V13" s="53">
        <v>510</v>
      </c>
      <c r="W13" s="86">
        <f t="shared" si="1"/>
        <v>5007</v>
      </c>
      <c r="X13" s="50">
        <f t="shared" si="2"/>
        <v>563.18200000000002</v>
      </c>
      <c r="Y13" s="86">
        <f t="shared" si="3"/>
        <v>4443.8180000000002</v>
      </c>
      <c r="Z13" s="50">
        <f t="shared" si="4"/>
        <v>0</v>
      </c>
      <c r="AA13" s="50">
        <v>10.23</v>
      </c>
      <c r="AB13" s="50">
        <f t="shared" si="5"/>
        <v>0</v>
      </c>
      <c r="AC13" s="86">
        <f t="shared" si="6"/>
        <v>5642.0499999999993</v>
      </c>
      <c r="AD13" s="96"/>
      <c r="AE13" s="97"/>
      <c r="AF13" s="87">
        <f t="shared" si="7"/>
        <v>-4443.8180000000002</v>
      </c>
      <c r="AG13" s="53"/>
      <c r="AH13" s="53"/>
    </row>
    <row r="14" spans="1:48" s="28" customFormat="1">
      <c r="A14" s="53" t="s">
        <v>84</v>
      </c>
      <c r="B14" s="53" t="s">
        <v>226</v>
      </c>
      <c r="C14" s="53"/>
      <c r="D14" s="53" t="s">
        <v>107</v>
      </c>
      <c r="E14" s="53" t="s">
        <v>260</v>
      </c>
      <c r="F14" s="92">
        <v>41740</v>
      </c>
      <c r="G14" s="56">
        <f>3097.01+5.571</f>
        <v>3102.5810000000001</v>
      </c>
      <c r="H14" s="56"/>
      <c r="I14" s="56"/>
      <c r="J14" s="85">
        <v>45.13</v>
      </c>
      <c r="K14" s="86">
        <f t="shared" si="0"/>
        <v>3057.451</v>
      </c>
      <c r="L14" s="56"/>
      <c r="M14" s="110"/>
      <c r="N14" s="56"/>
      <c r="O14" s="56">
        <v>300</v>
      </c>
      <c r="P14" s="56">
        <f>K14*4.9%</f>
        <v>149.815099</v>
      </c>
      <c r="Q14" s="56">
        <f>K14*1%</f>
        <v>30.57451</v>
      </c>
      <c r="R14" s="56"/>
      <c r="S14" s="50"/>
      <c r="T14" s="50"/>
      <c r="U14" s="53"/>
      <c r="V14" s="53">
        <v>0</v>
      </c>
      <c r="W14" s="86">
        <f t="shared" si="1"/>
        <v>2577.0613910000002</v>
      </c>
      <c r="X14" s="50">
        <f t="shared" si="2"/>
        <v>305.74510000000004</v>
      </c>
      <c r="Y14" s="86">
        <f t="shared" si="3"/>
        <v>2271.3162910000001</v>
      </c>
      <c r="Z14" s="50">
        <f t="shared" si="4"/>
        <v>0</v>
      </c>
      <c r="AA14" s="50">
        <v>10.23</v>
      </c>
      <c r="AB14" s="50">
        <f t="shared" si="5"/>
        <v>149.815099</v>
      </c>
      <c r="AC14" s="86">
        <f t="shared" si="6"/>
        <v>3217.496099</v>
      </c>
      <c r="AD14" s="96"/>
      <c r="AE14" s="97"/>
      <c r="AF14" s="87">
        <f t="shared" si="7"/>
        <v>-2271.3162910000001</v>
      </c>
      <c r="AG14" s="53"/>
      <c r="AH14" s="57"/>
      <c r="AI14" s="111" t="s">
        <v>269</v>
      </c>
    </row>
    <row r="15" spans="1:48" s="28" customFormat="1">
      <c r="A15" s="53" t="s">
        <v>66</v>
      </c>
      <c r="B15" s="53" t="s">
        <v>249</v>
      </c>
      <c r="C15" s="53"/>
      <c r="D15" s="53" t="s">
        <v>97</v>
      </c>
      <c r="E15" s="53" t="s">
        <v>138</v>
      </c>
      <c r="F15" s="92">
        <v>42116</v>
      </c>
      <c r="G15" s="56">
        <v>700</v>
      </c>
      <c r="H15" s="56"/>
      <c r="I15" s="56"/>
      <c r="J15" s="85">
        <v>45.13</v>
      </c>
      <c r="K15" s="86">
        <f t="shared" si="0"/>
        <v>654.87</v>
      </c>
      <c r="L15" s="56"/>
      <c r="M15" s="110"/>
      <c r="N15" s="56"/>
      <c r="O15" s="56">
        <v>0</v>
      </c>
      <c r="P15" s="56"/>
      <c r="Q15" s="56"/>
      <c r="R15" s="56"/>
      <c r="S15" s="50"/>
      <c r="T15" s="50"/>
      <c r="U15" s="88"/>
      <c r="V15" s="53">
        <v>0</v>
      </c>
      <c r="W15" s="86">
        <f t="shared" si="1"/>
        <v>654.87</v>
      </c>
      <c r="X15" s="50">
        <f t="shared" si="2"/>
        <v>0</v>
      </c>
      <c r="Y15" s="86">
        <f t="shared" si="3"/>
        <v>654.87</v>
      </c>
      <c r="Z15" s="50">
        <f t="shared" si="4"/>
        <v>65.487000000000009</v>
      </c>
      <c r="AA15" s="50">
        <v>10.23</v>
      </c>
      <c r="AB15" s="50">
        <f t="shared" si="5"/>
        <v>0</v>
      </c>
      <c r="AC15" s="86">
        <f t="shared" si="6"/>
        <v>730.58699999999999</v>
      </c>
      <c r="AD15" s="103"/>
      <c r="AE15" s="103"/>
      <c r="AF15" s="87">
        <f t="shared" si="7"/>
        <v>-654.87</v>
      </c>
      <c r="AG15" s="53"/>
      <c r="AH15" s="53"/>
    </row>
    <row r="16" spans="1:48" s="28" customFormat="1">
      <c r="A16" s="53" t="s">
        <v>68</v>
      </c>
      <c r="B16" s="53" t="s">
        <v>218</v>
      </c>
      <c r="C16" s="53"/>
      <c r="D16" s="53"/>
      <c r="E16" s="53" t="s">
        <v>70</v>
      </c>
      <c r="F16" s="92">
        <v>42472</v>
      </c>
      <c r="G16" s="56"/>
      <c r="H16" s="56"/>
      <c r="I16" s="56"/>
      <c r="J16" s="85">
        <v>45.13</v>
      </c>
      <c r="K16" s="86">
        <f t="shared" si="0"/>
        <v>-45.13</v>
      </c>
      <c r="L16" s="56"/>
      <c r="M16" s="110"/>
      <c r="N16" s="56"/>
      <c r="O16" s="56">
        <v>0</v>
      </c>
      <c r="P16" s="56"/>
      <c r="Q16" s="56"/>
      <c r="R16" s="56"/>
      <c r="S16" s="50"/>
      <c r="T16" s="50"/>
      <c r="U16" s="53"/>
      <c r="V16" s="53">
        <v>0</v>
      </c>
      <c r="W16" s="86">
        <f t="shared" si="1"/>
        <v>-45.13</v>
      </c>
      <c r="X16" s="50">
        <f t="shared" si="2"/>
        <v>0</v>
      </c>
      <c r="Y16" s="86">
        <f t="shared" si="3"/>
        <v>-45.13</v>
      </c>
      <c r="Z16" s="50">
        <f t="shared" si="4"/>
        <v>-4.5130000000000008</v>
      </c>
      <c r="AA16" s="50">
        <v>10.23</v>
      </c>
      <c r="AB16" s="50">
        <f t="shared" si="5"/>
        <v>0</v>
      </c>
      <c r="AC16" s="86">
        <f t="shared" si="6"/>
        <v>-39.412999999999997</v>
      </c>
      <c r="AD16" s="103"/>
      <c r="AE16" s="104"/>
      <c r="AF16" s="87">
        <f t="shared" si="7"/>
        <v>45.13</v>
      </c>
      <c r="AG16" s="53">
        <v>2899146091</v>
      </c>
      <c r="AH16" s="57"/>
    </row>
    <row r="17" spans="1:35" s="28" customFormat="1" ht="15" customHeight="1">
      <c r="A17" s="53" t="s">
        <v>68</v>
      </c>
      <c r="B17" s="53" t="s">
        <v>188</v>
      </c>
      <c r="C17" s="53" t="s">
        <v>181</v>
      </c>
      <c r="D17" s="53" t="s">
        <v>125</v>
      </c>
      <c r="E17" s="53" t="s">
        <v>70</v>
      </c>
      <c r="F17" s="92">
        <v>41831</v>
      </c>
      <c r="G17" s="56">
        <v>14541.97</v>
      </c>
      <c r="H17" s="56"/>
      <c r="I17" s="56"/>
      <c r="J17" s="85">
        <v>45.13</v>
      </c>
      <c r="K17" s="86">
        <f t="shared" si="0"/>
        <v>14496.84</v>
      </c>
      <c r="L17" s="56"/>
      <c r="M17" s="110"/>
      <c r="N17" s="56"/>
      <c r="O17" s="56">
        <v>500</v>
      </c>
      <c r="P17" s="56"/>
      <c r="Q17" s="56"/>
      <c r="R17" s="56"/>
      <c r="S17" s="50"/>
      <c r="T17" s="50">
        <v>167.44</v>
      </c>
      <c r="U17" s="53"/>
      <c r="V17" s="105">
        <v>1000</v>
      </c>
      <c r="W17" s="86">
        <f t="shared" si="1"/>
        <v>12829.4</v>
      </c>
      <c r="X17" s="50">
        <f t="shared" si="2"/>
        <v>1449.6840000000002</v>
      </c>
      <c r="Y17" s="86">
        <f t="shared" si="3"/>
        <v>11379.716</v>
      </c>
      <c r="Z17" s="50">
        <f t="shared" si="4"/>
        <v>0</v>
      </c>
      <c r="AA17" s="50">
        <v>10.23</v>
      </c>
      <c r="AB17" s="50">
        <f t="shared" si="5"/>
        <v>0</v>
      </c>
      <c r="AC17" s="86">
        <f t="shared" si="6"/>
        <v>14507.07</v>
      </c>
      <c r="AD17" s="98"/>
      <c r="AE17" s="96"/>
      <c r="AF17" s="87">
        <f t="shared" si="7"/>
        <v>-11379.716</v>
      </c>
      <c r="AG17" s="53"/>
      <c r="AH17" s="57"/>
    </row>
    <row r="18" spans="1:35" s="28" customFormat="1" ht="15" customHeight="1">
      <c r="A18" s="53" t="s">
        <v>84</v>
      </c>
      <c r="B18" s="53" t="s">
        <v>232</v>
      </c>
      <c r="C18" s="53"/>
      <c r="D18" s="53"/>
      <c r="E18" s="53" t="s">
        <v>196</v>
      </c>
      <c r="F18" s="92">
        <v>42506</v>
      </c>
      <c r="G18" s="56">
        <f>1540.59+7.428</f>
        <v>1548.018</v>
      </c>
      <c r="H18" s="56"/>
      <c r="I18" s="56"/>
      <c r="J18" s="85">
        <v>45.13</v>
      </c>
      <c r="K18" s="86">
        <f t="shared" si="0"/>
        <v>1502.8879999999999</v>
      </c>
      <c r="L18" s="56"/>
      <c r="M18" s="110"/>
      <c r="N18" s="56"/>
      <c r="O18" s="56">
        <v>0</v>
      </c>
      <c r="P18" s="56"/>
      <c r="Q18" s="56"/>
      <c r="R18" s="56"/>
      <c r="S18" s="50"/>
      <c r="T18" s="50"/>
      <c r="U18" s="53"/>
      <c r="V18" s="105"/>
      <c r="W18" s="86">
        <f t="shared" si="1"/>
        <v>1502.8879999999999</v>
      </c>
      <c r="X18" s="50">
        <f t="shared" si="2"/>
        <v>0</v>
      </c>
      <c r="Y18" s="86">
        <f t="shared" si="3"/>
        <v>1502.8879999999999</v>
      </c>
      <c r="Z18" s="50">
        <f t="shared" si="4"/>
        <v>150.28880000000001</v>
      </c>
      <c r="AA18" s="50">
        <v>10.23</v>
      </c>
      <c r="AB18" s="50">
        <f t="shared" si="5"/>
        <v>0</v>
      </c>
      <c r="AC18" s="86">
        <f t="shared" si="6"/>
        <v>1663.4068</v>
      </c>
      <c r="AD18" s="96"/>
      <c r="AE18" s="96"/>
      <c r="AF18" s="87">
        <f t="shared" si="7"/>
        <v>-1502.8879999999999</v>
      </c>
      <c r="AG18" s="90">
        <v>14058709719</v>
      </c>
      <c r="AH18" s="57"/>
    </row>
    <row r="19" spans="1:35" s="28" customFormat="1" ht="15" customHeight="1">
      <c r="A19" s="53" t="s">
        <v>83</v>
      </c>
      <c r="B19" s="53" t="s">
        <v>261</v>
      </c>
      <c r="C19" s="53"/>
      <c r="D19" s="53"/>
      <c r="E19" s="53" t="s">
        <v>139</v>
      </c>
      <c r="F19" s="92">
        <v>41548</v>
      </c>
      <c r="G19" s="56"/>
      <c r="H19" s="56"/>
      <c r="I19" s="56"/>
      <c r="J19" s="85">
        <v>45.13</v>
      </c>
      <c r="K19" s="86">
        <f t="shared" si="0"/>
        <v>-45.13</v>
      </c>
      <c r="L19" s="56"/>
      <c r="M19" s="110"/>
      <c r="N19" s="56"/>
      <c r="O19" s="56"/>
      <c r="P19" s="56"/>
      <c r="Q19" s="56"/>
      <c r="R19" s="56"/>
      <c r="S19" s="50"/>
      <c r="T19" s="50"/>
      <c r="U19" s="53"/>
      <c r="V19" s="105">
        <v>0</v>
      </c>
      <c r="W19" s="86">
        <f t="shared" ref="W19" si="8">+K19-SUM(L19:V19)</f>
        <v>-45.13</v>
      </c>
      <c r="X19" s="50">
        <f t="shared" ref="X19" si="9">IF(K19&gt;2250,K19*0.1,0)</f>
        <v>0</v>
      </c>
      <c r="Y19" s="86">
        <f t="shared" ref="Y19" si="10">+W19-X19</f>
        <v>-45.13</v>
      </c>
      <c r="Z19" s="50">
        <f t="shared" ref="Z19" si="11">IF(K19&lt;2250,K19*0.1,0)</f>
        <v>-4.5130000000000008</v>
      </c>
      <c r="AA19" s="50">
        <v>11.23</v>
      </c>
      <c r="AB19" s="50">
        <f t="shared" ref="AB19" si="12">+P19</f>
        <v>0</v>
      </c>
      <c r="AC19" s="86">
        <f t="shared" ref="AC19" si="13">+K19+Z19+AA19+AB19</f>
        <v>-38.412999999999997</v>
      </c>
      <c r="AD19" s="96"/>
      <c r="AE19" s="96"/>
      <c r="AF19" s="87"/>
      <c r="AG19" s="90">
        <v>1461266403</v>
      </c>
      <c r="AH19" s="57"/>
    </row>
    <row r="20" spans="1:35" s="28" customFormat="1">
      <c r="A20" s="53" t="s">
        <v>84</v>
      </c>
      <c r="B20" s="53" t="s">
        <v>151</v>
      </c>
      <c r="C20" s="53"/>
      <c r="D20" s="53" t="s">
        <v>108</v>
      </c>
      <c r="E20" s="53" t="s">
        <v>141</v>
      </c>
      <c r="F20" s="92">
        <v>41227</v>
      </c>
      <c r="G20" s="56">
        <f>4005+7.428</f>
        <v>4012.4279999999999</v>
      </c>
      <c r="H20" s="56"/>
      <c r="I20" s="56"/>
      <c r="J20" s="85">
        <v>45.13</v>
      </c>
      <c r="K20" s="86">
        <f t="shared" si="0"/>
        <v>3967.2979999999998</v>
      </c>
      <c r="L20" s="56"/>
      <c r="M20" s="110"/>
      <c r="N20" s="56"/>
      <c r="O20" s="56">
        <v>700</v>
      </c>
      <c r="P20" s="56">
        <f>K20*4.9%</f>
        <v>194.39760200000001</v>
      </c>
      <c r="Q20" s="56">
        <f>K20*1%</f>
        <v>39.672979999999995</v>
      </c>
      <c r="R20" s="56"/>
      <c r="S20" s="50"/>
      <c r="T20" s="50"/>
      <c r="U20" s="53"/>
      <c r="V20" s="53">
        <v>0</v>
      </c>
      <c r="W20" s="86">
        <f t="shared" si="1"/>
        <v>3033.2274179999995</v>
      </c>
      <c r="X20" s="50">
        <f t="shared" si="2"/>
        <v>396.72980000000001</v>
      </c>
      <c r="Y20" s="86">
        <f t="shared" si="3"/>
        <v>2636.4976179999994</v>
      </c>
      <c r="Z20" s="50">
        <f t="shared" si="4"/>
        <v>0</v>
      </c>
      <c r="AA20" s="50">
        <v>10.23</v>
      </c>
      <c r="AB20" s="50">
        <f t="shared" si="5"/>
        <v>194.39760200000001</v>
      </c>
      <c r="AC20" s="86">
        <f t="shared" si="6"/>
        <v>4171.9256019999993</v>
      </c>
      <c r="AD20" s="96"/>
      <c r="AE20" s="96"/>
      <c r="AF20" s="87">
        <f t="shared" si="7"/>
        <v>-2636.4976179999994</v>
      </c>
      <c r="AG20" s="53"/>
      <c r="AH20" s="53"/>
      <c r="AI20" s="111" t="s">
        <v>269</v>
      </c>
    </row>
    <row r="21" spans="1:35" s="28" customFormat="1">
      <c r="A21" s="53" t="s">
        <v>68</v>
      </c>
      <c r="B21" s="53" t="s">
        <v>193</v>
      </c>
      <c r="C21" s="53" t="s">
        <v>182</v>
      </c>
      <c r="D21" s="53">
        <v>18</v>
      </c>
      <c r="E21" s="53" t="s">
        <v>71</v>
      </c>
      <c r="F21" s="92">
        <v>39699</v>
      </c>
      <c r="G21" s="56">
        <v>3200.77</v>
      </c>
      <c r="H21" s="56"/>
      <c r="I21" s="56"/>
      <c r="J21" s="85">
        <v>45.13</v>
      </c>
      <c r="K21" s="86">
        <f t="shared" si="0"/>
        <v>3155.64</v>
      </c>
      <c r="L21" s="56"/>
      <c r="M21" s="110"/>
      <c r="N21" s="56"/>
      <c r="O21" s="56">
        <v>700</v>
      </c>
      <c r="P21" s="56"/>
      <c r="Q21" s="56"/>
      <c r="R21" s="56"/>
      <c r="S21" s="50"/>
      <c r="T21" s="50"/>
      <c r="U21" s="53">
        <v>205.7</v>
      </c>
      <c r="V21" s="53">
        <v>0</v>
      </c>
      <c r="W21" s="86">
        <f t="shared" si="1"/>
        <v>2249.9399999999996</v>
      </c>
      <c r="X21" s="50">
        <f t="shared" si="2"/>
        <v>315.56400000000002</v>
      </c>
      <c r="Y21" s="86">
        <f t="shared" si="3"/>
        <v>1934.3759999999995</v>
      </c>
      <c r="Z21" s="50">
        <f t="shared" si="4"/>
        <v>0</v>
      </c>
      <c r="AA21" s="50">
        <v>10.23</v>
      </c>
      <c r="AB21" s="50">
        <f t="shared" si="5"/>
        <v>0</v>
      </c>
      <c r="AC21" s="86">
        <f t="shared" si="6"/>
        <v>3165.87</v>
      </c>
      <c r="AD21" s="96"/>
      <c r="AE21" s="97"/>
      <c r="AF21" s="87">
        <f t="shared" si="7"/>
        <v>-1934.3759999999995</v>
      </c>
      <c r="AG21" s="53"/>
      <c r="AH21" s="53"/>
    </row>
    <row r="22" spans="1:35" s="28" customFormat="1">
      <c r="A22" s="53" t="s">
        <v>84</v>
      </c>
      <c r="B22" s="53" t="s">
        <v>194</v>
      </c>
      <c r="C22" s="53"/>
      <c r="D22" s="53" t="s">
        <v>109</v>
      </c>
      <c r="E22" s="53" t="s">
        <v>256</v>
      </c>
      <c r="F22" s="92">
        <v>42242</v>
      </c>
      <c r="G22" s="56">
        <v>655</v>
      </c>
      <c r="H22" s="56"/>
      <c r="I22" s="56"/>
      <c r="J22" s="85">
        <v>45.13</v>
      </c>
      <c r="K22" s="86">
        <f t="shared" si="0"/>
        <v>609.87</v>
      </c>
      <c r="L22" s="56"/>
      <c r="M22" s="110"/>
      <c r="N22" s="56"/>
      <c r="O22" s="56">
        <v>0</v>
      </c>
      <c r="P22" s="56">
        <f>+K22*4.9%</f>
        <v>29.88363</v>
      </c>
      <c r="Q22" s="56">
        <f>K22*1%</f>
        <v>6.0987</v>
      </c>
      <c r="R22" s="56"/>
      <c r="S22" s="50"/>
      <c r="T22" s="50"/>
      <c r="U22" s="53"/>
      <c r="V22" s="53">
        <v>0</v>
      </c>
      <c r="W22" s="86">
        <f t="shared" si="1"/>
        <v>573.88766999999996</v>
      </c>
      <c r="X22" s="50">
        <f t="shared" si="2"/>
        <v>0</v>
      </c>
      <c r="Y22" s="86">
        <f t="shared" si="3"/>
        <v>573.88766999999996</v>
      </c>
      <c r="Z22" s="50">
        <f t="shared" si="4"/>
        <v>60.987000000000002</v>
      </c>
      <c r="AA22" s="50">
        <v>10.23</v>
      </c>
      <c r="AB22" s="50">
        <f t="shared" si="5"/>
        <v>29.88363</v>
      </c>
      <c r="AC22" s="86">
        <f t="shared" si="6"/>
        <v>710.97063000000003</v>
      </c>
      <c r="AD22" s="96"/>
      <c r="AE22" s="97"/>
      <c r="AF22" s="87">
        <f t="shared" si="7"/>
        <v>-573.88766999999996</v>
      </c>
      <c r="AG22" s="53"/>
      <c r="AH22" s="53"/>
      <c r="AI22" s="111" t="s">
        <v>269</v>
      </c>
    </row>
    <row r="23" spans="1:35" s="28" customFormat="1">
      <c r="A23" s="53" t="s">
        <v>67</v>
      </c>
      <c r="B23" s="53" t="s">
        <v>177</v>
      </c>
      <c r="C23" s="53" t="s">
        <v>207</v>
      </c>
      <c r="D23" s="53" t="s">
        <v>103</v>
      </c>
      <c r="E23" s="53" t="s">
        <v>140</v>
      </c>
      <c r="F23" s="92">
        <v>42332</v>
      </c>
      <c r="G23" s="56"/>
      <c r="H23" s="56"/>
      <c r="I23" s="56"/>
      <c r="J23" s="85">
        <v>45.13</v>
      </c>
      <c r="K23" s="86">
        <f t="shared" si="0"/>
        <v>-45.13</v>
      </c>
      <c r="L23" s="56"/>
      <c r="M23" s="110"/>
      <c r="N23" s="56"/>
      <c r="O23" s="56">
        <v>0</v>
      </c>
      <c r="P23" s="56"/>
      <c r="Q23" s="56"/>
      <c r="R23" s="56"/>
      <c r="S23" s="50"/>
      <c r="T23" s="50"/>
      <c r="U23" s="53"/>
      <c r="V23" s="53">
        <v>0</v>
      </c>
      <c r="W23" s="86">
        <f t="shared" si="1"/>
        <v>-45.13</v>
      </c>
      <c r="X23" s="50">
        <f t="shared" si="2"/>
        <v>0</v>
      </c>
      <c r="Y23" s="86">
        <f t="shared" si="3"/>
        <v>-45.13</v>
      </c>
      <c r="Z23" s="50">
        <f t="shared" si="4"/>
        <v>-4.5130000000000008</v>
      </c>
      <c r="AA23" s="50">
        <v>10.23</v>
      </c>
      <c r="AB23" s="50">
        <f t="shared" si="5"/>
        <v>0</v>
      </c>
      <c r="AC23" s="86">
        <f t="shared" si="6"/>
        <v>-39.412999999999997</v>
      </c>
      <c r="AD23" s="96"/>
      <c r="AE23" s="97"/>
      <c r="AF23" s="87">
        <f t="shared" si="7"/>
        <v>45.13</v>
      </c>
      <c r="AG23" s="53"/>
      <c r="AH23" s="53"/>
    </row>
    <row r="24" spans="1:35" s="28" customFormat="1">
      <c r="A24" s="53" t="s">
        <v>68</v>
      </c>
      <c r="B24" s="53" t="s">
        <v>205</v>
      </c>
      <c r="C24" s="53" t="s">
        <v>184</v>
      </c>
      <c r="D24" s="53"/>
      <c r="E24" s="53" t="s">
        <v>70</v>
      </c>
      <c r="F24" s="92">
        <v>42437</v>
      </c>
      <c r="G24" s="56">
        <v>4713.5</v>
      </c>
      <c r="H24" s="56"/>
      <c r="I24" s="56"/>
      <c r="J24" s="85">
        <v>45.13</v>
      </c>
      <c r="K24" s="86">
        <f t="shared" si="0"/>
        <v>4668.37</v>
      </c>
      <c r="L24" s="56"/>
      <c r="M24" s="110"/>
      <c r="N24" s="56"/>
      <c r="O24" s="56">
        <v>0</v>
      </c>
      <c r="P24" s="56"/>
      <c r="Q24" s="56"/>
      <c r="R24" s="56"/>
      <c r="S24" s="50"/>
      <c r="T24" s="50"/>
      <c r="U24" s="53"/>
      <c r="V24" s="53">
        <v>0</v>
      </c>
      <c r="W24" s="86">
        <f t="shared" si="1"/>
        <v>4668.37</v>
      </c>
      <c r="X24" s="50">
        <f t="shared" si="2"/>
        <v>466.83699999999999</v>
      </c>
      <c r="Y24" s="86">
        <f t="shared" si="3"/>
        <v>4201.5329999999994</v>
      </c>
      <c r="Z24" s="50">
        <f t="shared" si="4"/>
        <v>0</v>
      </c>
      <c r="AA24" s="50">
        <v>10.23</v>
      </c>
      <c r="AB24" s="50">
        <f t="shared" si="5"/>
        <v>0</v>
      </c>
      <c r="AC24" s="86">
        <f t="shared" si="6"/>
        <v>4678.5999999999995</v>
      </c>
      <c r="AD24" s="96"/>
      <c r="AE24" s="97"/>
      <c r="AF24" s="87">
        <f t="shared" si="7"/>
        <v>-4201.5329999999994</v>
      </c>
      <c r="AG24" s="53"/>
      <c r="AH24" s="57"/>
    </row>
    <row r="25" spans="1:35" s="28" customFormat="1">
      <c r="A25" s="53" t="s">
        <v>82</v>
      </c>
      <c r="B25" s="53" t="s">
        <v>157</v>
      </c>
      <c r="C25" s="53"/>
      <c r="D25" s="53" t="s">
        <v>87</v>
      </c>
      <c r="E25" s="53" t="s">
        <v>137</v>
      </c>
      <c r="F25" s="92">
        <v>41885</v>
      </c>
      <c r="G25" s="56">
        <f>3279.893+13.099</f>
        <v>3292.9920000000002</v>
      </c>
      <c r="H25" s="56"/>
      <c r="I25" s="56"/>
      <c r="J25" s="85">
        <v>45.13</v>
      </c>
      <c r="K25" s="86">
        <f t="shared" si="0"/>
        <v>3247.8620000000001</v>
      </c>
      <c r="L25" s="56"/>
      <c r="M25" s="110"/>
      <c r="N25" s="56"/>
      <c r="O25" s="56">
        <v>0</v>
      </c>
      <c r="P25" s="56"/>
      <c r="Q25" s="56"/>
      <c r="R25" s="56"/>
      <c r="S25" s="50"/>
      <c r="T25" s="50"/>
      <c r="U25" s="53"/>
      <c r="V25" s="53">
        <v>0</v>
      </c>
      <c r="W25" s="86">
        <f t="shared" si="1"/>
        <v>3247.8620000000001</v>
      </c>
      <c r="X25" s="50">
        <f t="shared" si="2"/>
        <v>324.78620000000001</v>
      </c>
      <c r="Y25" s="86">
        <f t="shared" si="3"/>
        <v>2923.0758000000001</v>
      </c>
      <c r="Z25" s="50">
        <f t="shared" si="4"/>
        <v>0</v>
      </c>
      <c r="AA25" s="50">
        <v>10.23</v>
      </c>
      <c r="AB25" s="50">
        <f t="shared" si="5"/>
        <v>0</v>
      </c>
      <c r="AC25" s="86">
        <f t="shared" si="6"/>
        <v>3258.0920000000001</v>
      </c>
      <c r="AD25" s="96"/>
      <c r="AE25" s="97"/>
      <c r="AF25" s="87">
        <f t="shared" si="7"/>
        <v>-2923.0758000000001</v>
      </c>
      <c r="AG25" s="53"/>
      <c r="AH25" s="57"/>
    </row>
    <row r="26" spans="1:35" s="28" customFormat="1">
      <c r="A26" s="53" t="s">
        <v>82</v>
      </c>
      <c r="B26" s="53" t="s">
        <v>252</v>
      </c>
      <c r="C26" s="53"/>
      <c r="D26" s="53"/>
      <c r="E26" s="53" t="s">
        <v>137</v>
      </c>
      <c r="F26" s="92">
        <v>42571</v>
      </c>
      <c r="G26" s="56">
        <f>1506.414+7.428</f>
        <v>1513.8420000000001</v>
      </c>
      <c r="H26" s="56"/>
      <c r="I26" s="56"/>
      <c r="J26" s="85">
        <v>45.13</v>
      </c>
      <c r="K26" s="86">
        <f t="shared" si="0"/>
        <v>1468.712</v>
      </c>
      <c r="L26" s="56"/>
      <c r="M26" s="110">
        <v>1</v>
      </c>
      <c r="N26" s="56"/>
      <c r="O26" s="56">
        <v>0</v>
      </c>
      <c r="P26" s="56"/>
      <c r="Q26" s="56"/>
      <c r="R26" s="56"/>
      <c r="S26" s="50"/>
      <c r="T26" s="50"/>
      <c r="U26" s="53"/>
      <c r="V26" s="53">
        <v>0</v>
      </c>
      <c r="W26" s="86">
        <f t="shared" si="1"/>
        <v>1467.712</v>
      </c>
      <c r="X26" s="50">
        <f t="shared" si="2"/>
        <v>0</v>
      </c>
      <c r="Y26" s="86">
        <f t="shared" si="3"/>
        <v>1467.712</v>
      </c>
      <c r="Z26" s="50">
        <f t="shared" si="4"/>
        <v>146.87120000000002</v>
      </c>
      <c r="AA26" s="50">
        <v>10.23</v>
      </c>
      <c r="AB26" s="50">
        <f t="shared" si="5"/>
        <v>0</v>
      </c>
      <c r="AC26" s="86">
        <f t="shared" si="6"/>
        <v>1625.8132000000001</v>
      </c>
      <c r="AD26" s="96"/>
      <c r="AE26" s="97"/>
      <c r="AF26" s="87"/>
      <c r="AG26" s="53">
        <v>1158901600</v>
      </c>
      <c r="AH26" s="57"/>
    </row>
    <row r="27" spans="1:35" s="28" customFormat="1">
      <c r="A27" s="53" t="s">
        <v>67</v>
      </c>
      <c r="B27" s="53" t="s">
        <v>219</v>
      </c>
      <c r="C27" s="53" t="s">
        <v>207</v>
      </c>
      <c r="D27" s="53" t="s">
        <v>102</v>
      </c>
      <c r="E27" s="53" t="s">
        <v>140</v>
      </c>
      <c r="F27" s="92">
        <v>42304</v>
      </c>
      <c r="G27" s="56">
        <v>2000</v>
      </c>
      <c r="H27" s="56"/>
      <c r="I27" s="56"/>
      <c r="J27" s="85">
        <v>45.13</v>
      </c>
      <c r="K27" s="86">
        <f t="shared" si="0"/>
        <v>1954.87</v>
      </c>
      <c r="L27" s="56"/>
      <c r="M27" s="110"/>
      <c r="N27" s="56"/>
      <c r="O27" s="56">
        <v>0</v>
      </c>
      <c r="P27" s="56"/>
      <c r="Q27" s="56"/>
      <c r="R27" s="56"/>
      <c r="S27" s="50"/>
      <c r="T27" s="50"/>
      <c r="U27" s="53"/>
      <c r="V27" s="53">
        <v>0</v>
      </c>
      <c r="W27" s="86">
        <f t="shared" si="1"/>
        <v>1954.87</v>
      </c>
      <c r="X27" s="50">
        <f t="shared" si="2"/>
        <v>0</v>
      </c>
      <c r="Y27" s="86">
        <f t="shared" si="3"/>
        <v>1954.87</v>
      </c>
      <c r="Z27" s="50">
        <f t="shared" si="4"/>
        <v>195.48699999999999</v>
      </c>
      <c r="AA27" s="50">
        <v>10.23</v>
      </c>
      <c r="AB27" s="50">
        <f t="shared" si="5"/>
        <v>0</v>
      </c>
      <c r="AC27" s="86">
        <f t="shared" si="6"/>
        <v>2160.587</v>
      </c>
      <c r="AD27" s="96"/>
      <c r="AE27" s="96"/>
      <c r="AF27" s="87">
        <f t="shared" si="7"/>
        <v>-1954.87</v>
      </c>
      <c r="AG27" s="53"/>
      <c r="AH27" s="53"/>
    </row>
    <row r="28" spans="1:35" s="28" customFormat="1">
      <c r="A28" s="53" t="s">
        <v>82</v>
      </c>
      <c r="B28" s="53" t="s">
        <v>221</v>
      </c>
      <c r="C28" s="53"/>
      <c r="D28" s="53" t="s">
        <v>98</v>
      </c>
      <c r="E28" s="53" t="s">
        <v>256</v>
      </c>
      <c r="F28" s="92">
        <v>42338</v>
      </c>
      <c r="G28" s="56">
        <f>1180.14+5.571</f>
        <v>1185.711</v>
      </c>
      <c r="H28" s="56"/>
      <c r="I28" s="56"/>
      <c r="J28" s="85">
        <v>45.13</v>
      </c>
      <c r="K28" s="86">
        <f t="shared" si="0"/>
        <v>1140.5809999999999</v>
      </c>
      <c r="L28" s="56"/>
      <c r="M28" s="110"/>
      <c r="N28" s="56"/>
      <c r="O28" s="56">
        <v>0</v>
      </c>
      <c r="P28" s="56"/>
      <c r="Q28" s="56"/>
      <c r="R28" s="56"/>
      <c r="S28" s="50"/>
      <c r="T28" s="50"/>
      <c r="U28" s="53"/>
      <c r="V28" s="53">
        <v>0</v>
      </c>
      <c r="W28" s="86">
        <f t="shared" si="1"/>
        <v>1140.5809999999999</v>
      </c>
      <c r="X28" s="50">
        <f t="shared" si="2"/>
        <v>0</v>
      </c>
      <c r="Y28" s="86">
        <f t="shared" si="3"/>
        <v>1140.5809999999999</v>
      </c>
      <c r="Z28" s="50">
        <f t="shared" si="4"/>
        <v>114.0581</v>
      </c>
      <c r="AA28" s="50">
        <v>10.23</v>
      </c>
      <c r="AB28" s="50">
        <f t="shared" si="5"/>
        <v>0</v>
      </c>
      <c r="AC28" s="86">
        <f t="shared" si="6"/>
        <v>1264.8690999999999</v>
      </c>
      <c r="AD28" s="96"/>
      <c r="AE28" s="97"/>
      <c r="AF28" s="87">
        <f t="shared" si="7"/>
        <v>-1140.5809999999999</v>
      </c>
      <c r="AG28" s="53"/>
      <c r="AH28" s="57"/>
    </row>
    <row r="29" spans="1:35" s="28" customFormat="1">
      <c r="A29" s="53" t="s">
        <v>183</v>
      </c>
      <c r="B29" s="53" t="s">
        <v>155</v>
      </c>
      <c r="C29" s="53"/>
      <c r="D29" s="53" t="s">
        <v>99</v>
      </c>
      <c r="E29" s="53" t="s">
        <v>139</v>
      </c>
      <c r="F29" s="92">
        <v>42205</v>
      </c>
      <c r="G29" s="56"/>
      <c r="H29" s="56"/>
      <c r="I29" s="56"/>
      <c r="J29" s="85">
        <v>45.13</v>
      </c>
      <c r="K29" s="86">
        <f t="shared" si="0"/>
        <v>-45.13</v>
      </c>
      <c r="L29" s="56"/>
      <c r="M29" s="110"/>
      <c r="N29" s="56"/>
      <c r="O29" s="56">
        <v>200</v>
      </c>
      <c r="P29" s="56"/>
      <c r="Q29" s="56"/>
      <c r="R29" s="56"/>
      <c r="S29" s="50"/>
      <c r="T29" s="50">
        <v>168.06</v>
      </c>
      <c r="U29" s="53"/>
      <c r="V29" s="53">
        <v>0</v>
      </c>
      <c r="W29" s="86">
        <f t="shared" si="1"/>
        <v>-413.19</v>
      </c>
      <c r="X29" s="50">
        <f t="shared" si="2"/>
        <v>0</v>
      </c>
      <c r="Y29" s="86">
        <f t="shared" si="3"/>
        <v>-413.19</v>
      </c>
      <c r="Z29" s="50">
        <f t="shared" si="4"/>
        <v>-4.5130000000000008</v>
      </c>
      <c r="AA29" s="50">
        <v>10.23</v>
      </c>
      <c r="AB29" s="50">
        <f t="shared" si="5"/>
        <v>0</v>
      </c>
      <c r="AC29" s="86">
        <f t="shared" si="6"/>
        <v>-39.412999999999997</v>
      </c>
      <c r="AD29" s="96"/>
      <c r="AE29" s="96"/>
      <c r="AF29" s="87">
        <f t="shared" si="7"/>
        <v>413.19</v>
      </c>
      <c r="AG29" s="53"/>
      <c r="AH29" s="53"/>
    </row>
    <row r="30" spans="1:35" s="28" customFormat="1">
      <c r="A30" s="53" t="s">
        <v>183</v>
      </c>
      <c r="B30" s="53" t="s">
        <v>229</v>
      </c>
      <c r="C30" s="53"/>
      <c r="D30" s="53"/>
      <c r="E30" s="53" t="s">
        <v>139</v>
      </c>
      <c r="F30" s="92">
        <v>42476</v>
      </c>
      <c r="G30" s="56">
        <v>480</v>
      </c>
      <c r="H30" s="56"/>
      <c r="I30" s="56"/>
      <c r="J30" s="85">
        <v>45.13</v>
      </c>
      <c r="K30" s="86">
        <f t="shared" si="0"/>
        <v>434.87</v>
      </c>
      <c r="L30" s="56"/>
      <c r="M30" s="110"/>
      <c r="N30" s="56"/>
      <c r="O30" s="56">
        <v>0</v>
      </c>
      <c r="P30" s="56"/>
      <c r="Q30" s="56"/>
      <c r="R30" s="56"/>
      <c r="S30" s="50"/>
      <c r="T30" s="50"/>
      <c r="U30" s="53"/>
      <c r="V30" s="53">
        <v>0</v>
      </c>
      <c r="W30" s="86">
        <f t="shared" si="1"/>
        <v>434.87</v>
      </c>
      <c r="X30" s="50">
        <f t="shared" si="2"/>
        <v>0</v>
      </c>
      <c r="Y30" s="86">
        <f t="shared" si="3"/>
        <v>434.87</v>
      </c>
      <c r="Z30" s="50">
        <f t="shared" si="4"/>
        <v>43.487000000000002</v>
      </c>
      <c r="AA30" s="50">
        <v>10.23</v>
      </c>
      <c r="AB30" s="50">
        <f t="shared" si="5"/>
        <v>0</v>
      </c>
      <c r="AC30" s="86">
        <f t="shared" si="6"/>
        <v>488.58700000000005</v>
      </c>
      <c r="AD30" s="96"/>
      <c r="AE30" s="96"/>
      <c r="AF30" s="87">
        <f t="shared" si="7"/>
        <v>-434.87</v>
      </c>
      <c r="AG30" s="53">
        <v>2919685839</v>
      </c>
      <c r="AH30" s="57"/>
    </row>
    <row r="31" spans="1:35" s="28" customFormat="1">
      <c r="A31" s="53" t="s">
        <v>84</v>
      </c>
      <c r="B31" s="53" t="s">
        <v>231</v>
      </c>
      <c r="C31" s="53"/>
      <c r="D31" s="53" t="s">
        <v>110</v>
      </c>
      <c r="E31" s="53" t="s">
        <v>260</v>
      </c>
      <c r="F31" s="92">
        <v>41227</v>
      </c>
      <c r="G31" s="56">
        <f>1927.21+2.599</f>
        <v>1929.809</v>
      </c>
      <c r="H31" s="56"/>
      <c r="I31" s="56"/>
      <c r="J31" s="85">
        <v>45.13</v>
      </c>
      <c r="K31" s="86">
        <f t="shared" si="0"/>
        <v>1884.6789999999999</v>
      </c>
      <c r="L31" s="56"/>
      <c r="M31" s="110"/>
      <c r="N31" s="56"/>
      <c r="O31" s="56">
        <v>500</v>
      </c>
      <c r="P31" s="56">
        <f>K31*4.9%</f>
        <v>92.349271000000002</v>
      </c>
      <c r="Q31" s="56">
        <f>K31*1%</f>
        <v>18.846789999999999</v>
      </c>
      <c r="R31" s="56"/>
      <c r="S31" s="50"/>
      <c r="T31" s="50"/>
      <c r="U31" s="53"/>
      <c r="V31" s="53">
        <v>0</v>
      </c>
      <c r="W31" s="86">
        <f t="shared" si="1"/>
        <v>1273.4829389999998</v>
      </c>
      <c r="X31" s="50">
        <f t="shared" si="2"/>
        <v>0</v>
      </c>
      <c r="Y31" s="86">
        <f t="shared" si="3"/>
        <v>1273.4829389999998</v>
      </c>
      <c r="Z31" s="50">
        <f t="shared" si="4"/>
        <v>188.46789999999999</v>
      </c>
      <c r="AA31" s="50">
        <v>10.23</v>
      </c>
      <c r="AB31" s="50">
        <f t="shared" si="5"/>
        <v>92.349271000000002</v>
      </c>
      <c r="AC31" s="86">
        <f t="shared" si="6"/>
        <v>2175.7261709999998</v>
      </c>
      <c r="AD31" s="96"/>
      <c r="AE31" s="96"/>
      <c r="AF31" s="87">
        <f t="shared" si="7"/>
        <v>-1273.4829389999998</v>
      </c>
      <c r="AG31" s="53"/>
      <c r="AH31" s="57"/>
      <c r="AI31" s="111" t="s">
        <v>269</v>
      </c>
    </row>
    <row r="32" spans="1:35" s="28" customFormat="1">
      <c r="A32" s="53" t="s">
        <v>81</v>
      </c>
      <c r="B32" s="53" t="s">
        <v>233</v>
      </c>
      <c r="C32" s="53"/>
      <c r="D32" s="53"/>
      <c r="E32" s="53" t="s">
        <v>69</v>
      </c>
      <c r="F32" s="92">
        <v>42507</v>
      </c>
      <c r="G32" s="56">
        <v>2532.5100000000002</v>
      </c>
      <c r="H32" s="56"/>
      <c r="I32" s="56"/>
      <c r="J32" s="85">
        <v>45.13</v>
      </c>
      <c r="K32" s="86">
        <f t="shared" si="0"/>
        <v>2487.38</v>
      </c>
      <c r="L32" s="56"/>
      <c r="M32" s="110">
        <v>1</v>
      </c>
      <c r="N32" s="56"/>
      <c r="O32" s="56">
        <v>0</v>
      </c>
      <c r="P32" s="56"/>
      <c r="Q32" s="56"/>
      <c r="R32" s="56"/>
      <c r="S32" s="50"/>
      <c r="T32" s="50"/>
      <c r="U32" s="53"/>
      <c r="V32" s="53"/>
      <c r="W32" s="86">
        <f t="shared" si="1"/>
        <v>2486.38</v>
      </c>
      <c r="X32" s="50">
        <f t="shared" si="2"/>
        <v>248.73800000000003</v>
      </c>
      <c r="Y32" s="86">
        <f t="shared" si="3"/>
        <v>2237.6420000000003</v>
      </c>
      <c r="Z32" s="50">
        <f t="shared" si="4"/>
        <v>0</v>
      </c>
      <c r="AA32" s="50">
        <v>10.23</v>
      </c>
      <c r="AB32" s="50">
        <f t="shared" si="5"/>
        <v>0</v>
      </c>
      <c r="AC32" s="86">
        <f t="shared" si="6"/>
        <v>2497.61</v>
      </c>
      <c r="AD32" s="96"/>
      <c r="AE32" s="96"/>
      <c r="AF32" s="87">
        <f t="shared" si="7"/>
        <v>-2237.6420000000003</v>
      </c>
      <c r="AG32" s="90">
        <v>2791168061</v>
      </c>
      <c r="AH32" s="57"/>
    </row>
    <row r="33" spans="1:35" s="28" customFormat="1">
      <c r="A33" s="53" t="s">
        <v>84</v>
      </c>
      <c r="B33" s="53" t="s">
        <v>169</v>
      </c>
      <c r="C33" s="53"/>
      <c r="D33" s="53" t="s">
        <v>111</v>
      </c>
      <c r="E33" s="53" t="s">
        <v>260</v>
      </c>
      <c r="F33" s="92">
        <v>41227</v>
      </c>
      <c r="G33" s="56">
        <f>4243.164+2.972</f>
        <v>4246.1359999999995</v>
      </c>
      <c r="H33" s="56"/>
      <c r="I33" s="56"/>
      <c r="J33" s="85">
        <v>45.13</v>
      </c>
      <c r="K33" s="86">
        <f t="shared" si="0"/>
        <v>4201.0059999999994</v>
      </c>
      <c r="L33" s="56"/>
      <c r="M33" s="110"/>
      <c r="N33" s="56"/>
      <c r="O33" s="56">
        <v>0</v>
      </c>
      <c r="P33" s="56">
        <f>K33*4.9%</f>
        <v>205.84929399999999</v>
      </c>
      <c r="Q33" s="56">
        <f>K33*1%</f>
        <v>42.010059999999996</v>
      </c>
      <c r="R33" s="56"/>
      <c r="S33" s="50"/>
      <c r="T33" s="50"/>
      <c r="U33" s="88"/>
      <c r="V33" s="53">
        <v>0</v>
      </c>
      <c r="W33" s="86">
        <f t="shared" si="1"/>
        <v>3953.1466459999992</v>
      </c>
      <c r="X33" s="50">
        <f t="shared" si="2"/>
        <v>420.10059999999999</v>
      </c>
      <c r="Y33" s="86">
        <f t="shared" si="3"/>
        <v>3533.0460459999995</v>
      </c>
      <c r="Z33" s="50">
        <f t="shared" si="4"/>
        <v>0</v>
      </c>
      <c r="AA33" s="50">
        <v>10.23</v>
      </c>
      <c r="AB33" s="50">
        <f t="shared" si="5"/>
        <v>205.84929399999999</v>
      </c>
      <c r="AC33" s="86">
        <f t="shared" si="6"/>
        <v>4417.0852939999986</v>
      </c>
      <c r="AD33" s="96"/>
      <c r="AE33" s="97"/>
      <c r="AF33" s="87">
        <f t="shared" si="7"/>
        <v>-3533.0460459999995</v>
      </c>
      <c r="AG33" s="53"/>
      <c r="AH33" s="57"/>
      <c r="AI33" s="111" t="s">
        <v>269</v>
      </c>
    </row>
    <row r="34" spans="1:35" s="28" customFormat="1">
      <c r="A34" s="53" t="s">
        <v>81</v>
      </c>
      <c r="B34" s="53" t="s">
        <v>242</v>
      </c>
      <c r="C34" s="53"/>
      <c r="D34" s="53"/>
      <c r="E34" s="53" t="s">
        <v>69</v>
      </c>
      <c r="F34" s="92">
        <v>42514</v>
      </c>
      <c r="G34" s="56">
        <v>585.79999999999995</v>
      </c>
      <c r="H34" s="56"/>
      <c r="I34" s="56"/>
      <c r="J34" s="85">
        <v>45.13</v>
      </c>
      <c r="K34" s="86">
        <f t="shared" si="0"/>
        <v>540.66999999999996</v>
      </c>
      <c r="L34" s="56"/>
      <c r="M34" s="110"/>
      <c r="N34" s="56"/>
      <c r="O34" s="56">
        <v>0</v>
      </c>
      <c r="P34" s="56"/>
      <c r="Q34" s="56"/>
      <c r="R34" s="56"/>
      <c r="S34" s="50"/>
      <c r="T34" s="50"/>
      <c r="U34" s="53"/>
      <c r="V34" s="53">
        <v>0</v>
      </c>
      <c r="W34" s="86">
        <f t="shared" si="1"/>
        <v>540.66999999999996</v>
      </c>
      <c r="X34" s="50">
        <f t="shared" si="2"/>
        <v>0</v>
      </c>
      <c r="Y34" s="86">
        <f t="shared" si="3"/>
        <v>540.66999999999996</v>
      </c>
      <c r="Z34" s="50">
        <f t="shared" si="4"/>
        <v>54.067</v>
      </c>
      <c r="AA34" s="50">
        <v>11.23</v>
      </c>
      <c r="AB34" s="50">
        <f t="shared" si="5"/>
        <v>0</v>
      </c>
      <c r="AC34" s="86">
        <f t="shared" si="6"/>
        <v>605.96699999999998</v>
      </c>
      <c r="AD34" s="96"/>
      <c r="AE34" s="97"/>
      <c r="AF34" s="87"/>
      <c r="AG34" s="53">
        <v>2747910657</v>
      </c>
      <c r="AH34" s="57"/>
    </row>
    <row r="35" spans="1:35" s="28" customFormat="1">
      <c r="A35" s="53" t="s">
        <v>68</v>
      </c>
      <c r="B35" s="53" t="s">
        <v>228</v>
      </c>
      <c r="C35" s="53" t="s">
        <v>179</v>
      </c>
      <c r="D35" s="53"/>
      <c r="E35" s="53" t="s">
        <v>70</v>
      </c>
      <c r="F35" s="92">
        <v>42413</v>
      </c>
      <c r="G35" s="56"/>
      <c r="H35" s="56"/>
      <c r="I35" s="56"/>
      <c r="J35" s="85">
        <v>45.13</v>
      </c>
      <c r="K35" s="86">
        <f t="shared" si="0"/>
        <v>-45.13</v>
      </c>
      <c r="L35" s="56">
        <v>375</v>
      </c>
      <c r="M35" s="110"/>
      <c r="N35" s="56"/>
      <c r="O35" s="56">
        <v>0</v>
      </c>
      <c r="P35" s="56"/>
      <c r="Q35" s="56"/>
      <c r="R35" s="56"/>
      <c r="S35" s="50"/>
      <c r="T35" s="50"/>
      <c r="U35" s="53"/>
      <c r="V35" s="53">
        <v>0</v>
      </c>
      <c r="W35" s="86">
        <f t="shared" si="1"/>
        <v>-420.13</v>
      </c>
      <c r="X35" s="50">
        <f t="shared" si="2"/>
        <v>0</v>
      </c>
      <c r="Y35" s="86">
        <f t="shared" si="3"/>
        <v>-420.13</v>
      </c>
      <c r="Z35" s="50">
        <f t="shared" si="4"/>
        <v>-4.5130000000000008</v>
      </c>
      <c r="AA35" s="50">
        <v>13.23</v>
      </c>
      <c r="AB35" s="50">
        <f t="shared" si="5"/>
        <v>0</v>
      </c>
      <c r="AC35" s="86">
        <f t="shared" si="6"/>
        <v>-36.412999999999997</v>
      </c>
      <c r="AD35" s="96"/>
      <c r="AE35" s="97"/>
      <c r="AF35" s="87">
        <f>+AD35+AE35-Y35</f>
        <v>420.13</v>
      </c>
      <c r="AG35" s="53"/>
      <c r="AH35" s="57" t="s">
        <v>264</v>
      </c>
    </row>
    <row r="36" spans="1:35" s="28" customFormat="1">
      <c r="A36" s="53" t="s">
        <v>68</v>
      </c>
      <c r="B36" s="53" t="s">
        <v>245</v>
      </c>
      <c r="C36" s="53"/>
      <c r="D36" s="53"/>
      <c r="E36" s="53" t="s">
        <v>70</v>
      </c>
      <c r="F36" s="92">
        <v>42532</v>
      </c>
      <c r="G36" s="56"/>
      <c r="H36" s="56"/>
      <c r="I36" s="56"/>
      <c r="J36" s="85">
        <v>45.13</v>
      </c>
      <c r="K36" s="86">
        <f t="shared" si="0"/>
        <v>-45.13</v>
      </c>
      <c r="L36" s="56"/>
      <c r="M36" s="110"/>
      <c r="N36" s="56"/>
      <c r="O36" s="56">
        <v>0</v>
      </c>
      <c r="P36" s="56"/>
      <c r="Q36" s="56"/>
      <c r="R36" s="56"/>
      <c r="S36" s="50"/>
      <c r="T36" s="50"/>
      <c r="U36" s="53">
        <v>406.94</v>
      </c>
      <c r="V36" s="53">
        <v>0</v>
      </c>
      <c r="W36" s="86">
        <f t="shared" si="1"/>
        <v>-452.07</v>
      </c>
      <c r="X36" s="50">
        <f t="shared" si="2"/>
        <v>0</v>
      </c>
      <c r="Y36" s="86">
        <f t="shared" si="3"/>
        <v>-452.07</v>
      </c>
      <c r="Z36" s="50">
        <f t="shared" si="4"/>
        <v>-4.5130000000000008</v>
      </c>
      <c r="AA36" s="50">
        <v>13.23</v>
      </c>
      <c r="AB36" s="50">
        <f t="shared" si="5"/>
        <v>0</v>
      </c>
      <c r="AC36" s="86">
        <f t="shared" si="6"/>
        <v>-36.412999999999997</v>
      </c>
      <c r="AD36" s="96"/>
      <c r="AE36" s="97"/>
      <c r="AF36" s="87">
        <f>+AD36+AE36-Y36</f>
        <v>452.07</v>
      </c>
      <c r="AG36" s="53"/>
      <c r="AH36" s="53" t="s">
        <v>246</v>
      </c>
    </row>
    <row r="37" spans="1:35" s="28" customFormat="1">
      <c r="A37" s="53" t="s">
        <v>68</v>
      </c>
      <c r="B37" s="53" t="s">
        <v>238</v>
      </c>
      <c r="C37" s="53"/>
      <c r="D37" s="53"/>
      <c r="E37" s="53" t="s">
        <v>70</v>
      </c>
      <c r="F37" s="92">
        <v>42520</v>
      </c>
      <c r="G37" s="56"/>
      <c r="H37" s="56"/>
      <c r="I37" s="56"/>
      <c r="J37" s="85">
        <v>45.13</v>
      </c>
      <c r="K37" s="86">
        <f t="shared" si="0"/>
        <v>-45.13</v>
      </c>
      <c r="L37" s="56"/>
      <c r="M37" s="110"/>
      <c r="N37" s="56"/>
      <c r="O37" s="56">
        <v>0</v>
      </c>
      <c r="P37" s="56"/>
      <c r="Q37" s="56"/>
      <c r="R37" s="56"/>
      <c r="S37" s="50"/>
      <c r="T37" s="50"/>
      <c r="U37" s="53"/>
      <c r="V37" s="53">
        <v>0</v>
      </c>
      <c r="W37" s="86">
        <f t="shared" si="1"/>
        <v>-45.13</v>
      </c>
      <c r="X37" s="50">
        <f t="shared" si="2"/>
        <v>0</v>
      </c>
      <c r="Y37" s="86">
        <f t="shared" si="3"/>
        <v>-45.13</v>
      </c>
      <c r="Z37" s="50">
        <f t="shared" si="4"/>
        <v>-4.5130000000000008</v>
      </c>
      <c r="AA37" s="50">
        <v>14.23</v>
      </c>
      <c r="AB37" s="50">
        <f t="shared" si="5"/>
        <v>0</v>
      </c>
      <c r="AC37" s="86">
        <f t="shared" si="6"/>
        <v>-35.412999999999997</v>
      </c>
      <c r="AD37" s="96"/>
      <c r="AE37" s="97"/>
      <c r="AF37" s="87"/>
      <c r="AG37" s="53">
        <v>1175437504</v>
      </c>
      <c r="AH37" s="57"/>
    </row>
    <row r="38" spans="1:35" s="28" customFormat="1">
      <c r="A38" s="53" t="s">
        <v>68</v>
      </c>
      <c r="B38" s="53" t="s">
        <v>236</v>
      </c>
      <c r="C38" s="53"/>
      <c r="D38" s="53"/>
      <c r="E38" s="53" t="s">
        <v>258</v>
      </c>
      <c r="F38" s="92">
        <v>42480</v>
      </c>
      <c r="G38" s="56">
        <v>991.5</v>
      </c>
      <c r="H38" s="56"/>
      <c r="I38" s="56"/>
      <c r="J38" s="85">
        <v>45.13</v>
      </c>
      <c r="K38" s="86">
        <f t="shared" si="0"/>
        <v>946.37</v>
      </c>
      <c r="L38" s="56">
        <v>250</v>
      </c>
      <c r="M38" s="110"/>
      <c r="N38" s="56"/>
      <c r="O38" s="56">
        <v>0</v>
      </c>
      <c r="P38" s="56"/>
      <c r="Q38" s="56"/>
      <c r="R38" s="56"/>
      <c r="S38" s="50"/>
      <c r="T38" s="50"/>
      <c r="U38" s="53"/>
      <c r="V38" s="53">
        <v>0</v>
      </c>
      <c r="W38" s="86">
        <f t="shared" ref="W38:W69" si="14">+K38-SUM(L38:V38)</f>
        <v>696.37</v>
      </c>
      <c r="X38" s="50">
        <f t="shared" ref="X38:X69" si="15">IF(K38&gt;2250,K38*0.1,0)</f>
        <v>0</v>
      </c>
      <c r="Y38" s="86">
        <f t="shared" ref="Y38:Y69" si="16">+W38-X38</f>
        <v>696.37</v>
      </c>
      <c r="Z38" s="50">
        <f t="shared" ref="Z38:Z69" si="17">IF(K38&lt;2250,K38*0.1,0)</f>
        <v>94.637</v>
      </c>
      <c r="AA38" s="50">
        <v>17.23</v>
      </c>
      <c r="AB38" s="50">
        <f t="shared" ref="AB38:AB69" si="18">+P38</f>
        <v>0</v>
      </c>
      <c r="AC38" s="86">
        <f t="shared" ref="AC38:AC69" si="19">+K38+Z38+AA38+AB38</f>
        <v>1058.2370000000001</v>
      </c>
      <c r="AD38" s="103"/>
      <c r="AE38" s="104"/>
      <c r="AF38" s="87">
        <f t="shared" ref="AF38:AF42" si="20">+AD38+AE38-Y38</f>
        <v>-696.37</v>
      </c>
      <c r="AG38" s="53">
        <v>1116618499</v>
      </c>
      <c r="AH38" s="57" t="s">
        <v>248</v>
      </c>
    </row>
    <row r="39" spans="1:35" s="28" customFormat="1">
      <c r="A39" s="53" t="s">
        <v>68</v>
      </c>
      <c r="B39" s="53" t="s">
        <v>180</v>
      </c>
      <c r="C39" s="53" t="s">
        <v>179</v>
      </c>
      <c r="D39" s="59"/>
      <c r="E39" s="53" t="s">
        <v>70</v>
      </c>
      <c r="F39" s="92">
        <v>42240</v>
      </c>
      <c r="G39" s="56">
        <v>2500.62</v>
      </c>
      <c r="H39" s="56"/>
      <c r="I39" s="56"/>
      <c r="J39" s="85">
        <v>45.13</v>
      </c>
      <c r="K39" s="86">
        <f t="shared" ref="K39:K70" si="21">SUM(G39:I39)-J39</f>
        <v>2455.4899999999998</v>
      </c>
      <c r="L39" s="56"/>
      <c r="M39" s="110"/>
      <c r="N39" s="56"/>
      <c r="O39" s="56">
        <v>0</v>
      </c>
      <c r="P39" s="56"/>
      <c r="Q39" s="56"/>
      <c r="R39" s="56"/>
      <c r="S39" s="50"/>
      <c r="T39" s="50"/>
      <c r="U39" s="53"/>
      <c r="V39" s="53">
        <v>0</v>
      </c>
      <c r="W39" s="86">
        <f t="shared" si="14"/>
        <v>2455.4899999999998</v>
      </c>
      <c r="X39" s="50">
        <f t="shared" si="15"/>
        <v>245.54899999999998</v>
      </c>
      <c r="Y39" s="86">
        <f t="shared" si="16"/>
        <v>2209.9409999999998</v>
      </c>
      <c r="Z39" s="50">
        <f t="shared" si="17"/>
        <v>0</v>
      </c>
      <c r="AA39" s="50">
        <v>18.23</v>
      </c>
      <c r="AB39" s="50">
        <f t="shared" si="18"/>
        <v>0</v>
      </c>
      <c r="AC39" s="86">
        <f t="shared" si="19"/>
        <v>2473.7199999999998</v>
      </c>
      <c r="AD39" s="98"/>
      <c r="AE39" s="98"/>
      <c r="AF39" s="87">
        <f t="shared" si="20"/>
        <v>-2209.9409999999998</v>
      </c>
      <c r="AG39" s="53"/>
      <c r="AH39" s="57"/>
    </row>
    <row r="40" spans="1:35" s="28" customFormat="1">
      <c r="A40" s="53" t="s">
        <v>83</v>
      </c>
      <c r="B40" s="53" t="s">
        <v>262</v>
      </c>
      <c r="C40" s="53"/>
      <c r="D40" s="59"/>
      <c r="E40" s="53" t="s">
        <v>139</v>
      </c>
      <c r="F40" s="92">
        <v>42042</v>
      </c>
      <c r="G40" s="56"/>
      <c r="H40" s="56"/>
      <c r="I40" s="56"/>
      <c r="J40" s="85">
        <v>45.13</v>
      </c>
      <c r="K40" s="86">
        <f t="shared" si="21"/>
        <v>-45.13</v>
      </c>
      <c r="L40" s="56"/>
      <c r="M40" s="110"/>
      <c r="N40" s="56"/>
      <c r="O40" s="56"/>
      <c r="P40" s="56"/>
      <c r="Q40" s="56"/>
      <c r="R40" s="56"/>
      <c r="S40" s="50"/>
      <c r="T40" s="50"/>
      <c r="U40" s="53"/>
      <c r="V40" s="53">
        <v>0</v>
      </c>
      <c r="W40" s="86">
        <f t="shared" ref="W40" si="22">+K40-SUM(L40:V40)</f>
        <v>-45.13</v>
      </c>
      <c r="X40" s="50">
        <f t="shared" ref="X40" si="23">IF(K40&gt;2250,K40*0.1,0)</f>
        <v>0</v>
      </c>
      <c r="Y40" s="86">
        <f t="shared" ref="Y40" si="24">+W40-X40</f>
        <v>-45.13</v>
      </c>
      <c r="Z40" s="50">
        <f t="shared" ref="Z40" si="25">IF(K40&lt;2250,K40*0.1,0)</f>
        <v>-4.5130000000000008</v>
      </c>
      <c r="AA40" s="50">
        <v>19.23</v>
      </c>
      <c r="AB40" s="50">
        <f t="shared" ref="AB40" si="26">+P40</f>
        <v>0</v>
      </c>
      <c r="AC40" s="86">
        <f t="shared" ref="AC40" si="27">+K40+Z40+AA40+AB40</f>
        <v>-30.413</v>
      </c>
      <c r="AD40" s="98"/>
      <c r="AE40" s="98"/>
      <c r="AF40" s="87"/>
      <c r="AG40" s="53">
        <v>2886339700</v>
      </c>
      <c r="AH40" s="57"/>
    </row>
    <row r="41" spans="1:35" s="28" customFormat="1">
      <c r="A41" s="53" t="s">
        <v>82</v>
      </c>
      <c r="B41" s="53" t="s">
        <v>170</v>
      </c>
      <c r="C41" s="53"/>
      <c r="D41" s="53" t="s">
        <v>88</v>
      </c>
      <c r="E41" s="53" t="s">
        <v>137</v>
      </c>
      <c r="F41" s="92">
        <v>42319</v>
      </c>
      <c r="G41" s="56">
        <f>1359.03+5.571</f>
        <v>1364.6009999999999</v>
      </c>
      <c r="H41" s="56"/>
      <c r="I41" s="56"/>
      <c r="J41" s="85">
        <v>45.13</v>
      </c>
      <c r="K41" s="86">
        <f t="shared" si="21"/>
        <v>1319.4709999999998</v>
      </c>
      <c r="L41" s="56"/>
      <c r="M41" s="110"/>
      <c r="N41" s="56"/>
      <c r="O41" s="56">
        <v>0</v>
      </c>
      <c r="P41" s="56"/>
      <c r="Q41" s="56"/>
      <c r="R41" s="56"/>
      <c r="S41" s="50"/>
      <c r="T41" s="50"/>
      <c r="U41" s="53"/>
      <c r="V41" s="53">
        <v>0</v>
      </c>
      <c r="W41" s="86">
        <f t="shared" si="14"/>
        <v>1319.4709999999998</v>
      </c>
      <c r="X41" s="50">
        <f t="shared" si="15"/>
        <v>0</v>
      </c>
      <c r="Y41" s="86">
        <f t="shared" si="16"/>
        <v>1319.4709999999998</v>
      </c>
      <c r="Z41" s="50">
        <f t="shared" si="17"/>
        <v>131.94709999999998</v>
      </c>
      <c r="AA41" s="50">
        <v>19.23</v>
      </c>
      <c r="AB41" s="50">
        <f t="shared" si="18"/>
        <v>0</v>
      </c>
      <c r="AC41" s="86">
        <f t="shared" si="19"/>
        <v>1470.6480999999999</v>
      </c>
      <c r="AD41" s="96"/>
      <c r="AE41" s="97"/>
      <c r="AF41" s="87">
        <f t="shared" si="20"/>
        <v>-1319.4709999999998</v>
      </c>
      <c r="AG41" s="53"/>
      <c r="AH41" s="57"/>
    </row>
    <row r="42" spans="1:35" s="28" customFormat="1">
      <c r="A42" s="53" t="s">
        <v>68</v>
      </c>
      <c r="B42" s="53" t="s">
        <v>168</v>
      </c>
      <c r="C42" s="53" t="s">
        <v>181</v>
      </c>
      <c r="D42" s="53" t="s">
        <v>126</v>
      </c>
      <c r="E42" s="53" t="s">
        <v>70</v>
      </c>
      <c r="F42" s="92">
        <v>41463</v>
      </c>
      <c r="G42" s="56"/>
      <c r="H42" s="56"/>
      <c r="I42" s="56"/>
      <c r="J42" s="85">
        <v>45.13</v>
      </c>
      <c r="K42" s="86">
        <f t="shared" si="21"/>
        <v>-45.13</v>
      </c>
      <c r="L42" s="56"/>
      <c r="M42" s="110"/>
      <c r="N42" s="56"/>
      <c r="O42" s="56">
        <v>0</v>
      </c>
      <c r="P42" s="56"/>
      <c r="Q42" s="56"/>
      <c r="R42" s="56"/>
      <c r="S42" s="50"/>
      <c r="T42" s="50"/>
      <c r="U42" s="53"/>
      <c r="V42" s="53">
        <v>0</v>
      </c>
      <c r="W42" s="86">
        <f t="shared" si="14"/>
        <v>-45.13</v>
      </c>
      <c r="X42" s="50">
        <f t="shared" si="15"/>
        <v>0</v>
      </c>
      <c r="Y42" s="86">
        <f t="shared" si="16"/>
        <v>-45.13</v>
      </c>
      <c r="Z42" s="50">
        <f t="shared" si="17"/>
        <v>-4.5130000000000008</v>
      </c>
      <c r="AA42" s="50">
        <v>20.23</v>
      </c>
      <c r="AB42" s="50">
        <f t="shared" si="18"/>
        <v>0</v>
      </c>
      <c r="AC42" s="86">
        <f t="shared" si="19"/>
        <v>-29.413</v>
      </c>
      <c r="AD42" s="96"/>
      <c r="AE42" s="97"/>
      <c r="AF42" s="87">
        <f t="shared" si="20"/>
        <v>45.13</v>
      </c>
      <c r="AG42" s="53"/>
      <c r="AH42" s="53"/>
    </row>
    <row r="43" spans="1:35" s="28" customFormat="1">
      <c r="A43" s="53" t="s">
        <v>66</v>
      </c>
      <c r="B43" s="53" t="s">
        <v>239</v>
      </c>
      <c r="C43" s="53"/>
      <c r="D43" s="53" t="s">
        <v>240</v>
      </c>
      <c r="E43" s="53" t="s">
        <v>241</v>
      </c>
      <c r="F43" s="99">
        <v>40618</v>
      </c>
      <c r="G43" s="56">
        <v>2028.95</v>
      </c>
      <c r="H43" s="56"/>
      <c r="I43" s="56"/>
      <c r="J43" s="85">
        <v>45.13</v>
      </c>
      <c r="K43" s="86">
        <f t="shared" si="21"/>
        <v>1983.82</v>
      </c>
      <c r="L43" s="56"/>
      <c r="M43" s="110"/>
      <c r="N43" s="56"/>
      <c r="O43" s="56">
        <v>0</v>
      </c>
      <c r="P43" s="56"/>
      <c r="Q43" s="56"/>
      <c r="R43" s="56"/>
      <c r="S43" s="50"/>
      <c r="T43" s="50"/>
      <c r="U43" s="53"/>
      <c r="V43" s="53">
        <v>0</v>
      </c>
      <c r="W43" s="86">
        <f t="shared" si="14"/>
        <v>1983.82</v>
      </c>
      <c r="X43" s="50">
        <f t="shared" si="15"/>
        <v>0</v>
      </c>
      <c r="Y43" s="86">
        <f t="shared" si="16"/>
        <v>1983.82</v>
      </c>
      <c r="Z43" s="50">
        <f t="shared" si="17"/>
        <v>198.38200000000001</v>
      </c>
      <c r="AA43" s="50">
        <v>21.23</v>
      </c>
      <c r="AB43" s="50">
        <f t="shared" si="18"/>
        <v>0</v>
      </c>
      <c r="AC43" s="86">
        <f t="shared" si="19"/>
        <v>2203.4319999999998</v>
      </c>
      <c r="AD43" s="96"/>
      <c r="AE43" s="97"/>
      <c r="AF43" s="87"/>
      <c r="AG43" s="53">
        <v>2659973974</v>
      </c>
      <c r="AH43" s="57"/>
    </row>
    <row r="44" spans="1:35" s="28" customFormat="1">
      <c r="A44" s="53" t="s">
        <v>68</v>
      </c>
      <c r="B44" s="53" t="s">
        <v>227</v>
      </c>
      <c r="C44" s="53" t="s">
        <v>184</v>
      </c>
      <c r="D44" s="53" t="s">
        <v>127</v>
      </c>
      <c r="E44" s="53" t="s">
        <v>70</v>
      </c>
      <c r="F44" s="92">
        <v>42296</v>
      </c>
      <c r="G44" s="56">
        <v>1391.73</v>
      </c>
      <c r="H44" s="56"/>
      <c r="I44" s="56"/>
      <c r="J44" s="85">
        <v>45.13</v>
      </c>
      <c r="K44" s="86">
        <f t="shared" si="21"/>
        <v>1346.6</v>
      </c>
      <c r="L44" s="56"/>
      <c r="M44" s="110"/>
      <c r="N44" s="56"/>
      <c r="O44" s="56">
        <v>0</v>
      </c>
      <c r="P44" s="56"/>
      <c r="Q44" s="56"/>
      <c r="R44" s="56"/>
      <c r="S44" s="50"/>
      <c r="T44" s="50"/>
      <c r="U44" s="53"/>
      <c r="V44" s="53">
        <v>218.86</v>
      </c>
      <c r="W44" s="86">
        <f t="shared" si="14"/>
        <v>1127.7399999999998</v>
      </c>
      <c r="X44" s="50">
        <f t="shared" si="15"/>
        <v>0</v>
      </c>
      <c r="Y44" s="86">
        <f t="shared" si="16"/>
        <v>1127.7399999999998</v>
      </c>
      <c r="Z44" s="50">
        <f t="shared" si="17"/>
        <v>134.66</v>
      </c>
      <c r="AA44" s="50">
        <v>10.23</v>
      </c>
      <c r="AB44" s="50">
        <f t="shared" si="18"/>
        <v>0</v>
      </c>
      <c r="AC44" s="86">
        <f t="shared" si="19"/>
        <v>1491.49</v>
      </c>
      <c r="AD44" s="96"/>
      <c r="AE44" s="97"/>
      <c r="AF44" s="87">
        <f>+AD44+AE44-Y44</f>
        <v>-1127.7399999999998</v>
      </c>
      <c r="AG44" s="53"/>
      <c r="AH44" s="53"/>
    </row>
    <row r="45" spans="1:35" s="28" customFormat="1">
      <c r="A45" s="53" t="s">
        <v>67</v>
      </c>
      <c r="B45" s="53" t="s">
        <v>77</v>
      </c>
      <c r="C45" s="53" t="s">
        <v>207</v>
      </c>
      <c r="D45" s="53" t="s">
        <v>104</v>
      </c>
      <c r="E45" s="53" t="s">
        <v>140</v>
      </c>
      <c r="F45" s="92">
        <v>42199</v>
      </c>
      <c r="G45" s="56"/>
      <c r="H45" s="56"/>
      <c r="I45" s="56"/>
      <c r="J45" s="85">
        <v>45.13</v>
      </c>
      <c r="K45" s="86">
        <f t="shared" si="21"/>
        <v>-45.13</v>
      </c>
      <c r="L45" s="56"/>
      <c r="M45" s="110"/>
      <c r="N45" s="56"/>
      <c r="O45" s="56">
        <v>0</v>
      </c>
      <c r="P45" s="56"/>
      <c r="Q45" s="56"/>
      <c r="R45" s="56"/>
      <c r="S45" s="50"/>
      <c r="T45" s="50"/>
      <c r="U45" s="53"/>
      <c r="V45" s="53">
        <v>0</v>
      </c>
      <c r="W45" s="86">
        <f t="shared" si="14"/>
        <v>-45.13</v>
      </c>
      <c r="X45" s="50">
        <f t="shared" si="15"/>
        <v>0</v>
      </c>
      <c r="Y45" s="86">
        <f t="shared" si="16"/>
        <v>-45.13</v>
      </c>
      <c r="Z45" s="50">
        <f t="shared" si="17"/>
        <v>-4.5130000000000008</v>
      </c>
      <c r="AA45" s="50">
        <v>10.23</v>
      </c>
      <c r="AB45" s="50">
        <f t="shared" si="18"/>
        <v>0</v>
      </c>
      <c r="AC45" s="86">
        <f t="shared" si="19"/>
        <v>-39.412999999999997</v>
      </c>
      <c r="AD45" s="96"/>
      <c r="AE45" s="97"/>
      <c r="AF45" s="87">
        <f>+AD45+AE45-Y45</f>
        <v>45.13</v>
      </c>
      <c r="AG45" s="53"/>
      <c r="AH45" s="53"/>
    </row>
    <row r="46" spans="1:35" s="28" customFormat="1">
      <c r="A46" s="53" t="s">
        <v>68</v>
      </c>
      <c r="B46" s="53" t="s">
        <v>185</v>
      </c>
      <c r="C46" s="53" t="s">
        <v>184</v>
      </c>
      <c r="D46" s="53" t="s">
        <v>128</v>
      </c>
      <c r="E46" s="53" t="s">
        <v>70</v>
      </c>
      <c r="F46" s="92">
        <v>42304</v>
      </c>
      <c r="G46" s="56"/>
      <c r="H46" s="56"/>
      <c r="I46" s="56"/>
      <c r="J46" s="85">
        <v>45.13</v>
      </c>
      <c r="K46" s="86">
        <f t="shared" si="21"/>
        <v>-45.13</v>
      </c>
      <c r="L46" s="56"/>
      <c r="M46" s="110"/>
      <c r="N46" s="56"/>
      <c r="O46" s="56">
        <v>0</v>
      </c>
      <c r="P46" s="56"/>
      <c r="Q46" s="56"/>
      <c r="R46" s="56"/>
      <c r="S46" s="50"/>
      <c r="T46" s="50"/>
      <c r="U46" s="53"/>
      <c r="V46" s="53">
        <v>0</v>
      </c>
      <c r="W46" s="86">
        <f t="shared" si="14"/>
        <v>-45.13</v>
      </c>
      <c r="X46" s="50">
        <f t="shared" si="15"/>
        <v>0</v>
      </c>
      <c r="Y46" s="86">
        <f t="shared" si="16"/>
        <v>-45.13</v>
      </c>
      <c r="Z46" s="50">
        <f t="shared" si="17"/>
        <v>-4.5130000000000008</v>
      </c>
      <c r="AA46" s="50">
        <v>10.23</v>
      </c>
      <c r="AB46" s="50">
        <f t="shared" si="18"/>
        <v>0</v>
      </c>
      <c r="AC46" s="86">
        <f t="shared" si="19"/>
        <v>-39.412999999999997</v>
      </c>
      <c r="AD46" s="87"/>
      <c r="AE46" s="87"/>
      <c r="AF46" s="87"/>
      <c r="AG46" s="53"/>
      <c r="AH46" s="53"/>
    </row>
    <row r="47" spans="1:35" s="28" customFormat="1">
      <c r="A47" s="53" t="s">
        <v>84</v>
      </c>
      <c r="B47" s="53" t="s">
        <v>250</v>
      </c>
      <c r="C47" s="53"/>
      <c r="D47" s="53"/>
      <c r="E47" s="53" t="s">
        <v>256</v>
      </c>
      <c r="F47" s="92">
        <v>42541</v>
      </c>
      <c r="G47" s="56">
        <v>364.423</v>
      </c>
      <c r="H47" s="56"/>
      <c r="I47" s="56"/>
      <c r="J47" s="85">
        <v>45.13</v>
      </c>
      <c r="K47" s="86">
        <f t="shared" si="21"/>
        <v>319.29300000000001</v>
      </c>
      <c r="L47" s="56"/>
      <c r="M47" s="110"/>
      <c r="N47" s="56"/>
      <c r="O47" s="56">
        <v>0</v>
      </c>
      <c r="P47" s="56">
        <f>K47*4.9%</f>
        <v>15.645357000000001</v>
      </c>
      <c r="Q47" s="56">
        <f>K47*1%</f>
        <v>3.19293</v>
      </c>
      <c r="R47" s="56"/>
      <c r="S47" s="50"/>
      <c r="T47" s="50"/>
      <c r="U47" s="53"/>
      <c r="V47" s="53">
        <v>0</v>
      </c>
      <c r="W47" s="86">
        <f t="shared" si="14"/>
        <v>300.45471300000003</v>
      </c>
      <c r="X47" s="50">
        <f t="shared" si="15"/>
        <v>0</v>
      </c>
      <c r="Y47" s="86">
        <f t="shared" si="16"/>
        <v>300.45471300000003</v>
      </c>
      <c r="Z47" s="50">
        <f t="shared" si="17"/>
        <v>31.929300000000001</v>
      </c>
      <c r="AA47" s="50">
        <v>10.23</v>
      </c>
      <c r="AB47" s="50">
        <f t="shared" si="18"/>
        <v>15.645357000000001</v>
      </c>
      <c r="AC47" s="86">
        <f t="shared" si="19"/>
        <v>377.09765700000003</v>
      </c>
      <c r="AD47" s="89"/>
      <c r="AE47" s="89"/>
      <c r="AF47" s="89"/>
      <c r="AG47" s="53">
        <v>1169744878</v>
      </c>
      <c r="AH47" s="53"/>
      <c r="AI47" s="111" t="s">
        <v>269</v>
      </c>
    </row>
    <row r="48" spans="1:35" s="28" customFormat="1">
      <c r="A48" s="53" t="s">
        <v>67</v>
      </c>
      <c r="B48" s="53" t="s">
        <v>253</v>
      </c>
      <c r="C48" s="53"/>
      <c r="D48" s="53"/>
      <c r="E48" s="53" t="s">
        <v>140</v>
      </c>
      <c r="F48" s="92">
        <v>42576</v>
      </c>
      <c r="G48" s="56">
        <v>1000</v>
      </c>
      <c r="H48" s="56"/>
      <c r="I48" s="56"/>
      <c r="J48" s="85">
        <v>45.13</v>
      </c>
      <c r="K48" s="86">
        <f t="shared" si="21"/>
        <v>954.87</v>
      </c>
      <c r="L48" s="56"/>
      <c r="M48" s="110"/>
      <c r="N48" s="56"/>
      <c r="O48" s="56">
        <v>0</v>
      </c>
      <c r="P48" s="56"/>
      <c r="Q48" s="56"/>
      <c r="R48" s="56"/>
      <c r="S48" s="50"/>
      <c r="T48" s="50"/>
      <c r="U48" s="53"/>
      <c r="V48" s="53">
        <v>0</v>
      </c>
      <c r="W48" s="86">
        <f t="shared" si="14"/>
        <v>954.87</v>
      </c>
      <c r="X48" s="50">
        <f t="shared" ref="X48" si="28">IF(K48&gt;2250,K48*0.1,0)</f>
        <v>0</v>
      </c>
      <c r="Y48" s="86">
        <f t="shared" ref="Y48" si="29">+W48-X48</f>
        <v>954.87</v>
      </c>
      <c r="Z48" s="50">
        <f t="shared" ref="Z48" si="30">IF(K48&lt;2250,K48*0.1,0)</f>
        <v>95.487000000000009</v>
      </c>
      <c r="AA48" s="50">
        <v>11.23</v>
      </c>
      <c r="AB48" s="50">
        <f t="shared" ref="AB48" si="31">+P48</f>
        <v>0</v>
      </c>
      <c r="AC48" s="86">
        <f t="shared" ref="AC48" si="32">+K48+Z48+AA48+AB48</f>
        <v>1061.587</v>
      </c>
      <c r="AD48" s="89"/>
      <c r="AE48" s="89"/>
      <c r="AF48" s="89"/>
      <c r="AG48" s="53">
        <v>2960710474</v>
      </c>
      <c r="AH48" s="53"/>
    </row>
    <row r="49" spans="1:35" s="28" customFormat="1">
      <c r="A49" s="53" t="s">
        <v>68</v>
      </c>
      <c r="B49" s="53" t="s">
        <v>189</v>
      </c>
      <c r="C49" s="53"/>
      <c r="D49" s="53" t="s">
        <v>130</v>
      </c>
      <c r="E49" s="53" t="s">
        <v>70</v>
      </c>
      <c r="F49" s="92">
        <v>42164</v>
      </c>
      <c r="G49" s="56"/>
      <c r="H49" s="56"/>
      <c r="I49" s="56"/>
      <c r="J49" s="85">
        <v>45.13</v>
      </c>
      <c r="K49" s="86">
        <f t="shared" si="21"/>
        <v>-45.13</v>
      </c>
      <c r="L49" s="56"/>
      <c r="M49" s="110"/>
      <c r="N49" s="56"/>
      <c r="O49" s="56">
        <v>0</v>
      </c>
      <c r="P49" s="56"/>
      <c r="Q49" s="56"/>
      <c r="R49" s="56"/>
      <c r="S49" s="50"/>
      <c r="T49" s="50"/>
      <c r="U49" s="53"/>
      <c r="V49" s="53">
        <v>228.56</v>
      </c>
      <c r="W49" s="86">
        <f t="shared" si="14"/>
        <v>-273.69</v>
      </c>
      <c r="X49" s="50">
        <f t="shared" si="15"/>
        <v>0</v>
      </c>
      <c r="Y49" s="86">
        <f t="shared" si="16"/>
        <v>-273.69</v>
      </c>
      <c r="Z49" s="50">
        <f t="shared" si="17"/>
        <v>-4.5130000000000008</v>
      </c>
      <c r="AA49" s="50">
        <v>10.23</v>
      </c>
      <c r="AB49" s="50">
        <f t="shared" si="18"/>
        <v>0</v>
      </c>
      <c r="AC49" s="86">
        <f t="shared" si="19"/>
        <v>-39.412999999999997</v>
      </c>
      <c r="AD49" s="96"/>
      <c r="AE49" s="104"/>
      <c r="AF49" s="87">
        <f t="shared" ref="AF49:AF72" si="33">+AD49+AE49-Y49</f>
        <v>273.69</v>
      </c>
      <c r="AG49" s="53"/>
      <c r="AH49" s="53"/>
    </row>
    <row r="50" spans="1:35" s="28" customFormat="1">
      <c r="A50" s="53" t="s">
        <v>84</v>
      </c>
      <c r="B50" s="53" t="s">
        <v>146</v>
      </c>
      <c r="C50" s="53"/>
      <c r="D50" s="53" t="s">
        <v>112</v>
      </c>
      <c r="E50" s="53" t="s">
        <v>256</v>
      </c>
      <c r="F50" s="92">
        <v>41981</v>
      </c>
      <c r="G50" s="56">
        <v>546.49199999999996</v>
      </c>
      <c r="H50" s="56"/>
      <c r="I50" s="56">
        <v>453</v>
      </c>
      <c r="J50" s="85">
        <v>45.13</v>
      </c>
      <c r="K50" s="86">
        <f t="shared" si="21"/>
        <v>954.36199999999997</v>
      </c>
      <c r="L50" s="56"/>
      <c r="M50" s="110"/>
      <c r="N50" s="56"/>
      <c r="O50" s="56">
        <v>100</v>
      </c>
      <c r="P50" s="56">
        <f>K50*4.9%</f>
        <v>46.763738000000004</v>
      </c>
      <c r="Q50" s="56">
        <f>K50*1%</f>
        <v>9.5436200000000007</v>
      </c>
      <c r="R50" s="56"/>
      <c r="S50" s="50"/>
      <c r="T50" s="50"/>
      <c r="U50" s="53"/>
      <c r="V50" s="53">
        <v>0</v>
      </c>
      <c r="W50" s="86">
        <f t="shared" si="14"/>
        <v>798.05464199999994</v>
      </c>
      <c r="X50" s="50">
        <f t="shared" si="15"/>
        <v>0</v>
      </c>
      <c r="Y50" s="86">
        <f t="shared" si="16"/>
        <v>798.05464199999994</v>
      </c>
      <c r="Z50" s="50">
        <f t="shared" si="17"/>
        <v>95.436199999999999</v>
      </c>
      <c r="AA50" s="50">
        <v>10.23</v>
      </c>
      <c r="AB50" s="50">
        <f t="shared" si="18"/>
        <v>46.763738000000004</v>
      </c>
      <c r="AC50" s="86">
        <f t="shared" si="19"/>
        <v>1106.7919380000001</v>
      </c>
      <c r="AD50" s="96"/>
      <c r="AE50" s="96"/>
      <c r="AF50" s="87">
        <f t="shared" si="33"/>
        <v>-798.05464199999994</v>
      </c>
      <c r="AG50" s="53"/>
      <c r="AH50" s="53"/>
      <c r="AI50" s="111" t="s">
        <v>269</v>
      </c>
    </row>
    <row r="51" spans="1:35" s="28" customFormat="1">
      <c r="A51" s="53" t="s">
        <v>84</v>
      </c>
      <c r="B51" s="53" t="s">
        <v>191</v>
      </c>
      <c r="C51" s="53"/>
      <c r="D51" s="53" t="s">
        <v>192</v>
      </c>
      <c r="E51" s="53" t="s">
        <v>260</v>
      </c>
      <c r="F51" s="91">
        <v>41284</v>
      </c>
      <c r="G51" s="56">
        <f>3529.054+2.599</f>
        <v>3531.6530000000002</v>
      </c>
      <c r="H51" s="56"/>
      <c r="I51" s="56"/>
      <c r="J51" s="85">
        <v>45.13</v>
      </c>
      <c r="K51" s="86">
        <f t="shared" si="21"/>
        <v>3486.5230000000001</v>
      </c>
      <c r="L51" s="56"/>
      <c r="M51" s="110"/>
      <c r="N51" s="56"/>
      <c r="O51" s="56">
        <v>0</v>
      </c>
      <c r="P51" s="56">
        <f>K51*4.9%</f>
        <v>170.83962700000001</v>
      </c>
      <c r="Q51" s="56">
        <f>K51*1%</f>
        <v>34.865230000000004</v>
      </c>
      <c r="R51" s="56"/>
      <c r="S51" s="50"/>
      <c r="T51" s="50"/>
      <c r="U51" s="53"/>
      <c r="V51" s="53">
        <v>0</v>
      </c>
      <c r="W51" s="86">
        <f t="shared" si="14"/>
        <v>3280.818143</v>
      </c>
      <c r="X51" s="50">
        <f t="shared" si="15"/>
        <v>348.65230000000003</v>
      </c>
      <c r="Y51" s="86">
        <f t="shared" si="16"/>
        <v>2932.1658429999998</v>
      </c>
      <c r="Z51" s="50">
        <f t="shared" si="17"/>
        <v>0</v>
      </c>
      <c r="AA51" s="50">
        <v>10.23</v>
      </c>
      <c r="AB51" s="50">
        <f t="shared" si="18"/>
        <v>170.83962700000001</v>
      </c>
      <c r="AC51" s="86">
        <f t="shared" si="19"/>
        <v>3667.592627</v>
      </c>
      <c r="AD51" s="96"/>
      <c r="AE51" s="97"/>
      <c r="AF51" s="87">
        <f t="shared" si="33"/>
        <v>-2932.1658429999998</v>
      </c>
      <c r="AG51" s="53">
        <v>2948910731</v>
      </c>
      <c r="AH51" s="57"/>
      <c r="AI51" s="111" t="s">
        <v>269</v>
      </c>
    </row>
    <row r="52" spans="1:35" s="28" customFormat="1">
      <c r="A52" s="53" t="s">
        <v>84</v>
      </c>
      <c r="B52" s="53" t="s">
        <v>148</v>
      </c>
      <c r="C52" s="53"/>
      <c r="D52" s="53" t="s">
        <v>113</v>
      </c>
      <c r="E52" s="53" t="s">
        <v>260</v>
      </c>
      <c r="F52" s="91">
        <v>41227</v>
      </c>
      <c r="G52" s="56">
        <f>3176.191+2.972</f>
        <v>3179.163</v>
      </c>
      <c r="H52" s="56"/>
      <c r="I52" s="56"/>
      <c r="J52" s="85">
        <v>45.13</v>
      </c>
      <c r="K52" s="86">
        <f t="shared" si="21"/>
        <v>3134.0329999999999</v>
      </c>
      <c r="L52" s="56"/>
      <c r="M52" s="110"/>
      <c r="N52" s="56"/>
      <c r="O52" s="56">
        <v>0</v>
      </c>
      <c r="P52" s="56">
        <f>K52*4.9%</f>
        <v>153.56761700000001</v>
      </c>
      <c r="Q52" s="56">
        <f>K52*1%</f>
        <v>31.340329999999998</v>
      </c>
      <c r="R52" s="56"/>
      <c r="S52" s="50"/>
      <c r="T52" s="50"/>
      <c r="U52" s="53"/>
      <c r="V52" s="53">
        <v>0</v>
      </c>
      <c r="W52" s="86">
        <f t="shared" si="14"/>
        <v>2949.1250529999998</v>
      </c>
      <c r="X52" s="50">
        <f t="shared" si="15"/>
        <v>313.4033</v>
      </c>
      <c r="Y52" s="86">
        <f t="shared" si="16"/>
        <v>2635.7217529999998</v>
      </c>
      <c r="Z52" s="50">
        <f t="shared" si="17"/>
        <v>0</v>
      </c>
      <c r="AA52" s="50">
        <v>10.23</v>
      </c>
      <c r="AB52" s="50">
        <f t="shared" si="18"/>
        <v>153.56761700000001</v>
      </c>
      <c r="AC52" s="86">
        <f t="shared" si="19"/>
        <v>3297.8306170000001</v>
      </c>
      <c r="AD52" s="96"/>
      <c r="AE52" s="96"/>
      <c r="AF52" s="87">
        <f t="shared" si="33"/>
        <v>-2635.7217529999998</v>
      </c>
      <c r="AG52" s="53"/>
      <c r="AH52" s="57"/>
      <c r="AI52" s="111" t="s">
        <v>269</v>
      </c>
    </row>
    <row r="53" spans="1:35" s="28" customFormat="1">
      <c r="A53" s="53" t="s">
        <v>82</v>
      </c>
      <c r="B53" s="53" t="s">
        <v>171</v>
      </c>
      <c r="C53" s="53"/>
      <c r="D53" s="53" t="s">
        <v>89</v>
      </c>
      <c r="E53" s="53" t="s">
        <v>137</v>
      </c>
      <c r="F53" s="91">
        <v>41493</v>
      </c>
      <c r="G53" s="56">
        <f>2207.986+13.099</f>
        <v>2221.085</v>
      </c>
      <c r="H53" s="56"/>
      <c r="I53" s="56"/>
      <c r="J53" s="85">
        <v>45.13</v>
      </c>
      <c r="K53" s="86">
        <f t="shared" si="21"/>
        <v>2175.9549999999999</v>
      </c>
      <c r="L53" s="56"/>
      <c r="M53" s="110">
        <v>1</v>
      </c>
      <c r="N53" s="56"/>
      <c r="O53" s="56">
        <v>0</v>
      </c>
      <c r="P53" s="56"/>
      <c r="Q53" s="56"/>
      <c r="R53" s="56"/>
      <c r="S53" s="50"/>
      <c r="T53" s="50"/>
      <c r="U53" s="53"/>
      <c r="V53" s="53">
        <v>0</v>
      </c>
      <c r="W53" s="86">
        <f t="shared" si="14"/>
        <v>2174.9549999999999</v>
      </c>
      <c r="X53" s="50">
        <f t="shared" si="15"/>
        <v>0</v>
      </c>
      <c r="Y53" s="86">
        <f t="shared" si="16"/>
        <v>2174.9549999999999</v>
      </c>
      <c r="Z53" s="50">
        <f t="shared" si="17"/>
        <v>217.59550000000002</v>
      </c>
      <c r="AA53" s="50">
        <v>10.23</v>
      </c>
      <c r="AB53" s="50">
        <f t="shared" si="18"/>
        <v>0</v>
      </c>
      <c r="AC53" s="86">
        <f t="shared" si="19"/>
        <v>2403.7804999999998</v>
      </c>
      <c r="AD53" s="96"/>
      <c r="AE53" s="97"/>
      <c r="AF53" s="87">
        <f t="shared" si="33"/>
        <v>-2174.9549999999999</v>
      </c>
      <c r="AG53" s="53"/>
      <c r="AH53" s="57"/>
    </row>
    <row r="54" spans="1:35" s="28" customFormat="1">
      <c r="A54" s="53" t="s">
        <v>83</v>
      </c>
      <c r="B54" s="53" t="s">
        <v>153</v>
      </c>
      <c r="C54" s="53"/>
      <c r="D54" s="53"/>
      <c r="E54" s="53" t="s">
        <v>139</v>
      </c>
      <c r="F54" s="92">
        <v>42413</v>
      </c>
      <c r="G54" s="56">
        <v>480</v>
      </c>
      <c r="H54" s="56"/>
      <c r="I54" s="56"/>
      <c r="J54" s="85">
        <v>45.13</v>
      </c>
      <c r="K54" s="86">
        <f t="shared" si="21"/>
        <v>434.87</v>
      </c>
      <c r="L54" s="56"/>
      <c r="M54" s="110"/>
      <c r="N54" s="56"/>
      <c r="O54" s="56">
        <v>0</v>
      </c>
      <c r="P54" s="56"/>
      <c r="Q54" s="56"/>
      <c r="R54" s="56"/>
      <c r="S54" s="50"/>
      <c r="T54" s="50"/>
      <c r="U54" s="53"/>
      <c r="V54" s="53">
        <v>0</v>
      </c>
      <c r="W54" s="86">
        <f t="shared" si="14"/>
        <v>434.87</v>
      </c>
      <c r="X54" s="50">
        <f t="shared" si="15"/>
        <v>0</v>
      </c>
      <c r="Y54" s="86">
        <f t="shared" si="16"/>
        <v>434.87</v>
      </c>
      <c r="Z54" s="50">
        <f t="shared" si="17"/>
        <v>43.487000000000002</v>
      </c>
      <c r="AA54" s="50">
        <v>10.23</v>
      </c>
      <c r="AB54" s="50">
        <f t="shared" si="18"/>
        <v>0</v>
      </c>
      <c r="AC54" s="86">
        <f t="shared" si="19"/>
        <v>488.58700000000005</v>
      </c>
      <c r="AD54" s="96"/>
      <c r="AE54" s="97"/>
      <c r="AF54" s="87">
        <f t="shared" si="33"/>
        <v>-434.87</v>
      </c>
      <c r="AG54" s="53"/>
      <c r="AH54" s="57"/>
    </row>
    <row r="55" spans="1:35" s="28" customFormat="1">
      <c r="A55" s="53" t="s">
        <v>84</v>
      </c>
      <c r="B55" s="53" t="s">
        <v>251</v>
      </c>
      <c r="C55" s="53"/>
      <c r="D55" s="53"/>
      <c r="E55" s="53" t="s">
        <v>256</v>
      </c>
      <c r="F55" s="92">
        <v>42493</v>
      </c>
      <c r="G55" s="56">
        <v>722.61500000000001</v>
      </c>
      <c r="H55" s="56"/>
      <c r="I55" s="56"/>
      <c r="J55" s="85">
        <v>45.13</v>
      </c>
      <c r="K55" s="86">
        <f t="shared" si="21"/>
        <v>677.48500000000001</v>
      </c>
      <c r="L55" s="56"/>
      <c r="M55" s="110">
        <v>1</v>
      </c>
      <c r="N55" s="56"/>
      <c r="O55" s="56">
        <v>0</v>
      </c>
      <c r="P55" s="56">
        <f>K55*4.9%</f>
        <v>33.196764999999999</v>
      </c>
      <c r="Q55" s="56">
        <f>K55*1%</f>
        <v>6.7748500000000007</v>
      </c>
      <c r="R55" s="56"/>
      <c r="S55" s="50"/>
      <c r="T55" s="50"/>
      <c r="U55" s="53"/>
      <c r="V55" s="53">
        <v>0</v>
      </c>
      <c r="W55" s="86">
        <f t="shared" si="14"/>
        <v>636.51338499999997</v>
      </c>
      <c r="X55" s="50">
        <f t="shared" si="15"/>
        <v>0</v>
      </c>
      <c r="Y55" s="86">
        <f t="shared" si="16"/>
        <v>636.51338499999997</v>
      </c>
      <c r="Z55" s="50">
        <f t="shared" si="17"/>
        <v>67.748500000000007</v>
      </c>
      <c r="AA55" s="50">
        <v>10.23</v>
      </c>
      <c r="AB55" s="50">
        <f t="shared" si="18"/>
        <v>33.196764999999999</v>
      </c>
      <c r="AC55" s="86">
        <f t="shared" si="19"/>
        <v>788.66026500000009</v>
      </c>
      <c r="AD55" s="96"/>
      <c r="AE55" s="96"/>
      <c r="AF55" s="87">
        <f t="shared" si="33"/>
        <v>-636.51338499999997</v>
      </c>
      <c r="AG55" s="53"/>
      <c r="AH55" s="57"/>
      <c r="AI55" s="111" t="s">
        <v>269</v>
      </c>
    </row>
    <row r="56" spans="1:35" s="28" customFormat="1">
      <c r="A56" s="53" t="s">
        <v>68</v>
      </c>
      <c r="B56" s="53" t="s">
        <v>224</v>
      </c>
      <c r="C56" s="53" t="s">
        <v>184</v>
      </c>
      <c r="D56" s="53" t="s">
        <v>129</v>
      </c>
      <c r="E56" s="53" t="s">
        <v>70</v>
      </c>
      <c r="F56" s="92">
        <v>41622</v>
      </c>
      <c r="G56" s="56"/>
      <c r="H56" s="56"/>
      <c r="I56" s="56"/>
      <c r="J56" s="85">
        <v>45.13</v>
      </c>
      <c r="K56" s="86">
        <f t="shared" si="21"/>
        <v>-45.13</v>
      </c>
      <c r="L56" s="56"/>
      <c r="M56" s="110"/>
      <c r="N56" s="56"/>
      <c r="O56" s="56">
        <v>0</v>
      </c>
      <c r="P56" s="56"/>
      <c r="Q56" s="56"/>
      <c r="R56" s="56"/>
      <c r="S56" s="50"/>
      <c r="T56" s="50"/>
      <c r="U56" s="53"/>
      <c r="V56" s="53">
        <v>0</v>
      </c>
      <c r="W56" s="86">
        <f t="shared" si="14"/>
        <v>-45.13</v>
      </c>
      <c r="X56" s="50">
        <f t="shared" si="15"/>
        <v>0</v>
      </c>
      <c r="Y56" s="86">
        <f t="shared" si="16"/>
        <v>-45.13</v>
      </c>
      <c r="Z56" s="50">
        <f t="shared" si="17"/>
        <v>-4.5130000000000008</v>
      </c>
      <c r="AA56" s="50">
        <v>10.23</v>
      </c>
      <c r="AB56" s="50">
        <f t="shared" si="18"/>
        <v>0</v>
      </c>
      <c r="AC56" s="86">
        <f t="shared" si="19"/>
        <v>-39.412999999999997</v>
      </c>
      <c r="AD56" s="96"/>
      <c r="AE56" s="96"/>
      <c r="AF56" s="87">
        <f t="shared" si="33"/>
        <v>45.13</v>
      </c>
      <c r="AG56" s="53"/>
      <c r="AH56" s="53"/>
    </row>
    <row r="57" spans="1:35" s="28" customFormat="1">
      <c r="A57" s="53" t="s">
        <v>68</v>
      </c>
      <c r="B57" s="53" t="s">
        <v>230</v>
      </c>
      <c r="C57" s="53" t="s">
        <v>181</v>
      </c>
      <c r="D57" s="53">
        <v>30</v>
      </c>
      <c r="E57" s="53" t="s">
        <v>70</v>
      </c>
      <c r="F57" s="92">
        <v>37834</v>
      </c>
      <c r="G57" s="56">
        <v>16206.45</v>
      </c>
      <c r="H57" s="56">
        <v>5769.64</v>
      </c>
      <c r="I57" s="56">
        <v>20193.740000000002</v>
      </c>
      <c r="J57" s="85">
        <v>45.13</v>
      </c>
      <c r="K57" s="86">
        <f t="shared" si="21"/>
        <v>42124.700000000004</v>
      </c>
      <c r="L57" s="56"/>
      <c r="M57" s="110"/>
      <c r="N57" s="56"/>
      <c r="O57" s="56">
        <v>0</v>
      </c>
      <c r="P57" s="56"/>
      <c r="Q57" s="56"/>
      <c r="R57" s="56"/>
      <c r="S57" s="50"/>
      <c r="T57" s="50"/>
      <c r="U57" s="53"/>
      <c r="V57" s="53">
        <v>0</v>
      </c>
      <c r="W57" s="86">
        <f t="shared" si="14"/>
        <v>42124.700000000004</v>
      </c>
      <c r="X57" s="50">
        <f t="shared" si="15"/>
        <v>4212.47</v>
      </c>
      <c r="Y57" s="86">
        <f t="shared" si="16"/>
        <v>37912.230000000003</v>
      </c>
      <c r="Z57" s="50">
        <f t="shared" si="17"/>
        <v>0</v>
      </c>
      <c r="AA57" s="50">
        <v>10.23</v>
      </c>
      <c r="AB57" s="50">
        <f t="shared" si="18"/>
        <v>0</v>
      </c>
      <c r="AC57" s="86">
        <f t="shared" si="19"/>
        <v>42134.930000000008</v>
      </c>
      <c r="AD57" s="96"/>
      <c r="AE57" s="97"/>
      <c r="AF57" s="87">
        <f t="shared" si="33"/>
        <v>-37912.230000000003</v>
      </c>
      <c r="AG57" s="53"/>
      <c r="AH57" s="53" t="s">
        <v>270</v>
      </c>
    </row>
    <row r="58" spans="1:35" s="28" customFormat="1">
      <c r="A58" s="53" t="s">
        <v>68</v>
      </c>
      <c r="B58" s="53" t="s">
        <v>163</v>
      </c>
      <c r="C58" s="53" t="s">
        <v>179</v>
      </c>
      <c r="D58" s="53" t="s">
        <v>131</v>
      </c>
      <c r="E58" s="53" t="s">
        <v>70</v>
      </c>
      <c r="F58" s="92">
        <v>42394</v>
      </c>
      <c r="G58" s="56">
        <v>2142.06</v>
      </c>
      <c r="H58" s="56"/>
      <c r="I58" s="56"/>
      <c r="J58" s="85">
        <v>45.13</v>
      </c>
      <c r="K58" s="86">
        <f t="shared" si="21"/>
        <v>2096.9299999999998</v>
      </c>
      <c r="L58" s="56"/>
      <c r="M58" s="110"/>
      <c r="N58" s="56"/>
      <c r="O58" s="56">
        <v>0</v>
      </c>
      <c r="P58" s="56"/>
      <c r="Q58" s="56"/>
      <c r="R58" s="56"/>
      <c r="S58" s="50"/>
      <c r="T58" s="50"/>
      <c r="U58" s="88"/>
      <c r="V58" s="88">
        <v>875.69</v>
      </c>
      <c r="W58" s="86">
        <f t="shared" si="14"/>
        <v>1221.2399999999998</v>
      </c>
      <c r="X58" s="50">
        <f t="shared" si="15"/>
        <v>0</v>
      </c>
      <c r="Y58" s="86">
        <f t="shared" si="16"/>
        <v>1221.2399999999998</v>
      </c>
      <c r="Z58" s="50">
        <f t="shared" si="17"/>
        <v>209.69299999999998</v>
      </c>
      <c r="AA58" s="50">
        <v>10.23</v>
      </c>
      <c r="AB58" s="50">
        <f t="shared" si="18"/>
        <v>0</v>
      </c>
      <c r="AC58" s="86">
        <f t="shared" si="19"/>
        <v>2316.8529999999996</v>
      </c>
      <c r="AD58" s="96"/>
      <c r="AE58" s="97"/>
      <c r="AF58" s="87">
        <f t="shared" si="33"/>
        <v>-1221.2399999999998</v>
      </c>
      <c r="AG58" s="53"/>
      <c r="AH58" s="57"/>
    </row>
    <row r="59" spans="1:35" s="28" customFormat="1">
      <c r="A59" s="53" t="s">
        <v>84</v>
      </c>
      <c r="B59" s="53" t="s">
        <v>210</v>
      </c>
      <c r="C59" s="53"/>
      <c r="D59" s="53"/>
      <c r="E59" s="53" t="s">
        <v>256</v>
      </c>
      <c r="F59" s="92">
        <v>42444</v>
      </c>
      <c r="G59" s="56">
        <v>220.85400000000001</v>
      </c>
      <c r="H59" s="56"/>
      <c r="I59" s="56"/>
      <c r="J59" s="85">
        <v>45.13</v>
      </c>
      <c r="K59" s="86">
        <f t="shared" si="21"/>
        <v>175.72400000000002</v>
      </c>
      <c r="L59" s="56"/>
      <c r="M59" s="110"/>
      <c r="N59" s="56"/>
      <c r="O59" s="56">
        <v>0</v>
      </c>
      <c r="P59" s="56">
        <f>K59*4.9%</f>
        <v>8.610476000000002</v>
      </c>
      <c r="Q59" s="56">
        <f>K59*1%</f>
        <v>1.7572400000000001</v>
      </c>
      <c r="R59" s="56"/>
      <c r="S59" s="50"/>
      <c r="T59" s="50"/>
      <c r="U59" s="53"/>
      <c r="V59" s="53">
        <v>0</v>
      </c>
      <c r="W59" s="86">
        <f t="shared" si="14"/>
        <v>165.35628400000002</v>
      </c>
      <c r="X59" s="50">
        <f t="shared" si="15"/>
        <v>0</v>
      </c>
      <c r="Y59" s="86">
        <f t="shared" si="16"/>
        <v>165.35628400000002</v>
      </c>
      <c r="Z59" s="50">
        <f t="shared" si="17"/>
        <v>17.572400000000002</v>
      </c>
      <c r="AA59" s="50">
        <v>10.23</v>
      </c>
      <c r="AB59" s="50">
        <f t="shared" si="18"/>
        <v>8.610476000000002</v>
      </c>
      <c r="AC59" s="86">
        <f t="shared" si="19"/>
        <v>212.136876</v>
      </c>
      <c r="AD59" s="96"/>
      <c r="AE59" s="96"/>
      <c r="AF59" s="87">
        <f t="shared" si="33"/>
        <v>-165.35628400000002</v>
      </c>
      <c r="AG59" s="68">
        <v>1159718206</v>
      </c>
      <c r="AH59" s="68"/>
      <c r="AI59" s="111" t="s">
        <v>269</v>
      </c>
    </row>
    <row r="60" spans="1:35" s="28" customFormat="1">
      <c r="A60" s="53" t="s">
        <v>84</v>
      </c>
      <c r="B60" s="53" t="s">
        <v>237</v>
      </c>
      <c r="C60" s="53"/>
      <c r="D60" s="53"/>
      <c r="E60" s="53" t="s">
        <v>137</v>
      </c>
      <c r="F60" s="92">
        <v>42494</v>
      </c>
      <c r="G60" s="56">
        <f>1068+2.972</f>
        <v>1070.972</v>
      </c>
      <c r="H60" s="56"/>
      <c r="I60" s="56"/>
      <c r="J60" s="85">
        <v>45.13</v>
      </c>
      <c r="K60" s="86">
        <f t="shared" si="21"/>
        <v>1025.8419999999999</v>
      </c>
      <c r="L60" s="56"/>
      <c r="M60" s="110"/>
      <c r="N60" s="56"/>
      <c r="O60" s="56">
        <v>0</v>
      </c>
      <c r="P60" s="56"/>
      <c r="Q60" s="56"/>
      <c r="R60" s="56"/>
      <c r="S60" s="50"/>
      <c r="T60" s="50"/>
      <c r="U60" s="53"/>
      <c r="V60" s="53">
        <v>0</v>
      </c>
      <c r="W60" s="86">
        <f t="shared" si="14"/>
        <v>1025.8419999999999</v>
      </c>
      <c r="X60" s="50">
        <f t="shared" si="15"/>
        <v>0</v>
      </c>
      <c r="Y60" s="86">
        <f t="shared" si="16"/>
        <v>1025.8419999999999</v>
      </c>
      <c r="Z60" s="50">
        <f t="shared" si="17"/>
        <v>102.5842</v>
      </c>
      <c r="AA60" s="50">
        <v>10.23</v>
      </c>
      <c r="AB60" s="50">
        <f t="shared" si="18"/>
        <v>0</v>
      </c>
      <c r="AC60" s="86">
        <f t="shared" si="19"/>
        <v>1138.6561999999999</v>
      </c>
      <c r="AD60" s="96"/>
      <c r="AE60" s="97"/>
      <c r="AF60" s="87">
        <f t="shared" si="33"/>
        <v>-1025.8419999999999</v>
      </c>
      <c r="AG60" s="68">
        <v>2858432805</v>
      </c>
      <c r="AH60" s="57"/>
    </row>
    <row r="61" spans="1:35" s="28" customFormat="1">
      <c r="A61" s="53" t="s">
        <v>68</v>
      </c>
      <c r="B61" s="53" t="s">
        <v>190</v>
      </c>
      <c r="C61" s="53" t="s">
        <v>181</v>
      </c>
      <c r="D61" s="53" t="s">
        <v>132</v>
      </c>
      <c r="E61" s="53" t="s">
        <v>70</v>
      </c>
      <c r="F61" s="92">
        <v>42310</v>
      </c>
      <c r="G61" s="56">
        <v>40.93</v>
      </c>
      <c r="H61" s="56"/>
      <c r="I61" s="56"/>
      <c r="J61" s="85">
        <v>45.13</v>
      </c>
      <c r="K61" s="86">
        <f t="shared" si="21"/>
        <v>-4.2000000000000028</v>
      </c>
      <c r="L61" s="56"/>
      <c r="M61" s="110"/>
      <c r="N61" s="56"/>
      <c r="O61" s="56">
        <v>0</v>
      </c>
      <c r="P61" s="56"/>
      <c r="Q61" s="56"/>
      <c r="R61" s="56"/>
      <c r="S61" s="50">
        <v>460.45</v>
      </c>
      <c r="T61" s="50"/>
      <c r="U61" s="53"/>
      <c r="V61" s="53">
        <v>517.25</v>
      </c>
      <c r="W61" s="86">
        <f t="shared" si="14"/>
        <v>-981.90000000000009</v>
      </c>
      <c r="X61" s="50">
        <f t="shared" si="15"/>
        <v>0</v>
      </c>
      <c r="Y61" s="86">
        <f t="shared" si="16"/>
        <v>-981.90000000000009</v>
      </c>
      <c r="Z61" s="50">
        <f t="shared" si="17"/>
        <v>-0.42000000000000032</v>
      </c>
      <c r="AA61" s="50">
        <v>10.23</v>
      </c>
      <c r="AB61" s="50">
        <f t="shared" si="18"/>
        <v>0</v>
      </c>
      <c r="AC61" s="86">
        <f t="shared" si="19"/>
        <v>5.6099999999999977</v>
      </c>
      <c r="AD61" s="96"/>
      <c r="AE61" s="97"/>
      <c r="AF61" s="87">
        <f t="shared" si="33"/>
        <v>981.90000000000009</v>
      </c>
      <c r="AG61" s="53"/>
      <c r="AH61" s="53"/>
    </row>
    <row r="62" spans="1:35" s="28" customFormat="1">
      <c r="A62" s="53" t="s">
        <v>84</v>
      </c>
      <c r="B62" s="53" t="s">
        <v>175</v>
      </c>
      <c r="C62" s="53"/>
      <c r="D62" s="53" t="s">
        <v>114</v>
      </c>
      <c r="E62" s="53" t="s">
        <v>256</v>
      </c>
      <c r="F62" s="92">
        <v>42242</v>
      </c>
      <c r="G62" s="56">
        <v>351.96899999999999</v>
      </c>
      <c r="H62" s="56"/>
      <c r="I62" s="56"/>
      <c r="J62" s="85">
        <v>45.13</v>
      </c>
      <c r="K62" s="86">
        <f t="shared" si="21"/>
        <v>306.839</v>
      </c>
      <c r="L62" s="56"/>
      <c r="M62" s="110"/>
      <c r="N62" s="56"/>
      <c r="O62" s="56">
        <v>0</v>
      </c>
      <c r="P62" s="56">
        <f>K62*4.9%</f>
        <v>15.035111000000001</v>
      </c>
      <c r="Q62" s="56">
        <f>K62*1%</f>
        <v>3.06839</v>
      </c>
      <c r="R62" s="56"/>
      <c r="S62" s="50"/>
      <c r="T62" s="50"/>
      <c r="U62" s="53"/>
      <c r="V62" s="53">
        <v>0</v>
      </c>
      <c r="W62" s="86">
        <f t="shared" si="14"/>
        <v>288.735499</v>
      </c>
      <c r="X62" s="50">
        <f t="shared" si="15"/>
        <v>0</v>
      </c>
      <c r="Y62" s="86">
        <f t="shared" si="16"/>
        <v>288.735499</v>
      </c>
      <c r="Z62" s="50">
        <f t="shared" si="17"/>
        <v>30.683900000000001</v>
      </c>
      <c r="AA62" s="50">
        <v>10.23</v>
      </c>
      <c r="AB62" s="50">
        <f t="shared" si="18"/>
        <v>15.035111000000001</v>
      </c>
      <c r="AC62" s="86">
        <f t="shared" si="19"/>
        <v>362.78801099999998</v>
      </c>
      <c r="AD62" s="96"/>
      <c r="AE62" s="96"/>
      <c r="AF62" s="87">
        <f t="shared" si="33"/>
        <v>-288.735499</v>
      </c>
      <c r="AG62" s="53"/>
      <c r="AH62" s="53"/>
      <c r="AI62" s="111" t="s">
        <v>269</v>
      </c>
    </row>
    <row r="63" spans="1:35" s="28" customFormat="1">
      <c r="A63" s="53" t="s">
        <v>82</v>
      </c>
      <c r="B63" s="53" t="s">
        <v>222</v>
      </c>
      <c r="C63" s="53"/>
      <c r="D63" s="53" t="s">
        <v>90</v>
      </c>
      <c r="E63" s="53" t="s">
        <v>137</v>
      </c>
      <c r="F63" s="92">
        <v>42170</v>
      </c>
      <c r="G63" s="56">
        <f>2241.38+13.099</f>
        <v>2254.4790000000003</v>
      </c>
      <c r="H63" s="56"/>
      <c r="I63" s="56"/>
      <c r="J63" s="85">
        <v>45.13</v>
      </c>
      <c r="K63" s="86">
        <f t="shared" si="21"/>
        <v>2209.3490000000002</v>
      </c>
      <c r="L63" s="56"/>
      <c r="M63" s="110"/>
      <c r="N63" s="56"/>
      <c r="O63" s="56">
        <v>0</v>
      </c>
      <c r="P63" s="56"/>
      <c r="Q63" s="56"/>
      <c r="R63" s="56"/>
      <c r="S63" s="50"/>
      <c r="T63" s="50"/>
      <c r="U63" s="53"/>
      <c r="V63" s="53">
        <v>0</v>
      </c>
      <c r="W63" s="86">
        <f t="shared" si="14"/>
        <v>2209.3490000000002</v>
      </c>
      <c r="X63" s="50">
        <f t="shared" si="15"/>
        <v>0</v>
      </c>
      <c r="Y63" s="86">
        <f t="shared" si="16"/>
        <v>2209.3490000000002</v>
      </c>
      <c r="Z63" s="50">
        <f t="shared" si="17"/>
        <v>220.93490000000003</v>
      </c>
      <c r="AA63" s="50">
        <v>10.23</v>
      </c>
      <c r="AB63" s="50">
        <f t="shared" si="18"/>
        <v>0</v>
      </c>
      <c r="AC63" s="86">
        <f t="shared" si="19"/>
        <v>2440.5139000000004</v>
      </c>
      <c r="AD63" s="96"/>
      <c r="AE63" s="97"/>
      <c r="AF63" s="87">
        <f t="shared" si="33"/>
        <v>-2209.3490000000002</v>
      </c>
      <c r="AG63" s="53"/>
      <c r="AH63" s="57"/>
    </row>
    <row r="64" spans="1:35" s="28" customFormat="1">
      <c r="A64" s="53" t="s">
        <v>84</v>
      </c>
      <c r="B64" s="53" t="s">
        <v>156</v>
      </c>
      <c r="C64" s="53"/>
      <c r="D64" s="53" t="s">
        <v>115</v>
      </c>
      <c r="E64" s="53" t="s">
        <v>259</v>
      </c>
      <c r="F64" s="92">
        <v>36868</v>
      </c>
      <c r="G64" s="56">
        <f>3076.402+3.714</f>
        <v>3080.116</v>
      </c>
      <c r="H64" s="56"/>
      <c r="I64" s="56"/>
      <c r="J64" s="85">
        <v>45.13</v>
      </c>
      <c r="K64" s="86">
        <f t="shared" si="21"/>
        <v>3034.9859999999999</v>
      </c>
      <c r="L64" s="56"/>
      <c r="M64" s="110"/>
      <c r="N64" s="56"/>
      <c r="O64" s="56">
        <v>0</v>
      </c>
      <c r="P64" s="56">
        <f>K64*4.9%</f>
        <v>148.714314</v>
      </c>
      <c r="Q64" s="56">
        <f>K64*1%</f>
        <v>30.34986</v>
      </c>
      <c r="R64" s="56"/>
      <c r="S64" s="50"/>
      <c r="T64" s="50"/>
      <c r="U64" s="53"/>
      <c r="V64" s="53">
        <v>0</v>
      </c>
      <c r="W64" s="86">
        <f t="shared" si="14"/>
        <v>2855.9218259999998</v>
      </c>
      <c r="X64" s="50">
        <f t="shared" si="15"/>
        <v>303.49860000000001</v>
      </c>
      <c r="Y64" s="86">
        <f t="shared" si="16"/>
        <v>2552.4232259999999</v>
      </c>
      <c r="Z64" s="50">
        <f t="shared" si="17"/>
        <v>0</v>
      </c>
      <c r="AA64" s="50">
        <v>10.23</v>
      </c>
      <c r="AB64" s="50">
        <f t="shared" si="18"/>
        <v>148.714314</v>
      </c>
      <c r="AC64" s="86">
        <f t="shared" si="19"/>
        <v>3193.9303139999997</v>
      </c>
      <c r="AD64" s="96"/>
      <c r="AE64" s="96"/>
      <c r="AF64" s="87">
        <f t="shared" si="33"/>
        <v>-2552.4232259999999</v>
      </c>
      <c r="AG64" s="53"/>
      <c r="AH64" s="53"/>
      <c r="AI64" s="111" t="s">
        <v>269</v>
      </c>
    </row>
    <row r="65" spans="1:35" s="28" customFormat="1">
      <c r="A65" s="53" t="s">
        <v>84</v>
      </c>
      <c r="B65" s="53" t="s">
        <v>152</v>
      </c>
      <c r="C65" s="53"/>
      <c r="D65" s="53" t="s">
        <v>116</v>
      </c>
      <c r="E65" s="53" t="s">
        <v>257</v>
      </c>
      <c r="F65" s="92">
        <v>41949</v>
      </c>
      <c r="G65" s="56">
        <f>3625.86+7.428</f>
        <v>3633.288</v>
      </c>
      <c r="H65" s="56"/>
      <c r="I65" s="56"/>
      <c r="J65" s="85">
        <v>45.13</v>
      </c>
      <c r="K65" s="86">
        <f t="shared" si="21"/>
        <v>3588.1579999999999</v>
      </c>
      <c r="L65" s="56"/>
      <c r="M65" s="110"/>
      <c r="N65" s="56"/>
      <c r="O65" s="56">
        <v>100</v>
      </c>
      <c r="P65" s="56">
        <f>K65*4.9%</f>
        <v>175.81974199999999</v>
      </c>
      <c r="Q65" s="56">
        <f>K65*1%</f>
        <v>35.88158</v>
      </c>
      <c r="R65" s="56"/>
      <c r="S65" s="50"/>
      <c r="T65" s="50"/>
      <c r="U65" s="53"/>
      <c r="V65" s="53">
        <v>0</v>
      </c>
      <c r="W65" s="86">
        <f t="shared" si="14"/>
        <v>3276.456678</v>
      </c>
      <c r="X65" s="50">
        <f t="shared" si="15"/>
        <v>358.81580000000002</v>
      </c>
      <c r="Y65" s="86">
        <f t="shared" si="16"/>
        <v>2917.6408780000002</v>
      </c>
      <c r="Z65" s="50">
        <f t="shared" si="17"/>
        <v>0</v>
      </c>
      <c r="AA65" s="50">
        <v>10.23</v>
      </c>
      <c r="AB65" s="50">
        <f t="shared" si="18"/>
        <v>175.81974199999999</v>
      </c>
      <c r="AC65" s="86">
        <f t="shared" si="19"/>
        <v>3774.2077420000001</v>
      </c>
      <c r="AD65" s="96"/>
      <c r="AE65" s="97"/>
      <c r="AF65" s="87">
        <f t="shared" si="33"/>
        <v>-2917.6408780000002</v>
      </c>
      <c r="AG65" s="53"/>
      <c r="AH65" s="53"/>
      <c r="AI65" s="111" t="s">
        <v>269</v>
      </c>
    </row>
    <row r="66" spans="1:35" s="28" customFormat="1">
      <c r="A66" s="53" t="s">
        <v>83</v>
      </c>
      <c r="B66" s="53" t="s">
        <v>263</v>
      </c>
      <c r="C66" s="53"/>
      <c r="D66" s="53"/>
      <c r="E66" s="53" t="s">
        <v>139</v>
      </c>
      <c r="F66" s="92">
        <v>41709</v>
      </c>
      <c r="G66" s="56"/>
      <c r="H66" s="56"/>
      <c r="I66" s="56"/>
      <c r="J66" s="85">
        <v>45.13</v>
      </c>
      <c r="K66" s="86">
        <f t="shared" si="21"/>
        <v>-45.13</v>
      </c>
      <c r="L66" s="56"/>
      <c r="M66" s="110"/>
      <c r="N66" s="56"/>
      <c r="O66" s="56"/>
      <c r="P66" s="56"/>
      <c r="Q66" s="56"/>
      <c r="R66" s="56"/>
      <c r="S66" s="50"/>
      <c r="T66" s="50"/>
      <c r="U66" s="53"/>
      <c r="V66" s="53">
        <v>0</v>
      </c>
      <c r="W66" s="86">
        <f t="shared" ref="W66" si="34">+K66-SUM(L66:V66)</f>
        <v>-45.13</v>
      </c>
      <c r="X66" s="50">
        <f t="shared" ref="X66" si="35">IF(K66&gt;2250,K66*0.1,0)</f>
        <v>0</v>
      </c>
      <c r="Y66" s="86">
        <f t="shared" ref="Y66" si="36">+W66-X66</f>
        <v>-45.13</v>
      </c>
      <c r="Z66" s="50">
        <f t="shared" ref="Z66" si="37">IF(K66&lt;2250,K66*0.1,0)</f>
        <v>-4.5130000000000008</v>
      </c>
      <c r="AA66" s="50">
        <v>11.23</v>
      </c>
      <c r="AB66" s="50">
        <f t="shared" ref="AB66" si="38">+P66</f>
        <v>0</v>
      </c>
      <c r="AC66" s="86">
        <f t="shared" ref="AC66" si="39">+K66+Z66+AA66+AB66</f>
        <v>-38.412999999999997</v>
      </c>
      <c r="AD66" s="96"/>
      <c r="AE66" s="97"/>
      <c r="AF66" s="87"/>
      <c r="AG66" s="28">
        <v>2836126510</v>
      </c>
      <c r="AH66" s="53"/>
    </row>
    <row r="67" spans="1:35" s="28" customFormat="1">
      <c r="A67" s="53" t="s">
        <v>68</v>
      </c>
      <c r="B67" s="53" t="s">
        <v>201</v>
      </c>
      <c r="C67" s="53" t="s">
        <v>184</v>
      </c>
      <c r="D67" s="53" t="s">
        <v>133</v>
      </c>
      <c r="E67" s="53" t="s">
        <v>70</v>
      </c>
      <c r="F67" s="92">
        <v>42251</v>
      </c>
      <c r="G67" s="56"/>
      <c r="H67" s="56"/>
      <c r="I67" s="56"/>
      <c r="J67" s="85">
        <v>45.13</v>
      </c>
      <c r="K67" s="86">
        <f t="shared" si="21"/>
        <v>-45.13</v>
      </c>
      <c r="L67" s="56"/>
      <c r="M67" s="110"/>
      <c r="N67" s="56"/>
      <c r="O67" s="56">
        <v>0</v>
      </c>
      <c r="P67" s="56"/>
      <c r="Q67" s="56"/>
      <c r="R67" s="56"/>
      <c r="S67" s="50"/>
      <c r="T67" s="50"/>
      <c r="U67" s="53"/>
      <c r="V67" s="53">
        <v>0</v>
      </c>
      <c r="W67" s="86">
        <f t="shared" si="14"/>
        <v>-45.13</v>
      </c>
      <c r="X67" s="50">
        <f t="shared" si="15"/>
        <v>0</v>
      </c>
      <c r="Y67" s="86">
        <f t="shared" si="16"/>
        <v>-45.13</v>
      </c>
      <c r="Z67" s="50">
        <f t="shared" si="17"/>
        <v>-4.5130000000000008</v>
      </c>
      <c r="AA67" s="50">
        <v>10.23</v>
      </c>
      <c r="AB67" s="50">
        <f t="shared" si="18"/>
        <v>0</v>
      </c>
      <c r="AC67" s="86">
        <f t="shared" si="19"/>
        <v>-39.412999999999997</v>
      </c>
      <c r="AD67" s="96"/>
      <c r="AE67" s="97"/>
      <c r="AF67" s="87">
        <f t="shared" si="33"/>
        <v>45.13</v>
      </c>
      <c r="AH67" s="53"/>
    </row>
    <row r="68" spans="1:35" s="28" customFormat="1">
      <c r="A68" s="53" t="s">
        <v>81</v>
      </c>
      <c r="B68" s="53" t="s">
        <v>235</v>
      </c>
      <c r="C68" s="53"/>
      <c r="D68" s="53"/>
      <c r="E68" s="53" t="s">
        <v>69</v>
      </c>
      <c r="F68" s="92">
        <v>42506</v>
      </c>
      <c r="G68" s="56">
        <v>1702.8</v>
      </c>
      <c r="H68" s="56"/>
      <c r="I68" s="56"/>
      <c r="J68" s="85">
        <v>45.13</v>
      </c>
      <c r="K68" s="86">
        <f t="shared" si="21"/>
        <v>1657.6699999999998</v>
      </c>
      <c r="L68" s="56"/>
      <c r="M68" s="110">
        <v>1</v>
      </c>
      <c r="N68" s="56"/>
      <c r="O68" s="56">
        <v>0</v>
      </c>
      <c r="P68" s="56"/>
      <c r="Q68" s="56"/>
      <c r="R68" s="56"/>
      <c r="S68" s="50"/>
      <c r="T68" s="50"/>
      <c r="U68" s="53"/>
      <c r="V68" s="53">
        <v>0</v>
      </c>
      <c r="W68" s="86">
        <f t="shared" si="14"/>
        <v>1656.6699999999998</v>
      </c>
      <c r="X68" s="50">
        <f t="shared" si="15"/>
        <v>0</v>
      </c>
      <c r="Y68" s="86">
        <f t="shared" si="16"/>
        <v>1656.6699999999998</v>
      </c>
      <c r="Z68" s="50">
        <f t="shared" si="17"/>
        <v>165.767</v>
      </c>
      <c r="AA68" s="50">
        <v>10.23</v>
      </c>
      <c r="AB68" s="50">
        <f t="shared" si="18"/>
        <v>0</v>
      </c>
      <c r="AC68" s="86">
        <f t="shared" si="19"/>
        <v>1833.6669999999999</v>
      </c>
      <c r="AD68" s="96"/>
      <c r="AE68" s="96"/>
      <c r="AF68" s="87">
        <f t="shared" si="33"/>
        <v>-1656.6699999999998</v>
      </c>
      <c r="AG68" s="68">
        <v>2928860106</v>
      </c>
      <c r="AH68" s="57"/>
    </row>
    <row r="69" spans="1:35" s="28" customFormat="1">
      <c r="A69" s="53" t="s">
        <v>82</v>
      </c>
      <c r="B69" s="53" t="s">
        <v>74</v>
      </c>
      <c r="C69" s="53"/>
      <c r="D69" s="53" t="s">
        <v>91</v>
      </c>
      <c r="E69" s="53" t="s">
        <v>137</v>
      </c>
      <c r="F69" s="92">
        <v>42129</v>
      </c>
      <c r="G69" s="56">
        <f>4695.571+13.099</f>
        <v>4708.67</v>
      </c>
      <c r="H69" s="58"/>
      <c r="I69" s="56"/>
      <c r="J69" s="85">
        <v>45.13</v>
      </c>
      <c r="K69" s="86">
        <f t="shared" si="21"/>
        <v>4663.54</v>
      </c>
      <c r="L69" s="56"/>
      <c r="M69" s="110"/>
      <c r="N69" s="56"/>
      <c r="O69" s="56">
        <v>0</v>
      </c>
      <c r="P69" s="56"/>
      <c r="Q69" s="56"/>
      <c r="R69" s="56"/>
      <c r="S69" s="50"/>
      <c r="T69" s="50"/>
      <c r="U69" s="53"/>
      <c r="V69" s="53">
        <v>0</v>
      </c>
      <c r="W69" s="86">
        <f t="shared" si="14"/>
        <v>4663.54</v>
      </c>
      <c r="X69" s="50">
        <f t="shared" si="15"/>
        <v>466.35400000000004</v>
      </c>
      <c r="Y69" s="86">
        <f t="shared" si="16"/>
        <v>4197.1859999999997</v>
      </c>
      <c r="Z69" s="50">
        <f t="shared" si="17"/>
        <v>0</v>
      </c>
      <c r="AA69" s="50">
        <v>10.23</v>
      </c>
      <c r="AB69" s="50">
        <f t="shared" si="18"/>
        <v>0</v>
      </c>
      <c r="AC69" s="86">
        <f t="shared" si="19"/>
        <v>4673.7699999999995</v>
      </c>
      <c r="AD69" s="96"/>
      <c r="AE69" s="97"/>
      <c r="AF69" s="87">
        <f t="shared" si="33"/>
        <v>-4197.1859999999997</v>
      </c>
      <c r="AG69" s="53"/>
      <c r="AH69" s="57"/>
    </row>
    <row r="70" spans="1:35" s="28" customFormat="1">
      <c r="A70" s="53" t="s">
        <v>81</v>
      </c>
      <c r="B70" s="53" t="s">
        <v>217</v>
      </c>
      <c r="C70" s="53"/>
      <c r="D70" s="53"/>
      <c r="E70" s="53" t="s">
        <v>69</v>
      </c>
      <c r="F70" s="92">
        <v>42472</v>
      </c>
      <c r="G70" s="56">
        <v>1113</v>
      </c>
      <c r="H70" s="58"/>
      <c r="I70" s="56"/>
      <c r="J70" s="85">
        <v>45.13</v>
      </c>
      <c r="K70" s="86">
        <f t="shared" si="21"/>
        <v>1067.8699999999999</v>
      </c>
      <c r="L70" s="56"/>
      <c r="M70" s="110"/>
      <c r="N70" s="56"/>
      <c r="O70" s="56">
        <v>0</v>
      </c>
      <c r="P70" s="56"/>
      <c r="Q70" s="56"/>
      <c r="R70" s="56"/>
      <c r="S70" s="50"/>
      <c r="T70" s="50"/>
      <c r="U70" s="53"/>
      <c r="V70" s="53">
        <v>0</v>
      </c>
      <c r="W70" s="86">
        <f t="shared" ref="W70:W96" si="40">+K70-SUM(L70:V70)</f>
        <v>1067.8699999999999</v>
      </c>
      <c r="X70" s="50">
        <f t="shared" ref="X70:X97" si="41">IF(K70&gt;2250,K70*0.1,0)</f>
        <v>0</v>
      </c>
      <c r="Y70" s="86">
        <f t="shared" ref="Y70:Y96" si="42">+W70-X70</f>
        <v>1067.8699999999999</v>
      </c>
      <c r="Z70" s="50">
        <f t="shared" ref="Z70:Z96" si="43">IF(K70&lt;2250,K70*0.1,0)</f>
        <v>106.78699999999999</v>
      </c>
      <c r="AA70" s="50">
        <v>10.23</v>
      </c>
      <c r="AB70" s="50">
        <f t="shared" ref="AB70:AB97" si="44">+P70</f>
        <v>0</v>
      </c>
      <c r="AC70" s="86">
        <f t="shared" ref="AC70:AC97" si="45">+K70+Z70+AA70+AB70</f>
        <v>1184.8869999999999</v>
      </c>
      <c r="AD70" s="96"/>
      <c r="AE70" s="97"/>
      <c r="AF70" s="87">
        <f t="shared" si="33"/>
        <v>-1067.8699999999999</v>
      </c>
      <c r="AG70" s="53">
        <v>1123036669</v>
      </c>
      <c r="AH70" s="57"/>
    </row>
    <row r="71" spans="1:35" s="28" customFormat="1">
      <c r="A71" s="53" t="s">
        <v>82</v>
      </c>
      <c r="B71" s="53" t="s">
        <v>198</v>
      </c>
      <c r="C71" s="53"/>
      <c r="D71" s="53"/>
      <c r="E71" s="53" t="s">
        <v>256</v>
      </c>
      <c r="F71" s="92">
        <v>42422</v>
      </c>
      <c r="G71" s="56">
        <f>4794.446+13.099</f>
        <v>4807.5450000000001</v>
      </c>
      <c r="H71" s="56"/>
      <c r="I71" s="56"/>
      <c r="J71" s="85">
        <v>45.13</v>
      </c>
      <c r="K71" s="86">
        <f t="shared" ref="K71:K97" si="46">SUM(G71:I71)-J71</f>
        <v>4762.415</v>
      </c>
      <c r="L71" s="56"/>
      <c r="M71" s="110"/>
      <c r="N71" s="56"/>
      <c r="O71" s="56">
        <v>0</v>
      </c>
      <c r="P71" s="56"/>
      <c r="Q71" s="56"/>
      <c r="R71" s="56"/>
      <c r="S71" s="50"/>
      <c r="T71" s="50"/>
      <c r="U71" s="53"/>
      <c r="V71" s="53">
        <v>0</v>
      </c>
      <c r="W71" s="86">
        <f t="shared" si="40"/>
        <v>4762.415</v>
      </c>
      <c r="X71" s="50">
        <f t="shared" si="41"/>
        <v>476.24150000000003</v>
      </c>
      <c r="Y71" s="86">
        <f t="shared" si="42"/>
        <v>4286.1734999999999</v>
      </c>
      <c r="Z71" s="50">
        <f t="shared" si="43"/>
        <v>0</v>
      </c>
      <c r="AA71" s="50">
        <v>10.23</v>
      </c>
      <c r="AB71" s="50">
        <f t="shared" si="44"/>
        <v>0</v>
      </c>
      <c r="AC71" s="86">
        <f t="shared" si="45"/>
        <v>4772.6449999999995</v>
      </c>
      <c r="AD71" s="96"/>
      <c r="AE71" s="97"/>
      <c r="AF71" s="87">
        <f t="shared" si="33"/>
        <v>-4286.1734999999999</v>
      </c>
      <c r="AG71" s="53"/>
      <c r="AH71" s="57"/>
    </row>
    <row r="72" spans="1:35" s="28" customFormat="1">
      <c r="A72" s="53" t="s">
        <v>84</v>
      </c>
      <c r="B72" s="53" t="s">
        <v>223</v>
      </c>
      <c r="C72" s="53"/>
      <c r="D72" s="53" t="s">
        <v>117</v>
      </c>
      <c r="E72" s="53" t="s">
        <v>260</v>
      </c>
      <c r="F72" s="92">
        <v>41227</v>
      </c>
      <c r="G72" s="56">
        <f>3499.519+5.571</f>
        <v>3505.0899999999997</v>
      </c>
      <c r="H72" s="56"/>
      <c r="I72" s="56"/>
      <c r="J72" s="85">
        <v>45.13</v>
      </c>
      <c r="K72" s="86">
        <f t="shared" si="46"/>
        <v>3459.9599999999996</v>
      </c>
      <c r="L72" s="56"/>
      <c r="M72" s="110"/>
      <c r="N72" s="56"/>
      <c r="O72" s="56">
        <v>200</v>
      </c>
      <c r="P72" s="56">
        <f>K72*4.9%</f>
        <v>169.53804</v>
      </c>
      <c r="Q72" s="56">
        <f>K72*1%</f>
        <v>34.599599999999995</v>
      </c>
      <c r="R72" s="56">
        <v>321.74</v>
      </c>
      <c r="S72" s="50"/>
      <c r="T72" s="50"/>
      <c r="U72" s="53"/>
      <c r="V72" s="53">
        <v>0</v>
      </c>
      <c r="W72" s="86">
        <f t="shared" si="40"/>
        <v>2734.0823599999994</v>
      </c>
      <c r="X72" s="50">
        <f t="shared" si="41"/>
        <v>345.99599999999998</v>
      </c>
      <c r="Y72" s="86">
        <f t="shared" si="42"/>
        <v>2388.0863599999993</v>
      </c>
      <c r="Z72" s="50">
        <f t="shared" si="43"/>
        <v>0</v>
      </c>
      <c r="AA72" s="50">
        <v>10.23</v>
      </c>
      <c r="AB72" s="50">
        <f t="shared" si="44"/>
        <v>169.53804</v>
      </c>
      <c r="AC72" s="86">
        <f t="shared" si="45"/>
        <v>3639.7280399999995</v>
      </c>
      <c r="AD72" s="96"/>
      <c r="AE72" s="96"/>
      <c r="AF72" s="87">
        <f t="shared" si="33"/>
        <v>-2388.0863599999993</v>
      </c>
      <c r="AG72" s="53"/>
      <c r="AH72" s="57"/>
      <c r="AI72" s="111" t="s">
        <v>269</v>
      </c>
    </row>
    <row r="73" spans="1:35" s="28" customFormat="1">
      <c r="A73" s="53" t="s">
        <v>68</v>
      </c>
      <c r="B73" s="53" t="s">
        <v>243</v>
      </c>
      <c r="C73" s="53"/>
      <c r="D73" s="53"/>
      <c r="E73" s="53" t="s">
        <v>70</v>
      </c>
      <c r="F73" s="92">
        <v>42522</v>
      </c>
      <c r="G73" s="56">
        <v>701.88</v>
      </c>
      <c r="H73" s="56"/>
      <c r="I73" s="56"/>
      <c r="J73" s="85">
        <v>45.13</v>
      </c>
      <c r="K73" s="86">
        <f t="shared" si="46"/>
        <v>656.75</v>
      </c>
      <c r="L73" s="56"/>
      <c r="M73" s="110"/>
      <c r="N73" s="56"/>
      <c r="O73" s="56">
        <v>0</v>
      </c>
      <c r="P73" s="56"/>
      <c r="Q73" s="56"/>
      <c r="R73" s="56"/>
      <c r="S73" s="50"/>
      <c r="T73" s="50"/>
      <c r="U73" s="53"/>
      <c r="V73" s="53">
        <v>0</v>
      </c>
      <c r="W73" s="86">
        <f t="shared" si="40"/>
        <v>656.75</v>
      </c>
      <c r="X73" s="50">
        <f t="shared" si="41"/>
        <v>0</v>
      </c>
      <c r="Y73" s="86">
        <f t="shared" si="42"/>
        <v>656.75</v>
      </c>
      <c r="Z73" s="50">
        <f t="shared" si="43"/>
        <v>65.674999999999997</v>
      </c>
      <c r="AA73" s="50">
        <v>10.23</v>
      </c>
      <c r="AB73" s="50">
        <f t="shared" si="44"/>
        <v>0</v>
      </c>
      <c r="AC73" s="86">
        <f t="shared" si="45"/>
        <v>732.65499999999997</v>
      </c>
      <c r="AD73" s="96"/>
      <c r="AE73" s="96"/>
      <c r="AF73" s="87"/>
      <c r="AG73" s="53">
        <v>2952708604</v>
      </c>
      <c r="AH73" s="57"/>
    </row>
    <row r="74" spans="1:35" s="28" customFormat="1">
      <c r="A74" s="53" t="s">
        <v>68</v>
      </c>
      <c r="B74" s="53" t="s">
        <v>164</v>
      </c>
      <c r="C74" s="53" t="s">
        <v>181</v>
      </c>
      <c r="D74" s="59" t="s">
        <v>165</v>
      </c>
      <c r="E74" s="53" t="s">
        <v>70</v>
      </c>
      <c r="F74" s="92">
        <v>42396</v>
      </c>
      <c r="G74" s="56">
        <v>9413.61</v>
      </c>
      <c r="H74" s="56"/>
      <c r="I74" s="56"/>
      <c r="J74" s="85">
        <v>45.13</v>
      </c>
      <c r="K74" s="86">
        <f t="shared" si="46"/>
        <v>9368.4800000000014</v>
      </c>
      <c r="L74" s="56"/>
      <c r="M74" s="110"/>
      <c r="N74" s="56"/>
      <c r="O74" s="56">
        <v>0</v>
      </c>
      <c r="P74" s="56"/>
      <c r="Q74" s="56"/>
      <c r="R74" s="56"/>
      <c r="S74" s="50"/>
      <c r="T74" s="50"/>
      <c r="U74" s="53"/>
      <c r="V74" s="53">
        <v>294.37</v>
      </c>
      <c r="W74" s="86">
        <f t="shared" si="40"/>
        <v>9074.11</v>
      </c>
      <c r="X74" s="50">
        <f t="shared" si="41"/>
        <v>936.84800000000018</v>
      </c>
      <c r="Y74" s="86">
        <f t="shared" si="42"/>
        <v>8137.2620000000006</v>
      </c>
      <c r="Z74" s="50">
        <f t="shared" si="43"/>
        <v>0</v>
      </c>
      <c r="AA74" s="50">
        <v>10.23</v>
      </c>
      <c r="AB74" s="50">
        <f t="shared" si="44"/>
        <v>0</v>
      </c>
      <c r="AC74" s="86">
        <f t="shared" si="45"/>
        <v>9378.7100000000009</v>
      </c>
      <c r="AD74" s="96"/>
      <c r="AE74" s="96"/>
      <c r="AF74" s="87">
        <f t="shared" ref="AF74:AF85" si="47">+AD74+AE74-Y74</f>
        <v>-8137.2620000000006</v>
      </c>
      <c r="AG74" s="53"/>
      <c r="AH74" s="57"/>
    </row>
    <row r="75" spans="1:35" s="28" customFormat="1">
      <c r="A75" s="53" t="s">
        <v>84</v>
      </c>
      <c r="B75" s="53" t="s">
        <v>149</v>
      </c>
      <c r="C75" s="53"/>
      <c r="D75" s="53" t="s">
        <v>119</v>
      </c>
      <c r="E75" s="53" t="s">
        <v>260</v>
      </c>
      <c r="F75" s="92">
        <v>41732</v>
      </c>
      <c r="G75" s="56"/>
      <c r="H75" s="56"/>
      <c r="I75" s="56"/>
      <c r="J75" s="85">
        <v>45.13</v>
      </c>
      <c r="K75" s="86">
        <f t="shared" si="46"/>
        <v>-45.13</v>
      </c>
      <c r="L75" s="56"/>
      <c r="M75" s="110"/>
      <c r="N75" s="56"/>
      <c r="O75" s="56">
        <v>0</v>
      </c>
      <c r="P75" s="56">
        <f>K75*4.9%</f>
        <v>-2.2113700000000001</v>
      </c>
      <c r="Q75" s="56">
        <f>K75*1%</f>
        <v>-0.45130000000000003</v>
      </c>
      <c r="R75" s="56"/>
      <c r="S75" s="50"/>
      <c r="T75" s="50"/>
      <c r="U75" s="53"/>
      <c r="V75" s="53">
        <v>0</v>
      </c>
      <c r="W75" s="86">
        <f t="shared" si="40"/>
        <v>-42.467330000000004</v>
      </c>
      <c r="X75" s="50">
        <f t="shared" si="41"/>
        <v>0</v>
      </c>
      <c r="Y75" s="86">
        <f t="shared" si="42"/>
        <v>-42.467330000000004</v>
      </c>
      <c r="Z75" s="50">
        <f t="shared" si="43"/>
        <v>-4.5130000000000008</v>
      </c>
      <c r="AA75" s="50">
        <v>10.23</v>
      </c>
      <c r="AB75" s="50">
        <f t="shared" si="44"/>
        <v>-2.2113700000000001</v>
      </c>
      <c r="AC75" s="86">
        <f t="shared" si="45"/>
        <v>-41.624369999999999</v>
      </c>
      <c r="AD75" s="96"/>
      <c r="AE75" s="96"/>
      <c r="AF75" s="87">
        <f t="shared" si="47"/>
        <v>42.467330000000004</v>
      </c>
      <c r="AG75" s="53"/>
      <c r="AH75" s="53"/>
      <c r="AI75" s="111" t="s">
        <v>269</v>
      </c>
    </row>
    <row r="76" spans="1:35" s="28" customFormat="1">
      <c r="A76" s="53" t="s">
        <v>81</v>
      </c>
      <c r="B76" s="53" t="s">
        <v>176</v>
      </c>
      <c r="C76" s="53"/>
      <c r="D76" s="53" t="s">
        <v>100</v>
      </c>
      <c r="E76" s="53" t="s">
        <v>139</v>
      </c>
      <c r="F76" s="92">
        <v>42321</v>
      </c>
      <c r="G76" s="56"/>
      <c r="H76" s="56"/>
      <c r="I76" s="56"/>
      <c r="J76" s="85">
        <v>45.13</v>
      </c>
      <c r="K76" s="86">
        <f t="shared" si="46"/>
        <v>-45.13</v>
      </c>
      <c r="L76" s="56"/>
      <c r="M76" s="110"/>
      <c r="N76" s="56"/>
      <c r="O76" s="56">
        <v>0</v>
      </c>
      <c r="P76" s="56"/>
      <c r="Q76" s="56"/>
      <c r="R76" s="56"/>
      <c r="S76" s="50"/>
      <c r="T76" s="50"/>
      <c r="U76" s="53"/>
      <c r="V76" s="53">
        <v>0</v>
      </c>
      <c r="W76" s="86">
        <f t="shared" si="40"/>
        <v>-45.13</v>
      </c>
      <c r="X76" s="50">
        <f t="shared" si="41"/>
        <v>0</v>
      </c>
      <c r="Y76" s="86">
        <f t="shared" si="42"/>
        <v>-45.13</v>
      </c>
      <c r="Z76" s="50">
        <f t="shared" si="43"/>
        <v>-4.5130000000000008</v>
      </c>
      <c r="AA76" s="50">
        <v>10.23</v>
      </c>
      <c r="AB76" s="50">
        <f t="shared" si="44"/>
        <v>0</v>
      </c>
      <c r="AC76" s="86">
        <f t="shared" si="45"/>
        <v>-39.412999999999997</v>
      </c>
      <c r="AD76" s="96"/>
      <c r="AE76" s="97"/>
      <c r="AF76" s="87">
        <f t="shared" si="47"/>
        <v>45.13</v>
      </c>
      <c r="AG76" s="53"/>
      <c r="AH76" s="57"/>
    </row>
    <row r="77" spans="1:35" s="28" customFormat="1">
      <c r="A77" s="53" t="s">
        <v>84</v>
      </c>
      <c r="B77" s="53" t="s">
        <v>162</v>
      </c>
      <c r="C77" s="53"/>
      <c r="D77" s="53" t="s">
        <v>118</v>
      </c>
      <c r="E77" s="53" t="s">
        <v>141</v>
      </c>
      <c r="F77" s="92">
        <v>42228</v>
      </c>
      <c r="G77" s="56">
        <f>2499.12+7.428</f>
        <v>2506.5479999999998</v>
      </c>
      <c r="H77" s="56"/>
      <c r="I77" s="56"/>
      <c r="J77" s="85">
        <v>45.13</v>
      </c>
      <c r="K77" s="86">
        <f t="shared" si="46"/>
        <v>2461.4179999999997</v>
      </c>
      <c r="L77" s="56"/>
      <c r="M77" s="110"/>
      <c r="N77" s="56"/>
      <c r="O77" s="56">
        <v>0</v>
      </c>
      <c r="P77" s="56">
        <f>K77*4.9%</f>
        <v>120.60948199999999</v>
      </c>
      <c r="Q77" s="56">
        <f>K77*1%</f>
        <v>24.614179999999998</v>
      </c>
      <c r="R77" s="56"/>
      <c r="S77" s="50"/>
      <c r="T77" s="50"/>
      <c r="U77" s="53"/>
      <c r="V77" s="53">
        <v>845</v>
      </c>
      <c r="W77" s="86">
        <f t="shared" si="40"/>
        <v>1471.1943379999998</v>
      </c>
      <c r="X77" s="50">
        <f t="shared" si="41"/>
        <v>246.14179999999999</v>
      </c>
      <c r="Y77" s="86">
        <f t="shared" si="42"/>
        <v>1225.0525379999999</v>
      </c>
      <c r="Z77" s="50">
        <f t="shared" si="43"/>
        <v>0</v>
      </c>
      <c r="AA77" s="50">
        <v>10.23</v>
      </c>
      <c r="AB77" s="50">
        <f t="shared" si="44"/>
        <v>120.60948199999999</v>
      </c>
      <c r="AC77" s="86">
        <f t="shared" si="45"/>
        <v>2592.2574819999995</v>
      </c>
      <c r="AD77" s="96"/>
      <c r="AE77" s="96"/>
      <c r="AF77" s="87">
        <f t="shared" si="47"/>
        <v>-1225.0525379999999</v>
      </c>
      <c r="AG77" s="53"/>
      <c r="AH77" s="53"/>
      <c r="AI77" s="111" t="s">
        <v>269</v>
      </c>
    </row>
    <row r="78" spans="1:35" s="28" customFormat="1">
      <c r="A78" s="53" t="s">
        <v>81</v>
      </c>
      <c r="B78" s="53" t="s">
        <v>173</v>
      </c>
      <c r="C78" s="53"/>
      <c r="D78" s="53" t="s">
        <v>86</v>
      </c>
      <c r="E78" s="53" t="s">
        <v>69</v>
      </c>
      <c r="F78" s="92">
        <v>42065</v>
      </c>
      <c r="G78" s="56">
        <v>2797.09</v>
      </c>
      <c r="H78" s="56"/>
      <c r="I78" s="56"/>
      <c r="J78" s="85">
        <v>45.13</v>
      </c>
      <c r="K78" s="86">
        <f t="shared" si="46"/>
        <v>2751.96</v>
      </c>
      <c r="L78" s="56"/>
      <c r="M78" s="110"/>
      <c r="N78" s="56"/>
      <c r="O78" s="56">
        <v>0</v>
      </c>
      <c r="P78" s="56"/>
      <c r="Q78" s="56"/>
      <c r="R78" s="56"/>
      <c r="S78" s="50"/>
      <c r="T78" s="50"/>
      <c r="U78" s="53"/>
      <c r="V78" s="53">
        <v>0</v>
      </c>
      <c r="W78" s="86">
        <f t="shared" si="40"/>
        <v>2751.96</v>
      </c>
      <c r="X78" s="50">
        <f t="shared" si="41"/>
        <v>275.19600000000003</v>
      </c>
      <c r="Y78" s="86">
        <f t="shared" si="42"/>
        <v>2476.7640000000001</v>
      </c>
      <c r="Z78" s="50">
        <f t="shared" si="43"/>
        <v>0</v>
      </c>
      <c r="AA78" s="50">
        <v>10.23</v>
      </c>
      <c r="AB78" s="50">
        <f t="shared" si="44"/>
        <v>0</v>
      </c>
      <c r="AC78" s="86">
        <f t="shared" si="45"/>
        <v>2762.19</v>
      </c>
      <c r="AD78" s="96"/>
      <c r="AE78" s="97"/>
      <c r="AF78" s="87">
        <f t="shared" si="47"/>
        <v>-2476.7640000000001</v>
      </c>
      <c r="AG78" s="53"/>
      <c r="AH78" s="53"/>
    </row>
    <row r="79" spans="1:35" s="28" customFormat="1">
      <c r="A79" s="53" t="s">
        <v>68</v>
      </c>
      <c r="B79" s="53" t="s">
        <v>79</v>
      </c>
      <c r="C79" s="53" t="s">
        <v>179</v>
      </c>
      <c r="D79" s="53" t="s">
        <v>134</v>
      </c>
      <c r="E79" s="53" t="s">
        <v>70</v>
      </c>
      <c r="F79" s="92">
        <v>41218</v>
      </c>
      <c r="G79" s="56">
        <v>1216.1300000000001</v>
      </c>
      <c r="H79" s="56"/>
      <c r="I79" s="56"/>
      <c r="J79" s="85">
        <v>45.13</v>
      </c>
      <c r="K79" s="86">
        <f t="shared" si="46"/>
        <v>1171</v>
      </c>
      <c r="L79" s="56"/>
      <c r="M79" s="110"/>
      <c r="N79" s="56"/>
      <c r="O79" s="56">
        <v>0</v>
      </c>
      <c r="P79" s="56"/>
      <c r="Q79" s="56"/>
      <c r="R79" s="56"/>
      <c r="S79" s="50"/>
      <c r="T79" s="50"/>
      <c r="U79" s="53"/>
      <c r="V79" s="53">
        <v>0</v>
      </c>
      <c r="W79" s="86">
        <f t="shared" si="40"/>
        <v>1171</v>
      </c>
      <c r="X79" s="50">
        <f t="shared" si="41"/>
        <v>0</v>
      </c>
      <c r="Y79" s="86">
        <f t="shared" si="42"/>
        <v>1171</v>
      </c>
      <c r="Z79" s="50">
        <f t="shared" si="43"/>
        <v>117.10000000000001</v>
      </c>
      <c r="AA79" s="50">
        <v>10.23</v>
      </c>
      <c r="AB79" s="50">
        <f t="shared" si="44"/>
        <v>0</v>
      </c>
      <c r="AC79" s="86">
        <f t="shared" si="45"/>
        <v>1298.33</v>
      </c>
      <c r="AD79" s="96"/>
      <c r="AE79" s="97"/>
      <c r="AF79" s="87">
        <f t="shared" si="47"/>
        <v>-1171</v>
      </c>
      <c r="AG79" s="53"/>
      <c r="AH79" s="53"/>
    </row>
    <row r="80" spans="1:35" s="28" customFormat="1">
      <c r="A80" s="53" t="s">
        <v>84</v>
      </c>
      <c r="B80" s="53" t="s">
        <v>225</v>
      </c>
      <c r="C80" s="53"/>
      <c r="D80" s="53" t="s">
        <v>120</v>
      </c>
      <c r="E80" s="53" t="s">
        <v>260</v>
      </c>
      <c r="F80" s="92">
        <v>41703</v>
      </c>
      <c r="G80" s="56">
        <v>1123.838</v>
      </c>
      <c r="H80" s="56"/>
      <c r="I80" s="56"/>
      <c r="J80" s="85">
        <v>45.13</v>
      </c>
      <c r="K80" s="86">
        <f t="shared" si="46"/>
        <v>1078.7079999999999</v>
      </c>
      <c r="L80" s="56"/>
      <c r="M80" s="110"/>
      <c r="N80" s="56"/>
      <c r="O80" s="56">
        <v>0</v>
      </c>
      <c r="P80" s="56">
        <f>K80*4.9%</f>
        <v>52.856691999999995</v>
      </c>
      <c r="Q80" s="56">
        <f>K80*1%</f>
        <v>10.78708</v>
      </c>
      <c r="R80" s="56"/>
      <c r="S80" s="50"/>
      <c r="T80" s="50"/>
      <c r="U80" s="53"/>
      <c r="V80" s="53">
        <v>0</v>
      </c>
      <c r="W80" s="86">
        <f t="shared" si="40"/>
        <v>1015.0642279999998</v>
      </c>
      <c r="X80" s="50">
        <f t="shared" si="41"/>
        <v>0</v>
      </c>
      <c r="Y80" s="86">
        <f t="shared" si="42"/>
        <v>1015.0642279999998</v>
      </c>
      <c r="Z80" s="50">
        <f t="shared" si="43"/>
        <v>107.87079999999999</v>
      </c>
      <c r="AA80" s="50">
        <v>10.23</v>
      </c>
      <c r="AB80" s="50">
        <f t="shared" si="44"/>
        <v>52.856691999999995</v>
      </c>
      <c r="AC80" s="86">
        <f t="shared" si="45"/>
        <v>1249.6654919999999</v>
      </c>
      <c r="AD80" s="96"/>
      <c r="AE80" s="96"/>
      <c r="AF80" s="87">
        <f t="shared" si="47"/>
        <v>-1015.0642279999998</v>
      </c>
      <c r="AG80" s="53"/>
      <c r="AH80" s="53"/>
      <c r="AI80" s="111" t="s">
        <v>269</v>
      </c>
    </row>
    <row r="81" spans="1:35" s="28" customFormat="1">
      <c r="A81" s="53" t="s">
        <v>81</v>
      </c>
      <c r="B81" s="109" t="s">
        <v>267</v>
      </c>
      <c r="C81" s="53"/>
      <c r="D81" s="53"/>
      <c r="E81" s="53" t="s">
        <v>139</v>
      </c>
      <c r="F81" s="92">
        <v>34275</v>
      </c>
      <c r="G81" s="56"/>
      <c r="H81" s="56"/>
      <c r="I81" s="56"/>
      <c r="J81" s="85"/>
      <c r="K81" s="86">
        <f t="shared" si="46"/>
        <v>0</v>
      </c>
      <c r="L81" s="56"/>
      <c r="M81" s="110"/>
      <c r="N81" s="56"/>
      <c r="O81" s="56"/>
      <c r="P81" s="56"/>
      <c r="Q81" s="56"/>
      <c r="R81" s="56"/>
      <c r="S81" s="50"/>
      <c r="T81" s="50"/>
      <c r="U81" s="53"/>
      <c r="V81" s="53"/>
      <c r="W81" s="86">
        <f t="shared" si="40"/>
        <v>0</v>
      </c>
      <c r="X81" s="50"/>
      <c r="Y81" s="86">
        <f t="shared" ref="Y81" si="48">+W81-X81</f>
        <v>0</v>
      </c>
      <c r="Z81" s="50">
        <f t="shared" ref="Z81" si="49">IF(K81&lt;2250,K81*0.1,0)</f>
        <v>0</v>
      </c>
      <c r="AA81" s="50">
        <v>11.23</v>
      </c>
      <c r="AB81" s="50">
        <f t="shared" ref="AB81" si="50">+P81</f>
        <v>0</v>
      </c>
      <c r="AC81" s="86">
        <f t="shared" ref="AC81" si="51">+K81+Z81+AA81+AB81</f>
        <v>11.23</v>
      </c>
      <c r="AD81" s="96"/>
      <c r="AE81" s="96"/>
      <c r="AF81" s="87"/>
      <c r="AG81" s="53"/>
      <c r="AH81" s="95" t="s">
        <v>268</v>
      </c>
    </row>
    <row r="82" spans="1:35" s="28" customFormat="1">
      <c r="A82" s="53" t="s">
        <v>84</v>
      </c>
      <c r="B82" s="53" t="s">
        <v>147</v>
      </c>
      <c r="C82" s="53"/>
      <c r="D82" s="53" t="s">
        <v>121</v>
      </c>
      <c r="E82" s="53" t="s">
        <v>260</v>
      </c>
      <c r="F82" s="92">
        <v>41291</v>
      </c>
      <c r="G82" s="56">
        <f>2301.802+5.571</f>
        <v>2307.373</v>
      </c>
      <c r="H82" s="56"/>
      <c r="I82" s="56"/>
      <c r="J82" s="85">
        <v>45.13</v>
      </c>
      <c r="K82" s="86">
        <f t="shared" si="46"/>
        <v>2262.2429999999999</v>
      </c>
      <c r="L82" s="56"/>
      <c r="M82" s="110"/>
      <c r="N82" s="56"/>
      <c r="O82" s="56">
        <v>200</v>
      </c>
      <c r="P82" s="56">
        <f>K82*4.9%</f>
        <v>110.849907</v>
      </c>
      <c r="Q82" s="56">
        <f>K82*1%</f>
        <v>22.622430000000001</v>
      </c>
      <c r="R82" s="56">
        <v>257.64</v>
      </c>
      <c r="S82" s="50"/>
      <c r="T82" s="50"/>
      <c r="U82" s="53">
        <v>201.24</v>
      </c>
      <c r="V82" s="53">
        <v>0</v>
      </c>
      <c r="W82" s="86">
        <f t="shared" si="40"/>
        <v>1469.8906629999999</v>
      </c>
      <c r="X82" s="50">
        <f t="shared" si="41"/>
        <v>226.2243</v>
      </c>
      <c r="Y82" s="86">
        <f t="shared" si="42"/>
        <v>1243.6663629999998</v>
      </c>
      <c r="Z82" s="50">
        <f t="shared" si="43"/>
        <v>0</v>
      </c>
      <c r="AA82" s="50">
        <v>10.23</v>
      </c>
      <c r="AB82" s="50">
        <f t="shared" si="44"/>
        <v>110.849907</v>
      </c>
      <c r="AC82" s="86">
        <f t="shared" si="45"/>
        <v>2383.3229069999998</v>
      </c>
      <c r="AD82" s="96"/>
      <c r="AE82" s="96"/>
      <c r="AF82" s="87">
        <f t="shared" si="47"/>
        <v>-1243.6663629999998</v>
      </c>
      <c r="AG82" s="53"/>
      <c r="AH82" s="57"/>
      <c r="AI82" s="111" t="s">
        <v>269</v>
      </c>
    </row>
    <row r="83" spans="1:35" s="28" customFormat="1">
      <c r="A83" s="53" t="s">
        <v>82</v>
      </c>
      <c r="B83" s="53" t="s">
        <v>159</v>
      </c>
      <c r="C83" s="53"/>
      <c r="D83" s="53" t="s">
        <v>93</v>
      </c>
      <c r="E83" s="53" t="s">
        <v>137</v>
      </c>
      <c r="F83" s="92">
        <v>41666</v>
      </c>
      <c r="G83" s="56">
        <f>1912.788+7.428</f>
        <v>1920.2160000000001</v>
      </c>
      <c r="H83" s="56"/>
      <c r="I83" s="56"/>
      <c r="J83" s="85">
        <v>45.13</v>
      </c>
      <c r="K83" s="86">
        <f t="shared" si="46"/>
        <v>1875.086</v>
      </c>
      <c r="L83" s="56"/>
      <c r="M83" s="110"/>
      <c r="N83" s="56"/>
      <c r="O83" s="56">
        <v>150</v>
      </c>
      <c r="P83" s="56"/>
      <c r="Q83" s="56"/>
      <c r="R83" s="56"/>
      <c r="S83" s="50"/>
      <c r="T83" s="50"/>
      <c r="U83" s="53"/>
      <c r="V83" s="53">
        <v>0</v>
      </c>
      <c r="W83" s="86">
        <f t="shared" si="40"/>
        <v>1725.086</v>
      </c>
      <c r="X83" s="50">
        <f t="shared" si="41"/>
        <v>0</v>
      </c>
      <c r="Y83" s="86">
        <f t="shared" si="42"/>
        <v>1725.086</v>
      </c>
      <c r="Z83" s="50">
        <f t="shared" si="43"/>
        <v>187.5086</v>
      </c>
      <c r="AA83" s="50">
        <v>10.23</v>
      </c>
      <c r="AB83" s="50">
        <f t="shared" si="44"/>
        <v>0</v>
      </c>
      <c r="AC83" s="86">
        <f t="shared" si="45"/>
        <v>2072.8245999999999</v>
      </c>
      <c r="AD83" s="96"/>
      <c r="AE83" s="97"/>
      <c r="AF83" s="87">
        <f t="shared" si="47"/>
        <v>-1725.086</v>
      </c>
      <c r="AG83" s="53"/>
      <c r="AH83" s="53"/>
    </row>
    <row r="84" spans="1:35" s="28" customFormat="1">
      <c r="A84" s="53" t="s">
        <v>83</v>
      </c>
      <c r="B84" s="53" t="s">
        <v>209</v>
      </c>
      <c r="C84" s="53"/>
      <c r="D84" s="53" t="s">
        <v>101</v>
      </c>
      <c r="E84" s="53" t="s">
        <v>139</v>
      </c>
      <c r="F84" s="92">
        <v>42333</v>
      </c>
      <c r="G84" s="56">
        <v>100</v>
      </c>
      <c r="H84" s="56"/>
      <c r="I84" s="56"/>
      <c r="J84" s="85">
        <v>45.13</v>
      </c>
      <c r="K84" s="86">
        <f t="shared" si="46"/>
        <v>54.87</v>
      </c>
      <c r="L84" s="56"/>
      <c r="M84" s="110"/>
      <c r="N84" s="56"/>
      <c r="O84" s="56">
        <v>0</v>
      </c>
      <c r="P84" s="56"/>
      <c r="Q84" s="56"/>
      <c r="R84" s="56"/>
      <c r="S84" s="50"/>
      <c r="T84" s="50"/>
      <c r="U84" s="53"/>
      <c r="V84" s="53">
        <v>351.55</v>
      </c>
      <c r="W84" s="86">
        <f t="shared" si="40"/>
        <v>-296.68</v>
      </c>
      <c r="X84" s="50">
        <f t="shared" si="41"/>
        <v>0</v>
      </c>
      <c r="Y84" s="86">
        <f t="shared" si="42"/>
        <v>-296.68</v>
      </c>
      <c r="Z84" s="50">
        <f t="shared" si="43"/>
        <v>5.4870000000000001</v>
      </c>
      <c r="AA84" s="50">
        <v>10.23</v>
      </c>
      <c r="AB84" s="50">
        <f t="shared" si="44"/>
        <v>0</v>
      </c>
      <c r="AC84" s="86">
        <f t="shared" si="45"/>
        <v>70.587000000000003</v>
      </c>
      <c r="AD84" s="96"/>
      <c r="AE84" s="97"/>
      <c r="AF84" s="87">
        <f t="shared" si="47"/>
        <v>296.68</v>
      </c>
      <c r="AG84" s="53"/>
      <c r="AH84" s="53"/>
    </row>
    <row r="85" spans="1:35" s="28" customFormat="1">
      <c r="A85" s="53" t="s">
        <v>68</v>
      </c>
      <c r="B85" s="53" t="s">
        <v>254</v>
      </c>
      <c r="C85" s="53"/>
      <c r="D85" s="53"/>
      <c r="E85" s="53" t="s">
        <v>70</v>
      </c>
      <c r="F85" s="92">
        <v>42459</v>
      </c>
      <c r="G85" s="56">
        <v>6901.08</v>
      </c>
      <c r="H85" s="56"/>
      <c r="I85" s="56"/>
      <c r="J85" s="85">
        <v>45.13</v>
      </c>
      <c r="K85" s="86">
        <f t="shared" si="46"/>
        <v>6855.95</v>
      </c>
      <c r="L85" s="56"/>
      <c r="M85" s="110"/>
      <c r="N85" s="56"/>
      <c r="O85" s="56">
        <v>0</v>
      </c>
      <c r="P85" s="56"/>
      <c r="Q85" s="56"/>
      <c r="R85" s="56"/>
      <c r="S85" s="50"/>
      <c r="T85" s="50"/>
      <c r="U85" s="53"/>
      <c r="V85" s="53"/>
      <c r="W85" s="86">
        <f t="shared" si="40"/>
        <v>6855.95</v>
      </c>
      <c r="X85" s="50">
        <f t="shared" si="41"/>
        <v>685.59500000000003</v>
      </c>
      <c r="Y85" s="86">
        <f t="shared" si="42"/>
        <v>6170.3549999999996</v>
      </c>
      <c r="Z85" s="50">
        <f t="shared" si="43"/>
        <v>0</v>
      </c>
      <c r="AA85" s="50">
        <v>10.23</v>
      </c>
      <c r="AB85" s="50">
        <f t="shared" si="44"/>
        <v>0</v>
      </c>
      <c r="AC85" s="86">
        <f t="shared" si="45"/>
        <v>6866.1799999999994</v>
      </c>
      <c r="AD85" s="103"/>
      <c r="AE85" s="97"/>
      <c r="AF85" s="87">
        <f t="shared" si="47"/>
        <v>-6170.3549999999996</v>
      </c>
      <c r="AG85" s="53"/>
      <c r="AH85" s="57"/>
    </row>
    <row r="86" spans="1:35" s="28" customFormat="1">
      <c r="A86" s="53" t="s">
        <v>66</v>
      </c>
      <c r="B86" s="53" t="s">
        <v>247</v>
      </c>
      <c r="C86" s="53"/>
      <c r="D86" s="53"/>
      <c r="E86" s="53" t="s">
        <v>138</v>
      </c>
      <c r="F86" s="92">
        <v>42566</v>
      </c>
      <c r="G86" s="56">
        <v>2100</v>
      </c>
      <c r="H86" s="56"/>
      <c r="I86" s="56"/>
      <c r="J86" s="85">
        <v>45.13</v>
      </c>
      <c r="K86" s="86">
        <f t="shared" si="46"/>
        <v>2054.87</v>
      </c>
      <c r="L86" s="56"/>
      <c r="M86" s="110"/>
      <c r="N86" s="56"/>
      <c r="O86" s="56"/>
      <c r="P86" s="56"/>
      <c r="Q86" s="56"/>
      <c r="R86" s="56"/>
      <c r="S86" s="50"/>
      <c r="T86" s="50"/>
      <c r="U86" s="53"/>
      <c r="V86" s="53"/>
      <c r="W86" s="86">
        <f t="shared" si="40"/>
        <v>2054.87</v>
      </c>
      <c r="X86" s="50">
        <f t="shared" si="41"/>
        <v>0</v>
      </c>
      <c r="Y86" s="86">
        <f t="shared" si="42"/>
        <v>2054.87</v>
      </c>
      <c r="Z86" s="50">
        <f t="shared" si="43"/>
        <v>205.48699999999999</v>
      </c>
      <c r="AA86" s="50">
        <v>21.23</v>
      </c>
      <c r="AB86" s="50">
        <f t="shared" si="44"/>
        <v>0</v>
      </c>
      <c r="AC86" s="86">
        <f t="shared" si="45"/>
        <v>2281.587</v>
      </c>
      <c r="AD86" s="103"/>
      <c r="AE86" s="97"/>
      <c r="AF86" s="87"/>
      <c r="AG86" s="53">
        <v>2671903578</v>
      </c>
      <c r="AH86" s="57"/>
    </row>
    <row r="87" spans="1:35" s="28" customFormat="1">
      <c r="A87" s="53" t="s">
        <v>82</v>
      </c>
      <c r="B87" s="53" t="s">
        <v>197</v>
      </c>
      <c r="C87" s="53"/>
      <c r="D87" s="53" t="s">
        <v>92</v>
      </c>
      <c r="E87" s="53" t="s">
        <v>137</v>
      </c>
      <c r="F87" s="92">
        <v>42346</v>
      </c>
      <c r="G87" s="56">
        <f>1295.484+5.571</f>
        <v>1301.0549999999998</v>
      </c>
      <c r="H87" s="56"/>
      <c r="I87" s="56"/>
      <c r="J87" s="85">
        <v>45.13</v>
      </c>
      <c r="K87" s="86">
        <f t="shared" si="46"/>
        <v>1255.9249999999997</v>
      </c>
      <c r="L87" s="56"/>
      <c r="M87" s="110">
        <v>1</v>
      </c>
      <c r="N87" s="56"/>
      <c r="O87" s="56">
        <v>0</v>
      </c>
      <c r="P87" s="56"/>
      <c r="Q87" s="56"/>
      <c r="R87" s="56"/>
      <c r="S87" s="50"/>
      <c r="T87" s="50"/>
      <c r="U87" s="53"/>
      <c r="V87" s="53">
        <v>0</v>
      </c>
      <c r="W87" s="86">
        <f t="shared" si="40"/>
        <v>1254.9249999999997</v>
      </c>
      <c r="X87" s="50">
        <f t="shared" si="41"/>
        <v>0</v>
      </c>
      <c r="Y87" s="86">
        <f t="shared" si="42"/>
        <v>1254.9249999999997</v>
      </c>
      <c r="Z87" s="50">
        <f t="shared" si="43"/>
        <v>125.59249999999997</v>
      </c>
      <c r="AA87" s="50">
        <v>10.23</v>
      </c>
      <c r="AB87" s="50">
        <f t="shared" si="44"/>
        <v>0</v>
      </c>
      <c r="AC87" s="86">
        <f t="shared" si="45"/>
        <v>1391.7474999999997</v>
      </c>
      <c r="AD87" s="96"/>
      <c r="AE87" s="97"/>
      <c r="AF87" s="87">
        <f t="shared" ref="AF87:AF97" si="52">+AD87+AE87-Y87</f>
        <v>-1254.9249999999997</v>
      </c>
      <c r="AG87" s="53"/>
      <c r="AH87" s="57"/>
    </row>
    <row r="88" spans="1:35" s="28" customFormat="1">
      <c r="A88" s="53" t="s">
        <v>82</v>
      </c>
      <c r="B88" s="53" t="s">
        <v>75</v>
      </c>
      <c r="C88" s="53"/>
      <c r="D88" s="53" t="s">
        <v>94</v>
      </c>
      <c r="E88" s="53" t="s">
        <v>137</v>
      </c>
      <c r="F88" s="92">
        <v>42100</v>
      </c>
      <c r="G88" s="56">
        <f>1203.522+3.714</f>
        <v>1207.2359999999999</v>
      </c>
      <c r="H88" s="56"/>
      <c r="I88" s="56"/>
      <c r="J88" s="85">
        <v>45.13</v>
      </c>
      <c r="K88" s="86">
        <f t="shared" si="46"/>
        <v>1162.1059999999998</v>
      </c>
      <c r="L88" s="56"/>
      <c r="M88" s="110">
        <v>1</v>
      </c>
      <c r="N88" s="56"/>
      <c r="O88" s="56">
        <v>0</v>
      </c>
      <c r="P88" s="56"/>
      <c r="Q88" s="56"/>
      <c r="R88" s="56"/>
      <c r="S88" s="50"/>
      <c r="T88" s="50"/>
      <c r="U88" s="53"/>
      <c r="V88" s="53">
        <v>0</v>
      </c>
      <c r="W88" s="86">
        <f t="shared" si="40"/>
        <v>1161.1059999999998</v>
      </c>
      <c r="X88" s="50">
        <f t="shared" si="41"/>
        <v>0</v>
      </c>
      <c r="Y88" s="86">
        <f t="shared" si="42"/>
        <v>1161.1059999999998</v>
      </c>
      <c r="Z88" s="50">
        <f t="shared" si="43"/>
        <v>116.21059999999999</v>
      </c>
      <c r="AA88" s="50">
        <v>10.23</v>
      </c>
      <c r="AB88" s="50">
        <f t="shared" si="44"/>
        <v>0</v>
      </c>
      <c r="AC88" s="86">
        <f t="shared" si="45"/>
        <v>1288.5465999999997</v>
      </c>
      <c r="AD88" s="96"/>
      <c r="AE88" s="97"/>
      <c r="AF88" s="87">
        <f t="shared" si="52"/>
        <v>-1161.1059999999998</v>
      </c>
      <c r="AG88" s="53"/>
      <c r="AH88" s="57"/>
    </row>
    <row r="89" spans="1:35" s="28" customFormat="1">
      <c r="A89" s="53" t="s">
        <v>81</v>
      </c>
      <c r="B89" s="53" t="s">
        <v>174</v>
      </c>
      <c r="C89" s="53"/>
      <c r="D89" s="59"/>
      <c r="E89" s="53" t="s">
        <v>69</v>
      </c>
      <c r="F89" s="92">
        <v>42328</v>
      </c>
      <c r="G89" s="56">
        <v>1186.73</v>
      </c>
      <c r="H89" s="56"/>
      <c r="I89" s="56"/>
      <c r="J89" s="85">
        <v>45.13</v>
      </c>
      <c r="K89" s="86">
        <f t="shared" si="46"/>
        <v>1141.5999999999999</v>
      </c>
      <c r="L89" s="56"/>
      <c r="M89" s="110">
        <v>1</v>
      </c>
      <c r="N89" s="56"/>
      <c r="O89" s="56">
        <v>0</v>
      </c>
      <c r="P89" s="56"/>
      <c r="Q89" s="56"/>
      <c r="R89" s="56"/>
      <c r="S89" s="50"/>
      <c r="T89" s="50"/>
      <c r="U89" s="53"/>
      <c r="V89" s="53">
        <v>0</v>
      </c>
      <c r="W89" s="86">
        <f t="shared" si="40"/>
        <v>1140.5999999999999</v>
      </c>
      <c r="X89" s="50">
        <f t="shared" si="41"/>
        <v>0</v>
      </c>
      <c r="Y89" s="86">
        <f t="shared" si="42"/>
        <v>1140.5999999999999</v>
      </c>
      <c r="Z89" s="50">
        <f t="shared" si="43"/>
        <v>114.16</v>
      </c>
      <c r="AA89" s="50">
        <v>10.23</v>
      </c>
      <c r="AB89" s="50">
        <f t="shared" si="44"/>
        <v>0</v>
      </c>
      <c r="AC89" s="86">
        <f t="shared" si="45"/>
        <v>1265.99</v>
      </c>
      <c r="AD89" s="96"/>
      <c r="AE89" s="97"/>
      <c r="AF89" s="87">
        <f t="shared" si="52"/>
        <v>-1140.5999999999999</v>
      </c>
      <c r="AG89" s="53"/>
      <c r="AH89" s="57"/>
    </row>
    <row r="90" spans="1:35" s="28" customFormat="1">
      <c r="A90" s="53" t="s">
        <v>68</v>
      </c>
      <c r="B90" s="53" t="s">
        <v>220</v>
      </c>
      <c r="C90" s="53" t="s">
        <v>181</v>
      </c>
      <c r="D90" s="53" t="s">
        <v>135</v>
      </c>
      <c r="E90" s="53" t="s">
        <v>70</v>
      </c>
      <c r="F90" s="92">
        <v>42327</v>
      </c>
      <c r="G90" s="56"/>
      <c r="H90" s="56"/>
      <c r="I90" s="56"/>
      <c r="J90" s="85">
        <v>45.13</v>
      </c>
      <c r="K90" s="86">
        <f t="shared" si="46"/>
        <v>-45.13</v>
      </c>
      <c r="L90" s="56"/>
      <c r="M90" s="110"/>
      <c r="N90" s="56"/>
      <c r="O90" s="56">
        <v>0</v>
      </c>
      <c r="P90" s="56"/>
      <c r="Q90" s="56"/>
      <c r="R90" s="56"/>
      <c r="S90" s="50">
        <v>537.87</v>
      </c>
      <c r="T90" s="50"/>
      <c r="U90" s="53"/>
      <c r="V90" s="106">
        <v>0</v>
      </c>
      <c r="W90" s="86">
        <f t="shared" si="40"/>
        <v>-583</v>
      </c>
      <c r="X90" s="50">
        <f t="shared" si="41"/>
        <v>0</v>
      </c>
      <c r="Y90" s="86">
        <f t="shared" si="42"/>
        <v>-583</v>
      </c>
      <c r="Z90" s="50">
        <f t="shared" si="43"/>
        <v>-4.5130000000000008</v>
      </c>
      <c r="AA90" s="50">
        <v>10.23</v>
      </c>
      <c r="AB90" s="50">
        <f t="shared" si="44"/>
        <v>0</v>
      </c>
      <c r="AC90" s="86">
        <f t="shared" si="45"/>
        <v>-39.412999999999997</v>
      </c>
      <c r="AD90" s="96"/>
      <c r="AE90" s="97"/>
      <c r="AF90" s="87">
        <f t="shared" si="52"/>
        <v>583</v>
      </c>
      <c r="AG90" s="53"/>
      <c r="AH90" s="57"/>
    </row>
    <row r="91" spans="1:35" s="28" customFormat="1">
      <c r="A91" s="53" t="s">
        <v>67</v>
      </c>
      <c r="B91" s="53" t="s">
        <v>199</v>
      </c>
      <c r="C91" s="53" t="s">
        <v>182</v>
      </c>
      <c r="D91" s="53" t="s">
        <v>105</v>
      </c>
      <c r="E91" s="53" t="s">
        <v>208</v>
      </c>
      <c r="F91" s="92">
        <v>42173</v>
      </c>
      <c r="G91" s="56">
        <v>1124.01</v>
      </c>
      <c r="H91" s="56"/>
      <c r="I91" s="56"/>
      <c r="J91" s="85">
        <v>45.13</v>
      </c>
      <c r="K91" s="86">
        <f t="shared" si="46"/>
        <v>1078.8799999999999</v>
      </c>
      <c r="L91" s="56"/>
      <c r="M91" s="110"/>
      <c r="N91" s="56"/>
      <c r="O91" s="56">
        <v>0</v>
      </c>
      <c r="P91" s="56"/>
      <c r="Q91" s="56"/>
      <c r="R91" s="56"/>
      <c r="S91" s="50"/>
      <c r="T91" s="50"/>
      <c r="U91" s="53"/>
      <c r="V91" s="53">
        <v>0</v>
      </c>
      <c r="W91" s="86">
        <f t="shared" si="40"/>
        <v>1078.8799999999999</v>
      </c>
      <c r="X91" s="50">
        <f t="shared" si="41"/>
        <v>0</v>
      </c>
      <c r="Y91" s="86">
        <f t="shared" si="42"/>
        <v>1078.8799999999999</v>
      </c>
      <c r="Z91" s="50">
        <f t="shared" si="43"/>
        <v>107.88799999999999</v>
      </c>
      <c r="AA91" s="50">
        <v>10.23</v>
      </c>
      <c r="AB91" s="50">
        <f t="shared" si="44"/>
        <v>0</v>
      </c>
      <c r="AC91" s="86">
        <f t="shared" si="45"/>
        <v>1196.9979999999998</v>
      </c>
      <c r="AD91" s="103"/>
      <c r="AE91" s="104"/>
      <c r="AF91" s="87">
        <f t="shared" si="52"/>
        <v>-1078.8799999999999</v>
      </c>
      <c r="AH91" s="53"/>
    </row>
    <row r="92" spans="1:35" s="28" customFormat="1">
      <c r="A92" s="53" t="s">
        <v>68</v>
      </c>
      <c r="B92" s="53" t="s">
        <v>234</v>
      </c>
      <c r="C92" s="53" t="s">
        <v>179</v>
      </c>
      <c r="D92" s="53"/>
      <c r="E92" s="53" t="s">
        <v>70</v>
      </c>
      <c r="F92" s="92">
        <v>42506</v>
      </c>
      <c r="G92" s="56">
        <v>7092.37</v>
      </c>
      <c r="H92" s="56"/>
      <c r="I92" s="56"/>
      <c r="J92" s="85">
        <v>45.13</v>
      </c>
      <c r="K92" s="86">
        <f t="shared" si="46"/>
        <v>7047.24</v>
      </c>
      <c r="L92" s="56"/>
      <c r="M92" s="110"/>
      <c r="N92" s="56"/>
      <c r="O92" s="56">
        <v>0</v>
      </c>
      <c r="P92" s="56"/>
      <c r="Q92" s="56"/>
      <c r="R92" s="56"/>
      <c r="S92" s="50"/>
      <c r="T92" s="50"/>
      <c r="U92" s="53"/>
      <c r="V92" s="106">
        <v>0</v>
      </c>
      <c r="W92" s="86">
        <f t="shared" si="40"/>
        <v>7047.24</v>
      </c>
      <c r="X92" s="50">
        <f t="shared" si="41"/>
        <v>704.72400000000005</v>
      </c>
      <c r="Y92" s="86">
        <f t="shared" si="42"/>
        <v>6342.5159999999996</v>
      </c>
      <c r="Z92" s="50">
        <f t="shared" si="43"/>
        <v>0</v>
      </c>
      <c r="AA92" s="50">
        <v>10.23</v>
      </c>
      <c r="AB92" s="50">
        <f t="shared" si="44"/>
        <v>0</v>
      </c>
      <c r="AC92" s="86">
        <f t="shared" si="45"/>
        <v>7057.4699999999993</v>
      </c>
      <c r="AD92" s="103"/>
      <c r="AE92" s="103"/>
      <c r="AF92" s="87">
        <f t="shared" si="52"/>
        <v>-6342.5159999999996</v>
      </c>
      <c r="AG92" s="68">
        <v>1179675078</v>
      </c>
      <c r="AH92" s="57"/>
    </row>
    <row r="93" spans="1:35" s="28" customFormat="1">
      <c r="A93" s="53" t="s">
        <v>84</v>
      </c>
      <c r="B93" s="53" t="s">
        <v>255</v>
      </c>
      <c r="C93" s="53"/>
      <c r="D93" s="53" t="s">
        <v>122</v>
      </c>
      <c r="E93" s="53" t="s">
        <v>259</v>
      </c>
      <c r="F93" s="92">
        <v>41227</v>
      </c>
      <c r="G93" s="56">
        <f>2328.972+13.099</f>
        <v>2342.0710000000004</v>
      </c>
      <c r="H93" s="56"/>
      <c r="I93" s="56"/>
      <c r="J93" s="85">
        <v>45.13</v>
      </c>
      <c r="K93" s="86">
        <f t="shared" si="46"/>
        <v>2296.9410000000003</v>
      </c>
      <c r="L93" s="56"/>
      <c r="M93" s="110"/>
      <c r="N93" s="56"/>
      <c r="O93" s="56">
        <v>200</v>
      </c>
      <c r="P93" s="56">
        <f>K93*4.9%</f>
        <v>112.55010900000002</v>
      </c>
      <c r="Q93" s="56">
        <f>K93*1%</f>
        <v>22.969410000000003</v>
      </c>
      <c r="R93" s="56"/>
      <c r="S93" s="50"/>
      <c r="T93" s="50"/>
      <c r="U93" s="53"/>
      <c r="V93" s="53">
        <v>0</v>
      </c>
      <c r="W93" s="86">
        <f t="shared" si="40"/>
        <v>1961.4214810000003</v>
      </c>
      <c r="X93" s="50">
        <f t="shared" si="41"/>
        <v>229.69410000000005</v>
      </c>
      <c r="Y93" s="86">
        <f t="shared" si="42"/>
        <v>1731.7273810000002</v>
      </c>
      <c r="Z93" s="50">
        <f t="shared" si="43"/>
        <v>0</v>
      </c>
      <c r="AA93" s="50">
        <v>10.23</v>
      </c>
      <c r="AB93" s="50">
        <f t="shared" si="44"/>
        <v>112.55010900000002</v>
      </c>
      <c r="AC93" s="86">
        <f t="shared" si="45"/>
        <v>2419.7211090000001</v>
      </c>
      <c r="AD93" s="96"/>
      <c r="AE93" s="97"/>
      <c r="AF93" s="87">
        <f t="shared" si="52"/>
        <v>-1731.7273810000002</v>
      </c>
      <c r="AG93" s="53"/>
      <c r="AH93" s="53"/>
      <c r="AI93" s="111" t="s">
        <v>269</v>
      </c>
    </row>
    <row r="94" spans="1:35" s="28" customFormat="1">
      <c r="A94" s="53" t="s">
        <v>81</v>
      </c>
      <c r="B94" s="53" t="s">
        <v>76</v>
      </c>
      <c r="C94" s="53"/>
      <c r="D94" s="53" t="s">
        <v>96</v>
      </c>
      <c r="E94" s="53" t="s">
        <v>137</v>
      </c>
      <c r="F94" s="92">
        <v>42361</v>
      </c>
      <c r="G94" s="56">
        <f>1937.352+7.428</f>
        <v>1944.7800000000002</v>
      </c>
      <c r="H94" s="56"/>
      <c r="I94" s="56"/>
      <c r="J94" s="85">
        <v>45.13</v>
      </c>
      <c r="K94" s="86">
        <f t="shared" si="46"/>
        <v>1899.65</v>
      </c>
      <c r="L94" s="56"/>
      <c r="M94" s="110"/>
      <c r="N94" s="56"/>
      <c r="O94" s="56">
        <v>0</v>
      </c>
      <c r="P94" s="56"/>
      <c r="Q94" s="56"/>
      <c r="R94" s="56"/>
      <c r="S94" s="50"/>
      <c r="T94" s="50"/>
      <c r="U94" s="53"/>
      <c r="V94" s="53">
        <v>0</v>
      </c>
      <c r="W94" s="86">
        <f t="shared" si="40"/>
        <v>1899.65</v>
      </c>
      <c r="X94" s="50">
        <f t="shared" si="41"/>
        <v>0</v>
      </c>
      <c r="Y94" s="86">
        <f t="shared" si="42"/>
        <v>1899.65</v>
      </c>
      <c r="Z94" s="50">
        <f t="shared" si="43"/>
        <v>189.96500000000003</v>
      </c>
      <c r="AA94" s="50">
        <v>10.23</v>
      </c>
      <c r="AB94" s="50">
        <f t="shared" si="44"/>
        <v>0</v>
      </c>
      <c r="AC94" s="86">
        <f t="shared" si="45"/>
        <v>2099.8450000000003</v>
      </c>
      <c r="AD94" s="96"/>
      <c r="AE94" s="103"/>
      <c r="AF94" s="87">
        <f t="shared" si="52"/>
        <v>-1899.65</v>
      </c>
      <c r="AG94" s="53"/>
      <c r="AH94" s="53"/>
    </row>
    <row r="95" spans="1:35" s="28" customFormat="1">
      <c r="A95" s="53" t="s">
        <v>68</v>
      </c>
      <c r="B95" s="53" t="s">
        <v>80</v>
      </c>
      <c r="C95" s="53" t="s">
        <v>184</v>
      </c>
      <c r="D95" s="53" t="s">
        <v>136</v>
      </c>
      <c r="E95" s="53" t="s">
        <v>70</v>
      </c>
      <c r="F95" s="92">
        <v>42333</v>
      </c>
      <c r="G95" s="56"/>
      <c r="H95" s="56"/>
      <c r="I95" s="56"/>
      <c r="J95" s="85">
        <v>45.13</v>
      </c>
      <c r="K95" s="86">
        <f t="shared" si="46"/>
        <v>-45.13</v>
      </c>
      <c r="L95" s="56"/>
      <c r="M95" s="110"/>
      <c r="N95" s="56"/>
      <c r="O95" s="56">
        <v>0</v>
      </c>
      <c r="P95" s="56"/>
      <c r="Q95" s="56"/>
      <c r="R95" s="56"/>
      <c r="S95" s="50"/>
      <c r="T95" s="50"/>
      <c r="U95" s="53"/>
      <c r="V95" s="53">
        <v>0</v>
      </c>
      <c r="W95" s="86">
        <f t="shared" si="40"/>
        <v>-45.13</v>
      </c>
      <c r="X95" s="50">
        <f t="shared" si="41"/>
        <v>0</v>
      </c>
      <c r="Y95" s="86">
        <f t="shared" si="42"/>
        <v>-45.13</v>
      </c>
      <c r="Z95" s="50">
        <f t="shared" si="43"/>
        <v>-4.5130000000000008</v>
      </c>
      <c r="AA95" s="50">
        <v>10.23</v>
      </c>
      <c r="AB95" s="50">
        <f t="shared" si="44"/>
        <v>0</v>
      </c>
      <c r="AC95" s="86">
        <f t="shared" si="45"/>
        <v>-39.412999999999997</v>
      </c>
      <c r="AD95" s="96"/>
      <c r="AE95" s="104"/>
      <c r="AF95" s="87">
        <f t="shared" si="52"/>
        <v>45.13</v>
      </c>
      <c r="AG95" s="53"/>
      <c r="AH95" s="53"/>
    </row>
    <row r="96" spans="1:35" s="28" customFormat="1">
      <c r="A96" s="53" t="s">
        <v>82</v>
      </c>
      <c r="B96" s="53" t="s">
        <v>158</v>
      </c>
      <c r="C96" s="53"/>
      <c r="D96" s="53" t="s">
        <v>95</v>
      </c>
      <c r="E96" s="53" t="s">
        <v>137</v>
      </c>
      <c r="F96" s="92">
        <v>41549</v>
      </c>
      <c r="G96" s="56">
        <f>3373.53+13.099</f>
        <v>3386.6290000000004</v>
      </c>
      <c r="H96" s="56"/>
      <c r="I96" s="56"/>
      <c r="J96" s="85">
        <v>45.13</v>
      </c>
      <c r="K96" s="86">
        <f t="shared" si="46"/>
        <v>3341.4990000000003</v>
      </c>
      <c r="L96" s="56"/>
      <c r="M96" s="110">
        <v>1</v>
      </c>
      <c r="N96" s="56"/>
      <c r="O96" s="56">
        <v>0</v>
      </c>
      <c r="P96" s="56"/>
      <c r="Q96" s="56"/>
      <c r="R96" s="56"/>
      <c r="S96" s="50"/>
      <c r="T96" s="50"/>
      <c r="U96" s="53"/>
      <c r="V96" s="53">
        <v>0</v>
      </c>
      <c r="W96" s="86">
        <f t="shared" si="40"/>
        <v>3340.4990000000003</v>
      </c>
      <c r="X96" s="50">
        <f t="shared" si="41"/>
        <v>334.14990000000006</v>
      </c>
      <c r="Y96" s="86">
        <f t="shared" si="42"/>
        <v>3006.3491000000004</v>
      </c>
      <c r="Z96" s="50">
        <f t="shared" si="43"/>
        <v>0</v>
      </c>
      <c r="AA96" s="50">
        <v>10.23</v>
      </c>
      <c r="AB96" s="50">
        <f t="shared" si="44"/>
        <v>0</v>
      </c>
      <c r="AC96" s="86">
        <f t="shared" si="45"/>
        <v>3351.7290000000003</v>
      </c>
      <c r="AD96" s="96"/>
      <c r="AE96" s="97"/>
      <c r="AF96" s="87">
        <f t="shared" si="52"/>
        <v>-3006.3491000000004</v>
      </c>
      <c r="AG96" s="53"/>
      <c r="AH96" s="53"/>
    </row>
    <row r="97" spans="1:188" s="28" customFormat="1">
      <c r="A97" s="57"/>
      <c r="B97" s="53"/>
      <c r="C97" s="53"/>
      <c r="D97" s="53"/>
      <c r="E97" s="53"/>
      <c r="F97" s="53"/>
      <c r="G97" s="56"/>
      <c r="H97" s="56"/>
      <c r="I97" s="56"/>
      <c r="J97" s="85"/>
      <c r="K97" s="86">
        <f t="shared" si="46"/>
        <v>0</v>
      </c>
      <c r="L97" s="56"/>
      <c r="M97" s="56"/>
      <c r="N97" s="56"/>
      <c r="O97" s="56"/>
      <c r="P97" s="56"/>
      <c r="Q97" s="56"/>
      <c r="R97" s="56"/>
      <c r="S97" s="50"/>
      <c r="T97" s="50"/>
      <c r="U97" s="50"/>
      <c r="V97" s="50"/>
      <c r="W97" s="86"/>
      <c r="X97" s="50">
        <f t="shared" si="41"/>
        <v>0</v>
      </c>
      <c r="Y97" s="86"/>
      <c r="Z97" s="50">
        <f>IF(K97&lt;3500,K97*0.1,0)</f>
        <v>0</v>
      </c>
      <c r="AA97" s="50"/>
      <c r="AB97" s="50">
        <f t="shared" si="44"/>
        <v>0</v>
      </c>
      <c r="AC97" s="86">
        <f t="shared" si="45"/>
        <v>0</v>
      </c>
      <c r="AD97" s="56"/>
      <c r="AE97" s="56"/>
      <c r="AF97" s="87">
        <f t="shared" si="52"/>
        <v>0</v>
      </c>
      <c r="AG97" s="53"/>
      <c r="AH97" s="53"/>
    </row>
    <row r="98" spans="1:188" s="28" customFormat="1">
      <c r="A98" s="40"/>
      <c r="B98" s="41"/>
      <c r="C98" s="41"/>
      <c r="D98" s="41"/>
      <c r="E98" s="41"/>
      <c r="F98" s="41"/>
      <c r="G98" s="42"/>
      <c r="H98" s="42"/>
      <c r="I98" s="42"/>
      <c r="J98" s="42"/>
      <c r="K98" s="43"/>
      <c r="L98" s="42"/>
      <c r="M98" s="42"/>
      <c r="N98" s="42"/>
      <c r="O98" s="42"/>
      <c r="P98" s="42"/>
      <c r="Q98" s="42"/>
      <c r="R98" s="42"/>
      <c r="S98" s="60"/>
      <c r="T98" s="60"/>
      <c r="U98" s="60"/>
      <c r="V98" s="60"/>
      <c r="W98" s="43"/>
      <c r="X98" s="60"/>
      <c r="Y98" s="43"/>
      <c r="Z98" s="60"/>
      <c r="AA98" s="60"/>
      <c r="AB98" s="60"/>
      <c r="AC98" s="43"/>
      <c r="AD98" s="79"/>
      <c r="AE98" s="79"/>
      <c r="AF98" s="36"/>
    </row>
    <row r="99" spans="1:188">
      <c r="B99" s="61" t="s">
        <v>17</v>
      </c>
      <c r="C99" s="61"/>
      <c r="D99" s="61"/>
      <c r="E99" s="61"/>
      <c r="F99" s="61"/>
      <c r="G99" s="62">
        <f t="shared" ref="G99:L99" si="53">SUM(G7:G98)</f>
        <v>187904.63899999997</v>
      </c>
      <c r="H99" s="62">
        <f t="shared" si="53"/>
        <v>5769.64</v>
      </c>
      <c r="I99" s="62">
        <f t="shared" si="53"/>
        <v>20646.740000000002</v>
      </c>
      <c r="J99" s="62">
        <f t="shared" si="53"/>
        <v>4016.570000000007</v>
      </c>
      <c r="K99" s="62">
        <f t="shared" si="53"/>
        <v>210304.44899999994</v>
      </c>
      <c r="L99" s="62">
        <f t="shared" si="53"/>
        <v>625</v>
      </c>
      <c r="M99" s="62"/>
      <c r="N99" s="62"/>
      <c r="O99" s="63">
        <f t="shared" ref="O99:AF99" si="54">SUM(O7:O98)</f>
        <v>3850</v>
      </c>
      <c r="P99" s="63">
        <f t="shared" si="54"/>
        <v>2274.0893139999998</v>
      </c>
      <c r="Q99" s="63">
        <f t="shared" si="54"/>
        <v>464.09986000000004</v>
      </c>
      <c r="R99" s="63">
        <f t="shared" si="54"/>
        <v>579.38</v>
      </c>
      <c r="S99" s="62">
        <f t="shared" si="54"/>
        <v>1113.1399999999999</v>
      </c>
      <c r="T99" s="62">
        <f t="shared" si="54"/>
        <v>335.5</v>
      </c>
      <c r="U99" s="62">
        <f t="shared" si="54"/>
        <v>813.88</v>
      </c>
      <c r="V99" s="62">
        <f t="shared" si="54"/>
        <v>5209.63</v>
      </c>
      <c r="W99" s="62">
        <f t="shared" si="54"/>
        <v>195029.729826</v>
      </c>
      <c r="X99" s="62">
        <f t="shared" si="54"/>
        <v>16567.390200000002</v>
      </c>
      <c r="Y99" s="62">
        <f t="shared" si="54"/>
        <v>178462.33962599997</v>
      </c>
      <c r="Z99" s="62">
        <f t="shared" si="54"/>
        <v>4463.0547000000015</v>
      </c>
      <c r="AA99" s="62">
        <f t="shared" si="54"/>
        <v>1000.7000000000011</v>
      </c>
      <c r="AB99" s="62">
        <f t="shared" si="54"/>
        <v>2274.0893139999998</v>
      </c>
      <c r="AC99" s="62">
        <f t="shared" si="54"/>
        <v>218042.29301399988</v>
      </c>
      <c r="AD99" s="80">
        <f t="shared" si="54"/>
        <v>0</v>
      </c>
      <c r="AE99" s="80">
        <f t="shared" si="54"/>
        <v>0</v>
      </c>
      <c r="AF99" s="64">
        <f t="shared" si="54"/>
        <v>-170728.842913</v>
      </c>
      <c r="AG99" s="44"/>
      <c r="AH99" s="44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</row>
    <row r="100" spans="1:188">
      <c r="AC100" s="24">
        <f>AC99*0.16</f>
        <v>34886.766882239979</v>
      </c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</row>
    <row r="101" spans="1:188">
      <c r="A101" s="114" t="s">
        <v>203</v>
      </c>
      <c r="B101" s="114"/>
      <c r="C101" s="65"/>
      <c r="D101" s="44"/>
      <c r="E101" s="44"/>
      <c r="F101" s="44"/>
      <c r="G101" s="46"/>
      <c r="H101" s="46"/>
      <c r="I101" s="46"/>
      <c r="J101" s="46"/>
      <c r="K101" s="62"/>
      <c r="L101" s="46"/>
      <c r="M101" s="46"/>
      <c r="N101" s="46"/>
      <c r="O101" s="56"/>
      <c r="P101" s="56"/>
      <c r="Q101" s="56"/>
      <c r="R101" s="56"/>
      <c r="S101" s="46"/>
      <c r="T101" s="46"/>
      <c r="U101" s="46"/>
      <c r="V101" s="46"/>
      <c r="W101" s="62"/>
      <c r="X101" s="46"/>
      <c r="Y101" s="62"/>
      <c r="Z101" s="46"/>
      <c r="AA101" s="46"/>
      <c r="AB101" s="46"/>
      <c r="AC101" s="62">
        <f>+AC99+AC100</f>
        <v>252929.05989623987</v>
      </c>
      <c r="AD101" s="80"/>
      <c r="AE101" s="80"/>
      <c r="AF101" s="64"/>
      <c r="AG101" s="44"/>
      <c r="AH101" s="44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</row>
    <row r="102" spans="1:188">
      <c r="A102" s="53" t="s">
        <v>84</v>
      </c>
      <c r="B102" s="53" t="s">
        <v>204</v>
      </c>
      <c r="C102" s="45"/>
      <c r="D102" s="45"/>
      <c r="E102" s="45" t="s">
        <v>260</v>
      </c>
      <c r="F102" s="93">
        <v>41142</v>
      </c>
      <c r="G102" s="56">
        <f>2544.554+5.571</f>
        <v>2550.125</v>
      </c>
      <c r="H102" s="47"/>
      <c r="I102" s="47"/>
      <c r="J102" s="47"/>
      <c r="K102" s="48">
        <f>SUM(G102:J102)</f>
        <v>2550.125</v>
      </c>
      <c r="L102" s="75"/>
      <c r="M102" s="75"/>
      <c r="N102" s="75"/>
      <c r="O102" s="75"/>
      <c r="P102" s="75">
        <f>K102*4.9%</f>
        <v>124.956125</v>
      </c>
      <c r="Q102" s="75">
        <f>K102*1%</f>
        <v>25.501249999999999</v>
      </c>
      <c r="R102" s="75"/>
      <c r="S102" s="101"/>
      <c r="T102" s="101"/>
      <c r="U102" s="101"/>
      <c r="V102" s="101"/>
      <c r="W102" s="100">
        <f>+K102-SUM(L102:V102)</f>
        <v>2399.667625</v>
      </c>
      <c r="X102" s="101">
        <f>+W102*0.05</f>
        <v>119.98338125000001</v>
      </c>
      <c r="Y102" s="100">
        <f>+W102-S102-V102</f>
        <v>2399.667625</v>
      </c>
      <c r="Z102" s="101">
        <f>IF(W102&lt;3000,W102*0.1,0)</f>
        <v>239.96676250000002</v>
      </c>
      <c r="AA102" s="101">
        <v>0</v>
      </c>
      <c r="AB102" s="101"/>
      <c r="AC102" s="100">
        <f>+W102+Z102+AA102</f>
        <v>2639.6343875000002</v>
      </c>
      <c r="AD102" s="81"/>
      <c r="AE102" s="81"/>
      <c r="AF102" s="67"/>
      <c r="AG102" s="44"/>
      <c r="AH102" s="94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</row>
    <row r="103" spans="1:188">
      <c r="A103" s="53" t="s">
        <v>84</v>
      </c>
      <c r="B103" s="53" t="s">
        <v>216</v>
      </c>
      <c r="C103" s="45"/>
      <c r="D103" s="45"/>
      <c r="E103" s="45" t="s">
        <v>241</v>
      </c>
      <c r="F103" s="93">
        <v>40824</v>
      </c>
      <c r="G103" s="56">
        <v>2028.95</v>
      </c>
      <c r="H103" s="47"/>
      <c r="I103" s="47"/>
      <c r="J103" s="47"/>
      <c r="K103" s="48">
        <f>SUM(G103:J103)</f>
        <v>2028.95</v>
      </c>
      <c r="L103" s="75"/>
      <c r="M103" s="75"/>
      <c r="N103" s="75"/>
      <c r="O103" s="75"/>
      <c r="P103" s="75"/>
      <c r="Q103" s="75"/>
      <c r="R103" s="75"/>
      <c r="S103" s="101"/>
      <c r="T103" s="101"/>
      <c r="U103" s="101">
        <v>243.31</v>
      </c>
      <c r="V103" s="101"/>
      <c r="W103" s="100">
        <f t="shared" ref="W103:W104" si="55">+K103-SUM(L103:V103)</f>
        <v>1785.64</v>
      </c>
      <c r="X103" s="101">
        <f t="shared" ref="X103:X104" si="56">+W103*0.05</f>
        <v>89.282000000000011</v>
      </c>
      <c r="Y103" s="100">
        <f t="shared" ref="Y103:Y104" si="57">+W103-S103-V103</f>
        <v>1785.64</v>
      </c>
      <c r="Z103" s="101">
        <f t="shared" ref="Z103:Z104" si="58">IF(W103&lt;3000,W103*0.1,0)</f>
        <v>178.56400000000002</v>
      </c>
      <c r="AA103" s="101"/>
      <c r="AB103" s="101"/>
      <c r="AC103" s="100">
        <f t="shared" ref="AC103:AC104" si="59">+W103+Z103+AA103</f>
        <v>1964.2040000000002</v>
      </c>
      <c r="AD103" s="81"/>
      <c r="AE103" s="81"/>
      <c r="AF103" s="67"/>
      <c r="AG103" s="44"/>
      <c r="AH103" s="94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</row>
    <row r="104" spans="1:188">
      <c r="A104" s="44" t="s">
        <v>68</v>
      </c>
      <c r="B104" s="53" t="s">
        <v>206</v>
      </c>
      <c r="C104" s="44"/>
      <c r="D104" s="44"/>
      <c r="E104" s="44" t="s">
        <v>139</v>
      </c>
      <c r="F104" s="108">
        <v>40813</v>
      </c>
      <c r="G104" s="46">
        <v>200</v>
      </c>
      <c r="H104" s="46"/>
      <c r="I104" s="46"/>
      <c r="J104" s="46"/>
      <c r="K104" s="48">
        <f>SUM(G104:J104)</f>
        <v>200</v>
      </c>
      <c r="L104" s="75"/>
      <c r="M104" s="75"/>
      <c r="N104" s="75"/>
      <c r="O104" s="75"/>
      <c r="P104" s="75"/>
      <c r="Q104" s="75"/>
      <c r="R104" s="75"/>
      <c r="S104" s="101"/>
      <c r="T104" s="101"/>
      <c r="U104" s="101"/>
      <c r="V104" s="101"/>
      <c r="W104" s="100">
        <f t="shared" si="55"/>
        <v>200</v>
      </c>
      <c r="X104" s="101">
        <f t="shared" si="56"/>
        <v>10</v>
      </c>
      <c r="Y104" s="100">
        <f t="shared" si="57"/>
        <v>200</v>
      </c>
      <c r="Z104" s="101">
        <f t="shared" si="58"/>
        <v>20</v>
      </c>
      <c r="AA104" s="101"/>
      <c r="AB104" s="101"/>
      <c r="AC104" s="100">
        <f t="shared" si="59"/>
        <v>220</v>
      </c>
      <c r="AD104" s="80"/>
      <c r="AE104" s="80"/>
      <c r="AF104" s="64"/>
      <c r="AG104" s="44"/>
      <c r="AH104" s="44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</row>
    <row r="105" spans="1:188">
      <c r="B105" s="30"/>
      <c r="C105" s="30"/>
      <c r="D105" s="30"/>
      <c r="AC105" s="24">
        <f>+AC104*0.16</f>
        <v>35.200000000000003</v>
      </c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</row>
    <row r="106" spans="1:188">
      <c r="A106" s="112" t="s">
        <v>215</v>
      </c>
      <c r="B106" s="112"/>
      <c r="C106" s="30"/>
      <c r="D106" s="30"/>
      <c r="AC106" s="24">
        <f>+AC104+AC105</f>
        <v>255.2</v>
      </c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</row>
    <row r="107" spans="1:188" s="28" customFormat="1">
      <c r="A107" s="53"/>
      <c r="B107" s="53"/>
      <c r="C107" s="53"/>
      <c r="D107" s="59"/>
      <c r="E107" s="53"/>
      <c r="F107" s="55"/>
      <c r="G107" s="56"/>
      <c r="H107" s="56"/>
      <c r="I107" s="56"/>
      <c r="J107" s="85"/>
      <c r="K107" s="86"/>
      <c r="L107" s="56"/>
      <c r="M107" s="56"/>
      <c r="N107" s="56"/>
      <c r="O107" s="56"/>
      <c r="P107" s="56"/>
      <c r="Q107" s="56"/>
      <c r="R107" s="56"/>
      <c r="S107" s="50"/>
      <c r="T107" s="50"/>
      <c r="U107" s="53"/>
      <c r="V107" s="53"/>
      <c r="W107" s="86"/>
      <c r="X107" s="50"/>
      <c r="Y107" s="86"/>
      <c r="Z107" s="50"/>
      <c r="AA107" s="50"/>
      <c r="AB107" s="50"/>
      <c r="AC107" s="86"/>
      <c r="AD107" s="82"/>
      <c r="AE107" s="83"/>
      <c r="AF107" s="52">
        <f t="shared" ref="AF107" si="60">+AD107+AE107-Y107</f>
        <v>0</v>
      </c>
      <c r="AG107" s="53"/>
      <c r="AH107" s="84"/>
    </row>
    <row r="108" spans="1:188"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</row>
    <row r="109" spans="1:188"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</row>
    <row r="110" spans="1:188"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</row>
    <row r="111" spans="1:188"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</row>
    <row r="112" spans="1:188"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</row>
    <row r="113" spans="1:188"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</row>
    <row r="114" spans="1:188">
      <c r="A114" s="29" t="s">
        <v>54</v>
      </c>
      <c r="B114" s="23"/>
      <c r="C114" s="23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</row>
    <row r="115" spans="1:188">
      <c r="A115" s="29" t="s">
        <v>55</v>
      </c>
      <c r="B115" s="23"/>
      <c r="C115" s="23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</row>
    <row r="116" spans="1:188">
      <c r="A116" s="29" t="s">
        <v>56</v>
      </c>
      <c r="B116" s="23"/>
      <c r="C116" s="23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</row>
    <row r="117" spans="1:188">
      <c r="A117" s="29" t="s">
        <v>57</v>
      </c>
      <c r="B117" s="23"/>
      <c r="C117" s="23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</row>
    <row r="118" spans="1:188">
      <c r="A118" s="29" t="s">
        <v>58</v>
      </c>
      <c r="B118" s="23"/>
      <c r="C118" s="23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</row>
    <row r="119" spans="1:188">
      <c r="A119" s="29" t="s">
        <v>59</v>
      </c>
      <c r="B119" s="23"/>
      <c r="C119" s="23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</row>
    <row r="120" spans="1:188"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</row>
    <row r="121" spans="1:188"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</row>
    <row r="123" spans="1:188">
      <c r="B123" s="27"/>
      <c r="C123" s="33"/>
    </row>
    <row r="124" spans="1:188">
      <c r="B124" s="27"/>
      <c r="C124" s="33"/>
    </row>
    <row r="125" spans="1:188">
      <c r="B125" s="27"/>
      <c r="C125" s="33"/>
    </row>
  </sheetData>
  <sheetProtection selectLockedCells="1" selectUnlockedCells="1"/>
  <autoFilter ref="A5:AH97">
    <filterColumn colId="29" showButton="0"/>
    <sortState ref="A8:AN97">
      <sortCondition ref="B5:B97"/>
    </sortState>
  </autoFilter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06:B106"/>
    <mergeCell ref="AH5:AH6"/>
    <mergeCell ref="A101:B101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bestFit="1" customWidth="1"/>
    <col min="4" max="4" width="8.85546875" style="29" customWidth="1"/>
    <col min="5" max="5" width="31.5703125" style="29" customWidth="1"/>
    <col min="6" max="6" width="20.140625" style="29" bestFit="1" customWidth="1"/>
    <col min="7" max="7" width="13" style="29" bestFit="1" customWidth="1"/>
    <col min="8" max="8" width="11.7109375" style="29" customWidth="1"/>
    <col min="9" max="9" width="17.140625" style="23" customWidth="1"/>
    <col min="10" max="10" width="11.7109375" style="29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29" hidden="1" customWidth="1"/>
    <col min="39" max="39" width="13.85546875" style="29" customWidth="1"/>
    <col min="40" max="40" width="38.28515625" style="29" bestFit="1" customWidth="1"/>
    <col min="41" max="54" width="11.5703125" style="28"/>
    <col min="55" max="16384" width="11.5703125" style="29"/>
  </cols>
  <sheetData>
    <row r="1" spans="1:19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35"/>
      <c r="AJ1" s="35"/>
      <c r="AK1" s="35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35"/>
      <c r="AJ2" s="35"/>
      <c r="AK2" s="35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212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35"/>
      <c r="AJ3" s="35"/>
      <c r="AK3" s="35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211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24" t="s">
        <v>36</v>
      </c>
      <c r="B5" s="126" t="s">
        <v>37</v>
      </c>
      <c r="C5" s="124"/>
      <c r="D5" s="126" t="s">
        <v>38</v>
      </c>
      <c r="E5" s="126" t="s">
        <v>0</v>
      </c>
      <c r="F5" s="124" t="s">
        <v>178</v>
      </c>
      <c r="G5" s="115" t="s">
        <v>64</v>
      </c>
      <c r="H5" s="115" t="s">
        <v>62</v>
      </c>
      <c r="I5" s="130" t="s">
        <v>63</v>
      </c>
      <c r="J5" s="122" t="s">
        <v>65</v>
      </c>
      <c r="K5" s="115" t="s">
        <v>31</v>
      </c>
      <c r="L5" s="122" t="s">
        <v>72</v>
      </c>
      <c r="M5" s="73"/>
      <c r="N5" s="115" t="s">
        <v>32</v>
      </c>
      <c r="O5" s="115" t="s">
        <v>33</v>
      </c>
      <c r="P5" s="115" t="s">
        <v>60</v>
      </c>
      <c r="Q5" s="115" t="s">
        <v>34</v>
      </c>
      <c r="R5" s="115" t="s">
        <v>35</v>
      </c>
      <c r="S5" s="72"/>
      <c r="T5" s="120" t="s">
        <v>142</v>
      </c>
      <c r="U5" s="120" t="s">
        <v>161</v>
      </c>
      <c r="V5" s="120" t="s">
        <v>160</v>
      </c>
      <c r="W5" s="120" t="s">
        <v>143</v>
      </c>
      <c r="X5" s="115" t="s">
        <v>28</v>
      </c>
      <c r="Y5" s="115" t="s">
        <v>53</v>
      </c>
      <c r="Z5" s="115" t="s">
        <v>52</v>
      </c>
      <c r="AA5" s="115" t="s">
        <v>30</v>
      </c>
      <c r="AB5" s="115" t="s">
        <v>61</v>
      </c>
      <c r="AC5" s="115" t="s">
        <v>25</v>
      </c>
      <c r="AD5" s="115" t="s">
        <v>29</v>
      </c>
      <c r="AE5" s="115" t="s">
        <v>24</v>
      </c>
      <c r="AF5" s="115" t="s">
        <v>26</v>
      </c>
      <c r="AG5" s="71"/>
      <c r="AH5" s="115" t="s">
        <v>27</v>
      </c>
      <c r="AI5" s="128" t="s">
        <v>144</v>
      </c>
      <c r="AJ5" s="129"/>
      <c r="AK5" s="119" t="s">
        <v>145</v>
      </c>
      <c r="AL5" s="113" t="s">
        <v>186</v>
      </c>
      <c r="AM5" s="69"/>
      <c r="AN5" s="113" t="s">
        <v>187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32" customFormat="1" ht="39" customHeight="1">
      <c r="A6" s="125"/>
      <c r="B6" s="127"/>
      <c r="C6" s="125"/>
      <c r="D6" s="127"/>
      <c r="E6" s="127"/>
      <c r="F6" s="125"/>
      <c r="G6" s="116"/>
      <c r="H6" s="116"/>
      <c r="I6" s="131"/>
      <c r="J6" s="123"/>
      <c r="K6" s="116"/>
      <c r="L6" s="123"/>
      <c r="M6" s="74" t="s">
        <v>202</v>
      </c>
      <c r="N6" s="116"/>
      <c r="O6" s="116"/>
      <c r="P6" s="116"/>
      <c r="Q6" s="116"/>
      <c r="R6" s="116"/>
      <c r="S6" s="38" t="s">
        <v>200</v>
      </c>
      <c r="T6" s="121"/>
      <c r="U6" s="121"/>
      <c r="V6" s="121"/>
      <c r="W6" s="121"/>
      <c r="X6" s="116"/>
      <c r="Y6" s="116"/>
      <c r="Z6" s="116"/>
      <c r="AA6" s="116"/>
      <c r="AB6" s="116"/>
      <c r="AC6" s="116"/>
      <c r="AD6" s="116"/>
      <c r="AE6" s="116"/>
      <c r="AF6" s="116"/>
      <c r="AG6" s="72"/>
      <c r="AH6" s="116"/>
      <c r="AI6" s="39" t="s">
        <v>63</v>
      </c>
      <c r="AJ6" s="39" t="s">
        <v>65</v>
      </c>
      <c r="AK6" s="119"/>
      <c r="AL6" s="113"/>
      <c r="AM6" s="69" t="s">
        <v>213</v>
      </c>
      <c r="AN6" s="113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194">
      <c r="AH7" s="24" t="e">
        <f>#REF!*0.16</f>
        <v>#REF!</v>
      </c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</row>
    <row r="8" spans="1:194">
      <c r="A8" s="114" t="s">
        <v>203</v>
      </c>
      <c r="B8" s="114"/>
      <c r="C8" s="70"/>
      <c r="D8" s="44"/>
      <c r="E8" s="44"/>
      <c r="F8" s="44"/>
      <c r="G8" s="44"/>
      <c r="H8" s="44"/>
      <c r="I8" s="46"/>
      <c r="J8" s="44"/>
      <c r="K8" s="46"/>
      <c r="L8" s="46"/>
      <c r="M8" s="46"/>
      <c r="N8" s="46"/>
      <c r="O8" s="46"/>
      <c r="P8" s="46"/>
      <c r="Q8" s="62"/>
      <c r="R8" s="46"/>
      <c r="S8" s="46"/>
      <c r="T8" s="56"/>
      <c r="U8" s="56"/>
      <c r="V8" s="56"/>
      <c r="W8" s="56"/>
      <c r="X8" s="46"/>
      <c r="Y8" s="46"/>
      <c r="Z8" s="46"/>
      <c r="AA8" s="46"/>
      <c r="AB8" s="62"/>
      <c r="AC8" s="46"/>
      <c r="AD8" s="62"/>
      <c r="AE8" s="46"/>
      <c r="AF8" s="46"/>
      <c r="AG8" s="46"/>
      <c r="AH8" s="62" t="e">
        <f>+#REF!+AH7</f>
        <v>#REF!</v>
      </c>
      <c r="AI8" s="64"/>
      <c r="AJ8" s="64"/>
      <c r="AK8" s="64"/>
      <c r="AL8" s="44"/>
      <c r="AM8" s="44"/>
      <c r="AN8" s="44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</row>
    <row r="9" spans="1:194" hidden="1">
      <c r="A9" s="57"/>
      <c r="B9" s="44" t="s">
        <v>204</v>
      </c>
      <c r="C9" s="44"/>
      <c r="D9" s="45"/>
      <c r="E9" s="44"/>
      <c r="F9" s="44"/>
      <c r="G9" s="44"/>
      <c r="H9" s="44"/>
      <c r="I9" s="46"/>
      <c r="J9" s="44"/>
      <c r="K9" s="46"/>
      <c r="L9" s="75">
        <v>533.29999999999995</v>
      </c>
      <c r="M9" s="46"/>
      <c r="N9" s="46"/>
      <c r="O9" s="46"/>
      <c r="P9" s="46"/>
      <c r="Q9" s="48">
        <f>SUM(K9:P9)</f>
        <v>533.29999999999995</v>
      </c>
      <c r="R9" s="49"/>
      <c r="S9" s="49"/>
      <c r="T9" s="56"/>
      <c r="U9" s="54">
        <f>Q9*4.9%</f>
        <v>26.131699999999999</v>
      </c>
      <c r="V9" s="54">
        <f>Q9*1%</f>
        <v>5.3329999999999993</v>
      </c>
      <c r="W9" s="56"/>
      <c r="X9" s="66"/>
      <c r="Y9" s="66"/>
      <c r="Z9" s="66"/>
      <c r="AA9" s="66"/>
      <c r="AB9" s="48">
        <f>+Q9-R9</f>
        <v>533.29999999999995</v>
      </c>
      <c r="AC9" s="50">
        <f>+AB9*0.05</f>
        <v>26.664999999999999</v>
      </c>
      <c r="AD9" s="48">
        <f>+AB9-X9-AA9</f>
        <v>533.29999999999995</v>
      </c>
      <c r="AE9" s="51">
        <f>IF(AB9&lt;3000,AB9*0.1,0)</f>
        <v>53.33</v>
      </c>
      <c r="AF9" s="50">
        <v>0</v>
      </c>
      <c r="AG9" s="50"/>
      <c r="AH9" s="48">
        <f>+AB9+AE9+AF9</f>
        <v>586.63</v>
      </c>
      <c r="AI9" s="67"/>
      <c r="AJ9" s="67"/>
      <c r="AK9" s="67"/>
      <c r="AL9" s="44"/>
      <c r="AM9" s="44"/>
      <c r="AN9" s="44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</row>
    <row r="10" spans="1:194">
      <c r="AH10" s="24">
        <f>SUM(AH9:AH9)</f>
        <v>586.63</v>
      </c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</row>
    <row r="11" spans="1:194">
      <c r="B11" s="30"/>
      <c r="C11" s="30"/>
      <c r="D11" s="30"/>
      <c r="AH11" s="24">
        <f>+AH10*0.16</f>
        <v>93.860799999999998</v>
      </c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</row>
    <row r="12" spans="1:194">
      <c r="B12" s="30"/>
      <c r="C12" s="30"/>
      <c r="D12" s="30"/>
      <c r="AH12" s="24">
        <f>+AH10+AH11</f>
        <v>680.49080000000004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</row>
    <row r="13" spans="1:194">
      <c r="B13" s="30"/>
      <c r="C13" s="30"/>
      <c r="D13" s="30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</row>
    <row r="14" spans="1:194">
      <c r="B14" s="30"/>
      <c r="C14" s="30"/>
      <c r="D14" s="30"/>
      <c r="AH14" s="24" t="e">
        <f>+AH8+AH12</f>
        <v>#REF!</v>
      </c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</row>
    <row r="15" spans="1:194"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</row>
    <row r="16" spans="1:194"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</row>
    <row r="17" spans="55:194"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</row>
    <row r="18" spans="55:194"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</row>
    <row r="19" spans="55:194"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2016-08-12T00:07:06Z</dcterms:modified>
</cp:coreProperties>
</file>